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8" autoFilterDateGrouping="1"/>
  </bookViews>
  <sheets>
    <sheet xmlns:r="http://schemas.openxmlformats.org/officeDocument/2006/relationships" name="Investors" sheetId="1" state="hidden" r:id="rId1"/>
    <sheet xmlns:r="http://schemas.openxmlformats.org/officeDocument/2006/relationships" name="Opportunities" sheetId="2" state="hidden" r:id="rId2"/>
    <sheet xmlns:r="http://schemas.openxmlformats.org/officeDocument/2006/relationships" name="Construction" sheetId="3" state="hidden" r:id="rId3"/>
    <sheet xmlns:r="http://schemas.openxmlformats.org/officeDocument/2006/relationships" name="Updated Construction" sheetId="4" state="hidden" r:id="rId4"/>
    <sheet xmlns:r="http://schemas.openxmlformats.org/officeDocument/2006/relationships" name="Sales" sheetId="5" state="hidden" r:id="rId5"/>
    <sheet xmlns:r="http://schemas.openxmlformats.org/officeDocument/2006/relationships" name="Operational Costs" sheetId="6" state="hidden" r:id="rId6"/>
    <sheet xmlns:r="http://schemas.openxmlformats.org/officeDocument/2006/relationships" name="Xero" sheetId="7" state="hidden" r:id="rId7"/>
    <sheet xmlns:r="http://schemas.openxmlformats.org/officeDocument/2006/relationships" name="Other Costs" sheetId="8" state="hidden" r:id="rId8"/>
    <sheet xmlns:r="http://schemas.openxmlformats.org/officeDocument/2006/relationships" name="Cashflow Projection" sheetId="9" state="visible" r:id="rId9"/>
    <sheet xmlns:r="http://schemas.openxmlformats.org/officeDocument/2006/relationships" name="Dashboard" sheetId="10" state="visible" r:id="rId10"/>
    <sheet xmlns:r="http://schemas.openxmlformats.org/officeDocument/2006/relationships" name="Heron" sheetId="11" state="hidden" r:id="rId11"/>
    <sheet xmlns:r="http://schemas.openxmlformats.org/officeDocument/2006/relationships" name="NSST Print" sheetId="12" state="visible" r:id="rId12"/>
    <sheet xmlns:r="http://schemas.openxmlformats.org/officeDocument/2006/relationships" name="Investor Exit List" sheetId="13" state="visible" r:id="rId13"/>
    <sheet xmlns:r="http://schemas.openxmlformats.org/officeDocument/2006/relationships" name="Momentum" sheetId="14" state="visible" r:id="rId14"/>
    <sheet xmlns:r="http://schemas.openxmlformats.org/officeDocument/2006/relationships" name="Checklist" sheetId="15" state="visible" r:id="rId15"/>
  </sheets>
  <definedNames>
    <definedName name="_xlnm._FilterDatabase" localSheetId="0" hidden="1">'Investors'!$A$4:$S$546</definedName>
    <definedName name="_xlnm._FilterDatabase" localSheetId="1" hidden="1">'Opportunities'!$A$5:$H$230</definedName>
    <definedName name="_xlnm._FilterDatabase" localSheetId="2" hidden="1">'Construction'!$A$4:$T$26</definedName>
    <definedName name="_xlnm._FilterDatabase" localSheetId="4" hidden="1">'Sales'!$A$4:$V$290</definedName>
    <definedName name="_xlnm._FilterDatabase" localSheetId="5" hidden="1">'Operational Costs'!$A$4:$N$101</definedName>
    <definedName name="_xlnm._FilterDatabase" localSheetId="6" hidden="1">'Xero'!$A$4:$G$6673</definedName>
  </definedNames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dd-mmm-yy"/>
    <numFmt numFmtId="166" formatCode="yyyy-mm-dd"/>
    <numFmt numFmtId="167" formatCode="dd MMMM yyyy"/>
    <numFmt numFmtId="168" formatCode="R#,##0.00"/>
  </numFmts>
  <fonts count="20">
    <font>
      <name val="Calibri"/>
      <family val="2"/>
      <color theme="1"/>
      <sz val="11"/>
      <scheme val="minor"/>
    </font>
    <font>
      <b val="1"/>
    </font>
    <font>
      <b val="1"/>
      <color rgb="000C0C0C"/>
      <sz val="28"/>
    </font>
    <font>
      <b val="1"/>
      <color rgb="000C0C0C"/>
      <sz val="22"/>
    </font>
    <font>
      <b val="1"/>
      <color rgb="000C0C0C"/>
      <sz val="26"/>
    </font>
    <font>
      <b val="1"/>
      <sz val="28"/>
    </font>
    <font>
      <b val="1"/>
      <color rgb="00FFFFFF"/>
      <sz val="22"/>
    </font>
    <font>
      <b val="1"/>
      <color rgb="0031304D"/>
      <sz val="22"/>
    </font>
    <font>
      <b val="1"/>
      <sz val="18"/>
    </font>
    <font>
      <b val="1"/>
      <sz val="18"/>
      <u val="single"/>
    </font>
    <font>
      <sz val="18"/>
    </font>
    <font>
      <b val="1"/>
      <color rgb="0031304D"/>
      <sz val="14"/>
    </font>
    <font>
      <b val="1"/>
      <sz val="14"/>
    </font>
    <font>
      <sz val="12"/>
    </font>
    <font>
      <b val="1"/>
      <sz val="22"/>
    </font>
    <font>
      <b val="1"/>
      <color rgb="00FFFFFF"/>
      <sz val="18"/>
    </font>
    <font>
      <b val="1"/>
      <color rgb="00FFFFFF"/>
      <sz val="26"/>
    </font>
    <font>
      <b val="1"/>
      <sz val="13"/>
    </font>
    <font>
      <b val="1"/>
      <color rgb="00FFFFFF"/>
      <sz val="12"/>
    </font>
    <font>
      <sz val="14"/>
    </font>
  </fonts>
  <fills count="15">
    <fill>
      <patternFill/>
    </fill>
    <fill>
      <patternFill patternType="gray125"/>
    </fill>
    <fill>
      <patternFill patternType="solid">
        <fgColor rgb="004CCD99"/>
        <bgColor rgb="004CCD99"/>
      </patternFill>
    </fill>
    <fill>
      <patternFill patternType="solid">
        <fgColor rgb="007F9F80"/>
        <bgColor rgb="007F9F80"/>
      </patternFill>
    </fill>
    <fill>
      <patternFill patternType="solid">
        <fgColor rgb="00FFC7CE"/>
        <bgColor rgb="00FFC7CE"/>
      </patternFill>
    </fill>
    <fill>
      <patternFill patternType="solid">
        <fgColor rgb="00BFEA7C"/>
        <bgColor rgb="00BFEA7C"/>
      </patternFill>
    </fill>
    <fill>
      <patternFill patternType="solid">
        <fgColor rgb="00D4E7C5"/>
        <bgColor rgb="00D4E7C5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9D9D9"/>
        <bgColor rgb="00D9D9D9"/>
      </patternFill>
    </fill>
    <fill>
      <patternFill patternType="solid">
        <fgColor rgb="00D3D3D3"/>
        <bgColor rgb="00D3D3D3"/>
      </patternFill>
    </fill>
    <fill>
      <patternFill patternType="solid">
        <fgColor rgb="00FFD966"/>
        <bgColor rgb="00FFD966"/>
      </patternFill>
    </fill>
    <fill>
      <patternFill patternType="solid">
        <fgColor rgb="00008DDA"/>
        <bgColor rgb="00008DDA"/>
      </patternFill>
    </fill>
    <fill>
      <patternFill patternType="solid">
        <fgColor rgb="00C6EFCE"/>
        <bgColor rgb="00C6EFCE"/>
      </patternFill>
    </fill>
    <fill>
      <patternFill patternType="solid">
        <fgColor rgb="00FFFDD7"/>
        <bgColor rgb="00FFFDD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</border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  <border>
      <right style="medium"/>
      <top style="medium"/>
      <bottom style="medium"/>
    </border>
    <border>
      <top style="medium"/>
      <bottom style="double"/>
    </border>
    <border>
      <right style="medium"/>
      <top style="medium"/>
      <bottom style="double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top style="medium"/>
      <bottom style="medium"/>
    </border>
    <border>
      <top style="medium"/>
      <bottom style="medium"/>
    </border>
    <border>
      <left style="medium"/>
      <top style="medium"/>
    </border>
    <border>
      <top style="medium"/>
    </border>
    <border>
      <right style="medium"/>
      <top style="medium"/>
    </border>
  </borders>
  <cellStyleXfs count="1">
    <xf numFmtId="0" fontId="0" fillId="0" borderId="0"/>
  </cellStyleXfs>
  <cellXfs count="119">
    <xf numFmtId="0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3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164" fontId="0" fillId="0" borderId="0" pivotButton="0" quotePrefix="0" xfId="0"/>
    <xf numFmtId="0" fontId="0" fillId="2" borderId="0" pivotButton="0" quotePrefix="0" xfId="0"/>
    <xf numFmtId="4" fontId="0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3" fillId="0" borderId="7" pivotButton="0" quotePrefix="0" xfId="0"/>
    <xf numFmtId="165" fontId="3" fillId="0" borderId="0" pivotButton="0" quotePrefix="0" xfId="0"/>
    <xf numFmtId="3" fontId="3" fillId="6" borderId="1" pivotButton="0" quotePrefix="0" xfId="0"/>
    <xf numFmtId="3" fontId="3" fillId="0" borderId="1" applyAlignment="1" pivotButton="0" quotePrefix="0" xfId="0">
      <alignment horizontal="center" vertical="center"/>
    </xf>
    <xf numFmtId="3" fontId="3" fillId="6" borderId="6" applyAlignment="1" pivotButton="0" quotePrefix="0" xfId="0">
      <alignment horizontal="right" vertical="center"/>
    </xf>
    <xf numFmtId="3" fontId="3" fillId="0" borderId="6" applyAlignment="1" pivotButton="0" quotePrefix="0" xfId="0">
      <alignment horizontal="center" vertical="center"/>
    </xf>
    <xf numFmtId="3" fontId="3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3" fontId="3" fillId="0" borderId="0" pivotButton="0" quotePrefix="0" xfId="0"/>
    <xf numFmtId="3" fontId="3" fillId="0" borderId="0" applyAlignment="1" pivotButton="0" quotePrefix="0" xfId="0">
      <alignment horizontal="center" vertical="center"/>
    </xf>
    <xf numFmtId="3" fontId="3" fillId="4" borderId="6" pivotButton="0" quotePrefix="0" xfId="0"/>
    <xf numFmtId="0" fontId="7" fillId="0" borderId="7" pivotButton="0" quotePrefix="0" xfId="0"/>
    <xf numFmtId="3" fontId="3" fillId="0" borderId="1" pivotButton="0" quotePrefix="0" xfId="0"/>
    <xf numFmtId="3" fontId="3" fillId="0" borderId="6" pivotButton="0" quotePrefix="0" xfId="0"/>
    <xf numFmtId="0" fontId="6" fillId="7" borderId="7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3" fontId="3" fillId="5" borderId="1" pivotButton="0" quotePrefix="0" xfId="0"/>
    <xf numFmtId="3" fontId="3" fillId="5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6" fillId="7" borderId="6" applyAlignment="1" pivotButton="0" quotePrefix="0" xfId="0">
      <alignment horizontal="center" vertical="center"/>
    </xf>
    <xf numFmtId="0" fontId="3" fillId="8" borderId="7" applyAlignment="1" pivotButton="0" quotePrefix="0" xfId="0">
      <alignment horizontal="center" vertical="center"/>
    </xf>
    <xf numFmtId="0" fontId="3" fillId="8" borderId="6" applyAlignment="1" pivotButton="0" quotePrefix="0" xfId="0">
      <alignment horizontal="center" vertical="center"/>
    </xf>
    <xf numFmtId="0" fontId="0" fillId="7" borderId="0" pivotButton="0" quotePrefix="0" xfId="0"/>
    <xf numFmtId="3" fontId="3" fillId="5" borderId="6" pivotButton="0" quotePrefix="0" xfId="0"/>
    <xf numFmtId="9" fontId="3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0" borderId="1" applyAlignment="1" pivotButton="0" quotePrefix="0" xfId="0">
      <alignment horizontal="center" vertical="center"/>
    </xf>
    <xf numFmtId="0" fontId="7" fillId="9" borderId="7" applyAlignment="1" pivotButton="0" quotePrefix="0" xfId="0">
      <alignment horizontal="center" vertical="center"/>
    </xf>
    <xf numFmtId="0" fontId="0" fillId="9" borderId="8" pivotButton="0" quotePrefix="0" xfId="0"/>
    <xf numFmtId="0" fontId="0" fillId="9" borderId="12" pivotButton="0" quotePrefix="0" xfId="0"/>
    <xf numFmtId="0" fontId="8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7" pivotButton="0" quotePrefix="0" xfId="0"/>
    <xf numFmtId="4" fontId="10" fillId="0" borderId="8" pivotButton="0" quotePrefix="0" xfId="0"/>
    <xf numFmtId="4" fontId="10" fillId="0" borderId="0" pivotButton="0" quotePrefix="0" xfId="0"/>
    <xf numFmtId="0" fontId="8" fillId="0" borderId="7" pivotButton="0" quotePrefix="0" xfId="0"/>
    <xf numFmtId="4" fontId="8" fillId="0" borderId="14" pivotButton="0" quotePrefix="0" xfId="0"/>
    <xf numFmtId="4" fontId="8" fillId="0" borderId="13" pivotButton="0" quotePrefix="0" xfId="0"/>
    <xf numFmtId="0" fontId="11" fillId="0" borderId="0" pivotButton="0" quotePrefix="0" xfId="0"/>
    <xf numFmtId="0" fontId="12" fillId="4" borderId="0" applyAlignment="1" pivotButton="0" quotePrefix="0" xfId="0">
      <alignment horizontal="center" vertical="center"/>
    </xf>
    <xf numFmtId="166" fontId="12" fillId="4" borderId="0" applyAlignment="1" pivotButton="0" quotePrefix="0" xfId="0">
      <alignment horizontal="center" vertical="center"/>
    </xf>
    <xf numFmtId="0" fontId="12" fillId="0" borderId="0" pivotButton="0" quotePrefix="0" xfId="0"/>
    <xf numFmtId="0" fontId="13" fillId="0" borderId="0" pivotButton="0" quotePrefix="0" xfId="0"/>
    <xf numFmtId="4" fontId="13" fillId="0" borderId="0" pivotButton="0" quotePrefix="0" xfId="0"/>
    <xf numFmtId="4" fontId="12" fillId="0" borderId="13" pivotButton="0" quotePrefix="0" xfId="0"/>
    <xf numFmtId="4" fontId="13" fillId="10" borderId="0" pivotButton="0" quotePrefix="0" xfId="0"/>
    <xf numFmtId="4" fontId="13" fillId="11" borderId="0" pivotButton="0" quotePrefix="0" xfId="0"/>
    <xf numFmtId="0" fontId="10" fillId="0" borderId="0" pivotButton="0" quotePrefix="0" xfId="0"/>
    <xf numFmtId="0" fontId="14" fillId="0" borderId="1" applyAlignment="1" pivotButton="0" quotePrefix="0" xfId="0">
      <alignment horizontal="center" vertical="center"/>
    </xf>
    <xf numFmtId="0" fontId="16" fillId="3" borderId="15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10" fillId="0" borderId="15" pivotButton="0" quotePrefix="0" xfId="0"/>
    <xf numFmtId="167" fontId="10" fillId="0" borderId="15" applyAlignment="1" pivotButton="0" quotePrefix="0" xfId="0">
      <alignment horizontal="center" vertical="center"/>
    </xf>
    <xf numFmtId="0" fontId="10" fillId="0" borderId="15" applyAlignment="1" pivotButton="0" quotePrefix="0" xfId="0">
      <alignment horizontal="center" vertical="center"/>
    </xf>
    <xf numFmtId="0" fontId="15" fillId="3" borderId="15" applyAlignment="1" pivotButton="0" quotePrefix="0" xfId="0">
      <alignment horizontal="center" vertical="center"/>
    </xf>
    <xf numFmtId="168" fontId="10" fillId="0" borderId="15" applyAlignment="1" pivotButton="0" quotePrefix="0" xfId="0">
      <alignment horizontal="center" vertical="center"/>
    </xf>
    <xf numFmtId="168" fontId="10" fillId="0" borderId="15" pivotButton="0" quotePrefix="0" xfId="0"/>
    <xf numFmtId="9" fontId="10" fillId="0" borderId="0" pivotButton="0" quotePrefix="0" xfId="0"/>
    <xf numFmtId="168" fontId="10" fillId="0" borderId="0" pivotButton="0" quotePrefix="0" xfId="0"/>
    <xf numFmtId="1" fontId="10" fillId="0" borderId="0" pivotButton="0" quotePrefix="0" xfId="0"/>
    <xf numFmtId="0" fontId="6" fillId="12" borderId="1" applyAlignment="1" pivotButton="0" quotePrefix="0" xfId="0">
      <alignment horizontal="center" vertical="center"/>
    </xf>
    <xf numFmtId="0" fontId="17" fillId="10" borderId="15" applyAlignment="1" pivotButton="0" quotePrefix="0" xfId="0">
      <alignment wrapText="1"/>
    </xf>
    <xf numFmtId="1" fontId="18" fillId="7" borderId="15" pivotButton="0" quotePrefix="0" xfId="0"/>
    <xf numFmtId="0" fontId="18" fillId="7" borderId="15" pivotButton="0" quotePrefix="0" xfId="0"/>
    <xf numFmtId="168" fontId="18" fillId="7" borderId="15" pivotButton="0" quotePrefix="0" xfId="0"/>
    <xf numFmtId="0" fontId="13" fillId="4" borderId="15" pivotButton="0" quotePrefix="0" xfId="0"/>
    <xf numFmtId="168" fontId="13" fillId="4" borderId="15" pivotButton="0" quotePrefix="0" xfId="0"/>
    <xf numFmtId="166" fontId="13" fillId="4" borderId="15" pivotButton="0" quotePrefix="0" xfId="0"/>
    <xf numFmtId="1" fontId="13" fillId="4" borderId="15" pivotButton="0" quotePrefix="0" xfId="0"/>
    <xf numFmtId="0" fontId="13" fillId="0" borderId="15" pivotButton="0" quotePrefix="0" xfId="0"/>
    <xf numFmtId="168" fontId="13" fillId="0" borderId="15" pivotButton="0" quotePrefix="0" xfId="0"/>
    <xf numFmtId="166" fontId="13" fillId="0" borderId="15" pivotButton="0" quotePrefix="0" xfId="0"/>
    <xf numFmtId="1" fontId="13" fillId="0" borderId="15" pivotButton="0" quotePrefix="0" xfId="0"/>
    <xf numFmtId="0" fontId="13" fillId="13" borderId="15" pivotButton="0" quotePrefix="0" xfId="0"/>
    <xf numFmtId="168" fontId="13" fillId="13" borderId="15" pivotButton="0" quotePrefix="0" xfId="0"/>
    <xf numFmtId="166" fontId="13" fillId="13" borderId="15" pivotButton="0" quotePrefix="0" xfId="0"/>
    <xf numFmtId="1" fontId="13" fillId="13" borderId="15" pivotButton="0" quotePrefix="0" xfId="0"/>
    <xf numFmtId="0" fontId="0" fillId="0" borderId="15" pivotButton="0" quotePrefix="0" xfId="0"/>
    <xf numFmtId="0" fontId="12" fillId="0" borderId="15" applyAlignment="1" pivotButton="0" quotePrefix="0" xfId="0">
      <alignment horizontal="center" vertical="center"/>
    </xf>
    <xf numFmtId="0" fontId="14" fillId="0" borderId="15" applyAlignment="1" pivotButton="0" quotePrefix="0" xfId="0">
      <alignment horizontal="center" vertical="center"/>
    </xf>
    <xf numFmtId="0" fontId="17" fillId="10" borderId="15" applyAlignment="1" pivotButton="0" quotePrefix="0" xfId="0">
      <alignment horizontal="center" vertical="center"/>
    </xf>
    <xf numFmtId="166" fontId="19" fillId="0" borderId="15" pivotButton="0" quotePrefix="0" xfId="0"/>
    <xf numFmtId="168" fontId="19" fillId="0" borderId="15" pivotButton="0" quotePrefix="0" xfId="0"/>
    <xf numFmtId="168" fontId="12" fillId="0" borderId="20" applyAlignment="1" pivotButton="0" quotePrefix="0" xfId="0">
      <alignment horizontal="center" vertical="center"/>
    </xf>
    <xf numFmtId="168" fontId="12" fillId="0" borderId="21" pivotButton="0" quotePrefix="0" xfId="0"/>
    <xf numFmtId="0" fontId="0" fillId="0" borderId="22" pivotButton="0" quotePrefix="0" xfId="0"/>
    <xf numFmtId="168" fontId="12" fillId="0" borderId="23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4" pivotButton="0" quotePrefix="0" xfId="0"/>
    <xf numFmtId="168" fontId="12" fillId="0" borderId="0" applyAlignment="1" pivotButton="0" quotePrefix="0" xfId="0">
      <alignment horizontal="center" vertical="center"/>
    </xf>
    <xf numFmtId="168" fontId="12" fillId="10" borderId="0" applyAlignment="1" pivotButton="0" quotePrefix="0" xfId="0">
      <alignment horizontal="center" vertical="center"/>
    </xf>
    <xf numFmtId="168" fontId="12" fillId="14" borderId="0" applyAlignment="1" pivotButton="0" quotePrefix="0" xfId="0">
      <alignment horizontal="center" vertical="center"/>
    </xf>
    <xf numFmtId="168" fontId="12" fillId="0" borderId="0" pivotButton="0" quotePrefix="0" xfId="0"/>
    <xf numFmtId="168" fontId="12" fillId="0" borderId="10" pivotButton="0" quotePrefix="0" xfId="0"/>
    <xf numFmtId="0" fontId="14" fillId="0" borderId="0" applyAlignment="1" pivotButton="0" quotePrefix="0" xfId="0">
      <alignment horizontal="center" vertical="center"/>
    </xf>
  </cellXfs>
  <cellStyles count="1">
    <cellStyle name="Normal" xfId="0" builtinId="0" hidden="0"/>
  </cellStyles>
  <dxfs count="3">
    <dxf>
      <fill>
        <patternFill patternType="solid">
          <fgColor rgb="00FFC7CE"/>
          <bgColor rgb="00FFC7CE"/>
        </patternFill>
      </fill>
    </dxf>
    <dxf>
      <fill>
        <patternFill patternType="solid">
          <fgColor rgb="00BFEA7C"/>
          <bgColor rgb="00BFEA7C"/>
        </patternFill>
      </fill>
    </dxf>
    <dxf>
      <fill>
        <patternFill patternType="solid">
          <fgColor rgb="00FFF67E"/>
          <bgColor rgb="00FFF67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T54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Investors</t>
        </is>
      </c>
    </row>
    <row r="2">
      <c r="M2" s="1">
        <f>SUBTOTAL(9,M5:M546)</f>
        <v/>
      </c>
      <c r="Q2" s="1">
        <f>SUBTOTAL(9,Q5:Q546)</f>
        <v/>
      </c>
      <c r="R2" s="1">
        <f>SUBTOTAL(9,R5:R546)</f>
        <v/>
      </c>
      <c r="S2" s="1">
        <f>SUBTOTAL(9,S5:S546)</f>
        <v/>
      </c>
      <c r="T2" s="1">
        <f>SUBTOTAL(9,T5:T546)</f>
        <v/>
      </c>
    </row>
    <row r="4">
      <c r="A4" s="2" t="inlineStr">
        <is>
          <t>Investor Acc Number</t>
        </is>
      </c>
      <c r="B4" s="2" t="inlineStr">
        <is>
          <t>Investor Name</t>
        </is>
      </c>
      <c r="C4" s="2" t="inlineStr">
        <is>
          <t>Investor Surname</t>
        </is>
      </c>
      <c r="D4" s="2" t="inlineStr">
        <is>
          <t>Category</t>
        </is>
      </c>
      <c r="E4" s="2" t="inlineStr">
        <is>
          <t>Opportunity Code</t>
        </is>
      </c>
      <c r="F4" s="2" t="inlineStr">
        <is>
          <t>Sold</t>
        </is>
      </c>
      <c r="G4" s="2" t="inlineStr">
        <is>
          <t>Tansferred</t>
        </is>
      </c>
      <c r="H4" s="2" t="inlineStr">
        <is>
          <t>Block</t>
        </is>
      </c>
      <c r="I4" s="2" t="inlineStr">
        <is>
          <t>Deposit Date</t>
        </is>
      </c>
      <c r="J4" s="2" t="inlineStr">
        <is>
          <t>Release Date</t>
        </is>
      </c>
      <c r="K4" s="2" t="inlineStr">
        <is>
          <t>End Date</t>
        </is>
      </c>
      <c r="L4" s="2" t="inlineStr">
        <is>
          <t>Investment Number</t>
        </is>
      </c>
      <c r="M4" s="2" t="inlineStr">
        <is>
          <t>Investment Amount</t>
        </is>
      </c>
      <c r="N4" s="2" t="inlineStr">
        <is>
          <t>Investment Interest Rate</t>
        </is>
      </c>
      <c r="O4" s="2" t="inlineStr">
        <is>
          <t>Early Release</t>
        </is>
      </c>
      <c r="P4" s="2" t="inlineStr">
        <is>
          <t>Still Pledged</t>
        </is>
      </c>
      <c r="Q4" s="2" t="inlineStr">
        <is>
          <t>Momentum Interest</t>
        </is>
      </c>
      <c r="R4" s="2" t="inlineStr">
        <is>
          <t>Investment Interest</t>
        </is>
      </c>
      <c r="S4" s="2" t="inlineStr">
        <is>
          <t>Interest</t>
        </is>
      </c>
      <c r="T4" t="inlineStr">
        <is>
          <t>Interest to Date</t>
        </is>
      </c>
    </row>
    <row r="5">
      <c r="A5" s="3" t="inlineStr">
        <is>
          <t>ZCAM01</t>
        </is>
      </c>
      <c r="B5" s="3" t="inlineStr">
        <is>
          <t>Jeremy &amp; Rosaline</t>
        </is>
      </c>
      <c r="C5" s="3" t="inlineStr">
        <is>
          <t>Campbell</t>
        </is>
      </c>
      <c r="D5" s="3" t="inlineStr">
        <is>
          <t>Heron Fields</t>
        </is>
      </c>
      <c r="E5" s="3" t="inlineStr">
        <is>
          <t>HFA101</t>
        </is>
      </c>
      <c r="F5" s="3" t="b">
        <v>1</v>
      </c>
      <c r="G5" s="3" t="b">
        <v>1</v>
      </c>
      <c r="H5" s="3" t="inlineStr">
        <is>
          <t>A</t>
        </is>
      </c>
      <c r="I5" s="4" t="n">
        <v>44609</v>
      </c>
      <c r="J5" s="4" t="n">
        <v>44610</v>
      </c>
      <c r="K5" s="4" t="n">
        <v>44887</v>
      </c>
      <c r="L5" s="3" t="n">
        <v>2</v>
      </c>
      <c r="M5" s="3" t="n">
        <v>433413.71</v>
      </c>
      <c r="N5" s="3" t="n">
        <v>18</v>
      </c>
      <c r="O5" s="3" t="b">
        <v>0</v>
      </c>
      <c r="P5" s="3" t="b">
        <v>0</v>
      </c>
      <c r="Q5" s="3" t="n">
        <v>80.15185047945207</v>
      </c>
      <c r="R5" s="3" t="n">
        <v>59205.50022082192</v>
      </c>
      <c r="S5" s="3" t="n">
        <v>59285.65207130137</v>
      </c>
      <c r="T5" s="5">
        <f>IF(J5&lt;&gt;"",M5*N5/365/100*('Cashflow Projection'!$B$2-Investors!J5),0)</f>
        <v/>
      </c>
    </row>
    <row r="6">
      <c r="A6" s="3" t="inlineStr">
        <is>
          <t>ZSCH01</t>
        </is>
      </c>
      <c r="B6" s="3" t="inlineStr">
        <is>
          <t>Inge</t>
        </is>
      </c>
      <c r="C6" s="3" t="inlineStr">
        <is>
          <t>Schubert</t>
        </is>
      </c>
      <c r="D6" s="3" t="inlineStr">
        <is>
          <t>Heron Fields</t>
        </is>
      </c>
      <c r="E6" s="3" t="inlineStr">
        <is>
          <t>HFA101</t>
        </is>
      </c>
      <c r="F6" s="3" t="b">
        <v>1</v>
      </c>
      <c r="G6" s="3" t="b">
        <v>1</v>
      </c>
      <c r="H6" s="3" t="inlineStr">
        <is>
          <t>A</t>
        </is>
      </c>
      <c r="I6" s="4" t="n">
        <v>44081</v>
      </c>
      <c r="J6" s="4" t="n">
        <v>44316</v>
      </c>
      <c r="K6" s="4" t="n">
        <v>44887</v>
      </c>
      <c r="L6" s="3" t="n">
        <v>10</v>
      </c>
      <c r="M6" s="3" t="n">
        <v>498918.83</v>
      </c>
      <c r="N6" s="3" t="n">
        <v>18</v>
      </c>
      <c r="O6" s="3" t="b">
        <v>0</v>
      </c>
      <c r="P6" s="3" t="b">
        <v>0</v>
      </c>
      <c r="Q6" s="3" t="n">
        <v>20076.35702910955</v>
      </c>
      <c r="R6" s="3" t="n">
        <v>140490.0749243835</v>
      </c>
      <c r="S6" s="3" t="n">
        <v>160566.4319534931</v>
      </c>
      <c r="T6" s="5">
        <f>IF(J6&lt;&gt;"",M6*N6/365/100*('Cashflow Projection'!$B$2-Investors!J6),0)</f>
        <v/>
      </c>
    </row>
    <row r="7">
      <c r="A7" s="3" t="inlineStr">
        <is>
          <t>ZZYL03</t>
        </is>
      </c>
      <c r="B7" s="3" t="inlineStr">
        <is>
          <t>Sandra Robyn</t>
        </is>
      </c>
      <c r="C7" s="3" t="inlineStr">
        <is>
          <t>Zylstra</t>
        </is>
      </c>
      <c r="D7" s="3" t="inlineStr">
        <is>
          <t>Heron Fields</t>
        </is>
      </c>
      <c r="E7" s="3" t="inlineStr">
        <is>
          <t>HFA102</t>
        </is>
      </c>
      <c r="F7" s="3" t="b">
        <v>1</v>
      </c>
      <c r="G7" s="3" t="b">
        <v>1</v>
      </c>
      <c r="H7" s="3" t="inlineStr">
        <is>
          <t>A</t>
        </is>
      </c>
      <c r="I7" s="4" t="n">
        <v>44159</v>
      </c>
      <c r="J7" s="4" t="n">
        <v>44352</v>
      </c>
      <c r="K7" s="4" t="n">
        <v>44887</v>
      </c>
      <c r="L7" s="3" t="n">
        <v>1</v>
      </c>
      <c r="M7" s="3" t="n">
        <v>900000</v>
      </c>
      <c r="N7" s="3" t="n">
        <v>18</v>
      </c>
      <c r="O7" s="3" t="b">
        <v>0</v>
      </c>
      <c r="P7" s="3" t="b">
        <v>0</v>
      </c>
      <c r="Q7" s="3" t="n">
        <v>29743.15068493139</v>
      </c>
      <c r="R7" s="3" t="n">
        <v>237452.0547945205</v>
      </c>
      <c r="S7" s="3" t="n">
        <v>267195.2054794519</v>
      </c>
      <c r="T7" s="5">
        <f>IF(J7&lt;&gt;"",M7*N7/365/100*('Cashflow Projection'!$B$2-Investors!J7),0)</f>
        <v/>
      </c>
    </row>
    <row r="8">
      <c r="A8" s="3" t="inlineStr">
        <is>
          <t>ZELE01</t>
        </is>
      </c>
      <c r="B8" s="3" t="inlineStr">
        <is>
          <t>Emile Kenneth</t>
        </is>
      </c>
      <c r="C8" s="3" t="inlineStr">
        <is>
          <t>Lew</t>
        </is>
      </c>
      <c r="D8" s="3" t="inlineStr">
        <is>
          <t>Heron Fields</t>
        </is>
      </c>
      <c r="E8" s="3" t="inlineStr">
        <is>
          <t>HFA103</t>
        </is>
      </c>
      <c r="F8" s="3" t="b">
        <v>1</v>
      </c>
      <c r="G8" s="3" t="b">
        <v>1</v>
      </c>
      <c r="H8" s="3" t="inlineStr">
        <is>
          <t>A</t>
        </is>
      </c>
      <c r="I8" s="4" t="n">
        <v>44090</v>
      </c>
      <c r="J8" s="4" t="n">
        <v>44316</v>
      </c>
      <c r="K8" s="4" t="n">
        <v>44887</v>
      </c>
      <c r="L8" s="3" t="n">
        <v>1</v>
      </c>
      <c r="M8" s="3" t="n">
        <v>200000</v>
      </c>
      <c r="N8" s="3" t="n">
        <v>15</v>
      </c>
      <c r="O8" s="3" t="b">
        <v>0</v>
      </c>
      <c r="P8" s="3" t="b">
        <v>0</v>
      </c>
      <c r="Q8" s="3" t="n">
        <v>7739.726027397271</v>
      </c>
      <c r="R8" s="3" t="n">
        <v>46931.50684931507</v>
      </c>
      <c r="S8" s="3" t="n">
        <v>54671.23287671234</v>
      </c>
      <c r="T8" s="5">
        <f>IF(J8&lt;&gt;"",M8*N8/365/100*('Cashflow Projection'!$B$2-Investors!J8),0)</f>
        <v/>
      </c>
    </row>
    <row r="9">
      <c r="A9" s="3" t="inlineStr">
        <is>
          <t>ZHIL01</t>
        </is>
      </c>
      <c r="B9" s="3" t="inlineStr">
        <is>
          <t>Trevor David</t>
        </is>
      </c>
      <c r="C9" s="3" t="inlineStr">
        <is>
          <t>Hill</t>
        </is>
      </c>
      <c r="D9" s="3" t="inlineStr">
        <is>
          <t>Heron Fields</t>
        </is>
      </c>
      <c r="E9" s="3" t="inlineStr">
        <is>
          <t>HFA103</t>
        </is>
      </c>
      <c r="F9" s="3" t="b">
        <v>1</v>
      </c>
      <c r="G9" s="3" t="b">
        <v>1</v>
      </c>
      <c r="H9" s="3" t="inlineStr">
        <is>
          <t>A</t>
        </is>
      </c>
      <c r="I9" s="4" t="n">
        <v>44270</v>
      </c>
      <c r="J9" s="4" t="n">
        <v>44352</v>
      </c>
      <c r="K9" s="4" t="n">
        <v>44887</v>
      </c>
      <c r="L9" s="3" t="n">
        <v>1</v>
      </c>
      <c r="M9" s="3" t="n">
        <v>100000</v>
      </c>
      <c r="N9" s="3" t="n">
        <v>15</v>
      </c>
      <c r="O9" s="3" t="b">
        <v>0</v>
      </c>
      <c r="P9" s="3" t="b">
        <v>0</v>
      </c>
      <c r="Q9" s="3" t="n">
        <v>1404.109589041097</v>
      </c>
      <c r="R9" s="3" t="n">
        <v>21986.30136986301</v>
      </c>
      <c r="S9" s="3" t="n">
        <v>23390.41095890411</v>
      </c>
      <c r="T9" s="5">
        <f>IF(J9&lt;&gt;"",M9*N9/365/100*('Cashflow Projection'!$B$2-Investors!J9),0)</f>
        <v/>
      </c>
    </row>
    <row r="10">
      <c r="A10" s="3" t="inlineStr">
        <is>
          <t>ZVAN02</t>
        </is>
      </c>
      <c r="B10" s="3" t="inlineStr">
        <is>
          <t>Agatha Dorothea</t>
        </is>
      </c>
      <c r="C10" s="3" t="inlineStr">
        <is>
          <t>van Schalkwyk</t>
        </is>
      </c>
      <c r="D10" s="3" t="inlineStr">
        <is>
          <t>Heron Fields</t>
        </is>
      </c>
      <c r="E10" s="3" t="inlineStr">
        <is>
          <t>HFA103</t>
        </is>
      </c>
      <c r="F10" s="3" t="b">
        <v>1</v>
      </c>
      <c r="G10" s="3" t="b">
        <v>1</v>
      </c>
      <c r="H10" s="3" t="inlineStr">
        <is>
          <t>A</t>
        </is>
      </c>
      <c r="I10" s="4" t="n">
        <v>44287</v>
      </c>
      <c r="J10" s="4" t="n">
        <v>44352</v>
      </c>
      <c r="K10" s="4" t="n">
        <v>44887</v>
      </c>
      <c r="L10" s="3" t="n">
        <v>1</v>
      </c>
      <c r="M10" s="3" t="n">
        <v>100000</v>
      </c>
      <c r="N10" s="3" t="n">
        <v>15</v>
      </c>
      <c r="O10" s="3" t="b">
        <v>0</v>
      </c>
      <c r="P10" s="3" t="b">
        <v>0</v>
      </c>
      <c r="Q10" s="3" t="n">
        <v>1113.013698630138</v>
      </c>
      <c r="R10" s="3" t="n">
        <v>21986.30136986301</v>
      </c>
      <c r="S10" s="3" t="n">
        <v>23099.31506849315</v>
      </c>
      <c r="T10" s="5">
        <f>IF(J10&lt;&gt;"",M10*N10/365/100*('Cashflow Projection'!$B$2-Investors!J10),0)</f>
        <v/>
      </c>
    </row>
    <row r="11">
      <c r="A11" s="3" t="inlineStr">
        <is>
          <t>ZZYL03</t>
        </is>
      </c>
      <c r="B11" s="3" t="inlineStr">
        <is>
          <t>Sandra Robyn</t>
        </is>
      </c>
      <c r="C11" s="3" t="inlineStr">
        <is>
          <t>Zylstra</t>
        </is>
      </c>
      <c r="D11" s="3" t="inlineStr">
        <is>
          <t>Heron Fields</t>
        </is>
      </c>
      <c r="E11" s="3" t="inlineStr">
        <is>
          <t>HFA103</t>
        </is>
      </c>
      <c r="F11" s="3" t="b">
        <v>1</v>
      </c>
      <c r="G11" s="3" t="b">
        <v>1</v>
      </c>
      <c r="H11" s="3" t="inlineStr">
        <is>
          <t>A</t>
        </is>
      </c>
      <c r="I11" s="4" t="n">
        <v>44159</v>
      </c>
      <c r="J11" s="4" t="n">
        <v>44352</v>
      </c>
      <c r="K11" s="4" t="n">
        <v>44887</v>
      </c>
      <c r="L11" s="3" t="n">
        <v>2</v>
      </c>
      <c r="M11" s="3" t="n">
        <v>500000</v>
      </c>
      <c r="N11" s="3" t="n">
        <v>18</v>
      </c>
      <c r="O11" s="3" t="b">
        <v>0</v>
      </c>
      <c r="P11" s="3" t="b">
        <v>0</v>
      </c>
      <c r="Q11" s="3" t="n">
        <v>16523.97260273974</v>
      </c>
      <c r="R11" s="3" t="n">
        <v>131917.8082191781</v>
      </c>
      <c r="S11" s="3" t="n">
        <v>148441.7808219178</v>
      </c>
      <c r="T11" s="5">
        <f>IF(J11&lt;&gt;"",M11*N11/365/100*('Cashflow Projection'!$B$2-Investors!J11),0)</f>
        <v/>
      </c>
    </row>
    <row r="12">
      <c r="A12" s="3" t="inlineStr">
        <is>
          <t>ZDEB01</t>
        </is>
      </c>
      <c r="B12" s="3" t="inlineStr">
        <is>
          <t>William Henry</t>
        </is>
      </c>
      <c r="C12" s="3" t="inlineStr">
        <is>
          <t>De Beer</t>
        </is>
      </c>
      <c r="D12" s="3" t="inlineStr">
        <is>
          <t>Heron Fields</t>
        </is>
      </c>
      <c r="E12" s="3" t="inlineStr">
        <is>
          <t>HFA104</t>
        </is>
      </c>
      <c r="F12" s="3" t="b">
        <v>1</v>
      </c>
      <c r="G12" s="3" t="b">
        <v>1</v>
      </c>
      <c r="H12" s="3" t="inlineStr">
        <is>
          <t>A</t>
        </is>
      </c>
      <c r="I12" s="4" t="n">
        <v>44287</v>
      </c>
      <c r="J12" s="4" t="n">
        <v>44352</v>
      </c>
      <c r="K12" s="4" t="n">
        <v>44887</v>
      </c>
      <c r="L12" s="3" t="n">
        <v>5</v>
      </c>
      <c r="M12" s="3" t="n">
        <v>900000</v>
      </c>
      <c r="N12" s="3" t="n">
        <v>18</v>
      </c>
      <c r="O12" s="3" t="b">
        <v>0</v>
      </c>
      <c r="P12" s="3" t="b">
        <v>0</v>
      </c>
      <c r="Q12" s="3" t="n">
        <v>10017.12328767124</v>
      </c>
      <c r="R12" s="3" t="n">
        <v>237452.0547945205</v>
      </c>
      <c r="S12" s="3" t="n">
        <v>247469.1780821918</v>
      </c>
      <c r="T12" s="5">
        <f>IF(J12&lt;&gt;"",M12*N12/365/100*('Cashflow Projection'!$B$2-Investors!J12),0)</f>
        <v/>
      </c>
    </row>
    <row r="13">
      <c r="A13" s="3" t="inlineStr">
        <is>
          <t>ZBLO01</t>
        </is>
      </c>
      <c r="B13" s="3" t="inlineStr">
        <is>
          <t>Robert Errol</t>
        </is>
      </c>
      <c r="C13" s="3" t="inlineStr">
        <is>
          <t>Blows</t>
        </is>
      </c>
      <c r="D13" s="3" t="inlineStr">
        <is>
          <t>Heron Fields</t>
        </is>
      </c>
      <c r="E13" s="3" t="inlineStr">
        <is>
          <t>HFA105</t>
        </is>
      </c>
      <c r="F13" s="3" t="b">
        <v>1</v>
      </c>
      <c r="G13" s="3" t="b">
        <v>1</v>
      </c>
      <c r="H13" s="3" t="inlineStr">
        <is>
          <t>A</t>
        </is>
      </c>
      <c r="I13" s="4" t="n">
        <v>44342</v>
      </c>
      <c r="J13" s="4" t="n">
        <v>44352</v>
      </c>
      <c r="K13" s="4" t="n">
        <v>44887</v>
      </c>
      <c r="L13" s="3" t="n">
        <v>1</v>
      </c>
      <c r="M13" s="3" t="n">
        <v>100000</v>
      </c>
      <c r="N13" s="3" t="n">
        <v>15</v>
      </c>
      <c r="O13" s="3" t="b">
        <v>0</v>
      </c>
      <c r="P13" s="3" t="b">
        <v>0</v>
      </c>
      <c r="Q13" s="3" t="n">
        <v>171.2328767123288</v>
      </c>
      <c r="R13" s="3" t="n">
        <v>21986.30136986301</v>
      </c>
      <c r="S13" s="3" t="n">
        <v>22157.53424657534</v>
      </c>
      <c r="T13" s="5">
        <f>IF(J13&lt;&gt;"",M13*N13/365/100*('Cashflow Projection'!$B$2-Investors!J13),0)</f>
        <v/>
      </c>
    </row>
    <row r="14">
      <c r="A14" s="3" t="inlineStr">
        <is>
          <t>ZCRO01</t>
        </is>
      </c>
      <c r="B14" s="3" t="inlineStr">
        <is>
          <t>Marc</t>
        </is>
      </c>
      <c r="C14" s="3" t="inlineStr">
        <is>
          <t>Lunau</t>
        </is>
      </c>
      <c r="D14" s="3" t="inlineStr">
        <is>
          <t>Heron Fields</t>
        </is>
      </c>
      <c r="E14" s="3" t="inlineStr">
        <is>
          <t>HFA105</t>
        </is>
      </c>
      <c r="F14" s="3" t="b">
        <v>1</v>
      </c>
      <c r="G14" s="3" t="b">
        <v>1</v>
      </c>
      <c r="H14" s="3" t="inlineStr">
        <is>
          <t>A</t>
        </is>
      </c>
      <c r="I14" s="4" t="n">
        <v>44266</v>
      </c>
      <c r="J14" s="4" t="n">
        <v>44352</v>
      </c>
      <c r="K14" s="4" t="n">
        <v>44887</v>
      </c>
      <c r="L14" s="3" t="n">
        <v>1</v>
      </c>
      <c r="M14" s="3" t="n">
        <v>110000</v>
      </c>
      <c r="N14" s="3" t="n">
        <v>18</v>
      </c>
      <c r="O14" s="3" t="b">
        <v>0</v>
      </c>
      <c r="P14" s="3" t="b">
        <v>0</v>
      </c>
      <c r="Q14" s="3" t="n">
        <v>1619.863013698627</v>
      </c>
      <c r="R14" s="3" t="n">
        <v>29021.91780821918</v>
      </c>
      <c r="S14" s="3" t="n">
        <v>30641.78082191781</v>
      </c>
      <c r="T14" s="5">
        <f>IF(J14&lt;&gt;"",M14*N14/365/100*('Cashflow Projection'!$B$2-Investors!J14),0)</f>
        <v/>
      </c>
    </row>
    <row r="15">
      <c r="A15" s="3" t="inlineStr">
        <is>
          <t>ZDEB01</t>
        </is>
      </c>
      <c r="B15" s="3" t="inlineStr">
        <is>
          <t>William Henry</t>
        </is>
      </c>
      <c r="C15" s="3" t="inlineStr">
        <is>
          <t>De Beer</t>
        </is>
      </c>
      <c r="D15" s="3" t="inlineStr">
        <is>
          <t>Heron Fields</t>
        </is>
      </c>
      <c r="E15" s="3" t="inlineStr">
        <is>
          <t>HFA105</t>
        </is>
      </c>
      <c r="F15" s="3" t="b">
        <v>1</v>
      </c>
      <c r="G15" s="3" t="b">
        <v>1</v>
      </c>
      <c r="H15" s="3" t="inlineStr">
        <is>
          <t>A</t>
        </is>
      </c>
      <c r="I15" s="4" t="n">
        <v>44287</v>
      </c>
      <c r="J15" s="4" t="n">
        <v>44352</v>
      </c>
      <c r="K15" s="4" t="n">
        <v>44887</v>
      </c>
      <c r="L15" s="3" t="n">
        <v>6</v>
      </c>
      <c r="M15" s="3" t="n">
        <v>150000</v>
      </c>
      <c r="N15" s="3" t="n">
        <v>18</v>
      </c>
      <c r="O15" s="3" t="b">
        <v>0</v>
      </c>
      <c r="P15" s="3" t="b">
        <v>0</v>
      </c>
      <c r="Q15" s="3" t="n">
        <v>1669.520547945207</v>
      </c>
      <c r="R15" s="3" t="n">
        <v>39575.34246575343</v>
      </c>
      <c r="S15" s="3" t="n">
        <v>41244.86301369863</v>
      </c>
      <c r="T15" s="5">
        <f>IF(J15&lt;&gt;"",M15*N15/365/100*('Cashflow Projection'!$B$2-Investors!J15),0)</f>
        <v/>
      </c>
    </row>
    <row r="16">
      <c r="A16" s="3" t="inlineStr">
        <is>
          <t>ZLAB02</t>
        </is>
      </c>
      <c r="B16" s="3" t="inlineStr">
        <is>
          <t>Jandre</t>
        </is>
      </c>
      <c r="C16" s="3" t="inlineStr">
        <is>
          <t>Labuschagne</t>
        </is>
      </c>
      <c r="D16" s="3" t="inlineStr">
        <is>
          <t>Heron Fields</t>
        </is>
      </c>
      <c r="E16" s="3" t="inlineStr">
        <is>
          <t>HFA105</t>
        </is>
      </c>
      <c r="F16" s="3" t="b">
        <v>1</v>
      </c>
      <c r="G16" s="3" t="b">
        <v>1</v>
      </c>
      <c r="H16" s="3" t="inlineStr">
        <is>
          <t>A</t>
        </is>
      </c>
      <c r="I16" s="4" t="n">
        <v>44483</v>
      </c>
      <c r="J16" s="4" t="n">
        <v>44618</v>
      </c>
      <c r="K16" s="4" t="n">
        <v>44887</v>
      </c>
      <c r="L16" s="3" t="n">
        <v>1</v>
      </c>
      <c r="M16" s="3" t="n">
        <v>100000</v>
      </c>
      <c r="N16" s="3" t="n">
        <v>14</v>
      </c>
      <c r="O16" s="3" t="b">
        <v>0</v>
      </c>
      <c r="P16" s="3" t="b">
        <v>0</v>
      </c>
      <c r="Q16" s="3" t="n">
        <v>2389.726027397266</v>
      </c>
      <c r="R16" s="3" t="n">
        <v>10317.80821917808</v>
      </c>
      <c r="S16" s="3" t="n">
        <v>12707.53424657535</v>
      </c>
      <c r="T16" s="5">
        <f>IF(J16&lt;&gt;"",M16*N16/365/100*('Cashflow Projection'!$B$2-Investors!J16),0)</f>
        <v/>
      </c>
    </row>
    <row r="17">
      <c r="A17" s="3" t="inlineStr">
        <is>
          <t>ZLUN01</t>
        </is>
      </c>
      <c r="B17" s="3" t="inlineStr">
        <is>
          <t>Marc</t>
        </is>
      </c>
      <c r="C17" s="3" t="inlineStr">
        <is>
          <t>Lunau</t>
        </is>
      </c>
      <c r="D17" s="3" t="inlineStr">
        <is>
          <t>Heron Fields</t>
        </is>
      </c>
      <c r="E17" s="3" t="inlineStr">
        <is>
          <t>HFA105</t>
        </is>
      </c>
      <c r="F17" s="3" t="b">
        <v>1</v>
      </c>
      <c r="G17" s="3" t="b">
        <v>1</v>
      </c>
      <c r="H17" s="3" t="inlineStr">
        <is>
          <t>A</t>
        </is>
      </c>
      <c r="I17" s="4" t="n">
        <v>44113</v>
      </c>
      <c r="J17" s="4" t="n">
        <v>44352</v>
      </c>
      <c r="K17" s="4" t="n">
        <v>44887</v>
      </c>
      <c r="L17" s="3" t="n">
        <v>2</v>
      </c>
      <c r="M17" s="3" t="n">
        <v>120000</v>
      </c>
      <c r="N17" s="3" t="n">
        <v>18</v>
      </c>
      <c r="O17" s="3" t="b">
        <v>0</v>
      </c>
      <c r="P17" s="3" t="b">
        <v>0</v>
      </c>
      <c r="Q17" s="3" t="n">
        <v>4910.958904109617</v>
      </c>
      <c r="R17" s="3" t="n">
        <v>31660.27397260274</v>
      </c>
      <c r="S17" s="3" t="n">
        <v>36571.23287671235</v>
      </c>
      <c r="T17" s="5">
        <f>IF(J17&lt;&gt;"",M17*N17/365/100*('Cashflow Projection'!$B$2-Investors!J17),0)</f>
        <v/>
      </c>
    </row>
    <row r="18">
      <c r="A18" s="3" t="inlineStr">
        <is>
          <t>ZRAN01</t>
        </is>
      </c>
      <c r="B18" s="3" t="inlineStr">
        <is>
          <t>Ross Partick Gemill</t>
        </is>
      </c>
      <c r="C18" s="3" t="inlineStr">
        <is>
          <t>Rankin</t>
        </is>
      </c>
      <c r="D18" s="3" t="inlineStr">
        <is>
          <t>Heron Fields</t>
        </is>
      </c>
      <c r="E18" s="3" t="inlineStr">
        <is>
          <t>HFA105</t>
        </is>
      </c>
      <c r="F18" s="3" t="b">
        <v>1</v>
      </c>
      <c r="G18" s="3" t="b">
        <v>1</v>
      </c>
      <c r="H18" s="3" t="inlineStr">
        <is>
          <t>A</t>
        </is>
      </c>
      <c r="I18" s="4" t="n">
        <v>44308</v>
      </c>
      <c r="J18" s="4" t="n">
        <v>44378</v>
      </c>
      <c r="K18" s="4" t="n">
        <v>44887</v>
      </c>
      <c r="L18" s="3" t="n">
        <v>19</v>
      </c>
      <c r="M18" s="3" t="n">
        <v>100000</v>
      </c>
      <c r="N18" s="3" t="n">
        <v>18</v>
      </c>
      <c r="O18" s="3" t="b">
        <v>0</v>
      </c>
      <c r="P18" s="3" t="b">
        <v>0</v>
      </c>
      <c r="Q18" s="3" t="n">
        <v>1198.630136986303</v>
      </c>
      <c r="R18" s="3" t="n">
        <v>25101.3698630137</v>
      </c>
      <c r="S18" s="3" t="n">
        <v>26300</v>
      </c>
      <c r="T18" s="5">
        <f>IF(J18&lt;&gt;"",M18*N18/365/100*('Cashflow Projection'!$B$2-Investors!J18),0)</f>
        <v/>
      </c>
    </row>
    <row r="19">
      <c r="A19" s="3" t="inlineStr">
        <is>
          <t>ZSPE01</t>
        </is>
      </c>
      <c r="B19" s="3" t="inlineStr">
        <is>
          <t>Mosiuoa Samuel</t>
        </is>
      </c>
      <c r="C19" s="3" t="inlineStr">
        <is>
          <t>Speelman</t>
        </is>
      </c>
      <c r="D19" s="3" t="inlineStr">
        <is>
          <t>Heron Fields</t>
        </is>
      </c>
      <c r="E19" s="3" t="inlineStr">
        <is>
          <t>HFA105</t>
        </is>
      </c>
      <c r="F19" s="3" t="b">
        <v>1</v>
      </c>
      <c r="G19" s="3" t="b">
        <v>1</v>
      </c>
      <c r="H19" s="3" t="inlineStr">
        <is>
          <t>A</t>
        </is>
      </c>
      <c r="I19" s="4" t="n">
        <v>44116</v>
      </c>
      <c r="J19" s="4" t="n">
        <v>44378</v>
      </c>
      <c r="K19" s="4" t="n">
        <v>44887</v>
      </c>
      <c r="L19" s="3" t="n">
        <v>3</v>
      </c>
      <c r="M19" s="3" t="n">
        <v>69774.42999999999</v>
      </c>
      <c r="N19" s="3" t="n">
        <v>18</v>
      </c>
      <c r="O19" s="3" t="b">
        <v>0</v>
      </c>
      <c r="P19" s="3" t="b">
        <v>0</v>
      </c>
      <c r="Q19" s="3" t="n">
        <v>3130.291208904118</v>
      </c>
      <c r="R19" s="3" t="n">
        <v>17514.33774410959</v>
      </c>
      <c r="S19" s="3" t="n">
        <v>20644.62895301371</v>
      </c>
      <c r="T19" s="5">
        <f>IF(J19&lt;&gt;"",M19*N19/365/100*('Cashflow Projection'!$B$2-Investors!J19),0)</f>
        <v/>
      </c>
    </row>
    <row r="20">
      <c r="A20" s="3" t="inlineStr">
        <is>
          <t>ZCOL01</t>
        </is>
      </c>
      <c r="B20" s="3" t="inlineStr">
        <is>
          <t>Christine</t>
        </is>
      </c>
      <c r="C20" s="3" t="inlineStr">
        <is>
          <t>Collins</t>
        </is>
      </c>
      <c r="D20" s="3" t="inlineStr">
        <is>
          <t>Heron Fields</t>
        </is>
      </c>
      <c r="E20" s="3" t="inlineStr">
        <is>
          <t>HFA106</t>
        </is>
      </c>
      <c r="F20" s="3" t="b">
        <v>1</v>
      </c>
      <c r="G20" s="3" t="b">
        <v>1</v>
      </c>
      <c r="H20" s="3" t="inlineStr">
        <is>
          <t>A</t>
        </is>
      </c>
      <c r="I20" s="4" t="n">
        <v>44119</v>
      </c>
      <c r="J20" s="4" t="n">
        <v>44352</v>
      </c>
      <c r="K20" s="4" t="n">
        <v>44887</v>
      </c>
      <c r="L20" s="3" t="n">
        <v>2</v>
      </c>
      <c r="M20" s="3" t="n">
        <v>61132.88</v>
      </c>
      <c r="N20" s="3" t="n">
        <v>18</v>
      </c>
      <c r="O20" s="3" t="b">
        <v>0</v>
      </c>
      <c r="P20" s="3" t="b">
        <v>0</v>
      </c>
      <c r="Q20" s="3" t="n">
        <v>2439.034424657533</v>
      </c>
      <c r="R20" s="3" t="n">
        <v>16129.03107945205</v>
      </c>
      <c r="S20" s="3" t="n">
        <v>18568.06550410959</v>
      </c>
      <c r="T20" s="5">
        <f>IF(J20&lt;&gt;"",M20*N20/365/100*('Cashflow Projection'!$B$2-Investors!J20),0)</f>
        <v/>
      </c>
    </row>
    <row r="21">
      <c r="A21" s="3" t="inlineStr">
        <is>
          <t>ZCOL01</t>
        </is>
      </c>
      <c r="B21" s="3" t="inlineStr">
        <is>
          <t>Christine</t>
        </is>
      </c>
      <c r="C21" s="3" t="inlineStr">
        <is>
          <t>Collins</t>
        </is>
      </c>
      <c r="D21" s="3" t="inlineStr">
        <is>
          <t>Heron Fields</t>
        </is>
      </c>
      <c r="E21" s="3" t="inlineStr">
        <is>
          <t>HFA106</t>
        </is>
      </c>
      <c r="F21" s="3" t="b">
        <v>1</v>
      </c>
      <c r="G21" s="3" t="b">
        <v>1</v>
      </c>
      <c r="H21" s="3" t="inlineStr">
        <is>
          <t>A</t>
        </is>
      </c>
      <c r="I21" s="4" t="n">
        <v>44155</v>
      </c>
      <c r="J21" s="4" t="n">
        <v>44352</v>
      </c>
      <c r="K21" s="4" t="n">
        <v>44887</v>
      </c>
      <c r="L21" s="3" t="n">
        <v>3</v>
      </c>
      <c r="M21" s="3" t="n">
        <v>38867.12</v>
      </c>
      <c r="N21" s="3" t="n">
        <v>18</v>
      </c>
      <c r="O21" s="3" t="b">
        <v>0</v>
      </c>
      <c r="P21" s="3" t="b">
        <v>0</v>
      </c>
      <c r="Q21" s="3" t="n">
        <v>1311.099767123289</v>
      </c>
      <c r="R21" s="3" t="n">
        <v>10254.53056438356</v>
      </c>
      <c r="S21" s="3" t="n">
        <v>11565.63033150685</v>
      </c>
      <c r="T21" s="5">
        <f>IF(J21&lt;&gt;"",M21*N21/365/100*('Cashflow Projection'!$B$2-Investors!J21),0)</f>
        <v/>
      </c>
    </row>
    <row r="22">
      <c r="A22" s="3" t="inlineStr">
        <is>
          <t>ZJOH01</t>
        </is>
      </c>
      <c r="B22" s="3" t="inlineStr">
        <is>
          <t>Lisa-Marie Natalie</t>
        </is>
      </c>
      <c r="C22" s="3" t="inlineStr">
        <is>
          <t>Johns</t>
        </is>
      </c>
      <c r="D22" s="3" t="inlineStr">
        <is>
          <t>Heron Fields</t>
        </is>
      </c>
      <c r="E22" s="3" t="inlineStr">
        <is>
          <t>HFA106</t>
        </is>
      </c>
      <c r="F22" s="3" t="b">
        <v>1</v>
      </c>
      <c r="G22" s="3" t="b">
        <v>1</v>
      </c>
      <c r="H22" s="3" t="inlineStr">
        <is>
          <t>A</t>
        </is>
      </c>
      <c r="I22" s="4" t="n">
        <v>44113</v>
      </c>
      <c r="J22" s="4" t="n">
        <v>44316</v>
      </c>
      <c r="K22" s="4" t="n">
        <v>44887</v>
      </c>
      <c r="L22" s="3" t="n">
        <v>1</v>
      </c>
      <c r="M22" s="3" t="n">
        <v>110000</v>
      </c>
      <c r="N22" s="3" t="n">
        <v>18</v>
      </c>
      <c r="O22" s="3" t="b">
        <v>0</v>
      </c>
      <c r="P22" s="3" t="b">
        <v>0</v>
      </c>
      <c r="Q22" s="3" t="n">
        <v>3823.630136986307</v>
      </c>
      <c r="R22" s="3" t="n">
        <v>30974.79452054794</v>
      </c>
      <c r="S22" s="3" t="n">
        <v>34798.42465753425</v>
      </c>
      <c r="T22" s="5">
        <f>IF(J22&lt;&gt;"",M22*N22/365/100*('Cashflow Projection'!$B$2-Investors!J22),0)</f>
        <v/>
      </c>
    </row>
    <row r="23">
      <c r="A23" s="3" t="inlineStr">
        <is>
          <t>ZLOU01</t>
        </is>
      </c>
      <c r="B23" s="3" t="inlineStr">
        <is>
          <t>Ricardo Brandon</t>
        </is>
      </c>
      <c r="C23" s="3" t="inlineStr">
        <is>
          <t>Louw</t>
        </is>
      </c>
      <c r="D23" s="3" t="inlineStr">
        <is>
          <t>Heron Fields</t>
        </is>
      </c>
      <c r="E23" s="3" t="inlineStr">
        <is>
          <t>HFA106</t>
        </is>
      </c>
      <c r="F23" s="3" t="b">
        <v>1</v>
      </c>
      <c r="G23" s="3" t="b">
        <v>1</v>
      </c>
      <c r="H23" s="3" t="inlineStr">
        <is>
          <t>A</t>
        </is>
      </c>
      <c r="I23" s="4" t="n">
        <v>44284</v>
      </c>
      <c r="J23" s="4" t="n">
        <v>44352</v>
      </c>
      <c r="K23" s="4" t="n">
        <v>44887</v>
      </c>
      <c r="L23" s="3" t="n">
        <v>1</v>
      </c>
      <c r="M23" s="3" t="n">
        <v>500000</v>
      </c>
      <c r="N23" s="3" t="n">
        <v>18</v>
      </c>
      <c r="O23" s="3" t="b">
        <v>0</v>
      </c>
      <c r="P23" s="3" t="b">
        <v>0</v>
      </c>
      <c r="Q23" s="3" t="n">
        <v>5821.917808219182</v>
      </c>
      <c r="R23" s="3" t="n">
        <v>131917.8082191781</v>
      </c>
      <c r="S23" s="3" t="n">
        <v>137739.7260273973</v>
      </c>
      <c r="T23" s="5">
        <f>IF(J23&lt;&gt;"",M23*N23/365/100*('Cashflow Projection'!$B$2-Investors!J23),0)</f>
        <v/>
      </c>
    </row>
    <row r="24">
      <c r="A24" s="3" t="inlineStr">
        <is>
          <t>ZVZY01</t>
        </is>
      </c>
      <c r="B24" s="3" t="inlineStr">
        <is>
          <t>Jacques Petrus</t>
        </is>
      </c>
      <c r="C24" s="3" t="inlineStr">
        <is>
          <t>van Zyl</t>
        </is>
      </c>
      <c r="D24" s="3" t="inlineStr">
        <is>
          <t>Heron Fields</t>
        </is>
      </c>
      <c r="E24" s="3" t="inlineStr">
        <is>
          <t>HFA106</t>
        </is>
      </c>
      <c r="F24" s="3" t="b">
        <v>1</v>
      </c>
      <c r="G24" s="3" t="b">
        <v>1</v>
      </c>
      <c r="H24" s="3" t="inlineStr">
        <is>
          <t>A</t>
        </is>
      </c>
      <c r="I24" s="4" t="n">
        <v>44273</v>
      </c>
      <c r="J24" s="4" t="n">
        <v>44352</v>
      </c>
      <c r="K24" s="4" t="n">
        <v>44887</v>
      </c>
      <c r="L24" s="3" t="n">
        <v>1</v>
      </c>
      <c r="M24" s="3" t="n">
        <v>200000</v>
      </c>
      <c r="N24" s="3" t="n">
        <v>15</v>
      </c>
      <c r="O24" s="3" t="b">
        <v>0</v>
      </c>
      <c r="P24" s="3" t="b">
        <v>0</v>
      </c>
      <c r="Q24" s="3" t="n">
        <v>2705.479452054798</v>
      </c>
      <c r="R24" s="3" t="n">
        <v>43972.60273972603</v>
      </c>
      <c r="S24" s="3" t="n">
        <v>46678.08219178082</v>
      </c>
      <c r="T24" s="5">
        <f>IF(J24&lt;&gt;"",M24*N24/365/100*('Cashflow Projection'!$B$2-Investors!J24),0)</f>
        <v/>
      </c>
    </row>
    <row r="25">
      <c r="A25" s="3" t="inlineStr">
        <is>
          <t>ZDAD01</t>
        </is>
      </c>
      <c r="B25" s="3" t="inlineStr">
        <is>
          <t>Feroz</t>
        </is>
      </c>
      <c r="C25" s="3" t="inlineStr">
        <is>
          <t>Dadoo</t>
        </is>
      </c>
      <c r="D25" s="3" t="inlineStr">
        <is>
          <t>Heron Fields</t>
        </is>
      </c>
      <c r="E25" s="3" t="inlineStr">
        <is>
          <t>HFA201</t>
        </is>
      </c>
      <c r="F25" s="3" t="b">
        <v>1</v>
      </c>
      <c r="G25" s="3" t="b">
        <v>1</v>
      </c>
      <c r="H25" s="3" t="inlineStr">
        <is>
          <t>A</t>
        </is>
      </c>
      <c r="I25" s="4" t="n">
        <v>44287</v>
      </c>
      <c r="J25" s="4" t="n">
        <v>44352</v>
      </c>
      <c r="K25" s="4" t="n">
        <v>44887</v>
      </c>
      <c r="L25" s="3" t="n">
        <v>1</v>
      </c>
      <c r="M25" s="3" t="n">
        <v>500000</v>
      </c>
      <c r="N25" s="3" t="n">
        <v>18</v>
      </c>
      <c r="O25" s="3" t="b">
        <v>0</v>
      </c>
      <c r="P25" s="3" t="b">
        <v>0</v>
      </c>
      <c r="Q25" s="3" t="n">
        <v>5565.068493150688</v>
      </c>
      <c r="R25" s="3" t="n">
        <v>131917.8082191781</v>
      </c>
      <c r="S25" s="3" t="n">
        <v>137482.8767123288</v>
      </c>
      <c r="T25" s="5">
        <f>IF(J25&lt;&gt;"",M25*N25/365/100*('Cashflow Projection'!$B$2-Investors!J25),0)</f>
        <v/>
      </c>
    </row>
    <row r="26">
      <c r="A26" s="3" t="inlineStr">
        <is>
          <t>ZDAM01</t>
        </is>
      </c>
      <c r="B26" s="3" t="inlineStr">
        <is>
          <t>Lisbeth</t>
        </is>
      </c>
      <c r="C26" s="3" t="inlineStr">
        <is>
          <t>Damane</t>
        </is>
      </c>
      <c r="D26" s="3" t="inlineStr">
        <is>
          <t>Heron Fields</t>
        </is>
      </c>
      <c r="E26" s="3" t="inlineStr">
        <is>
          <t>HFA201</t>
        </is>
      </c>
      <c r="F26" s="3" t="b">
        <v>1</v>
      </c>
      <c r="G26" s="3" t="b">
        <v>1</v>
      </c>
      <c r="H26" s="3" t="inlineStr">
        <is>
          <t>A</t>
        </is>
      </c>
      <c r="I26" s="4" t="n">
        <v>44116</v>
      </c>
      <c r="J26" s="4" t="n">
        <v>44316</v>
      </c>
      <c r="K26" s="4" t="n">
        <v>44887</v>
      </c>
      <c r="L26" s="3" t="n">
        <v>2</v>
      </c>
      <c r="M26" s="3" t="n">
        <v>405157.53</v>
      </c>
      <c r="N26" s="3" t="n">
        <v>18</v>
      </c>
      <c r="O26" s="3" t="b">
        <v>0</v>
      </c>
      <c r="P26" s="3" t="b">
        <v>0</v>
      </c>
      <c r="Q26" s="3" t="n">
        <v>13875.25787671229</v>
      </c>
      <c r="R26" s="3" t="n">
        <v>114087.9203654795</v>
      </c>
      <c r="S26" s="3" t="n">
        <v>127963.1782421918</v>
      </c>
      <c r="T26" s="5">
        <f>IF(J26&lt;&gt;"",M26*N26/365/100*('Cashflow Projection'!$B$2-Investors!J26),0)</f>
        <v/>
      </c>
    </row>
    <row r="27">
      <c r="A27" s="3" t="inlineStr">
        <is>
          <t>ZBEL01</t>
        </is>
      </c>
      <c r="B27" s="3" t="inlineStr">
        <is>
          <t>Helen Constance</t>
        </is>
      </c>
      <c r="C27" s="3" t="inlineStr">
        <is>
          <t>Belford</t>
        </is>
      </c>
      <c r="D27" s="3" t="inlineStr">
        <is>
          <t>Heron Fields</t>
        </is>
      </c>
      <c r="E27" s="3" t="inlineStr">
        <is>
          <t>HFA202</t>
        </is>
      </c>
      <c r="F27" s="3" t="b">
        <v>1</v>
      </c>
      <c r="G27" s="3" t="b">
        <v>1</v>
      </c>
      <c r="H27" s="3" t="inlineStr">
        <is>
          <t>A</t>
        </is>
      </c>
      <c r="I27" s="4" t="n">
        <v>44126</v>
      </c>
      <c r="J27" s="4" t="n">
        <v>44316</v>
      </c>
      <c r="K27" s="4" t="n">
        <v>44895</v>
      </c>
      <c r="L27" s="3" t="n">
        <v>2</v>
      </c>
      <c r="M27" s="3" t="n">
        <v>280000</v>
      </c>
      <c r="N27" s="3" t="n">
        <v>18</v>
      </c>
      <c r="O27" s="3" t="b">
        <v>1</v>
      </c>
      <c r="P27" s="3" t="b">
        <v>0</v>
      </c>
      <c r="Q27" s="3" t="n">
        <v>9109.589041095889</v>
      </c>
      <c r="R27" s="3" t="n">
        <v>79949.58904109588</v>
      </c>
      <c r="S27" s="3" t="n">
        <v>89059.17808219176</v>
      </c>
      <c r="T27" s="5">
        <f>IF(J27&lt;&gt;"",M27*N27/365/100*('Cashflow Projection'!$B$2-Investors!J27),0)</f>
        <v/>
      </c>
    </row>
    <row r="28">
      <c r="A28" s="3" t="inlineStr">
        <is>
          <t>ZHUN01</t>
        </is>
      </c>
      <c r="B28" s="3" t="inlineStr">
        <is>
          <t>Lance</t>
        </is>
      </c>
      <c r="C28" s="3" t="inlineStr">
        <is>
          <t>Hunter</t>
        </is>
      </c>
      <c r="D28" s="3" t="inlineStr">
        <is>
          <t>Heron Fields</t>
        </is>
      </c>
      <c r="E28" s="3" t="inlineStr">
        <is>
          <t>HFA202</t>
        </is>
      </c>
      <c r="F28" s="3" t="b">
        <v>1</v>
      </c>
      <c r="G28" s="3" t="b">
        <v>1</v>
      </c>
      <c r="H28" s="3" t="inlineStr">
        <is>
          <t>A</t>
        </is>
      </c>
      <c r="I28" s="4" t="n">
        <v>44139</v>
      </c>
      <c r="J28" s="4" t="n">
        <v>44316</v>
      </c>
      <c r="K28" s="4" t="n">
        <v>44895</v>
      </c>
      <c r="L28" s="3" t="n">
        <v>2</v>
      </c>
      <c r="M28" s="3" t="n">
        <v>60898.63</v>
      </c>
      <c r="N28" s="3" t="n">
        <v>18</v>
      </c>
      <c r="O28" s="3" t="b">
        <v>1</v>
      </c>
      <c r="P28" s="3" t="b">
        <v>0</v>
      </c>
      <c r="Q28" s="3" t="n">
        <v>1845.729025684936</v>
      </c>
      <c r="R28" s="3" t="n">
        <v>17388.64443452055</v>
      </c>
      <c r="S28" s="3" t="n">
        <v>19234.37346020548</v>
      </c>
      <c r="T28" s="5">
        <f>IF(J28&lt;&gt;"",M28*N28/365/100*('Cashflow Projection'!$B$2-Investors!J28),0)</f>
        <v/>
      </c>
    </row>
    <row r="29">
      <c r="A29" s="3" t="inlineStr">
        <is>
          <t>ZHUN01</t>
        </is>
      </c>
      <c r="B29" s="3" t="inlineStr">
        <is>
          <t>Lance</t>
        </is>
      </c>
      <c r="C29" s="3" t="inlineStr">
        <is>
          <t>Hunter</t>
        </is>
      </c>
      <c r="D29" s="3" t="inlineStr">
        <is>
          <t>Heron Fields</t>
        </is>
      </c>
      <c r="E29" s="3" t="inlineStr">
        <is>
          <t>HFA202</t>
        </is>
      </c>
      <c r="F29" s="3" t="b">
        <v>1</v>
      </c>
      <c r="G29" s="3" t="b">
        <v>1</v>
      </c>
      <c r="H29" s="3" t="inlineStr">
        <is>
          <t>A</t>
        </is>
      </c>
      <c r="I29" s="4" t="n">
        <v>44139</v>
      </c>
      <c r="J29" s="4" t="n">
        <v>44316</v>
      </c>
      <c r="K29" s="4" t="n">
        <v>44895</v>
      </c>
      <c r="L29" s="3" t="n">
        <v>3</v>
      </c>
      <c r="M29" s="3" t="n">
        <v>39101.37</v>
      </c>
      <c r="N29" s="3" t="n">
        <v>18</v>
      </c>
      <c r="O29" s="3" t="b">
        <v>1</v>
      </c>
      <c r="P29" s="3" t="b">
        <v>0</v>
      </c>
      <c r="Q29" s="3" t="n">
        <v>1185.092892123283</v>
      </c>
      <c r="R29" s="3" t="n">
        <v>11164.7802230137</v>
      </c>
      <c r="S29" s="3" t="n">
        <v>12349.87311513698</v>
      </c>
      <c r="T29" s="5">
        <f>IF(J29&lt;&gt;"",M29*N29/365/100*('Cashflow Projection'!$B$2-Investors!J29),0)</f>
        <v/>
      </c>
    </row>
    <row r="30">
      <c r="A30" s="3" t="inlineStr">
        <is>
          <t>ZLEW01</t>
        </is>
      </c>
      <c r="B30" s="3" t="inlineStr">
        <is>
          <t>Martina Christina</t>
        </is>
      </c>
      <c r="C30" s="3" t="inlineStr">
        <is>
          <t>Lewis</t>
        </is>
      </c>
      <c r="D30" s="3" t="inlineStr">
        <is>
          <t>Heron Fields</t>
        </is>
      </c>
      <c r="E30" s="3" t="inlineStr">
        <is>
          <t>HFA202</t>
        </is>
      </c>
      <c r="F30" s="3" t="b">
        <v>1</v>
      </c>
      <c r="G30" s="3" t="b">
        <v>1</v>
      </c>
      <c r="H30" s="3" t="inlineStr">
        <is>
          <t>A</t>
        </is>
      </c>
      <c r="I30" s="4" t="n">
        <v>44119</v>
      </c>
      <c r="J30" s="4" t="n">
        <v>44352</v>
      </c>
      <c r="K30" s="4" t="n">
        <v>44895</v>
      </c>
      <c r="L30" s="3" t="n">
        <v>4</v>
      </c>
      <c r="M30" s="3" t="n">
        <v>341424.66</v>
      </c>
      <c r="N30" s="3" t="n">
        <v>18</v>
      </c>
      <c r="O30" s="3" t="b">
        <v>1</v>
      </c>
      <c r="P30" s="3" t="b">
        <v>0</v>
      </c>
      <c r="Q30" s="3" t="n">
        <v>13621.90852397266</v>
      </c>
      <c r="R30" s="3" t="n">
        <v>91426.97607780821</v>
      </c>
      <c r="S30" s="3" t="n">
        <v>105048.8846017809</v>
      </c>
      <c r="T30" s="5">
        <f>IF(J30&lt;&gt;"",M30*N30/365/100*('Cashflow Projection'!$B$2-Investors!J30),0)</f>
        <v/>
      </c>
    </row>
    <row r="31">
      <c r="A31" s="3" t="inlineStr">
        <is>
          <t>ZMAR01</t>
        </is>
      </c>
      <c r="B31" s="3" t="inlineStr">
        <is>
          <t>Beverley-Ann Kinsla</t>
        </is>
      </c>
      <c r="C31" s="3" t="inlineStr">
        <is>
          <t>Martin</t>
        </is>
      </c>
      <c r="D31" s="3" t="inlineStr">
        <is>
          <t>Heron Fields</t>
        </is>
      </c>
      <c r="E31" s="3" t="inlineStr">
        <is>
          <t>HFA202</t>
        </is>
      </c>
      <c r="F31" s="3" t="b">
        <v>1</v>
      </c>
      <c r="G31" s="3" t="b">
        <v>1</v>
      </c>
      <c r="H31" s="3" t="inlineStr">
        <is>
          <t>A</t>
        </is>
      </c>
      <c r="I31" s="4" t="n">
        <v>44138</v>
      </c>
      <c r="J31" s="4" t="n">
        <v>44316</v>
      </c>
      <c r="K31" s="4" t="n">
        <v>44895</v>
      </c>
      <c r="L31" s="3" t="n">
        <v>2</v>
      </c>
      <c r="M31" s="3" t="n">
        <v>200000</v>
      </c>
      <c r="N31" s="3" t="n">
        <v>18</v>
      </c>
      <c r="O31" s="3" t="b">
        <v>1</v>
      </c>
      <c r="P31" s="3" t="b">
        <v>0</v>
      </c>
      <c r="Q31" s="3" t="n">
        <v>6095.890410958912</v>
      </c>
      <c r="R31" s="3" t="n">
        <v>57106.84931506849</v>
      </c>
      <c r="S31" s="3" t="n">
        <v>63202.7397260274</v>
      </c>
      <c r="T31" s="5">
        <f>IF(J31&lt;&gt;"",M31*N31/365/100*('Cashflow Projection'!$B$2-Investors!J31),0)</f>
        <v/>
      </c>
    </row>
    <row r="32">
      <c r="A32" s="3" t="inlineStr">
        <is>
          <t>ZBAR01</t>
        </is>
      </c>
      <c r="B32" s="3" t="inlineStr">
        <is>
          <t>Stuart Christopher</t>
        </is>
      </c>
      <c r="C32" s="6" t="inlineStr">
        <is>
          <t>Barr</t>
        </is>
      </c>
      <c r="D32" s="3" t="inlineStr">
        <is>
          <t>Heron Fields</t>
        </is>
      </c>
      <c r="E32" s="3" t="inlineStr">
        <is>
          <t>HFA203</t>
        </is>
      </c>
      <c r="F32" s="3" t="b">
        <v>1</v>
      </c>
      <c r="G32" s="3" t="b">
        <v>1</v>
      </c>
      <c r="H32" s="3" t="inlineStr">
        <is>
          <t>A</t>
        </is>
      </c>
      <c r="I32" s="4" t="n">
        <v>44165</v>
      </c>
      <c r="J32" s="4" t="n">
        <v>44352</v>
      </c>
      <c r="K32" s="4" t="n">
        <v>44897</v>
      </c>
      <c r="L32" s="3" t="n">
        <v>1</v>
      </c>
      <c r="M32" s="3" t="n">
        <v>200000</v>
      </c>
      <c r="N32" s="3" t="n">
        <v>15</v>
      </c>
      <c r="O32" s="3" t="b">
        <v>0</v>
      </c>
      <c r="P32" s="3" t="b">
        <v>0</v>
      </c>
      <c r="Q32" s="3" t="n">
        <v>6404.109589041104</v>
      </c>
      <c r="R32" s="3" t="n">
        <v>44794.52054794521</v>
      </c>
      <c r="S32" s="3" t="n">
        <v>51198.63013698631</v>
      </c>
      <c r="T32" s="5">
        <f>IF(J32&lt;&gt;"",M32*N32/365/100*('Cashflow Projection'!$B$2-Investors!J32),0)</f>
        <v/>
      </c>
    </row>
    <row r="33">
      <c r="A33" s="3" t="inlineStr">
        <is>
          <t>ZDAV01</t>
        </is>
      </c>
      <c r="B33" s="3" t="inlineStr">
        <is>
          <t>Heather Mary Lyn</t>
        </is>
      </c>
      <c r="C33" s="3" t="inlineStr">
        <is>
          <t>Davies</t>
        </is>
      </c>
      <c r="D33" s="3" t="inlineStr">
        <is>
          <t>Heron Fields</t>
        </is>
      </c>
      <c r="E33" s="3" t="inlineStr">
        <is>
          <t>HFA203</t>
        </is>
      </c>
      <c r="F33" s="3" t="b">
        <v>1</v>
      </c>
      <c r="G33" s="3" t="b">
        <v>1</v>
      </c>
      <c r="H33" s="3" t="inlineStr">
        <is>
          <t>A</t>
        </is>
      </c>
      <c r="I33" s="4" t="n">
        <v>44126</v>
      </c>
      <c r="J33" s="4" t="n">
        <v>44352</v>
      </c>
      <c r="K33" s="4" t="n">
        <v>44897</v>
      </c>
      <c r="L33" s="3" t="n">
        <v>2</v>
      </c>
      <c r="M33" s="3" t="n">
        <v>250000</v>
      </c>
      <c r="N33" s="3" t="n">
        <v>18</v>
      </c>
      <c r="O33" s="3" t="b">
        <v>0</v>
      </c>
      <c r="P33" s="3" t="b">
        <v>0</v>
      </c>
      <c r="Q33" s="3" t="n">
        <v>9674.657534246555</v>
      </c>
      <c r="R33" s="3" t="n">
        <v>67191.78082191781</v>
      </c>
      <c r="S33" s="3" t="n">
        <v>76866.43835616436</v>
      </c>
      <c r="T33" s="5">
        <f>IF(J33&lt;&gt;"",M33*N33/365/100*('Cashflow Projection'!$B$2-Investors!J33),0)</f>
        <v/>
      </c>
    </row>
    <row r="34">
      <c r="A34" s="3" t="inlineStr">
        <is>
          <t>ZNGO01</t>
        </is>
      </c>
      <c r="B34" s="3" t="inlineStr">
        <is>
          <t>Khula Moses</t>
        </is>
      </c>
      <c r="C34" s="3" t="inlineStr">
        <is>
          <t>Ngomane</t>
        </is>
      </c>
      <c r="D34" s="3" t="inlineStr">
        <is>
          <t>Heron Fields</t>
        </is>
      </c>
      <c r="E34" s="3" t="inlineStr">
        <is>
          <t>HFA203</t>
        </is>
      </c>
      <c r="F34" s="3" t="b">
        <v>1</v>
      </c>
      <c r="G34" s="3" t="b">
        <v>1</v>
      </c>
      <c r="H34" s="3" t="inlineStr">
        <is>
          <t>A</t>
        </is>
      </c>
      <c r="I34" s="4" t="n">
        <v>44160</v>
      </c>
      <c r="J34" s="4" t="n">
        <v>44352</v>
      </c>
      <c r="K34" s="4" t="n">
        <v>44897</v>
      </c>
      <c r="L34" s="3" t="n">
        <v>2</v>
      </c>
      <c r="M34" s="3" t="n">
        <v>100000</v>
      </c>
      <c r="N34" s="3" t="n">
        <v>15</v>
      </c>
      <c r="O34" s="3" t="b">
        <v>0</v>
      </c>
      <c r="P34" s="3" t="b">
        <v>0</v>
      </c>
      <c r="Q34" s="3" t="n">
        <v>3287.671232876717</v>
      </c>
      <c r="R34" s="3" t="n">
        <v>22397.2602739726</v>
      </c>
      <c r="S34" s="3" t="n">
        <v>25684.93150684932</v>
      </c>
      <c r="T34" s="5">
        <f>IF(J34&lt;&gt;"",M34*N34/365/100*('Cashflow Projection'!$B$2-Investors!J34),0)</f>
        <v/>
      </c>
    </row>
    <row r="35">
      <c r="A35" s="3" t="inlineStr">
        <is>
          <t>ZRAN01</t>
        </is>
      </c>
      <c r="B35" s="3" t="inlineStr">
        <is>
          <t>Ross Partick Gemill</t>
        </is>
      </c>
      <c r="C35" s="3" t="inlineStr">
        <is>
          <t>Rankin</t>
        </is>
      </c>
      <c r="D35" s="3" t="inlineStr">
        <is>
          <t>Heron Fields</t>
        </is>
      </c>
      <c r="E35" s="3" t="inlineStr">
        <is>
          <t>HFA203</t>
        </is>
      </c>
      <c r="F35" s="3" t="b">
        <v>1</v>
      </c>
      <c r="G35" s="3" t="b">
        <v>1</v>
      </c>
      <c r="H35" s="3" t="inlineStr">
        <is>
          <t>A</t>
        </is>
      </c>
      <c r="I35" s="4" t="n">
        <v>44287</v>
      </c>
      <c r="J35" s="4" t="n">
        <v>44378</v>
      </c>
      <c r="K35" s="4" t="n">
        <v>44897</v>
      </c>
      <c r="L35" s="3" t="n">
        <v>18</v>
      </c>
      <c r="M35" s="3" t="n">
        <v>140000</v>
      </c>
      <c r="N35" s="3" t="n">
        <v>18</v>
      </c>
      <c r="O35" s="3" t="b">
        <v>0</v>
      </c>
      <c r="P35" s="3" t="b">
        <v>0</v>
      </c>
      <c r="Q35" s="3" t="n">
        <v>2181.506849315065</v>
      </c>
      <c r="R35" s="3" t="n">
        <v>35832.32876712329</v>
      </c>
      <c r="S35" s="3" t="n">
        <v>38013.83561643836</v>
      </c>
      <c r="T35" s="5">
        <f>IF(J35&lt;&gt;"",M35*N35/365/100*('Cashflow Projection'!$B$2-Investors!J35),0)</f>
        <v/>
      </c>
    </row>
    <row r="36">
      <c r="A36" s="3" t="inlineStr">
        <is>
          <t>ZVBL01</t>
        </is>
      </c>
      <c r="B36" s="3" t="inlineStr">
        <is>
          <t>Glenda</t>
        </is>
      </c>
      <c r="C36" s="3" t="inlineStr">
        <is>
          <t>van Blerk</t>
        </is>
      </c>
      <c r="D36" s="3" t="inlineStr">
        <is>
          <t>Heron Fields</t>
        </is>
      </c>
      <c r="E36" s="3" t="inlineStr">
        <is>
          <t>HFA203</t>
        </is>
      </c>
      <c r="F36" s="3" t="b">
        <v>1</v>
      </c>
      <c r="G36" s="3" t="b">
        <v>1</v>
      </c>
      <c r="H36" s="3" t="inlineStr">
        <is>
          <t>A</t>
        </is>
      </c>
      <c r="I36" s="4" t="n">
        <v>44165</v>
      </c>
      <c r="J36" s="4" t="n">
        <v>44352</v>
      </c>
      <c r="K36" s="4" t="n">
        <v>44897</v>
      </c>
      <c r="L36" s="3" t="n">
        <v>1</v>
      </c>
      <c r="M36" s="3" t="n">
        <v>200000</v>
      </c>
      <c r="N36" s="3" t="n">
        <v>15</v>
      </c>
      <c r="O36" s="3" t="b">
        <v>0</v>
      </c>
      <c r="P36" s="3" t="b">
        <v>0</v>
      </c>
      <c r="Q36" s="3" t="n">
        <v>6404.109589041104</v>
      </c>
      <c r="R36" s="3" t="n">
        <v>44794.52054794521</v>
      </c>
      <c r="S36" s="3" t="n">
        <v>51198.63013698631</v>
      </c>
      <c r="T36" s="5">
        <f>IF(J36&lt;&gt;"",M36*N36/365/100*('Cashflow Projection'!$B$2-Investors!J36),0)</f>
        <v/>
      </c>
    </row>
    <row r="37">
      <c r="A37" s="3" t="inlineStr">
        <is>
          <t>ZFEM01</t>
        </is>
      </c>
      <c r="B37" s="3" t="inlineStr">
        <is>
          <t>Francina Elisabeth</t>
        </is>
      </c>
      <c r="C37" s="3" t="inlineStr">
        <is>
          <t>Morkel</t>
        </is>
      </c>
      <c r="D37" s="3" t="inlineStr">
        <is>
          <t>Heron Fields</t>
        </is>
      </c>
      <c r="E37" s="3" t="inlineStr">
        <is>
          <t>HFA204</t>
        </is>
      </c>
      <c r="F37" s="3" t="b">
        <v>1</v>
      </c>
      <c r="G37" s="3" t="b">
        <v>1</v>
      </c>
      <c r="H37" s="3" t="inlineStr">
        <is>
          <t>A</t>
        </is>
      </c>
      <c r="I37" s="4" t="n">
        <v>44179</v>
      </c>
      <c r="J37" s="4" t="n">
        <v>44352</v>
      </c>
      <c r="K37" s="4" t="n">
        <v>44887</v>
      </c>
      <c r="L37" s="3" t="n">
        <v>1</v>
      </c>
      <c r="M37" s="3" t="n">
        <v>100000</v>
      </c>
      <c r="N37" s="3" t="n">
        <v>15</v>
      </c>
      <c r="O37" s="3" t="b">
        <v>0</v>
      </c>
      <c r="P37" s="3" t="b">
        <v>0</v>
      </c>
      <c r="Q37" s="3" t="n">
        <v>2962.328767123292</v>
      </c>
      <c r="R37" s="3" t="n">
        <v>21986.30136986301</v>
      </c>
      <c r="S37" s="3" t="n">
        <v>24948.6301369863</v>
      </c>
      <c r="T37" s="5">
        <f>IF(J37&lt;&gt;"",M37*N37/365/100*('Cashflow Projection'!$B$2-Investors!J37),0)</f>
        <v/>
      </c>
    </row>
    <row r="38">
      <c r="A38" s="3" t="inlineStr">
        <is>
          <t>ZJBM01</t>
        </is>
      </c>
      <c r="B38" s="3" t="inlineStr">
        <is>
          <t>Jacobus Bruwer</t>
        </is>
      </c>
      <c r="C38" s="3" t="inlineStr">
        <is>
          <t>Morkel</t>
        </is>
      </c>
      <c r="D38" s="3" t="inlineStr">
        <is>
          <t>Heron Fields</t>
        </is>
      </c>
      <c r="E38" s="3" t="inlineStr">
        <is>
          <t>HFA204</t>
        </is>
      </c>
      <c r="F38" s="3" t="b">
        <v>1</v>
      </c>
      <c r="G38" s="3" t="b">
        <v>1</v>
      </c>
      <c r="H38" s="3" t="inlineStr">
        <is>
          <t>A</t>
        </is>
      </c>
      <c r="I38" s="4" t="n">
        <v>44179</v>
      </c>
      <c r="J38" s="4" t="n">
        <v>44352</v>
      </c>
      <c r="K38" s="4" t="n">
        <v>44887</v>
      </c>
      <c r="L38" s="3" t="n">
        <v>1</v>
      </c>
      <c r="M38" s="3" t="n">
        <v>100000</v>
      </c>
      <c r="N38" s="3" t="n">
        <v>15</v>
      </c>
      <c r="O38" s="3" t="b">
        <v>0</v>
      </c>
      <c r="P38" s="3" t="b">
        <v>0</v>
      </c>
      <c r="Q38" s="3" t="n">
        <v>2962.328767123292</v>
      </c>
      <c r="R38" s="3" t="n">
        <v>21986.30136986301</v>
      </c>
      <c r="S38" s="3" t="n">
        <v>24948.6301369863</v>
      </c>
      <c r="T38" s="5">
        <f>IF(J38&lt;&gt;"",M38*N38/365/100*('Cashflow Projection'!$B$2-Investors!J38),0)</f>
        <v/>
      </c>
    </row>
    <row r="39">
      <c r="A39" s="3" t="inlineStr">
        <is>
          <t>ZKOO01</t>
        </is>
      </c>
      <c r="B39" s="3" t="inlineStr">
        <is>
          <t>Jayprakash Brijbukhandas</t>
        </is>
      </c>
      <c r="C39" s="3" t="inlineStr">
        <is>
          <t>Koovarjee</t>
        </is>
      </c>
      <c r="D39" s="3" t="inlineStr">
        <is>
          <t>Heron Fields</t>
        </is>
      </c>
      <c r="E39" s="3" t="inlineStr">
        <is>
          <t>HFA204</t>
        </is>
      </c>
      <c r="F39" s="3" t="b">
        <v>1</v>
      </c>
      <c r="G39" s="3" t="b">
        <v>1</v>
      </c>
      <c r="H39" s="3" t="inlineStr">
        <is>
          <t>A</t>
        </is>
      </c>
      <c r="I39" s="4" t="n">
        <v>44155</v>
      </c>
      <c r="J39" s="4" t="n">
        <v>44352</v>
      </c>
      <c r="K39" s="4" t="n">
        <v>44887</v>
      </c>
      <c r="L39" s="3" t="n">
        <v>1</v>
      </c>
      <c r="M39" s="3" t="n">
        <v>500000</v>
      </c>
      <c r="N39" s="3" t="n">
        <v>18</v>
      </c>
      <c r="O39" s="3" t="b">
        <v>0</v>
      </c>
      <c r="P39" s="3" t="b">
        <v>0</v>
      </c>
      <c r="Q39" s="3" t="n">
        <v>16866.43835616439</v>
      </c>
      <c r="R39" s="3" t="n">
        <v>131917.8082191781</v>
      </c>
      <c r="S39" s="3" t="n">
        <v>148784.2465753425</v>
      </c>
      <c r="T39" s="5">
        <f>IF(J39&lt;&gt;"",M39*N39/365/100*('Cashflow Projection'!$B$2-Investors!J39),0)</f>
        <v/>
      </c>
    </row>
    <row r="40">
      <c r="A40" s="3" t="inlineStr">
        <is>
          <t>ZVAN01</t>
        </is>
      </c>
      <c r="B40" s="3" t="inlineStr">
        <is>
          <t>Gerhard Andre</t>
        </is>
      </c>
      <c r="C40" s="3" t="inlineStr">
        <is>
          <t>van Rensburg</t>
        </is>
      </c>
      <c r="D40" s="3" t="inlineStr">
        <is>
          <t>Heron Fields</t>
        </is>
      </c>
      <c r="E40" s="3" t="inlineStr">
        <is>
          <t>HFA204</t>
        </is>
      </c>
      <c r="F40" s="3" t="b">
        <v>1</v>
      </c>
      <c r="G40" s="3" t="b">
        <v>1</v>
      </c>
      <c r="H40" s="3" t="inlineStr">
        <is>
          <t>A</t>
        </is>
      </c>
      <c r="I40" s="4" t="n">
        <v>44274</v>
      </c>
      <c r="J40" s="4" t="n">
        <v>44352</v>
      </c>
      <c r="K40" s="4" t="n">
        <v>44887</v>
      </c>
      <c r="L40" s="3" t="n">
        <v>1</v>
      </c>
      <c r="M40" s="3" t="n">
        <v>200000</v>
      </c>
      <c r="N40" s="3" t="n">
        <v>15</v>
      </c>
      <c r="O40" s="3" t="b">
        <v>0</v>
      </c>
      <c r="P40" s="3" t="b">
        <v>0</v>
      </c>
      <c r="Q40" s="3" t="n">
        <v>2671.232876712332</v>
      </c>
      <c r="R40" s="3" t="n">
        <v>43972.60273972603</v>
      </c>
      <c r="S40" s="3" t="n">
        <v>46643.83561643836</v>
      </c>
      <c r="T40" s="5">
        <f>IF(J40&lt;&gt;"",M40*N40/365/100*('Cashflow Projection'!$B$2-Investors!J40),0)</f>
        <v/>
      </c>
    </row>
    <row r="41">
      <c r="A41" s="3" t="inlineStr">
        <is>
          <t>ZHEI01</t>
        </is>
      </c>
      <c r="B41" s="3" t="inlineStr">
        <is>
          <t>Dieter Raimund</t>
        </is>
      </c>
      <c r="C41" s="3" t="inlineStr">
        <is>
          <t>Heinze</t>
        </is>
      </c>
      <c r="D41" s="3" t="inlineStr">
        <is>
          <t>Heron Fields</t>
        </is>
      </c>
      <c r="E41" s="3" t="inlineStr">
        <is>
          <t>HFA205</t>
        </is>
      </c>
      <c r="F41" s="3" t="b">
        <v>1</v>
      </c>
      <c r="G41" s="3" t="b">
        <v>1</v>
      </c>
      <c r="H41" s="3" t="inlineStr">
        <is>
          <t>A</t>
        </is>
      </c>
      <c r="I41" s="4" t="n">
        <v>44771</v>
      </c>
      <c r="J41" s="4" t="n">
        <v>44772</v>
      </c>
      <c r="K41" s="4" t="n">
        <v>44943</v>
      </c>
      <c r="L41" s="3" t="n">
        <v>10</v>
      </c>
      <c r="M41" s="3" t="n">
        <v>238431.51</v>
      </c>
      <c r="N41" s="3" t="n">
        <v>18</v>
      </c>
      <c r="O41" s="3" t="b">
        <v>0</v>
      </c>
      <c r="P41" s="3" t="b">
        <v>0</v>
      </c>
      <c r="Q41" s="3" t="n">
        <v>48.99277602739726</v>
      </c>
      <c r="R41" s="3" t="n">
        <v>20106.63528164383</v>
      </c>
      <c r="S41" s="3" t="n">
        <v>20155.62805767123</v>
      </c>
      <c r="T41" s="5">
        <f>IF(J41&lt;&gt;"",M41*N41/365/100*('Cashflow Projection'!$B$2-Investors!J41),0)</f>
        <v/>
      </c>
    </row>
    <row r="42">
      <c r="A42" s="3" t="inlineStr">
        <is>
          <t>ZHEY01</t>
        </is>
      </c>
      <c r="B42" s="3" t="inlineStr">
        <is>
          <t>Vincent Derick</t>
        </is>
      </c>
      <c r="C42" s="3" t="inlineStr">
        <is>
          <t>Heynes</t>
        </is>
      </c>
      <c r="D42" s="3" t="inlineStr">
        <is>
          <t>Heron Fields</t>
        </is>
      </c>
      <c r="E42" s="3" t="inlineStr">
        <is>
          <t>HFA205</t>
        </is>
      </c>
      <c r="F42" s="3" t="b">
        <v>1</v>
      </c>
      <c r="G42" s="3" t="b">
        <v>1</v>
      </c>
      <c r="H42" s="3" t="inlineStr">
        <is>
          <t>A</t>
        </is>
      </c>
      <c r="I42" s="4" t="n">
        <v>44274</v>
      </c>
      <c r="J42" s="4" t="n">
        <v>44352</v>
      </c>
      <c r="K42" s="4" t="n">
        <v>44804</v>
      </c>
      <c r="L42" s="3" t="n">
        <v>1</v>
      </c>
      <c r="M42" s="3" t="n">
        <v>100000</v>
      </c>
      <c r="N42" s="3" t="n">
        <v>15</v>
      </c>
      <c r="O42" s="3" t="b">
        <v>1</v>
      </c>
      <c r="P42" s="3" t="b">
        <v>0</v>
      </c>
      <c r="Q42" s="3" t="n">
        <v>1335.616438356166</v>
      </c>
      <c r="R42" s="3" t="n">
        <v>18575.34246575342</v>
      </c>
      <c r="S42" s="3" t="n">
        <v>19910.95890410959</v>
      </c>
      <c r="T42" s="5">
        <f>IF(J42&lt;&gt;"",M42*N42/365/100*('Cashflow Projection'!$B$2-Investors!J42),0)</f>
        <v/>
      </c>
    </row>
    <row r="43">
      <c r="A43" s="3" t="inlineStr">
        <is>
          <t>ZKOO01</t>
        </is>
      </c>
      <c r="B43" s="3" t="inlineStr">
        <is>
          <t>Jayprakash Brijbukhandas</t>
        </is>
      </c>
      <c r="C43" s="3" t="inlineStr">
        <is>
          <t>Koovarjee</t>
        </is>
      </c>
      <c r="D43" s="3" t="inlineStr">
        <is>
          <t>Heron Fields</t>
        </is>
      </c>
      <c r="E43" s="3" t="inlineStr">
        <is>
          <t>HFA205</t>
        </is>
      </c>
      <c r="F43" s="3" t="b">
        <v>1</v>
      </c>
      <c r="G43" s="3" t="b">
        <v>1</v>
      </c>
      <c r="H43" s="3" t="inlineStr">
        <is>
          <t>A</t>
        </is>
      </c>
      <c r="I43" s="4" t="n">
        <v>44155</v>
      </c>
      <c r="J43" s="4" t="n">
        <v>44352</v>
      </c>
      <c r="K43" s="4" t="n">
        <v>44943</v>
      </c>
      <c r="L43" s="3" t="n">
        <v>2</v>
      </c>
      <c r="M43" s="3" t="n">
        <v>500000</v>
      </c>
      <c r="N43" s="3" t="n">
        <v>18</v>
      </c>
      <c r="O43" s="3" t="b">
        <v>0</v>
      </c>
      <c r="P43" s="3" t="b">
        <v>0</v>
      </c>
      <c r="Q43" s="3" t="n">
        <v>16866.43835616439</v>
      </c>
      <c r="R43" s="3" t="n">
        <v>145726.0273972603</v>
      </c>
      <c r="S43" s="3" t="n">
        <v>162592.4657534247</v>
      </c>
      <c r="T43" s="5">
        <f>IF(J43&lt;&gt;"",M43*N43/365/100*('Cashflow Projection'!$B$2-Investors!J43),0)</f>
        <v/>
      </c>
    </row>
    <row r="44">
      <c r="A44" s="3" t="inlineStr">
        <is>
          <t>ZTPI01</t>
        </is>
      </c>
      <c r="B44" s="3" t="inlineStr">
        <is>
          <t>Raisibe Ellen</t>
        </is>
      </c>
      <c r="C44" s="3" t="inlineStr">
        <is>
          <t>Matlala</t>
        </is>
      </c>
      <c r="D44" s="3" t="inlineStr">
        <is>
          <t>Heron Fields</t>
        </is>
      </c>
      <c r="E44" s="3" t="inlineStr">
        <is>
          <t>HFA205</t>
        </is>
      </c>
      <c r="F44" s="3" t="b">
        <v>1</v>
      </c>
      <c r="G44" s="3" t="b">
        <v>1</v>
      </c>
      <c r="H44" s="3" t="inlineStr">
        <is>
          <t>A</t>
        </is>
      </c>
      <c r="I44" s="4" t="n">
        <v>44237</v>
      </c>
      <c r="J44" s="4" t="n">
        <v>44378</v>
      </c>
      <c r="K44" s="4" t="n">
        <v>44943</v>
      </c>
      <c r="L44" s="3" t="n">
        <v>1</v>
      </c>
      <c r="M44" s="3" t="n">
        <v>100000</v>
      </c>
      <c r="N44" s="3" t="n">
        <v>15</v>
      </c>
      <c r="O44" s="3" t="b">
        <v>0</v>
      </c>
      <c r="P44" s="3" t="b">
        <v>0</v>
      </c>
      <c r="Q44" s="3" t="n">
        <v>2414.383561643839</v>
      </c>
      <c r="R44" s="3" t="n">
        <v>23219.17808219178</v>
      </c>
      <c r="S44" s="3" t="n">
        <v>25633.56164383562</v>
      </c>
      <c r="T44" s="5">
        <f>IF(J44&lt;&gt;"",M44*N44/365/100*('Cashflow Projection'!$B$2-Investors!J44),0)</f>
        <v/>
      </c>
    </row>
    <row r="45">
      <c r="A45" s="3" t="inlineStr">
        <is>
          <t>ZBOH01</t>
        </is>
      </c>
      <c r="B45" s="3" t="inlineStr">
        <is>
          <t>Werner Hugo Bohme &amp;</t>
        </is>
      </c>
      <c r="C45" s="3" t="inlineStr">
        <is>
          <t>Brenda Bohme</t>
        </is>
      </c>
      <c r="D45" s="3" t="inlineStr">
        <is>
          <t>Heron Fields</t>
        </is>
      </c>
      <c r="E45" s="3" t="inlineStr">
        <is>
          <t>HFA206</t>
        </is>
      </c>
      <c r="F45" s="3" t="b">
        <v>1</v>
      </c>
      <c r="G45" s="3" t="b">
        <v>1</v>
      </c>
      <c r="H45" s="3" t="inlineStr">
        <is>
          <t>A</t>
        </is>
      </c>
      <c r="I45" s="4" t="n">
        <v>44266</v>
      </c>
      <c r="J45" s="4" t="n">
        <v>44352</v>
      </c>
      <c r="K45" s="4" t="n">
        <v>44887</v>
      </c>
      <c r="L45" s="3" t="n">
        <v>1</v>
      </c>
      <c r="M45" s="3" t="n">
        <v>500000</v>
      </c>
      <c r="N45" s="3" t="n">
        <v>18</v>
      </c>
      <c r="O45" s="3" t="b">
        <v>0</v>
      </c>
      <c r="P45" s="3" t="b">
        <v>0</v>
      </c>
      <c r="Q45" s="3" t="n">
        <v>7363.013698630143</v>
      </c>
      <c r="R45" s="3" t="n">
        <v>131917.8082191781</v>
      </c>
      <c r="S45" s="3" t="n">
        <v>139280.8219178082</v>
      </c>
      <c r="T45" s="5">
        <f>IF(J45&lt;&gt;"",M45*N45/365/100*('Cashflow Projection'!$B$2-Investors!J45),0)</f>
        <v/>
      </c>
    </row>
    <row r="46">
      <c r="A46" s="3" t="inlineStr">
        <is>
          <t>ZLEW02</t>
        </is>
      </c>
      <c r="B46" s="3" t="inlineStr">
        <is>
          <t>Leon</t>
        </is>
      </c>
      <c r="C46" s="3" t="inlineStr">
        <is>
          <t>Lewis</t>
        </is>
      </c>
      <c r="D46" s="3" t="inlineStr">
        <is>
          <t>Heron Fields</t>
        </is>
      </c>
      <c r="E46" s="3" t="inlineStr">
        <is>
          <t>HFA206</t>
        </is>
      </c>
      <c r="F46" s="3" t="b">
        <v>1</v>
      </c>
      <c r="G46" s="3" t="b">
        <v>1</v>
      </c>
      <c r="H46" s="3" t="inlineStr">
        <is>
          <t>A</t>
        </is>
      </c>
      <c r="I46" s="4" t="n">
        <v>44256</v>
      </c>
      <c r="J46" s="4" t="n">
        <v>44352</v>
      </c>
      <c r="K46" s="4" t="n">
        <v>44887</v>
      </c>
      <c r="L46" s="3" t="n">
        <v>1</v>
      </c>
      <c r="M46" s="3" t="n">
        <v>100000</v>
      </c>
      <c r="N46" s="3" t="n">
        <v>15</v>
      </c>
      <c r="O46" s="3" t="b">
        <v>0</v>
      </c>
      <c r="P46" s="3" t="b">
        <v>0</v>
      </c>
      <c r="Q46" s="3" t="n">
        <v>1643.835616438358</v>
      </c>
      <c r="R46" s="3" t="n">
        <v>21986.30136986301</v>
      </c>
      <c r="S46" s="3" t="n">
        <v>23630.13698630137</v>
      </c>
      <c r="T46" s="5">
        <f>IF(J46&lt;&gt;"",M46*N46/365/100*('Cashflow Projection'!$B$2-Investors!J46),0)</f>
        <v/>
      </c>
    </row>
    <row r="47">
      <c r="A47" s="3" t="inlineStr">
        <is>
          <t>ZMAG01</t>
        </is>
      </c>
      <c r="B47" s="3" t="inlineStr">
        <is>
          <t>Petro</t>
        </is>
      </c>
      <c r="C47" s="3" t="inlineStr">
        <is>
          <t>Psomotragos</t>
        </is>
      </c>
      <c r="D47" s="3" t="inlineStr">
        <is>
          <t>Heron Fields</t>
        </is>
      </c>
      <c r="E47" s="3" t="inlineStr">
        <is>
          <t>HFA206</t>
        </is>
      </c>
      <c r="F47" s="3" t="b">
        <v>1</v>
      </c>
      <c r="G47" s="3" t="b">
        <v>1</v>
      </c>
      <c r="H47" s="3" t="inlineStr">
        <is>
          <t>A</t>
        </is>
      </c>
      <c r="I47" s="4" t="n">
        <v>44180</v>
      </c>
      <c r="J47" s="4" t="n">
        <v>44378</v>
      </c>
      <c r="K47" s="4" t="n">
        <v>44887</v>
      </c>
      <c r="L47" s="3" t="n">
        <v>3</v>
      </c>
      <c r="M47" s="3" t="n">
        <v>118641.1</v>
      </c>
      <c r="N47" s="3" t="n">
        <v>18</v>
      </c>
      <c r="O47" s="3" t="b">
        <v>0</v>
      </c>
      <c r="P47" s="3" t="b">
        <v>0</v>
      </c>
      <c r="Q47" s="3" t="n">
        <v>4022.420856164392</v>
      </c>
      <c r="R47" s="3" t="n">
        <v>29780.54132054795</v>
      </c>
      <c r="S47" s="3" t="n">
        <v>33802.96217671234</v>
      </c>
      <c r="T47" s="5">
        <f>IF(J47&lt;&gt;"",M47*N47/365/100*('Cashflow Projection'!$B$2-Investors!J47),0)</f>
        <v/>
      </c>
    </row>
    <row r="48">
      <c r="A48" s="3" t="inlineStr">
        <is>
          <t>ZVDM01</t>
        </is>
      </c>
      <c r="B48" s="3" t="inlineStr">
        <is>
          <t>Paula</t>
        </is>
      </c>
      <c r="C48" s="3" t="inlineStr">
        <is>
          <t>van der Mescht</t>
        </is>
      </c>
      <c r="D48" s="3" t="inlineStr">
        <is>
          <t>Heron Fields</t>
        </is>
      </c>
      <c r="E48" s="3" t="inlineStr">
        <is>
          <t>HFA206</t>
        </is>
      </c>
      <c r="F48" s="3" t="b">
        <v>1</v>
      </c>
      <c r="G48" s="3" t="b">
        <v>1</v>
      </c>
      <c r="H48" s="3" t="inlineStr">
        <is>
          <t>A</t>
        </is>
      </c>
      <c r="I48" s="4" t="n">
        <v>44183</v>
      </c>
      <c r="J48" s="4" t="n">
        <v>44316</v>
      </c>
      <c r="K48" s="4" t="n">
        <v>44887</v>
      </c>
      <c r="L48" s="3" t="n">
        <v>3</v>
      </c>
      <c r="M48" s="3" t="n">
        <v>50000</v>
      </c>
      <c r="N48" s="3" t="n">
        <v>18</v>
      </c>
      <c r="O48" s="3" t="b">
        <v>0</v>
      </c>
      <c r="P48" s="3" t="b">
        <v>0</v>
      </c>
      <c r="Q48" s="3" t="n">
        <v>1138.698630136988</v>
      </c>
      <c r="R48" s="3" t="n">
        <v>14079.45205479452</v>
      </c>
      <c r="S48" s="3" t="n">
        <v>15218.15068493151</v>
      </c>
      <c r="T48" s="5">
        <f>IF(J48&lt;&gt;"",M48*N48/365/100*('Cashflow Projection'!$B$2-Investors!J48),0)</f>
        <v/>
      </c>
    </row>
    <row r="49">
      <c r="A49" s="3" t="inlineStr">
        <is>
          <t>ZMAT01</t>
        </is>
      </c>
      <c r="B49" s="3" t="inlineStr">
        <is>
          <t>Natalie</t>
        </is>
      </c>
      <c r="C49" s="3" t="inlineStr">
        <is>
          <t>Matthews</t>
        </is>
      </c>
      <c r="D49" s="3" t="inlineStr">
        <is>
          <t>Heron Fields</t>
        </is>
      </c>
      <c r="E49" s="3" t="inlineStr">
        <is>
          <t>HFA301</t>
        </is>
      </c>
      <c r="F49" s="3" t="b">
        <v>1</v>
      </c>
      <c r="G49" s="3" t="b">
        <v>1</v>
      </c>
      <c r="H49" s="3" t="inlineStr">
        <is>
          <t>A</t>
        </is>
      </c>
      <c r="I49" s="4" t="n">
        <v>44230</v>
      </c>
      <c r="J49" s="4" t="n">
        <v>44378</v>
      </c>
      <c r="K49" s="4" t="n">
        <v>44901</v>
      </c>
      <c r="L49" s="3" t="n">
        <v>4</v>
      </c>
      <c r="M49" s="3" t="n">
        <v>200000</v>
      </c>
      <c r="N49" s="3" t="n">
        <v>18</v>
      </c>
      <c r="O49" s="3" t="b">
        <v>0</v>
      </c>
      <c r="P49" s="3" t="b">
        <v>0</v>
      </c>
      <c r="Q49" s="3" t="n">
        <v>5068.493150684938</v>
      </c>
      <c r="R49" s="3" t="n">
        <v>51583.56164383562</v>
      </c>
      <c r="S49" s="3" t="n">
        <v>56652.05479452055</v>
      </c>
      <c r="T49" s="5">
        <f>IF(J49&lt;&gt;"",M49*N49/365/100*('Cashflow Projection'!$B$2-Investors!J49),0)</f>
        <v/>
      </c>
    </row>
    <row r="50">
      <c r="A50" s="3" t="inlineStr">
        <is>
          <t>ZSCH01</t>
        </is>
      </c>
      <c r="B50" s="3" t="inlineStr">
        <is>
          <t>Inge</t>
        </is>
      </c>
      <c r="C50" s="3" t="inlineStr">
        <is>
          <t>Schubert</t>
        </is>
      </c>
      <c r="D50" s="3" t="inlineStr">
        <is>
          <t>Heron Fields</t>
        </is>
      </c>
      <c r="E50" s="3" t="inlineStr">
        <is>
          <t>HFA301</t>
        </is>
      </c>
      <c r="F50" s="3" t="b">
        <v>1</v>
      </c>
      <c r="G50" s="3" t="b">
        <v>1</v>
      </c>
      <c r="H50" s="3" t="inlineStr">
        <is>
          <t>A</t>
        </is>
      </c>
      <c r="I50" s="4" t="n">
        <v>44160</v>
      </c>
      <c r="J50" s="4" t="n">
        <v>44352</v>
      </c>
      <c r="K50" s="4" t="n">
        <v>44901</v>
      </c>
      <c r="L50" s="3" t="n">
        <v>11</v>
      </c>
      <c r="M50" s="3" t="n">
        <v>618344.34</v>
      </c>
      <c r="N50" s="3" t="n">
        <v>18</v>
      </c>
      <c r="O50" s="3" t="b">
        <v>0</v>
      </c>
      <c r="P50" s="3" t="b">
        <v>0</v>
      </c>
      <c r="Q50" s="3" t="n">
        <v>20329.12898630136</v>
      </c>
      <c r="R50" s="3" t="n">
        <v>167410.3772021918</v>
      </c>
      <c r="S50" s="3" t="n">
        <v>187739.5061884931</v>
      </c>
      <c r="T50" s="5">
        <f>IF(J50&lt;&gt;"",M50*N50/365/100*('Cashflow Projection'!$B$2-Investors!J50),0)</f>
        <v/>
      </c>
    </row>
    <row r="51">
      <c r="A51" s="3" t="inlineStr">
        <is>
          <t>ZTSH01</t>
        </is>
      </c>
      <c r="B51" s="3" t="inlineStr">
        <is>
          <t>Thandeka Patience</t>
        </is>
      </c>
      <c r="C51" s="3" t="inlineStr">
        <is>
          <t>Tshabalala</t>
        </is>
      </c>
      <c r="D51" s="3" t="inlineStr">
        <is>
          <t>Heron Fields</t>
        </is>
      </c>
      <c r="E51" s="3" t="inlineStr">
        <is>
          <t>HFA301</t>
        </is>
      </c>
      <c r="F51" s="3" t="b">
        <v>1</v>
      </c>
      <c r="G51" s="3" t="b">
        <v>1</v>
      </c>
      <c r="H51" s="3" t="inlineStr">
        <is>
          <t>A</t>
        </is>
      </c>
      <c r="I51" s="4" t="n">
        <v>44257</v>
      </c>
      <c r="J51" s="4" t="n">
        <v>44378</v>
      </c>
      <c r="K51" s="4" t="n">
        <v>44901</v>
      </c>
      <c r="L51" s="3" t="n">
        <v>1</v>
      </c>
      <c r="M51" s="3" t="n">
        <v>100000</v>
      </c>
      <c r="N51" s="3" t="n">
        <v>15</v>
      </c>
      <c r="O51" s="3" t="b">
        <v>0</v>
      </c>
      <c r="P51" s="3" t="b">
        <v>0</v>
      </c>
      <c r="Q51" s="3" t="n">
        <v>2071.917808219181</v>
      </c>
      <c r="R51" s="3" t="n">
        <v>21493.1506849315</v>
      </c>
      <c r="S51" s="3" t="n">
        <v>23565.06849315068</v>
      </c>
      <c r="T51" s="5">
        <f>IF(J51&lt;&gt;"",M51*N51/365/100*('Cashflow Projection'!$B$2-Investors!J51),0)</f>
        <v/>
      </c>
    </row>
    <row r="52">
      <c r="A52" s="3" t="inlineStr">
        <is>
          <t>ZASD01</t>
        </is>
      </c>
      <c r="B52" s="3" t="inlineStr">
        <is>
          <t>Stuart Charles</t>
        </is>
      </c>
      <c r="C52" s="3" t="inlineStr">
        <is>
          <t>Bendall</t>
        </is>
      </c>
      <c r="D52" s="3" t="inlineStr">
        <is>
          <t>Heron Fields</t>
        </is>
      </c>
      <c r="E52" s="3" t="inlineStr">
        <is>
          <t>HFA302</t>
        </is>
      </c>
      <c r="F52" s="3" t="b">
        <v>1</v>
      </c>
      <c r="G52" s="3" t="b">
        <v>1</v>
      </c>
      <c r="H52" s="3" t="inlineStr">
        <is>
          <t>A</t>
        </is>
      </c>
      <c r="I52" s="4" t="n">
        <v>44238</v>
      </c>
      <c r="J52" s="4" t="n">
        <v>44352</v>
      </c>
      <c r="K52" s="4" t="n">
        <v>44887</v>
      </c>
      <c r="L52" s="3" t="n">
        <v>1</v>
      </c>
      <c r="M52" s="3" t="n">
        <v>300000</v>
      </c>
      <c r="N52" s="3" t="n">
        <v>15</v>
      </c>
      <c r="O52" s="3" t="b">
        <v>0</v>
      </c>
      <c r="P52" s="3" t="b">
        <v>0</v>
      </c>
      <c r="Q52" s="3" t="n">
        <v>5856.164383561651</v>
      </c>
      <c r="R52" s="3" t="n">
        <v>65958.90410958904</v>
      </c>
      <c r="S52" s="3" t="n">
        <v>71815.0684931507</v>
      </c>
      <c r="T52" s="5">
        <f>IF(J52&lt;&gt;"",M52*N52/365/100*('Cashflow Projection'!$B$2-Investors!J52),0)</f>
        <v/>
      </c>
    </row>
    <row r="53">
      <c r="A53" s="3" t="inlineStr">
        <is>
          <t>ZMCK01</t>
        </is>
      </c>
      <c r="B53" s="3" t="inlineStr">
        <is>
          <t>Caitlin</t>
        </is>
      </c>
      <c r="C53" s="3" t="inlineStr">
        <is>
          <t>MacKenzie-Jones</t>
        </is>
      </c>
      <c r="D53" s="3" t="inlineStr">
        <is>
          <t>Heron Fields</t>
        </is>
      </c>
      <c r="E53" s="3" t="inlineStr">
        <is>
          <t>HFA302</t>
        </is>
      </c>
      <c r="F53" s="3" t="b">
        <v>1</v>
      </c>
      <c r="G53" s="3" t="b">
        <v>1</v>
      </c>
      <c r="H53" s="3" t="inlineStr">
        <is>
          <t>A</t>
        </is>
      </c>
      <c r="I53" s="4" t="n">
        <v>44180</v>
      </c>
      <c r="J53" s="4" t="n">
        <v>44352</v>
      </c>
      <c r="K53" s="4" t="n">
        <v>44887</v>
      </c>
      <c r="L53" s="3" t="n">
        <v>2</v>
      </c>
      <c r="M53" s="3" t="n">
        <v>592342.47</v>
      </c>
      <c r="N53" s="3" t="n">
        <v>18</v>
      </c>
      <c r="O53" s="3" t="b">
        <v>0</v>
      </c>
      <c r="P53" s="3" t="b">
        <v>0</v>
      </c>
      <c r="Q53" s="3" t="n">
        <v>17445.70288356164</v>
      </c>
      <c r="R53" s="3" t="n">
        <v>156281.0407150685</v>
      </c>
      <c r="S53" s="3" t="n">
        <v>173726.7435986301</v>
      </c>
      <c r="T53" s="5">
        <f>IF(J53&lt;&gt;"",M53*N53/365/100*('Cashflow Projection'!$B$2-Investors!J53),0)</f>
        <v/>
      </c>
    </row>
    <row r="54">
      <c r="A54" s="3" t="inlineStr">
        <is>
          <t>ZGMA01</t>
        </is>
      </c>
      <c r="B54" s="3" t="inlineStr">
        <is>
          <t>Gerald Adriaan Odendal</t>
        </is>
      </c>
      <c r="C54" s="3" t="inlineStr">
        <is>
          <t>Matthee</t>
        </is>
      </c>
      <c r="D54" s="3" t="inlineStr">
        <is>
          <t>Heron Fields</t>
        </is>
      </c>
      <c r="E54" s="3" t="inlineStr">
        <is>
          <t>HFA303</t>
        </is>
      </c>
      <c r="F54" s="3" t="b">
        <v>1</v>
      </c>
      <c r="G54" s="3" t="b">
        <v>1</v>
      </c>
      <c r="H54" s="3" t="inlineStr">
        <is>
          <t>A</t>
        </is>
      </c>
      <c r="I54" s="4" t="n">
        <v>44221</v>
      </c>
      <c r="J54" s="4" t="n">
        <v>44352</v>
      </c>
      <c r="K54" s="4" t="n">
        <v>44896</v>
      </c>
      <c r="L54" s="3" t="n">
        <v>1</v>
      </c>
      <c r="M54" s="3" t="n">
        <v>100000</v>
      </c>
      <c r="N54" s="3" t="n">
        <v>15</v>
      </c>
      <c r="O54" s="3" t="b">
        <v>0</v>
      </c>
      <c r="P54" s="3" t="b">
        <v>0</v>
      </c>
      <c r="Q54" s="3" t="n">
        <v>2243.15068493151</v>
      </c>
      <c r="R54" s="3" t="n">
        <v>22356.16438356164</v>
      </c>
      <c r="S54" s="3" t="n">
        <v>24599.31506849315</v>
      </c>
      <c r="T54" s="5">
        <f>IF(J54&lt;&gt;"",M54*N54/365/100*('Cashflow Projection'!$B$2-Investors!J54),0)</f>
        <v/>
      </c>
    </row>
    <row r="55">
      <c r="A55" s="3" t="inlineStr">
        <is>
          <t>ZLMA01</t>
        </is>
      </c>
      <c r="B55" s="3" t="inlineStr">
        <is>
          <t>Luvo</t>
        </is>
      </c>
      <c r="C55" s="3" t="inlineStr">
        <is>
          <t>Magwaza</t>
        </is>
      </c>
      <c r="D55" s="3" t="inlineStr">
        <is>
          <t>Heron Fields</t>
        </is>
      </c>
      <c r="E55" s="3" t="inlineStr">
        <is>
          <t>HFA303</t>
        </is>
      </c>
      <c r="F55" s="3" t="b">
        <v>1</v>
      </c>
      <c r="G55" s="3" t="b">
        <v>1</v>
      </c>
      <c r="H55" s="3" t="inlineStr">
        <is>
          <t>A</t>
        </is>
      </c>
      <c r="I55" s="4" t="n">
        <v>44230</v>
      </c>
      <c r="J55" s="4" t="n">
        <v>44352</v>
      </c>
      <c r="K55" s="4" t="n">
        <v>44896</v>
      </c>
      <c r="L55" s="3" t="n">
        <v>1</v>
      </c>
      <c r="M55" s="3" t="n">
        <v>200000</v>
      </c>
      <c r="N55" s="3" t="n">
        <v>15</v>
      </c>
      <c r="O55" s="3" t="b">
        <v>0</v>
      </c>
      <c r="P55" s="3" t="b">
        <v>0</v>
      </c>
      <c r="Q55" s="3" t="n">
        <v>4178.082191780827</v>
      </c>
      <c r="R55" s="3" t="n">
        <v>44712.32876712328</v>
      </c>
      <c r="S55" s="3" t="n">
        <v>48890.41095890411</v>
      </c>
      <c r="T55" s="5">
        <f>IF(J55&lt;&gt;"",M55*N55/365/100*('Cashflow Projection'!$B$2-Investors!J55),0)</f>
        <v/>
      </c>
    </row>
    <row r="56">
      <c r="A56" s="3" t="inlineStr">
        <is>
          <t>ZSMI01</t>
        </is>
      </c>
      <c r="B56" s="3" t="inlineStr">
        <is>
          <t>Eugene Patrick</t>
        </is>
      </c>
      <c r="C56" s="3" t="inlineStr">
        <is>
          <t>Smit</t>
        </is>
      </c>
      <c r="D56" s="3" t="inlineStr">
        <is>
          <t>Heron Fields</t>
        </is>
      </c>
      <c r="E56" s="3" t="inlineStr">
        <is>
          <t>HFA303</t>
        </is>
      </c>
      <c r="F56" s="3" t="b">
        <v>1</v>
      </c>
      <c r="G56" s="3" t="b">
        <v>1</v>
      </c>
      <c r="H56" s="3" t="inlineStr">
        <is>
          <t>A</t>
        </is>
      </c>
      <c r="I56" s="4" t="n">
        <v>44218</v>
      </c>
      <c r="J56" s="4" t="n">
        <v>44352</v>
      </c>
      <c r="K56" s="4" t="n">
        <v>44896</v>
      </c>
      <c r="L56" s="3" t="n">
        <v>1</v>
      </c>
      <c r="M56" s="3" t="n">
        <v>100000</v>
      </c>
      <c r="N56" s="3" t="n">
        <v>15</v>
      </c>
      <c r="O56" s="3" t="b">
        <v>0</v>
      </c>
      <c r="P56" s="3" t="b">
        <v>0</v>
      </c>
      <c r="Q56" s="3" t="n">
        <v>2294.520547945208</v>
      </c>
      <c r="R56" s="3" t="n">
        <v>22356.16438356164</v>
      </c>
      <c r="S56" s="3" t="n">
        <v>24650.68493150685</v>
      </c>
      <c r="T56" s="5">
        <f>IF(J56&lt;&gt;"",M56*N56/365/100*('Cashflow Projection'!$B$2-Investors!J56),0)</f>
        <v/>
      </c>
    </row>
    <row r="57">
      <c r="A57" s="3" t="inlineStr">
        <is>
          <t>ZVDW01</t>
        </is>
      </c>
      <c r="B57" s="3" t="inlineStr">
        <is>
          <t>Philip</t>
        </is>
      </c>
      <c r="C57" s="3" t="inlineStr">
        <is>
          <t xml:space="preserve">van der Walt </t>
        </is>
      </c>
      <c r="D57" s="3" t="inlineStr">
        <is>
          <t>Heron Fields</t>
        </is>
      </c>
      <c r="E57" s="3" t="inlineStr">
        <is>
          <t>HFA303</t>
        </is>
      </c>
      <c r="F57" s="3" t="b">
        <v>1</v>
      </c>
      <c r="G57" s="3" t="b">
        <v>1</v>
      </c>
      <c r="H57" s="3" t="inlineStr">
        <is>
          <t>A</t>
        </is>
      </c>
      <c r="I57" s="4" t="n">
        <v>44228</v>
      </c>
      <c r="J57" s="4" t="n">
        <v>44352</v>
      </c>
      <c r="K57" s="4" t="n">
        <v>44896</v>
      </c>
      <c r="L57" s="3" t="n">
        <v>1</v>
      </c>
      <c r="M57" s="3" t="n">
        <v>500500</v>
      </c>
      <c r="N57" s="3" t="n">
        <v>18</v>
      </c>
      <c r="O57" s="3" t="b">
        <v>0</v>
      </c>
      <c r="P57" s="3" t="b">
        <v>0</v>
      </c>
      <c r="Q57" s="3" t="n">
        <v>10627.05479452055</v>
      </c>
      <c r="R57" s="3" t="n">
        <v>134271.1232876712</v>
      </c>
      <c r="S57" s="3" t="n">
        <v>144898.1780821918</v>
      </c>
      <c r="T57" s="5">
        <f>IF(J57&lt;&gt;"",M57*N57/365/100*('Cashflow Projection'!$B$2-Investors!J57),0)</f>
        <v/>
      </c>
    </row>
    <row r="58">
      <c r="A58" s="3" t="inlineStr">
        <is>
          <t>ZJHO01</t>
        </is>
      </c>
      <c r="B58" s="3" t="inlineStr">
        <is>
          <t>Jean</t>
        </is>
      </c>
      <c r="C58" s="3" t="inlineStr">
        <is>
          <t>Hoets</t>
        </is>
      </c>
      <c r="D58" s="3" t="inlineStr">
        <is>
          <t>Heron Fields</t>
        </is>
      </c>
      <c r="E58" s="3" t="inlineStr">
        <is>
          <t>HFA304</t>
        </is>
      </c>
      <c r="F58" s="3" t="b">
        <v>1</v>
      </c>
      <c r="G58" s="3" t="b">
        <v>1</v>
      </c>
      <c r="H58" s="3" t="inlineStr">
        <is>
          <t>A</t>
        </is>
      </c>
      <c r="I58" s="4" t="n">
        <v>44245</v>
      </c>
      <c r="J58" s="4" t="n">
        <v>44855</v>
      </c>
      <c r="K58" s="4" t="n">
        <v>44915</v>
      </c>
      <c r="L58" s="3" t="n">
        <v>2</v>
      </c>
      <c r="M58" s="3" t="n">
        <v>350000</v>
      </c>
      <c r="N58" s="3" t="n">
        <v>15</v>
      </c>
      <c r="O58" s="3" t="b">
        <v>1</v>
      </c>
      <c r="P58" s="3" t="b">
        <v>0</v>
      </c>
      <c r="Q58" s="3" t="n">
        <v>39883.21917808198</v>
      </c>
      <c r="R58" s="3" t="n">
        <v>8630.13698630137</v>
      </c>
      <c r="S58" s="3" t="n">
        <v>48513.35616438335</v>
      </c>
      <c r="T58" s="5">
        <f>IF(J58&lt;&gt;"",M58*N58/365/100*('Cashflow Projection'!$B$2-Investors!J58),0)</f>
        <v/>
      </c>
    </row>
    <row r="59">
      <c r="A59" s="3" t="inlineStr">
        <is>
          <t>ZKRO01</t>
        </is>
      </c>
      <c r="B59" s="3" t="inlineStr">
        <is>
          <t>Frans</t>
        </is>
      </c>
      <c r="C59" s="3" t="inlineStr">
        <is>
          <t>van der Merwe</t>
        </is>
      </c>
      <c r="D59" s="3" t="inlineStr">
        <is>
          <t>Heron Fields</t>
        </is>
      </c>
      <c r="E59" s="3" t="inlineStr">
        <is>
          <t>HFA304</t>
        </is>
      </c>
      <c r="F59" s="3" t="b">
        <v>1</v>
      </c>
      <c r="G59" s="3" t="b">
        <v>1</v>
      </c>
      <c r="H59" s="3" t="inlineStr">
        <is>
          <t>A</t>
        </is>
      </c>
      <c r="I59" s="4" t="n">
        <v>44246</v>
      </c>
      <c r="J59" s="4" t="n">
        <v>44352</v>
      </c>
      <c r="K59" s="4" t="n">
        <v>44951</v>
      </c>
      <c r="L59" s="3" t="n">
        <v>1</v>
      </c>
      <c r="M59" s="3" t="n">
        <v>150000</v>
      </c>
      <c r="N59" s="3" t="n">
        <v>15</v>
      </c>
      <c r="O59" s="3" t="b">
        <v>1</v>
      </c>
      <c r="P59" s="3" t="b">
        <v>0</v>
      </c>
      <c r="Q59" s="3" t="n">
        <v>2722.60273972603</v>
      </c>
      <c r="R59" s="3" t="n">
        <v>36924.65753424658</v>
      </c>
      <c r="S59" s="3" t="n">
        <v>39647.26027397261</v>
      </c>
      <c r="T59" s="5">
        <f>IF(J59&lt;&gt;"",M59*N59/365/100*('Cashflow Projection'!$B$2-Investors!J59),0)</f>
        <v/>
      </c>
    </row>
    <row r="60">
      <c r="A60" s="3" t="inlineStr">
        <is>
          <t>ZPED01</t>
        </is>
      </c>
      <c r="B60" s="3" t="inlineStr">
        <is>
          <t>Wendy</t>
        </is>
      </c>
      <c r="C60" s="3" t="inlineStr">
        <is>
          <t>Pedersen</t>
        </is>
      </c>
      <c r="D60" s="3" t="inlineStr">
        <is>
          <t>Heron Fields</t>
        </is>
      </c>
      <c r="E60" s="3" t="inlineStr">
        <is>
          <t>HFA304</t>
        </is>
      </c>
      <c r="F60" s="3" t="b">
        <v>1</v>
      </c>
      <c r="G60" s="3" t="b">
        <v>1</v>
      </c>
      <c r="H60" s="3" t="inlineStr">
        <is>
          <t>A</t>
        </is>
      </c>
      <c r="I60" s="4" t="n">
        <v>44253</v>
      </c>
      <c r="J60" s="4" t="n">
        <v>44352</v>
      </c>
      <c r="K60" s="4" t="n">
        <v>44951</v>
      </c>
      <c r="L60" s="3" t="n">
        <v>1</v>
      </c>
      <c r="M60" s="3" t="n">
        <v>100000</v>
      </c>
      <c r="N60" s="3" t="n">
        <v>18</v>
      </c>
      <c r="O60" s="3" t="b">
        <v>1</v>
      </c>
      <c r="P60" s="3" t="b">
        <v>0</v>
      </c>
      <c r="Q60" s="3" t="n">
        <v>1695.205479452057</v>
      </c>
      <c r="R60" s="3" t="n">
        <v>29539.72602739726</v>
      </c>
      <c r="S60" s="3" t="n">
        <v>31234.93150684932</v>
      </c>
      <c r="T60" s="5">
        <f>IF(J60&lt;&gt;"",M60*N60/365/100*('Cashflow Projection'!$B$2-Investors!J60),0)</f>
        <v/>
      </c>
    </row>
    <row r="61">
      <c r="A61" s="3" t="inlineStr">
        <is>
          <t>ZSOU02</t>
        </is>
      </c>
      <c r="B61" s="3" t="inlineStr">
        <is>
          <t>Frances Leathem</t>
        </is>
      </c>
      <c r="C61" s="3" t="inlineStr">
        <is>
          <t>Sourgen</t>
        </is>
      </c>
      <c r="D61" s="3" t="inlineStr">
        <is>
          <t>Heron Fields</t>
        </is>
      </c>
      <c r="E61" s="3" t="inlineStr">
        <is>
          <t>HFA304</t>
        </is>
      </c>
      <c r="F61" s="3" t="b">
        <v>1</v>
      </c>
      <c r="G61" s="3" t="b">
        <v>1</v>
      </c>
      <c r="H61" s="3" t="inlineStr">
        <is>
          <t>A</t>
        </is>
      </c>
      <c r="I61" s="4" t="n">
        <v>44442</v>
      </c>
      <c r="J61" s="4" t="n">
        <v>44508</v>
      </c>
      <c r="K61" s="4" t="n">
        <v>45020</v>
      </c>
      <c r="L61" s="3" t="n">
        <v>1</v>
      </c>
      <c r="M61" s="3" t="n">
        <v>100000</v>
      </c>
      <c r="N61" s="3" t="n">
        <v>14</v>
      </c>
      <c r="O61" s="3" t="b">
        <v>1</v>
      </c>
      <c r="P61" s="3" t="b">
        <v>0</v>
      </c>
      <c r="Q61" s="3" t="n">
        <v>1130.136986301371</v>
      </c>
      <c r="R61" s="3" t="n">
        <v>19638.35616438356</v>
      </c>
      <c r="S61" s="3" t="n">
        <v>20768.49315068493</v>
      </c>
      <c r="T61" s="5">
        <f>IF(J61&lt;&gt;"",M61*N61/365/100*('Cashflow Projection'!$B$2-Investors!J61),0)</f>
        <v/>
      </c>
    </row>
    <row r="62">
      <c r="A62" s="3" t="inlineStr">
        <is>
          <t>ZVER02</t>
        </is>
      </c>
      <c r="B62" s="3" t="inlineStr">
        <is>
          <t>Jean-Jacques EP</t>
        </is>
      </c>
      <c r="C62" s="3" t="inlineStr">
        <is>
          <t>Verhaeghe</t>
        </is>
      </c>
      <c r="D62" s="3" t="inlineStr">
        <is>
          <t>Heron Fields</t>
        </is>
      </c>
      <c r="E62" s="3" t="inlineStr">
        <is>
          <t>HFA304</t>
        </is>
      </c>
      <c r="F62" s="3" t="b">
        <v>1</v>
      </c>
      <c r="G62" s="3" t="b">
        <v>1</v>
      </c>
      <c r="H62" s="3" t="inlineStr">
        <is>
          <t>A</t>
        </is>
      </c>
      <c r="I62" s="4" t="n">
        <v>44454</v>
      </c>
      <c r="J62" s="4" t="n">
        <v>44508</v>
      </c>
      <c r="K62" s="4" t="n">
        <v>44951</v>
      </c>
      <c r="L62" s="3" t="n">
        <v>2</v>
      </c>
      <c r="M62" s="3" t="n">
        <v>100000</v>
      </c>
      <c r="N62" s="3" t="n">
        <v>14</v>
      </c>
      <c r="O62" s="3" t="b">
        <v>1</v>
      </c>
      <c r="P62" s="3" t="b">
        <v>0</v>
      </c>
      <c r="Q62" s="3" t="n">
        <v>924.6575342465762</v>
      </c>
      <c r="R62" s="3" t="n">
        <v>16991.78082191781</v>
      </c>
      <c r="S62" s="3" t="n">
        <v>17916.43835616438</v>
      </c>
      <c r="T62" s="5">
        <f>IF(J62&lt;&gt;"",M62*N62/365/100*('Cashflow Projection'!$B$2-Investors!J62),0)</f>
        <v/>
      </c>
    </row>
    <row r="63">
      <c r="A63" s="3" t="inlineStr">
        <is>
          <t>ZKRO03</t>
        </is>
      </c>
      <c r="B63" s="3" t="inlineStr">
        <is>
          <t>Jacqueline</t>
        </is>
      </c>
      <c r="C63" s="3" t="inlineStr">
        <is>
          <t>Krohn</t>
        </is>
      </c>
      <c r="D63" s="3" t="inlineStr">
        <is>
          <t>Heron Fields</t>
        </is>
      </c>
      <c r="E63" s="3" t="inlineStr">
        <is>
          <t>HFA305</t>
        </is>
      </c>
      <c r="F63" s="3" t="b">
        <v>1</v>
      </c>
      <c r="G63" s="3" t="b">
        <v>1</v>
      </c>
      <c r="H63" s="3" t="inlineStr">
        <is>
          <t>A</t>
        </is>
      </c>
      <c r="I63" s="4" t="n">
        <v>44321</v>
      </c>
      <c r="J63" s="4" t="n">
        <v>44352</v>
      </c>
      <c r="K63" s="4" t="n">
        <v>44895</v>
      </c>
      <c r="L63" s="3" t="n">
        <v>1</v>
      </c>
      <c r="M63" s="3" t="n">
        <v>500100</v>
      </c>
      <c r="N63" s="3" t="n">
        <v>18</v>
      </c>
      <c r="O63" s="3" t="b">
        <v>1</v>
      </c>
      <c r="P63" s="3" t="b">
        <v>0</v>
      </c>
      <c r="Q63" s="3" t="n">
        <v>2654.640410958904</v>
      </c>
      <c r="R63" s="3" t="n">
        <v>133917.1890410959</v>
      </c>
      <c r="S63" s="3" t="n">
        <v>136571.8294520548</v>
      </c>
      <c r="T63" s="5">
        <f>IF(J63&lt;&gt;"",M63*N63/365/100*('Cashflow Projection'!$B$2-Investors!J63),0)</f>
        <v/>
      </c>
    </row>
    <row r="64">
      <c r="A64" s="3" t="inlineStr">
        <is>
          <t>ZMUS01</t>
        </is>
      </c>
      <c r="B64" s="3" t="inlineStr">
        <is>
          <t>Claire Louise</t>
        </is>
      </c>
      <c r="C64" s="3" t="inlineStr">
        <is>
          <t>Musson</t>
        </is>
      </c>
      <c r="D64" s="3" t="inlineStr">
        <is>
          <t>Heron Fields</t>
        </is>
      </c>
      <c r="E64" s="3" t="inlineStr">
        <is>
          <t>HFA305</t>
        </is>
      </c>
      <c r="F64" s="3" t="b">
        <v>1</v>
      </c>
      <c r="G64" s="3" t="b">
        <v>1</v>
      </c>
      <c r="H64" s="3" t="inlineStr">
        <is>
          <t>A</t>
        </is>
      </c>
      <c r="I64" s="4" t="n">
        <v>44488</v>
      </c>
      <c r="J64" s="4" t="n">
        <v>44618</v>
      </c>
      <c r="K64" s="4" t="n">
        <v>44942</v>
      </c>
      <c r="L64" s="3" t="n">
        <v>1</v>
      </c>
      <c r="M64" s="3" t="n">
        <v>100000</v>
      </c>
      <c r="N64" s="3" t="n">
        <v>14</v>
      </c>
      <c r="O64" s="3" t="b">
        <v>0</v>
      </c>
      <c r="P64" s="3" t="b">
        <v>0</v>
      </c>
      <c r="Q64" s="3" t="n">
        <v>2304.109589041101</v>
      </c>
      <c r="R64" s="3" t="n">
        <v>12427.39726027397</v>
      </c>
      <c r="S64" s="3" t="n">
        <v>14731.50684931507</v>
      </c>
      <c r="T64" s="5">
        <f>IF(J64&lt;&gt;"",M64*N64/365/100*('Cashflow Projection'!$B$2-Investors!J64),0)</f>
        <v/>
      </c>
    </row>
    <row r="65">
      <c r="A65" s="3" t="inlineStr">
        <is>
          <t>ZPRE01</t>
        </is>
      </c>
      <c r="B65" s="3" t="inlineStr">
        <is>
          <t>Magdalena</t>
        </is>
      </c>
      <c r="C65" s="3" t="inlineStr">
        <is>
          <t>Pretorius</t>
        </is>
      </c>
      <c r="D65" s="3" t="inlineStr">
        <is>
          <t>Heron Fields</t>
        </is>
      </c>
      <c r="E65" s="3" t="inlineStr">
        <is>
          <t>HFA305</t>
        </is>
      </c>
      <c r="F65" s="3" t="b">
        <v>1</v>
      </c>
      <c r="G65" s="3" t="b">
        <v>1</v>
      </c>
      <c r="H65" s="3" t="inlineStr">
        <is>
          <t>A</t>
        </is>
      </c>
      <c r="I65" s="4" t="n">
        <v>44477</v>
      </c>
      <c r="J65" s="4" t="n">
        <v>44590</v>
      </c>
      <c r="K65" s="4" t="n">
        <v>44942</v>
      </c>
      <c r="L65" s="3" t="n">
        <v>1</v>
      </c>
      <c r="M65" s="3" t="n">
        <v>100000</v>
      </c>
      <c r="N65" s="3" t="n">
        <v>14</v>
      </c>
      <c r="O65" s="3" t="b">
        <v>0</v>
      </c>
      <c r="P65" s="3" t="b">
        <v>0</v>
      </c>
      <c r="Q65" s="3" t="n">
        <v>1976.027397260278</v>
      </c>
      <c r="R65" s="3" t="n">
        <v>13501.3698630137</v>
      </c>
      <c r="S65" s="3" t="n">
        <v>15477.39726027397</v>
      </c>
      <c r="T65" s="5">
        <f>IF(J65&lt;&gt;"",M65*N65/365/100*('Cashflow Projection'!$B$2-Investors!J65),0)</f>
        <v/>
      </c>
    </row>
    <row r="66">
      <c r="A66" s="3" t="inlineStr">
        <is>
          <t>ZDEB01</t>
        </is>
      </c>
      <c r="B66" s="3" t="inlineStr">
        <is>
          <t>William Henry</t>
        </is>
      </c>
      <c r="C66" s="3" t="inlineStr">
        <is>
          <t>De Beer</t>
        </is>
      </c>
      <c r="D66" s="3" t="inlineStr">
        <is>
          <t>Heron Fields</t>
        </is>
      </c>
      <c r="E66" s="3" t="inlineStr">
        <is>
          <t>HFA306</t>
        </is>
      </c>
      <c r="F66" s="3" t="b">
        <v>1</v>
      </c>
      <c r="G66" s="3" t="b">
        <v>1</v>
      </c>
      <c r="H66" s="3" t="inlineStr">
        <is>
          <t>A</t>
        </is>
      </c>
      <c r="I66" s="4" t="n">
        <v>44270</v>
      </c>
      <c r="J66" s="4" t="n">
        <v>44352</v>
      </c>
      <c r="K66" s="4" t="n">
        <v>44901</v>
      </c>
      <c r="L66" s="3" t="n">
        <v>1</v>
      </c>
      <c r="M66" s="3" t="n">
        <v>500100</v>
      </c>
      <c r="N66" s="3" t="n">
        <v>18</v>
      </c>
      <c r="O66" s="3" t="b">
        <v>0</v>
      </c>
      <c r="P66" s="3" t="b">
        <v>0</v>
      </c>
      <c r="Q66" s="3" t="n">
        <v>7021.952054794515</v>
      </c>
      <c r="R66" s="3" t="n">
        <v>135396.9369863014</v>
      </c>
      <c r="S66" s="3" t="n">
        <v>142418.8890410959</v>
      </c>
      <c r="T66" s="5">
        <f>IF(J66&lt;&gt;"",M66*N66/365/100*('Cashflow Projection'!$B$2-Investors!J66),0)</f>
        <v/>
      </c>
    </row>
    <row r="67">
      <c r="A67" s="3" t="inlineStr">
        <is>
          <t>ZFOU01</t>
        </is>
      </c>
      <c r="B67" s="3" t="inlineStr">
        <is>
          <t>Hester Magrietha</t>
        </is>
      </c>
      <c r="C67" s="3" t="inlineStr">
        <is>
          <t>Fourie</t>
        </is>
      </c>
      <c r="D67" s="3" t="inlineStr">
        <is>
          <t>Heron Fields</t>
        </is>
      </c>
      <c r="E67" s="3" t="inlineStr">
        <is>
          <t>HFA306</t>
        </is>
      </c>
      <c r="F67" s="3" t="b">
        <v>1</v>
      </c>
      <c r="G67" s="3" t="b">
        <v>1</v>
      </c>
      <c r="H67" s="3" t="inlineStr">
        <is>
          <t>A</t>
        </is>
      </c>
      <c r="I67" s="4" t="n">
        <v>44285</v>
      </c>
      <c r="J67" s="4" t="n">
        <v>44352</v>
      </c>
      <c r="K67" s="4" t="n">
        <v>44901</v>
      </c>
      <c r="L67" s="3" t="n">
        <v>1</v>
      </c>
      <c r="M67" s="3" t="n">
        <v>100000</v>
      </c>
      <c r="N67" s="3" t="n">
        <v>15</v>
      </c>
      <c r="O67" s="3" t="b">
        <v>0</v>
      </c>
      <c r="P67" s="3" t="b">
        <v>0</v>
      </c>
      <c r="Q67" s="3" t="n">
        <v>1147.260273972604</v>
      </c>
      <c r="R67" s="3" t="n">
        <v>22561.64383561644</v>
      </c>
      <c r="S67" s="3" t="n">
        <v>23708.90410958904</v>
      </c>
      <c r="T67" s="5">
        <f>IF(J67&lt;&gt;"",M67*N67/365/100*('Cashflow Projection'!$B$2-Investors!J67),0)</f>
        <v/>
      </c>
    </row>
    <row r="68">
      <c r="A68" s="3" t="inlineStr">
        <is>
          <t>ZMAT03</t>
        </is>
      </c>
      <c r="B68" s="3" t="inlineStr">
        <is>
          <t>Delia</t>
        </is>
      </c>
      <c r="C68" s="3" t="inlineStr">
        <is>
          <t>Matthee</t>
        </is>
      </c>
      <c r="D68" s="3" t="inlineStr">
        <is>
          <t>Heron Fields</t>
        </is>
      </c>
      <c r="E68" s="3" t="inlineStr">
        <is>
          <t>HFA306</t>
        </is>
      </c>
      <c r="F68" s="3" t="b">
        <v>1</v>
      </c>
      <c r="G68" s="3" t="b">
        <v>1</v>
      </c>
      <c r="H68" s="3" t="inlineStr">
        <is>
          <t>A</t>
        </is>
      </c>
      <c r="I68" s="4" t="n">
        <v>44467</v>
      </c>
      <c r="J68" s="4" t="n">
        <v>44550</v>
      </c>
      <c r="K68" s="4" t="n">
        <v>44901</v>
      </c>
      <c r="L68" s="3" t="n">
        <v>2</v>
      </c>
      <c r="M68" s="3" t="n">
        <v>200000</v>
      </c>
      <c r="N68" s="3" t="n">
        <v>14</v>
      </c>
      <c r="O68" s="3" t="b">
        <v>0</v>
      </c>
      <c r="P68" s="3" t="b">
        <v>0</v>
      </c>
      <c r="Q68" s="3" t="n">
        <v>2869.863013698635</v>
      </c>
      <c r="R68" s="3" t="n">
        <v>26926.02739726027</v>
      </c>
      <c r="S68" s="3" t="n">
        <v>29795.89041095891</v>
      </c>
      <c r="T68" s="5">
        <f>IF(J68&lt;&gt;"",M68*N68/365/100*('Cashflow Projection'!$B$2-Investors!J68),0)</f>
        <v/>
      </c>
    </row>
    <row r="69">
      <c r="A69" s="3" t="inlineStr">
        <is>
          <t>ZVOL01</t>
        </is>
      </c>
      <c r="B69" s="3" t="inlineStr">
        <is>
          <t>Gideon Cornelius</t>
        </is>
      </c>
      <c r="C69" s="3" t="inlineStr">
        <is>
          <t>Volschenk</t>
        </is>
      </c>
      <c r="D69" s="3" t="inlineStr">
        <is>
          <t>Heron Fields</t>
        </is>
      </c>
      <c r="E69" s="3" t="inlineStr">
        <is>
          <t>HFA306</t>
        </is>
      </c>
      <c r="F69" s="3" t="b">
        <v>1</v>
      </c>
      <c r="G69" s="3" t="b">
        <v>1</v>
      </c>
      <c r="H69" s="3" t="inlineStr">
        <is>
          <t>A</t>
        </is>
      </c>
      <c r="I69" s="4" t="n">
        <v>44468</v>
      </c>
      <c r="J69" s="4" t="n">
        <v>44590</v>
      </c>
      <c r="K69" s="4" t="n">
        <v>44901</v>
      </c>
      <c r="L69" s="3" t="n">
        <v>2</v>
      </c>
      <c r="M69" s="3" t="n">
        <v>100000</v>
      </c>
      <c r="N69" s="3" t="n">
        <v>14</v>
      </c>
      <c r="O69" s="3" t="b">
        <v>0</v>
      </c>
      <c r="P69" s="3" t="b">
        <v>0</v>
      </c>
      <c r="Q69" s="3" t="n">
        <v>2130.136986301375</v>
      </c>
      <c r="R69" s="3" t="n">
        <v>11928.76712328767</v>
      </c>
      <c r="S69" s="3" t="n">
        <v>14058.90410958905</v>
      </c>
      <c r="T69" s="5">
        <f>IF(J69&lt;&gt;"",M69*N69/365/100*('Cashflow Projection'!$B$2-Investors!J69),0)</f>
        <v/>
      </c>
    </row>
    <row r="70">
      <c r="A70" s="3" t="inlineStr">
        <is>
          <t>ZINT01</t>
        </is>
      </c>
      <c r="B70" s="3" t="inlineStr">
        <is>
          <t>Marc</t>
        </is>
      </c>
      <c r="C70" s="3" t="inlineStr">
        <is>
          <t>Lunau</t>
        </is>
      </c>
      <c r="D70" s="3" t="inlineStr">
        <is>
          <t>Heron Fields</t>
        </is>
      </c>
      <c r="E70" s="3" t="inlineStr">
        <is>
          <t>HFB101</t>
        </is>
      </c>
      <c r="F70" s="3" t="b">
        <v>1</v>
      </c>
      <c r="G70" s="3" t="b">
        <v>1</v>
      </c>
      <c r="H70" s="3" t="inlineStr">
        <is>
          <t>B</t>
        </is>
      </c>
      <c r="I70" s="4" t="n">
        <v>44312</v>
      </c>
      <c r="J70" s="4" t="n">
        <v>44352</v>
      </c>
      <c r="K70" s="4" t="n">
        <v>44909</v>
      </c>
      <c r="L70" s="3" t="n">
        <v>8</v>
      </c>
      <c r="M70" s="3" t="n">
        <v>100000</v>
      </c>
      <c r="N70" s="3" t="n">
        <v>18</v>
      </c>
      <c r="O70" s="3" t="b">
        <v>0</v>
      </c>
      <c r="P70" s="3" t="b">
        <v>0</v>
      </c>
      <c r="Q70" s="3" t="n">
        <v>684.9315068493156</v>
      </c>
      <c r="R70" s="3" t="n">
        <v>27468.49315068493</v>
      </c>
      <c r="S70" s="3" t="n">
        <v>28153.42465753425</v>
      </c>
      <c r="T70" s="5">
        <f>IF(J70&lt;&gt;"",M70*N70/365/100*('Cashflow Projection'!$B$2-Investors!J70),0)</f>
        <v/>
      </c>
    </row>
    <row r="71">
      <c r="A71" s="3" t="inlineStr">
        <is>
          <t>ZKFT01</t>
        </is>
      </c>
      <c r="B71" s="3" t="inlineStr">
        <is>
          <t>Koovarjee Family Trust</t>
        </is>
      </c>
      <c r="C71" s="3" t="inlineStr">
        <is>
          <t>Koovarjee</t>
        </is>
      </c>
      <c r="D71" s="3" t="inlineStr">
        <is>
          <t>Heron Fields</t>
        </is>
      </c>
      <c r="E71" s="3" t="inlineStr">
        <is>
          <t>HFB101</t>
        </is>
      </c>
      <c r="F71" s="3" t="b">
        <v>1</v>
      </c>
      <c r="G71" s="3" t="b">
        <v>1</v>
      </c>
      <c r="H71" s="3" t="inlineStr">
        <is>
          <t>B</t>
        </is>
      </c>
      <c r="I71" s="4" t="n">
        <v>44166</v>
      </c>
      <c r="J71" s="4" t="n">
        <v>44352</v>
      </c>
      <c r="K71" s="4" t="n">
        <v>44909</v>
      </c>
      <c r="L71" s="3" t="n">
        <v>1</v>
      </c>
      <c r="M71" s="3" t="n">
        <v>500000</v>
      </c>
      <c r="N71" s="3" t="n">
        <v>18</v>
      </c>
      <c r="O71" s="3" t="b">
        <v>0</v>
      </c>
      <c r="P71" s="3" t="b">
        <v>0</v>
      </c>
      <c r="Q71" s="3" t="n">
        <v>15924.65753424659</v>
      </c>
      <c r="R71" s="3" t="n">
        <v>137342.4657534247</v>
      </c>
      <c r="S71" s="3" t="n">
        <v>153267.1232876712</v>
      </c>
      <c r="T71" s="5">
        <f>IF(J71&lt;&gt;"",M71*N71/365/100*('Cashflow Projection'!$B$2-Investors!J71),0)</f>
        <v/>
      </c>
    </row>
    <row r="72">
      <c r="A72" s="3" t="inlineStr">
        <is>
          <t>ZLUN01</t>
        </is>
      </c>
      <c r="B72" s="3" t="inlineStr">
        <is>
          <t>Marc</t>
        </is>
      </c>
      <c r="C72" s="3" t="inlineStr">
        <is>
          <t>Lunau</t>
        </is>
      </c>
      <c r="D72" s="3" t="inlineStr">
        <is>
          <t>Heron Fields</t>
        </is>
      </c>
      <c r="E72" s="3" t="inlineStr">
        <is>
          <t>HFB101</t>
        </is>
      </c>
      <c r="F72" s="3" t="b">
        <v>1</v>
      </c>
      <c r="G72" s="3" t="b">
        <v>1</v>
      </c>
      <c r="H72" s="3" t="inlineStr">
        <is>
          <t>B</t>
        </is>
      </c>
      <c r="I72" s="4" t="n">
        <v>44187</v>
      </c>
      <c r="J72" s="4" t="n">
        <v>44316</v>
      </c>
      <c r="K72" s="4" t="n">
        <v>44909</v>
      </c>
      <c r="L72" s="3" t="n">
        <v>3</v>
      </c>
      <c r="M72" s="3" t="n">
        <v>120000</v>
      </c>
      <c r="N72" s="3" t="n">
        <v>18</v>
      </c>
      <c r="O72" s="3" t="b">
        <v>0</v>
      </c>
      <c r="P72" s="3" t="b">
        <v>0</v>
      </c>
      <c r="Q72" s="3" t="n">
        <v>2650.684931506854</v>
      </c>
      <c r="R72" s="3" t="n">
        <v>35092.60273972603</v>
      </c>
      <c r="S72" s="3" t="n">
        <v>37743.28767123288</v>
      </c>
      <c r="T72" s="5">
        <f>IF(J72&lt;&gt;"",M72*N72/365/100*('Cashflow Projection'!$B$2-Investors!J72),0)</f>
        <v/>
      </c>
    </row>
    <row r="73">
      <c r="A73" s="3" t="inlineStr">
        <is>
          <t>ZMEH01</t>
        </is>
      </c>
      <c r="B73" s="3" t="inlineStr">
        <is>
          <t>Ralph Graham</t>
        </is>
      </c>
      <c r="C73" s="3" t="inlineStr">
        <is>
          <t>Mehl</t>
        </is>
      </c>
      <c r="D73" s="3" t="inlineStr">
        <is>
          <t>Heron Fields</t>
        </is>
      </c>
      <c r="E73" s="3" t="inlineStr">
        <is>
          <t>HFB101</t>
        </is>
      </c>
      <c r="F73" s="3" t="b">
        <v>1</v>
      </c>
      <c r="G73" s="3" t="b">
        <v>1</v>
      </c>
      <c r="H73" s="3" t="inlineStr">
        <is>
          <t>B</t>
        </is>
      </c>
      <c r="I73" s="4" t="n">
        <v>44468</v>
      </c>
      <c r="J73" s="4" t="n">
        <v>44532</v>
      </c>
      <c r="K73" s="4" t="n">
        <v>44909</v>
      </c>
      <c r="L73" s="3" t="n">
        <v>1</v>
      </c>
      <c r="M73" s="3" t="n">
        <v>100000</v>
      </c>
      <c r="N73" s="3" t="n">
        <v>14</v>
      </c>
      <c r="O73" s="3" t="b">
        <v>0</v>
      </c>
      <c r="P73" s="3" t="b">
        <v>0</v>
      </c>
      <c r="Q73" s="3" t="n">
        <v>1097.260273972604</v>
      </c>
      <c r="R73" s="3" t="n">
        <v>14460.27397260274</v>
      </c>
      <c r="S73" s="3" t="n">
        <v>15557.53424657534</v>
      </c>
      <c r="T73" s="5">
        <f>IF(J73&lt;&gt;"",M73*N73/365/100*('Cashflow Projection'!$B$2-Investors!J73),0)</f>
        <v/>
      </c>
    </row>
    <row r="74">
      <c r="A74" s="3" t="inlineStr">
        <is>
          <t>ZTHO01</t>
        </is>
      </c>
      <c r="B74" s="3" t="inlineStr">
        <is>
          <t>Tamzin</t>
        </is>
      </c>
      <c r="C74" s="3" t="inlineStr">
        <is>
          <t>Hoets</t>
        </is>
      </c>
      <c r="D74" s="3" t="inlineStr">
        <is>
          <t>Heron Fields</t>
        </is>
      </c>
      <c r="E74" s="3" t="inlineStr">
        <is>
          <t>HFB101</t>
        </is>
      </c>
      <c r="F74" s="3" t="b">
        <v>1</v>
      </c>
      <c r="G74" s="3" t="b">
        <v>1</v>
      </c>
      <c r="H74" s="3" t="inlineStr">
        <is>
          <t>B</t>
        </is>
      </c>
      <c r="I74" s="4" t="n">
        <v>44244</v>
      </c>
      <c r="J74" s="4" t="n">
        <v>44352</v>
      </c>
      <c r="K74" s="4" t="n">
        <v>44909</v>
      </c>
      <c r="L74" s="3" t="n">
        <v>1</v>
      </c>
      <c r="M74" s="3" t="n">
        <v>100000</v>
      </c>
      <c r="N74" s="3" t="n">
        <v>15</v>
      </c>
      <c r="O74" s="3" t="b">
        <v>0</v>
      </c>
      <c r="P74" s="3" t="b">
        <v>0</v>
      </c>
      <c r="Q74" s="3" t="n">
        <v>1849.315068493153</v>
      </c>
      <c r="R74" s="3" t="n">
        <v>22890.41095890411</v>
      </c>
      <c r="S74" s="3" t="n">
        <v>24739.72602739726</v>
      </c>
      <c r="T74" s="5">
        <f>IF(J74&lt;&gt;"",M74*N74/365/100*('Cashflow Projection'!$B$2-Investors!J74),0)</f>
        <v/>
      </c>
    </row>
    <row r="75">
      <c r="A75" s="3" t="inlineStr">
        <is>
          <t>ZCRO01</t>
        </is>
      </c>
      <c r="B75" s="3" t="inlineStr">
        <is>
          <t>Marc</t>
        </is>
      </c>
      <c r="C75" s="3" t="inlineStr">
        <is>
          <t>Lunau</t>
        </is>
      </c>
      <c r="D75" s="3" t="inlineStr">
        <is>
          <t>Heron Fields</t>
        </is>
      </c>
      <c r="E75" s="3" t="inlineStr">
        <is>
          <t>HFB102</t>
        </is>
      </c>
      <c r="F75" s="3" t="b">
        <v>1</v>
      </c>
      <c r="G75" s="3" t="b">
        <v>1</v>
      </c>
      <c r="H75" s="3" t="inlineStr">
        <is>
          <t>B</t>
        </is>
      </c>
      <c r="I75" s="4" t="n">
        <v>44266</v>
      </c>
      <c r="J75" s="4" t="n">
        <v>44352</v>
      </c>
      <c r="K75" s="4" t="n">
        <v>44896</v>
      </c>
      <c r="L75" s="3" t="n">
        <v>2</v>
      </c>
      <c r="M75" s="3" t="n">
        <v>110000</v>
      </c>
      <c r="N75" s="3" t="n">
        <v>18</v>
      </c>
      <c r="O75" s="3" t="b">
        <v>0</v>
      </c>
      <c r="P75" s="3" t="b">
        <v>0</v>
      </c>
      <c r="Q75" s="3" t="n">
        <v>1619.863013698627</v>
      </c>
      <c r="R75" s="3" t="n">
        <v>29510.13698630137</v>
      </c>
      <c r="S75" s="3" t="n">
        <v>31130</v>
      </c>
      <c r="T75" s="5">
        <f>IF(J75&lt;&gt;"",M75*N75/365/100*('Cashflow Projection'!$B$2-Investors!J75),0)</f>
        <v/>
      </c>
    </row>
    <row r="76">
      <c r="A76" s="3" t="inlineStr">
        <is>
          <t>ZGOV01</t>
        </is>
      </c>
      <c r="B76" s="3" t="inlineStr">
        <is>
          <t>Preshnee</t>
        </is>
      </c>
      <c r="C76" s="3" t="inlineStr">
        <is>
          <t>Govender</t>
        </is>
      </c>
      <c r="D76" s="3" t="inlineStr">
        <is>
          <t>Heron Fields</t>
        </is>
      </c>
      <c r="E76" s="3" t="inlineStr">
        <is>
          <t>HFB102</t>
        </is>
      </c>
      <c r="F76" s="3" t="b">
        <v>1</v>
      </c>
      <c r="G76" s="3" t="b">
        <v>1</v>
      </c>
      <c r="H76" s="3" t="inlineStr">
        <is>
          <t>B</t>
        </is>
      </c>
      <c r="I76" s="4" t="n">
        <v>44319</v>
      </c>
      <c r="J76" s="4" t="n">
        <v>44352</v>
      </c>
      <c r="K76" s="4" t="n">
        <v>44896</v>
      </c>
      <c r="L76" s="3" t="n">
        <v>1</v>
      </c>
      <c r="M76" s="3" t="n">
        <v>100000</v>
      </c>
      <c r="N76" s="3" t="n">
        <v>15</v>
      </c>
      <c r="O76" s="3" t="b">
        <v>0</v>
      </c>
      <c r="P76" s="3" t="b">
        <v>0</v>
      </c>
      <c r="Q76" s="3" t="n">
        <v>565.0684931506853</v>
      </c>
      <c r="R76" s="3" t="n">
        <v>22356.16438356164</v>
      </c>
      <c r="S76" s="3" t="n">
        <v>22921.23287671233</v>
      </c>
      <c r="T76" s="5">
        <f>IF(J76&lt;&gt;"",M76*N76/365/100*('Cashflow Projection'!$B$2-Investors!J76),0)</f>
        <v/>
      </c>
    </row>
    <row r="77">
      <c r="A77" s="3" t="inlineStr">
        <is>
          <t>ZINT01</t>
        </is>
      </c>
      <c r="B77" s="3" t="inlineStr">
        <is>
          <t>Marc</t>
        </is>
      </c>
      <c r="C77" s="3" t="inlineStr">
        <is>
          <t>Lunau</t>
        </is>
      </c>
      <c r="D77" s="3" t="inlineStr">
        <is>
          <t>Heron Fields</t>
        </is>
      </c>
      <c r="E77" s="3" t="inlineStr">
        <is>
          <t>HFB102</t>
        </is>
      </c>
      <c r="F77" s="3" t="b">
        <v>1</v>
      </c>
      <c r="G77" s="3" t="b">
        <v>1</v>
      </c>
      <c r="H77" s="3" t="inlineStr">
        <is>
          <t>B</t>
        </is>
      </c>
      <c r="I77" s="4" t="n">
        <v>44266</v>
      </c>
      <c r="J77" s="4" t="n">
        <v>44352</v>
      </c>
      <c r="K77" s="4" t="n">
        <v>44896</v>
      </c>
      <c r="L77" s="3" t="n">
        <v>7</v>
      </c>
      <c r="M77" s="3" t="n">
        <v>100000</v>
      </c>
      <c r="N77" s="3" t="n">
        <v>18</v>
      </c>
      <c r="O77" s="3" t="b">
        <v>0</v>
      </c>
      <c r="P77" s="3" t="b">
        <v>0</v>
      </c>
      <c r="Q77" s="3" t="n">
        <v>1472.602739726029</v>
      </c>
      <c r="R77" s="3" t="n">
        <v>26827.39726027397</v>
      </c>
      <c r="S77" s="3" t="n">
        <v>28300</v>
      </c>
      <c r="T77" s="5">
        <f>IF(J77&lt;&gt;"",M77*N77/365/100*('Cashflow Projection'!$B$2-Investors!J77),0)</f>
        <v/>
      </c>
    </row>
    <row r="78">
      <c r="A78" s="3" t="inlineStr">
        <is>
          <t>ZJOH01</t>
        </is>
      </c>
      <c r="B78" s="3" t="inlineStr">
        <is>
          <t>Lisa-Marie Natalie</t>
        </is>
      </c>
      <c r="C78" s="3" t="inlineStr">
        <is>
          <t>Johns</t>
        </is>
      </c>
      <c r="D78" s="3" t="inlineStr">
        <is>
          <t>Heron Fields</t>
        </is>
      </c>
      <c r="E78" s="3" t="inlineStr">
        <is>
          <t>HFB102</t>
        </is>
      </c>
      <c r="F78" s="3" t="b">
        <v>1</v>
      </c>
      <c r="G78" s="3" t="b">
        <v>1</v>
      </c>
      <c r="H78" s="3" t="inlineStr">
        <is>
          <t>B</t>
        </is>
      </c>
      <c r="I78" s="4" t="n">
        <v>44113</v>
      </c>
      <c r="J78" s="4" t="n">
        <v>44316</v>
      </c>
      <c r="K78" s="4" t="n">
        <v>44896</v>
      </c>
      <c r="L78" s="3" t="n">
        <v>2</v>
      </c>
      <c r="M78" s="3" t="n">
        <v>110000</v>
      </c>
      <c r="N78" s="3" t="n">
        <v>18</v>
      </c>
      <c r="O78" s="3" t="b">
        <v>0</v>
      </c>
      <c r="P78" s="3" t="b">
        <v>0</v>
      </c>
      <c r="Q78" s="3" t="n">
        <v>3823.630136986307</v>
      </c>
      <c r="R78" s="3" t="n">
        <v>31463.01369863014</v>
      </c>
      <c r="S78" s="3" t="n">
        <v>35286.64383561644</v>
      </c>
      <c r="T78" s="5">
        <f>IF(J78&lt;&gt;"",M78*N78/365/100*('Cashflow Projection'!$B$2-Investors!J78),0)</f>
        <v/>
      </c>
    </row>
    <row r="79">
      <c r="A79" s="3" t="inlineStr">
        <is>
          <t>ZSCH02</t>
        </is>
      </c>
      <c r="B79" s="3" t="inlineStr">
        <is>
          <t>Zeldre</t>
        </is>
      </c>
      <c r="C79" s="3" t="inlineStr">
        <is>
          <t>van Schalkwyk</t>
        </is>
      </c>
      <c r="D79" s="3" t="inlineStr">
        <is>
          <t>Heron Fields</t>
        </is>
      </c>
      <c r="E79" s="3" t="inlineStr">
        <is>
          <t>HFB102</t>
        </is>
      </c>
      <c r="F79" s="3" t="b">
        <v>1</v>
      </c>
      <c r="G79" s="3" t="b">
        <v>1</v>
      </c>
      <c r="H79" s="3" t="inlineStr">
        <is>
          <t>B</t>
        </is>
      </c>
      <c r="I79" s="4" t="n">
        <v>44180</v>
      </c>
      <c r="J79" s="4" t="n">
        <v>44352</v>
      </c>
      <c r="K79" s="4" t="n">
        <v>44896</v>
      </c>
      <c r="L79" s="3" t="n">
        <v>1</v>
      </c>
      <c r="M79" s="3" t="n">
        <v>500000</v>
      </c>
      <c r="N79" s="3" t="n">
        <v>18</v>
      </c>
      <c r="O79" s="3" t="b">
        <v>0</v>
      </c>
      <c r="P79" s="3" t="b">
        <v>0</v>
      </c>
      <c r="Q79" s="3" t="n">
        <v>14726.02739726029</v>
      </c>
      <c r="R79" s="3" t="n">
        <v>134136.9863013699</v>
      </c>
      <c r="S79" s="3" t="n">
        <v>148863.0136986302</v>
      </c>
      <c r="T79" s="5">
        <f>IF(J79&lt;&gt;"",M79*N79/365/100*('Cashflow Projection'!$B$2-Investors!J79),0)</f>
        <v/>
      </c>
    </row>
    <row r="80">
      <c r="A80" s="3" t="inlineStr">
        <is>
          <t>ZBET02</t>
        </is>
      </c>
      <c r="B80" s="3" t="inlineStr">
        <is>
          <t>Dawie Izak</t>
        </is>
      </c>
      <c r="C80" s="3" t="inlineStr">
        <is>
          <t>Bester</t>
        </is>
      </c>
      <c r="D80" s="3" t="inlineStr">
        <is>
          <t>Heron Fields</t>
        </is>
      </c>
      <c r="E80" s="3" t="inlineStr">
        <is>
          <t>HFB103</t>
        </is>
      </c>
      <c r="F80" s="3" t="b">
        <v>1</v>
      </c>
      <c r="G80" s="3" t="b">
        <v>1</v>
      </c>
      <c r="H80" s="3" t="inlineStr">
        <is>
          <t>B</t>
        </is>
      </c>
      <c r="I80" s="4" t="n">
        <v>44267</v>
      </c>
      <c r="J80" s="4" t="n">
        <v>44352</v>
      </c>
      <c r="K80" s="4" t="n">
        <v>44887</v>
      </c>
      <c r="L80" s="3" t="n">
        <v>1</v>
      </c>
      <c r="M80" s="3" t="n">
        <v>100000</v>
      </c>
      <c r="N80" s="3" t="n">
        <v>15</v>
      </c>
      <c r="O80" s="3" t="b">
        <v>0</v>
      </c>
      <c r="P80" s="3" t="b">
        <v>0</v>
      </c>
      <c r="Q80" s="3" t="n">
        <v>1455.479452054796</v>
      </c>
      <c r="R80" s="3" t="n">
        <v>21986.30136986301</v>
      </c>
      <c r="S80" s="3" t="n">
        <v>23441.78082191781</v>
      </c>
      <c r="T80" s="5">
        <f>IF(J80&lt;&gt;"",M80*N80/365/100*('Cashflow Projection'!$B$2-Investors!J80),0)</f>
        <v/>
      </c>
    </row>
    <row r="81">
      <c r="A81" s="3" t="inlineStr">
        <is>
          <t>ZINT01</t>
        </is>
      </c>
      <c r="B81" s="3" t="inlineStr">
        <is>
          <t>Marc</t>
        </is>
      </c>
      <c r="C81" s="3" t="inlineStr">
        <is>
          <t>Lunau</t>
        </is>
      </c>
      <c r="D81" s="3" t="inlineStr">
        <is>
          <t>Heron Fields</t>
        </is>
      </c>
      <c r="E81" s="3" t="inlineStr">
        <is>
          <t>HFB103</t>
        </is>
      </c>
      <c r="F81" s="3" t="b">
        <v>1</v>
      </c>
      <c r="G81" s="3" t="b">
        <v>1</v>
      </c>
      <c r="H81" s="3" t="inlineStr">
        <is>
          <t>B</t>
        </is>
      </c>
      <c r="I81" s="4" t="n">
        <v>44117</v>
      </c>
      <c r="J81" s="4" t="n">
        <v>44316</v>
      </c>
      <c r="K81" s="4" t="n">
        <v>44887</v>
      </c>
      <c r="L81" s="3" t="n">
        <v>4</v>
      </c>
      <c r="M81" s="3" t="n">
        <v>100000</v>
      </c>
      <c r="N81" s="3" t="n">
        <v>18</v>
      </c>
      <c r="O81" s="3" t="b">
        <v>0</v>
      </c>
      <c r="P81" s="3" t="b">
        <v>0</v>
      </c>
      <c r="Q81" s="3" t="n">
        <v>3407.534246575347</v>
      </c>
      <c r="R81" s="3" t="n">
        <v>28158.90410958904</v>
      </c>
      <c r="S81" s="3" t="n">
        <v>31566.43835616438</v>
      </c>
      <c r="T81" s="5">
        <f>IF(J81&lt;&gt;"",M81*N81/365/100*('Cashflow Projection'!$B$2-Investors!J81),0)</f>
        <v/>
      </c>
    </row>
    <row r="82">
      <c r="A82" s="3" t="inlineStr">
        <is>
          <t>ZMCK01</t>
        </is>
      </c>
      <c r="B82" s="3" t="inlineStr">
        <is>
          <t>Caitlin</t>
        </is>
      </c>
      <c r="C82" s="3" t="inlineStr">
        <is>
          <t>MacKenzie-Jones</t>
        </is>
      </c>
      <c r="D82" s="3" t="inlineStr">
        <is>
          <t>Heron Fields</t>
        </is>
      </c>
      <c r="E82" s="3" t="inlineStr">
        <is>
          <t>HFB103</t>
        </is>
      </c>
      <c r="F82" s="3" t="b">
        <v>1</v>
      </c>
      <c r="G82" s="3" t="b">
        <v>1</v>
      </c>
      <c r="H82" s="3" t="inlineStr">
        <is>
          <t>B</t>
        </is>
      </c>
      <c r="I82" s="4" t="n">
        <v>44274</v>
      </c>
      <c r="J82" s="4" t="n">
        <v>44352</v>
      </c>
      <c r="K82" s="4" t="n">
        <v>44887</v>
      </c>
      <c r="L82" s="3" t="n">
        <v>3</v>
      </c>
      <c r="M82" s="3" t="n">
        <v>600000</v>
      </c>
      <c r="N82" s="3" t="n">
        <v>18</v>
      </c>
      <c r="O82" s="3" t="b">
        <v>0</v>
      </c>
      <c r="P82" s="3" t="b">
        <v>0</v>
      </c>
      <c r="Q82" s="3" t="n">
        <v>8013.698630136994</v>
      </c>
      <c r="R82" s="3" t="n">
        <v>158301.3698630137</v>
      </c>
      <c r="S82" s="3" t="n">
        <v>166315.0684931507</v>
      </c>
      <c r="T82" s="5">
        <f>IF(J82&lt;&gt;"",M82*N82/365/100*('Cashflow Projection'!$B$2-Investors!J82),0)</f>
        <v/>
      </c>
    </row>
    <row r="83">
      <c r="A83" s="3" t="inlineStr">
        <is>
          <t>ZZYL02</t>
        </is>
      </c>
      <c r="B83" s="3" t="inlineStr">
        <is>
          <t>Petronella Johanna</t>
        </is>
      </c>
      <c r="C83" s="3" t="inlineStr">
        <is>
          <t>Zylstra</t>
        </is>
      </c>
      <c r="D83" s="3" t="inlineStr">
        <is>
          <t>Heron Fields</t>
        </is>
      </c>
      <c r="E83" s="3" t="inlineStr">
        <is>
          <t>HFB103</t>
        </is>
      </c>
      <c r="F83" s="3" t="b">
        <v>1</v>
      </c>
      <c r="G83" s="3" t="b">
        <v>1</v>
      </c>
      <c r="H83" s="3" t="inlineStr">
        <is>
          <t>B</t>
        </is>
      </c>
      <c r="I83" s="4" t="n">
        <v>44257</v>
      </c>
      <c r="J83" s="4" t="n">
        <v>44352</v>
      </c>
      <c r="K83" s="4" t="n">
        <v>44887</v>
      </c>
      <c r="L83" s="3" t="n">
        <v>1</v>
      </c>
      <c r="M83" s="3" t="n">
        <v>100000</v>
      </c>
      <c r="N83" s="3" t="n">
        <v>15</v>
      </c>
      <c r="O83" s="3" t="b">
        <v>0</v>
      </c>
      <c r="P83" s="3" t="b">
        <v>0</v>
      </c>
      <c r="Q83" s="3" t="n">
        <v>1626.712328767125</v>
      </c>
      <c r="R83" s="3" t="n">
        <v>21986.30136986301</v>
      </c>
      <c r="S83" s="3" t="n">
        <v>23613.01369863014</v>
      </c>
      <c r="T83" s="5">
        <f>IF(J83&lt;&gt;"",M83*N83/365/100*('Cashflow Projection'!$B$2-Investors!J83),0)</f>
        <v/>
      </c>
    </row>
    <row r="84">
      <c r="A84" s="3" t="inlineStr">
        <is>
          <t>ZLUN01</t>
        </is>
      </c>
      <c r="B84" s="3" t="inlineStr">
        <is>
          <t>Marc</t>
        </is>
      </c>
      <c r="C84" s="3" t="inlineStr">
        <is>
          <t>Lunau</t>
        </is>
      </c>
      <c r="D84" s="3" t="inlineStr">
        <is>
          <t>Heron Fields</t>
        </is>
      </c>
      <c r="E84" s="3" t="inlineStr">
        <is>
          <t>HFB104</t>
        </is>
      </c>
      <c r="F84" s="3" t="b">
        <v>1</v>
      </c>
      <c r="G84" s="3" t="b">
        <v>1</v>
      </c>
      <c r="H84" s="3" t="inlineStr">
        <is>
          <t>B</t>
        </is>
      </c>
      <c r="I84" s="4" t="n">
        <v>44187</v>
      </c>
      <c r="J84" s="4" t="n">
        <v>44352</v>
      </c>
      <c r="K84" s="4" t="n">
        <v>44895</v>
      </c>
      <c r="L84" s="3" t="n">
        <v>4</v>
      </c>
      <c r="M84" s="3" t="n">
        <v>120000</v>
      </c>
      <c r="N84" s="3" t="n">
        <v>18</v>
      </c>
      <c r="O84" s="3" t="b">
        <v>1</v>
      </c>
      <c r="P84" s="3" t="b">
        <v>0</v>
      </c>
      <c r="Q84" s="3" t="n">
        <v>3390.410958904122</v>
      </c>
      <c r="R84" s="3" t="n">
        <v>32133.69863013699</v>
      </c>
      <c r="S84" s="3" t="n">
        <v>35524.10958904111</v>
      </c>
      <c r="T84" s="5">
        <f>IF(J84&lt;&gt;"",M84*N84/365/100*('Cashflow Projection'!$B$2-Investors!J84),0)</f>
        <v/>
      </c>
    </row>
    <row r="85">
      <c r="A85" s="3" t="inlineStr">
        <is>
          <t>ZMCD01</t>
        </is>
      </c>
      <c r="B85" s="3" t="inlineStr">
        <is>
          <t>Veronica Agnes</t>
        </is>
      </c>
      <c r="C85" s="3" t="inlineStr">
        <is>
          <t>McDonald</t>
        </is>
      </c>
      <c r="D85" s="3" t="inlineStr">
        <is>
          <t>Heron Fields</t>
        </is>
      </c>
      <c r="E85" s="3" t="inlineStr">
        <is>
          <t>HFB104</t>
        </is>
      </c>
      <c r="F85" s="3" t="b">
        <v>1</v>
      </c>
      <c r="G85" s="3" t="b">
        <v>1</v>
      </c>
      <c r="H85" s="3" t="inlineStr">
        <is>
          <t>B</t>
        </is>
      </c>
      <c r="I85" s="4" t="n">
        <v>44253</v>
      </c>
      <c r="J85" s="4" t="n">
        <v>44352</v>
      </c>
      <c r="K85" s="4" t="n">
        <v>44895</v>
      </c>
      <c r="L85" s="3" t="n">
        <v>6</v>
      </c>
      <c r="M85" s="3" t="n">
        <v>531887.67</v>
      </c>
      <c r="N85" s="3" t="n">
        <v>18</v>
      </c>
      <c r="O85" s="3" t="b">
        <v>1</v>
      </c>
      <c r="P85" s="3" t="b">
        <v>0</v>
      </c>
      <c r="Q85" s="3" t="n">
        <v>9016.588926369855</v>
      </c>
      <c r="R85" s="3" t="n">
        <v>142429.3174405479</v>
      </c>
      <c r="S85" s="3" t="n">
        <v>151445.9063669178</v>
      </c>
      <c r="T85" s="5">
        <f>IF(J85&lt;&gt;"",M85*N85/365/100*('Cashflow Projection'!$B$2-Investors!J85),0)</f>
        <v/>
      </c>
    </row>
    <row r="86">
      <c r="A86" s="3" t="inlineStr">
        <is>
          <t>ZRAN01</t>
        </is>
      </c>
      <c r="B86" s="3" t="inlineStr">
        <is>
          <t>Ross Partick Gemill</t>
        </is>
      </c>
      <c r="C86" s="3" t="inlineStr">
        <is>
          <t>Rankin</t>
        </is>
      </c>
      <c r="D86" s="3" t="inlineStr">
        <is>
          <t>Heron Fields</t>
        </is>
      </c>
      <c r="E86" s="3" t="inlineStr">
        <is>
          <t>HFB104</t>
        </is>
      </c>
      <c r="F86" s="3" t="b">
        <v>1</v>
      </c>
      <c r="G86" s="3" t="b">
        <v>1</v>
      </c>
      <c r="H86" s="3" t="inlineStr">
        <is>
          <t>B</t>
        </is>
      </c>
      <c r="I86" s="4" t="n">
        <v>44494</v>
      </c>
      <c r="J86" s="4" t="n">
        <v>44664</v>
      </c>
      <c r="K86" s="4" t="n">
        <v>44895</v>
      </c>
      <c r="L86" s="3" t="n">
        <v>21</v>
      </c>
      <c r="M86" s="3" t="n">
        <v>100000</v>
      </c>
      <c r="N86" s="3" t="n">
        <v>18</v>
      </c>
      <c r="O86" s="3" t="b">
        <v>1</v>
      </c>
      <c r="P86" s="3" t="b">
        <v>0</v>
      </c>
      <c r="Q86" s="3" t="n">
        <v>3060.958904109598</v>
      </c>
      <c r="R86" s="3" t="n">
        <v>11391.78082191781</v>
      </c>
      <c r="S86" s="3" t="n">
        <v>14452.73972602741</v>
      </c>
      <c r="T86" s="5">
        <f>IF(J86&lt;&gt;"",M86*N86/365/100*('Cashflow Projection'!$B$2-Investors!J86),0)</f>
        <v/>
      </c>
    </row>
    <row r="87">
      <c r="A87" s="3" t="inlineStr">
        <is>
          <t>ZRIB01</t>
        </is>
      </c>
      <c r="B87" s="3" t="inlineStr">
        <is>
          <t>Paulo Sergio Da Silva</t>
        </is>
      </c>
      <c r="C87" s="3" t="inlineStr">
        <is>
          <t>Ribeiro</t>
        </is>
      </c>
      <c r="D87" s="3" t="inlineStr">
        <is>
          <t>Heron Fields</t>
        </is>
      </c>
      <c r="E87" s="3" t="inlineStr">
        <is>
          <t>HFB104</t>
        </is>
      </c>
      <c r="F87" s="3" t="b">
        <v>1</v>
      </c>
      <c r="G87" s="3" t="b">
        <v>1</v>
      </c>
      <c r="H87" s="3" t="inlineStr">
        <is>
          <t>B</t>
        </is>
      </c>
      <c r="I87" s="4" t="n">
        <v>44253</v>
      </c>
      <c r="J87" s="4" t="n">
        <v>44352</v>
      </c>
      <c r="K87" s="4" t="n">
        <v>44908</v>
      </c>
      <c r="L87" s="3" t="n">
        <v>1</v>
      </c>
      <c r="M87" s="3" t="n">
        <v>150000</v>
      </c>
      <c r="N87" s="3" t="n">
        <v>15</v>
      </c>
      <c r="O87" s="3" t="b">
        <v>0</v>
      </c>
      <c r="P87" s="3" t="b">
        <v>0</v>
      </c>
      <c r="Q87" s="3" t="n">
        <v>2542.808219178085</v>
      </c>
      <c r="R87" s="3" t="n">
        <v>34273.97260273973</v>
      </c>
      <c r="S87" s="3" t="n">
        <v>36816.78082191781</v>
      </c>
      <c r="T87" s="5">
        <f>IF(J87&lt;&gt;"",M87*N87/365/100*('Cashflow Projection'!$B$2-Investors!J87),0)</f>
        <v/>
      </c>
    </row>
    <row r="88">
      <c r="A88" s="3" t="inlineStr">
        <is>
          <t>ZBUR01</t>
        </is>
      </c>
      <c r="B88" s="3" t="inlineStr">
        <is>
          <t>Barend Frederik</t>
        </is>
      </c>
      <c r="C88" s="3" t="inlineStr">
        <is>
          <t>Burger</t>
        </is>
      </c>
      <c r="D88" s="3" t="inlineStr">
        <is>
          <t>Heron Fields</t>
        </is>
      </c>
      <c r="E88" s="3" t="inlineStr">
        <is>
          <t>HFB105</t>
        </is>
      </c>
      <c r="F88" s="3" t="b">
        <v>1</v>
      </c>
      <c r="G88" s="3" t="b">
        <v>1</v>
      </c>
      <c r="H88" s="3" t="inlineStr">
        <is>
          <t>B</t>
        </is>
      </c>
      <c r="I88" s="4" t="n">
        <v>44273</v>
      </c>
      <c r="J88" s="4" t="n">
        <v>44352</v>
      </c>
      <c r="K88" s="4" t="n">
        <v>44992</v>
      </c>
      <c r="L88" s="3" t="n">
        <v>1</v>
      </c>
      <c r="M88" s="3" t="n">
        <v>150000</v>
      </c>
      <c r="N88" s="3" t="n">
        <v>15</v>
      </c>
      <c r="O88" s="3" t="b">
        <v>0</v>
      </c>
      <c r="P88" s="3" t="b">
        <v>0</v>
      </c>
      <c r="Q88" s="3" t="n">
        <v>2029.109589041098</v>
      </c>
      <c r="R88" s="3" t="n">
        <v>39452.05479452055</v>
      </c>
      <c r="S88" s="3" t="n">
        <v>41481.16438356164</v>
      </c>
      <c r="T88" s="5">
        <f>IF(J88&lt;&gt;"",M88*N88/365/100*('Cashflow Projection'!$B$2-Investors!J88),0)</f>
        <v/>
      </c>
    </row>
    <row r="89">
      <c r="A89" s="3" t="inlineStr">
        <is>
          <t>ZJOH01</t>
        </is>
      </c>
      <c r="B89" s="3" t="inlineStr">
        <is>
          <t>Lisa-Marie Natalie</t>
        </is>
      </c>
      <c r="C89" s="3" t="inlineStr">
        <is>
          <t>Johns</t>
        </is>
      </c>
      <c r="D89" s="3" t="inlineStr">
        <is>
          <t>Heron Fields</t>
        </is>
      </c>
      <c r="E89" s="3" t="inlineStr">
        <is>
          <t>HFB105</t>
        </is>
      </c>
      <c r="F89" s="3" t="b">
        <v>1</v>
      </c>
      <c r="G89" s="3" t="b">
        <v>1</v>
      </c>
      <c r="H89" s="3" t="inlineStr">
        <is>
          <t>B</t>
        </is>
      </c>
      <c r="I89" s="4" t="n">
        <v>44113</v>
      </c>
      <c r="J89" s="4" t="n">
        <v>44316</v>
      </c>
      <c r="K89" s="4" t="n">
        <v>44953</v>
      </c>
      <c r="L89" s="3" t="n">
        <v>3</v>
      </c>
      <c r="M89" s="3" t="n">
        <v>110000</v>
      </c>
      <c r="N89" s="3" t="n">
        <v>18</v>
      </c>
      <c r="O89" s="3" t="b">
        <v>1</v>
      </c>
      <c r="P89" s="3" t="b">
        <v>0</v>
      </c>
      <c r="Q89" s="3" t="n">
        <v>3823.630136986307</v>
      </c>
      <c r="R89" s="3" t="n">
        <v>34555.06849315068</v>
      </c>
      <c r="S89" s="3" t="n">
        <v>38378.69863013699</v>
      </c>
      <c r="T89" s="5">
        <f>IF(J89&lt;&gt;"",M89*N89/365/100*('Cashflow Projection'!$B$2-Investors!J89),0)</f>
        <v/>
      </c>
    </row>
    <row r="90">
      <c r="A90" s="3" t="inlineStr">
        <is>
          <t>ZKRU01</t>
        </is>
      </c>
      <c r="B90" s="3" t="inlineStr">
        <is>
          <t>Jurgen</t>
        </is>
      </c>
      <c r="C90" s="3" t="inlineStr">
        <is>
          <t>Kruger</t>
        </is>
      </c>
      <c r="D90" s="3" t="inlineStr">
        <is>
          <t>Heron Fields</t>
        </is>
      </c>
      <c r="E90" s="3" t="inlineStr">
        <is>
          <t>HFB105</t>
        </is>
      </c>
      <c r="F90" s="3" t="b">
        <v>1</v>
      </c>
      <c r="G90" s="3" t="b">
        <v>1</v>
      </c>
      <c r="H90" s="3" t="inlineStr">
        <is>
          <t>B</t>
        </is>
      </c>
      <c r="I90" s="4" t="n">
        <v>44253</v>
      </c>
      <c r="J90" s="4" t="n">
        <v>44378</v>
      </c>
      <c r="K90" s="4" t="n">
        <v>44952</v>
      </c>
      <c r="L90" s="3" t="n">
        <v>4</v>
      </c>
      <c r="M90" s="3" t="n">
        <v>628145.58</v>
      </c>
      <c r="N90" s="3" t="n">
        <v>18</v>
      </c>
      <c r="O90" s="3" t="b">
        <v>1</v>
      </c>
      <c r="P90" s="3" t="b">
        <v>0</v>
      </c>
      <c r="Q90" s="3" t="n">
        <v>13444.89683219177</v>
      </c>
      <c r="R90" s="3" t="n">
        <v>177808.222809863</v>
      </c>
      <c r="S90" s="3" t="n">
        <v>191253.1196420547</v>
      </c>
      <c r="T90" s="5">
        <f>IF(J90&lt;&gt;"",M90*N90/365/100*('Cashflow Projection'!$B$2-Investors!J90),0)</f>
        <v/>
      </c>
    </row>
    <row r="91">
      <c r="A91" s="3" t="inlineStr">
        <is>
          <t>ZBAR02</t>
        </is>
      </c>
      <c r="B91" s="3" t="inlineStr">
        <is>
          <t>Nicolaas Jacobus (Jaco)</t>
        </is>
      </c>
      <c r="C91" s="3" t="inlineStr">
        <is>
          <t>Barkhuysen</t>
        </is>
      </c>
      <c r="D91" s="3" t="inlineStr">
        <is>
          <t>Heron Fields</t>
        </is>
      </c>
      <c r="E91" s="3" t="inlineStr">
        <is>
          <t>HFB106</t>
        </is>
      </c>
      <c r="F91" s="3" t="b">
        <v>1</v>
      </c>
      <c r="G91" s="3" t="b">
        <v>1</v>
      </c>
      <c r="H91" s="3" t="inlineStr">
        <is>
          <t>B</t>
        </is>
      </c>
      <c r="I91" s="4" t="n">
        <v>44286</v>
      </c>
      <c r="J91" s="4" t="n">
        <v>44352</v>
      </c>
      <c r="K91" s="4" t="n">
        <v>44956</v>
      </c>
      <c r="L91" s="3" t="n">
        <v>1</v>
      </c>
      <c r="M91" s="3" t="n">
        <v>300000</v>
      </c>
      <c r="N91" s="3" t="n">
        <v>15</v>
      </c>
      <c r="O91" s="3" t="b">
        <v>0</v>
      </c>
      <c r="P91" s="3" t="b">
        <v>0</v>
      </c>
      <c r="Q91" s="3" t="n">
        <v>3390.410958904113</v>
      </c>
      <c r="R91" s="3" t="n">
        <v>74465.75342465754</v>
      </c>
      <c r="S91" s="3" t="n">
        <v>77856.16438356166</v>
      </c>
      <c r="T91" s="5">
        <f>IF(J91&lt;&gt;"",M91*N91/365/100*('Cashflow Projection'!$B$2-Investors!J91),0)</f>
        <v/>
      </c>
    </row>
    <row r="92">
      <c r="A92" s="3" t="inlineStr">
        <is>
          <t>ZINT01</t>
        </is>
      </c>
      <c r="B92" s="3" t="inlineStr">
        <is>
          <t>Marc</t>
        </is>
      </c>
      <c r="C92" s="3" t="inlineStr">
        <is>
          <t>Lunau</t>
        </is>
      </c>
      <c r="D92" s="3" t="inlineStr">
        <is>
          <t>Heron Fields</t>
        </is>
      </c>
      <c r="E92" s="3" t="inlineStr">
        <is>
          <t>HFB106</t>
        </is>
      </c>
      <c r="F92" s="3" t="b">
        <v>1</v>
      </c>
      <c r="G92" s="3" t="b">
        <v>1</v>
      </c>
      <c r="H92" s="3" t="inlineStr">
        <is>
          <t>B</t>
        </is>
      </c>
      <c r="I92" s="4" t="n">
        <v>44117</v>
      </c>
      <c r="J92" s="4" t="n">
        <v>44316</v>
      </c>
      <c r="K92" s="4" t="n">
        <v>44956</v>
      </c>
      <c r="L92" s="3" t="n">
        <v>5</v>
      </c>
      <c r="M92" s="3" t="n">
        <v>100000</v>
      </c>
      <c r="N92" s="3" t="n">
        <v>18</v>
      </c>
      <c r="O92" s="3" t="b">
        <v>0</v>
      </c>
      <c r="P92" s="3" t="b">
        <v>0</v>
      </c>
      <c r="Q92" s="3" t="n">
        <v>3407.534246575347</v>
      </c>
      <c r="R92" s="3" t="n">
        <v>31561.64383561644</v>
      </c>
      <c r="S92" s="3" t="n">
        <v>34969.17808219179</v>
      </c>
      <c r="T92" s="5">
        <f>IF(J92&lt;&gt;"",M92*N92/365/100*('Cashflow Projection'!$B$2-Investors!J92),0)</f>
        <v/>
      </c>
    </row>
    <row r="93">
      <c r="A93" s="3" t="inlineStr">
        <is>
          <t>ZTSO01</t>
        </is>
      </c>
      <c r="B93" s="3" t="inlineStr">
        <is>
          <t>Abram Matlotleng</t>
        </is>
      </c>
      <c r="C93" s="3" t="inlineStr">
        <is>
          <t>Tsoku</t>
        </is>
      </c>
      <c r="D93" s="3" t="inlineStr">
        <is>
          <t>Heron Fields</t>
        </is>
      </c>
      <c r="E93" s="3" t="inlineStr">
        <is>
          <t>HFB106</t>
        </is>
      </c>
      <c r="F93" s="3" t="b">
        <v>1</v>
      </c>
      <c r="G93" s="3" t="b">
        <v>1</v>
      </c>
      <c r="H93" s="3" t="inlineStr">
        <is>
          <t>B</t>
        </is>
      </c>
      <c r="I93" s="4" t="n">
        <v>44281</v>
      </c>
      <c r="J93" s="4" t="n">
        <v>44352</v>
      </c>
      <c r="K93" s="4" t="n">
        <v>44956</v>
      </c>
      <c r="L93" s="3" t="n">
        <v>1</v>
      </c>
      <c r="M93" s="3" t="n">
        <v>400000</v>
      </c>
      <c r="N93" s="3" t="n">
        <v>15</v>
      </c>
      <c r="O93" s="3" t="b">
        <v>0</v>
      </c>
      <c r="P93" s="3" t="b">
        <v>0</v>
      </c>
      <c r="Q93" s="3" t="n">
        <v>4863.013698630142</v>
      </c>
      <c r="R93" s="3" t="n">
        <v>99287.6712328767</v>
      </c>
      <c r="S93" s="3" t="n">
        <v>104150.6849315068</v>
      </c>
      <c r="T93" s="5">
        <f>IF(J93&lt;&gt;"",M93*N93/365/100*('Cashflow Projection'!$B$2-Investors!J93),0)</f>
        <v/>
      </c>
    </row>
    <row r="94">
      <c r="A94" s="3" t="inlineStr">
        <is>
          <t>ZWAY01</t>
        </is>
      </c>
      <c r="B94" s="3" t="inlineStr">
        <is>
          <t>Shirley Kathleen</t>
        </is>
      </c>
      <c r="C94" s="3" t="inlineStr">
        <is>
          <t>Way</t>
        </is>
      </c>
      <c r="D94" s="3" t="inlineStr">
        <is>
          <t>Heron Fields</t>
        </is>
      </c>
      <c r="E94" s="3" t="inlineStr">
        <is>
          <t>HFB106</t>
        </is>
      </c>
      <c r="F94" s="3" t="b">
        <v>1</v>
      </c>
      <c r="G94" s="3" t="b">
        <v>1</v>
      </c>
      <c r="H94" s="3" t="inlineStr">
        <is>
          <t>B</t>
        </is>
      </c>
      <c r="I94" s="4" t="n">
        <v>44279</v>
      </c>
      <c r="J94" s="4" t="n">
        <v>44352</v>
      </c>
      <c r="K94" s="4" t="n">
        <v>44956</v>
      </c>
      <c r="L94" s="3" t="n">
        <v>1</v>
      </c>
      <c r="M94" s="3" t="n">
        <v>100000</v>
      </c>
      <c r="N94" s="3" t="n">
        <v>15</v>
      </c>
      <c r="O94" s="3" t="b">
        <v>0</v>
      </c>
      <c r="P94" s="3" t="b">
        <v>0</v>
      </c>
      <c r="Q94" s="3" t="n">
        <v>1250.000000000001</v>
      </c>
      <c r="R94" s="3" t="n">
        <v>24821.91780821918</v>
      </c>
      <c r="S94" s="3" t="n">
        <v>26071.91780821918</v>
      </c>
      <c r="T94" s="5">
        <f>IF(J94&lt;&gt;"",M94*N94/365/100*('Cashflow Projection'!$B$2-Investors!J94),0)</f>
        <v/>
      </c>
    </row>
    <row r="95">
      <c r="A95" s="3" t="inlineStr">
        <is>
          <t>ZDIC01</t>
        </is>
      </c>
      <c r="B95" s="3" t="inlineStr">
        <is>
          <t>Grant Allan</t>
        </is>
      </c>
      <c r="C95" s="3" t="inlineStr">
        <is>
          <t>Dickinson</t>
        </is>
      </c>
      <c r="D95" s="3" t="inlineStr">
        <is>
          <t>Heron Fields</t>
        </is>
      </c>
      <c r="E95" s="3" t="inlineStr">
        <is>
          <t>HFB107</t>
        </is>
      </c>
      <c r="F95" s="3" t="b">
        <v>1</v>
      </c>
      <c r="G95" s="3" t="b">
        <v>1</v>
      </c>
      <c r="H95" s="3" t="inlineStr">
        <is>
          <t>B</t>
        </is>
      </c>
      <c r="I95" s="4" t="n">
        <v>44333</v>
      </c>
      <c r="J95" s="4" t="n">
        <v>44352</v>
      </c>
      <c r="K95" s="4" t="n">
        <v>45027</v>
      </c>
      <c r="L95" s="3" t="n">
        <v>6</v>
      </c>
      <c r="M95" s="3" t="n">
        <v>300000</v>
      </c>
      <c r="N95" s="3" t="n">
        <v>18</v>
      </c>
      <c r="O95" s="3" t="b">
        <v>0</v>
      </c>
      <c r="P95" s="3" t="b">
        <v>0</v>
      </c>
      <c r="Q95" s="3" t="n">
        <v>976.0273972602737</v>
      </c>
      <c r="R95" s="3" t="n">
        <v>99863.01369863014</v>
      </c>
      <c r="S95" s="3" t="n">
        <v>100839.0410958904</v>
      </c>
      <c r="T95" s="5">
        <f>IF(J95&lt;&gt;"",M95*N95/365/100*('Cashflow Projection'!$B$2-Investors!J95),0)</f>
        <v/>
      </c>
    </row>
    <row r="96">
      <c r="A96" s="3" t="inlineStr">
        <is>
          <t>ZJOR01</t>
        </is>
      </c>
      <c r="B96" s="3" t="inlineStr">
        <is>
          <t>Glen Rutherford</t>
        </is>
      </c>
      <c r="C96" s="3" t="inlineStr">
        <is>
          <t>Jordaan</t>
        </is>
      </c>
      <c r="D96" s="3" t="inlineStr">
        <is>
          <t>Heron Fields</t>
        </is>
      </c>
      <c r="E96" s="3" t="inlineStr">
        <is>
          <t>HFB107</t>
        </is>
      </c>
      <c r="F96" s="3" t="b">
        <v>1</v>
      </c>
      <c r="G96" s="3" t="b">
        <v>1</v>
      </c>
      <c r="H96" s="3" t="inlineStr">
        <is>
          <t>B</t>
        </is>
      </c>
      <c r="I96" s="4" t="n">
        <v>44305</v>
      </c>
      <c r="J96" s="4" t="n">
        <v>44352</v>
      </c>
      <c r="K96" s="4" t="n">
        <v>44981</v>
      </c>
      <c r="L96" s="3" t="n">
        <v>1</v>
      </c>
      <c r="M96" s="3" t="n">
        <v>500000</v>
      </c>
      <c r="N96" s="3" t="n">
        <v>18</v>
      </c>
      <c r="O96" s="3" t="b">
        <v>1</v>
      </c>
      <c r="P96" s="3" t="b">
        <v>0</v>
      </c>
      <c r="Q96" s="3" t="n">
        <v>4023.972602739728</v>
      </c>
      <c r="R96" s="3" t="n">
        <v>155095.8904109589</v>
      </c>
      <c r="S96" s="3" t="n">
        <v>159119.8630136986</v>
      </c>
      <c r="T96" s="5">
        <f>IF(J96&lt;&gt;"",M96*N96/365/100*('Cashflow Projection'!$B$2-Investors!J96),0)</f>
        <v/>
      </c>
    </row>
    <row r="97">
      <c r="A97" s="3" t="inlineStr">
        <is>
          <t>ZLUN01</t>
        </is>
      </c>
      <c r="B97" s="3" t="inlineStr">
        <is>
          <t>Marc</t>
        </is>
      </c>
      <c r="C97" s="3" t="inlineStr">
        <is>
          <t>Lunau</t>
        </is>
      </c>
      <c r="D97" s="3" t="inlineStr">
        <is>
          <t>Heron Fields</t>
        </is>
      </c>
      <c r="E97" s="3" t="inlineStr">
        <is>
          <t>HFB107</t>
        </is>
      </c>
      <c r="F97" s="3" t="b">
        <v>1</v>
      </c>
      <c r="G97" s="3" t="b">
        <v>1</v>
      </c>
      <c r="H97" s="3" t="inlineStr">
        <is>
          <t>B</t>
        </is>
      </c>
      <c r="I97" s="4" t="n">
        <v>44187</v>
      </c>
      <c r="J97" s="4" t="n">
        <v>44352</v>
      </c>
      <c r="K97" s="4" t="n">
        <v>45027</v>
      </c>
      <c r="L97" s="3" t="n">
        <v>5</v>
      </c>
      <c r="M97" s="3" t="n">
        <v>120000</v>
      </c>
      <c r="N97" s="3" t="n">
        <v>18</v>
      </c>
      <c r="O97" s="3" t="b">
        <v>0</v>
      </c>
      <c r="P97" s="3" t="b">
        <v>0</v>
      </c>
      <c r="Q97" s="3" t="n">
        <v>3390.410958904122</v>
      </c>
      <c r="R97" s="3" t="n">
        <v>39945.20547945206</v>
      </c>
      <c r="S97" s="3" t="n">
        <v>43335.61643835618</v>
      </c>
      <c r="T97" s="5">
        <f>IF(J97&lt;&gt;"",M97*N97/365/100*('Cashflow Projection'!$B$2-Investors!J97),0)</f>
        <v/>
      </c>
    </row>
    <row r="98">
      <c r="A98" s="3" t="inlineStr">
        <is>
          <t>ZCRO01</t>
        </is>
      </c>
      <c r="B98" s="3" t="inlineStr">
        <is>
          <t>Marc</t>
        </is>
      </c>
      <c r="C98" s="3" t="inlineStr">
        <is>
          <t>Lunau</t>
        </is>
      </c>
      <c r="D98" s="3" t="inlineStr">
        <is>
          <t>Heron Fields</t>
        </is>
      </c>
      <c r="E98" s="3" t="inlineStr">
        <is>
          <t>HFB108</t>
        </is>
      </c>
      <c r="F98" s="3" t="b">
        <v>1</v>
      </c>
      <c r="G98" s="3" t="b">
        <v>1</v>
      </c>
      <c r="H98" s="3" t="inlineStr">
        <is>
          <t>B</t>
        </is>
      </c>
      <c r="I98" s="4" t="n">
        <v>44266</v>
      </c>
      <c r="J98" s="4" t="n">
        <v>44352</v>
      </c>
      <c r="K98" s="4" t="n">
        <v>44953</v>
      </c>
      <c r="L98" s="3" t="n">
        <v>3</v>
      </c>
      <c r="M98" s="3" t="n">
        <v>110000</v>
      </c>
      <c r="N98" s="3" t="n">
        <v>18</v>
      </c>
      <c r="O98" s="3" t="b">
        <v>1</v>
      </c>
      <c r="P98" s="3" t="b">
        <v>0</v>
      </c>
      <c r="Q98" s="3" t="n">
        <v>1619.863013698627</v>
      </c>
      <c r="R98" s="3" t="n">
        <v>32602.19178082192</v>
      </c>
      <c r="S98" s="3" t="n">
        <v>34222.05479452055</v>
      </c>
      <c r="T98" s="5">
        <f>IF(J98&lt;&gt;"",M98*N98/365/100*('Cashflow Projection'!$B$2-Investors!J98),0)</f>
        <v/>
      </c>
    </row>
    <row r="99">
      <c r="A99" s="3" t="inlineStr">
        <is>
          <t>ZDEK01</t>
        </is>
      </c>
      <c r="B99" s="3" t="inlineStr">
        <is>
          <t>Dawn Margaret</t>
        </is>
      </c>
      <c r="C99" s="3" t="inlineStr">
        <is>
          <t>De Klerk (Way)</t>
        </is>
      </c>
      <c r="D99" s="3" t="inlineStr">
        <is>
          <t>Heron Fields</t>
        </is>
      </c>
      <c r="E99" s="3" t="inlineStr">
        <is>
          <t>HFB108</t>
        </is>
      </c>
      <c r="F99" s="3" t="b">
        <v>1</v>
      </c>
      <c r="G99" s="3" t="b">
        <v>1</v>
      </c>
      <c r="H99" s="3" t="inlineStr">
        <is>
          <t>B</t>
        </is>
      </c>
      <c r="I99" s="4" t="n">
        <v>44274</v>
      </c>
      <c r="J99" s="4" t="n">
        <v>44352</v>
      </c>
      <c r="K99" s="4" t="n">
        <v>44984</v>
      </c>
      <c r="L99" s="3" t="n">
        <v>1</v>
      </c>
      <c r="M99" s="3" t="n">
        <v>200000</v>
      </c>
      <c r="N99" s="3" t="n">
        <v>15</v>
      </c>
      <c r="O99" s="3" t="b">
        <v>0</v>
      </c>
      <c r="P99" s="3" t="b">
        <v>0</v>
      </c>
      <c r="Q99" s="3" t="n">
        <v>2671.232876712332</v>
      </c>
      <c r="R99" s="3" t="n">
        <v>51945.20547945205</v>
      </c>
      <c r="S99" s="3" t="n">
        <v>54616.43835616438</v>
      </c>
      <c r="T99" s="5">
        <f>IF(J99&lt;&gt;"",M99*N99/365/100*('Cashflow Projection'!$B$2-Investors!J99),0)</f>
        <v/>
      </c>
    </row>
    <row r="100">
      <c r="A100" s="3" t="inlineStr">
        <is>
          <t>ZJOH01</t>
        </is>
      </c>
      <c r="B100" s="3" t="inlineStr">
        <is>
          <t>Lisa-Marie Natalie</t>
        </is>
      </c>
      <c r="C100" s="3" t="inlineStr">
        <is>
          <t>Johns</t>
        </is>
      </c>
      <c r="D100" s="3" t="inlineStr">
        <is>
          <t>Heron Fields</t>
        </is>
      </c>
      <c r="E100" s="3" t="inlineStr">
        <is>
          <t>HFB108</t>
        </is>
      </c>
      <c r="F100" s="3" t="b">
        <v>1</v>
      </c>
      <c r="G100" s="3" t="b">
        <v>1</v>
      </c>
      <c r="H100" s="3" t="inlineStr">
        <is>
          <t>B</t>
        </is>
      </c>
      <c r="I100" s="4" t="n">
        <v>44113</v>
      </c>
      <c r="J100" s="4" t="n">
        <v>44316</v>
      </c>
      <c r="K100" s="4" t="n">
        <v>44953</v>
      </c>
      <c r="L100" s="3" t="n">
        <v>4</v>
      </c>
      <c r="M100" s="3" t="n">
        <v>110000</v>
      </c>
      <c r="N100" s="3" t="n">
        <v>18</v>
      </c>
      <c r="O100" s="3" t="b">
        <v>1</v>
      </c>
      <c r="P100" s="3" t="b">
        <v>0</v>
      </c>
      <c r="Q100" s="3" t="n">
        <v>3823.630136986307</v>
      </c>
      <c r="R100" s="3" t="n">
        <v>34555.06849315068</v>
      </c>
      <c r="S100" s="3" t="n">
        <v>38378.69863013699</v>
      </c>
      <c r="T100" s="5">
        <f>IF(J100&lt;&gt;"",M100*N100/365/100*('Cashflow Projection'!$B$2-Investors!J100),0)</f>
        <v/>
      </c>
    </row>
    <row r="101">
      <c r="A101" s="3" t="inlineStr">
        <is>
          <t>ZSCA01</t>
        </is>
      </c>
      <c r="B101" s="3" t="inlineStr">
        <is>
          <t>Kert</t>
        </is>
      </c>
      <c r="C101" s="3" t="inlineStr">
        <is>
          <t>Scalzini</t>
        </is>
      </c>
      <c r="D101" s="3" t="inlineStr">
        <is>
          <t>Heron Fields</t>
        </is>
      </c>
      <c r="E101" s="3" t="inlineStr">
        <is>
          <t>HFB108</t>
        </is>
      </c>
      <c r="F101" s="3" t="b">
        <v>1</v>
      </c>
      <c r="G101" s="3" t="b">
        <v>1</v>
      </c>
      <c r="H101" s="3" t="inlineStr">
        <is>
          <t>B</t>
        </is>
      </c>
      <c r="I101" s="4" t="n">
        <v>44435</v>
      </c>
      <c r="J101" s="4" t="n">
        <v>44532</v>
      </c>
      <c r="K101" s="4" t="n">
        <v>44984</v>
      </c>
      <c r="L101" s="3" t="n">
        <v>1</v>
      </c>
      <c r="M101" s="3" t="n">
        <v>500000</v>
      </c>
      <c r="N101" s="3" t="n">
        <v>18</v>
      </c>
      <c r="O101" s="3" t="b">
        <v>0</v>
      </c>
      <c r="P101" s="3" t="b">
        <v>0</v>
      </c>
      <c r="Q101" s="3" t="n">
        <v>8311.643835616445</v>
      </c>
      <c r="R101" s="3" t="n">
        <v>111452.0547945205</v>
      </c>
      <c r="S101" s="3" t="n">
        <v>119763.698630137</v>
      </c>
      <c r="T101" s="5">
        <f>IF(J101&lt;&gt;"",M101*N101/365/100*('Cashflow Projection'!$B$2-Investors!J101),0)</f>
        <v/>
      </c>
    </row>
    <row r="102">
      <c r="A102" s="3" t="inlineStr">
        <is>
          <t>ZCRO01</t>
        </is>
      </c>
      <c r="B102" s="3" t="inlineStr">
        <is>
          <t>Marc</t>
        </is>
      </c>
      <c r="C102" s="3" t="inlineStr">
        <is>
          <t>Lunau</t>
        </is>
      </c>
      <c r="D102" s="3" t="inlineStr">
        <is>
          <t>Heron Fields</t>
        </is>
      </c>
      <c r="E102" s="3" t="inlineStr">
        <is>
          <t>HFB109</t>
        </is>
      </c>
      <c r="F102" s="3" t="b">
        <v>1</v>
      </c>
      <c r="G102" s="3" t="b">
        <v>1</v>
      </c>
      <c r="H102" s="3" t="inlineStr">
        <is>
          <t>B</t>
        </is>
      </c>
      <c r="I102" s="4" t="n">
        <v>44266</v>
      </c>
      <c r="J102" s="4" t="n">
        <v>44352</v>
      </c>
      <c r="K102" s="4" t="n">
        <v>44999</v>
      </c>
      <c r="L102" s="3" t="n">
        <v>4</v>
      </c>
      <c r="M102" s="3" t="n">
        <v>110000</v>
      </c>
      <c r="N102" s="3" t="n">
        <v>18</v>
      </c>
      <c r="O102" s="3" t="b">
        <v>0</v>
      </c>
      <c r="P102" s="3" t="b">
        <v>0</v>
      </c>
      <c r="Q102" s="3" t="n">
        <v>1619.863013698627</v>
      </c>
      <c r="R102" s="3" t="n">
        <v>35097.53424657534</v>
      </c>
      <c r="S102" s="3" t="n">
        <v>36717.39726027397</v>
      </c>
      <c r="T102" s="5">
        <f>IF(J102&lt;&gt;"",M102*N102/365/100*('Cashflow Projection'!$B$2-Investors!J102),0)</f>
        <v/>
      </c>
    </row>
    <row r="103">
      <c r="A103" s="3" t="inlineStr">
        <is>
          <t>ZGIL01</t>
        </is>
      </c>
      <c r="B103" s="3" t="inlineStr">
        <is>
          <t>Estelle Maria</t>
        </is>
      </c>
      <c r="C103" s="3" t="inlineStr">
        <is>
          <t>Gildenhuys</t>
        </is>
      </c>
      <c r="D103" s="3" t="inlineStr">
        <is>
          <t>Heron Fields</t>
        </is>
      </c>
      <c r="E103" s="3" t="inlineStr">
        <is>
          <t>HFB109</t>
        </is>
      </c>
      <c r="F103" s="3" t="b">
        <v>1</v>
      </c>
      <c r="G103" s="3" t="b">
        <v>1</v>
      </c>
      <c r="H103" s="3" t="inlineStr">
        <is>
          <t>B</t>
        </is>
      </c>
      <c r="I103" s="4" t="n">
        <v>44298</v>
      </c>
      <c r="J103" s="4" t="n">
        <v>44352</v>
      </c>
      <c r="K103" s="4" t="n">
        <v>44999</v>
      </c>
      <c r="L103" s="3" t="n">
        <v>1</v>
      </c>
      <c r="M103" s="3" t="n">
        <v>600000</v>
      </c>
      <c r="N103" s="3" t="n">
        <v>18</v>
      </c>
      <c r="O103" s="3" t="b">
        <v>0</v>
      </c>
      <c r="P103" s="3" t="b">
        <v>0</v>
      </c>
      <c r="Q103" s="3" t="n">
        <v>5547.945205479456</v>
      </c>
      <c r="R103" s="3" t="n">
        <v>191441.095890411</v>
      </c>
      <c r="S103" s="3" t="n">
        <v>196989.0410958904</v>
      </c>
      <c r="T103" s="5">
        <f>IF(J103&lt;&gt;"",M103*N103/365/100*('Cashflow Projection'!$B$2-Investors!J103),0)</f>
        <v/>
      </c>
    </row>
    <row r="104">
      <c r="A104" s="3" t="inlineStr">
        <is>
          <t>ZHAM01</t>
        </is>
      </c>
      <c r="B104" s="3" t="inlineStr">
        <is>
          <t>Lynnette Gladys</t>
        </is>
      </c>
      <c r="C104" s="3" t="inlineStr">
        <is>
          <t>Hambidge</t>
        </is>
      </c>
      <c r="D104" s="3" t="inlineStr">
        <is>
          <t>Heron Fields</t>
        </is>
      </c>
      <c r="E104" s="3" t="inlineStr">
        <is>
          <t>HFB109</t>
        </is>
      </c>
      <c r="F104" s="3" t="b">
        <v>1</v>
      </c>
      <c r="G104" s="3" t="b">
        <v>1</v>
      </c>
      <c r="H104" s="3" t="inlineStr">
        <is>
          <t>B</t>
        </is>
      </c>
      <c r="I104" s="4" t="n">
        <v>44243</v>
      </c>
      <c r="J104" s="4" t="n">
        <v>44352</v>
      </c>
      <c r="K104" s="4" t="n">
        <v>44999</v>
      </c>
      <c r="L104" s="3" t="n">
        <v>1</v>
      </c>
      <c r="M104" s="3" t="n">
        <v>100000</v>
      </c>
      <c r="N104" s="3" t="n">
        <v>15</v>
      </c>
      <c r="O104" s="3" t="b">
        <v>0</v>
      </c>
      <c r="P104" s="3" t="b">
        <v>0</v>
      </c>
      <c r="Q104" s="3" t="n">
        <v>1866.438356164386</v>
      </c>
      <c r="R104" s="3" t="n">
        <v>26589.04109589041</v>
      </c>
      <c r="S104" s="3" t="n">
        <v>28455.47945205479</v>
      </c>
      <c r="T104" s="5">
        <f>IF(J104&lt;&gt;"",M104*N104/365/100*('Cashflow Projection'!$B$2-Investors!J104),0)</f>
        <v/>
      </c>
    </row>
    <row r="105">
      <c r="A105" s="3" t="inlineStr">
        <is>
          <t>ZINT01</t>
        </is>
      </c>
      <c r="B105" s="3" t="inlineStr">
        <is>
          <t>Marc</t>
        </is>
      </c>
      <c r="C105" s="3" t="inlineStr">
        <is>
          <t>Lunau</t>
        </is>
      </c>
      <c r="D105" s="3" t="inlineStr">
        <is>
          <t>Heron Fields</t>
        </is>
      </c>
      <c r="E105" s="3" t="inlineStr">
        <is>
          <t>HFB109</t>
        </is>
      </c>
      <c r="F105" s="3" t="b">
        <v>1</v>
      </c>
      <c r="G105" s="3" t="b">
        <v>1</v>
      </c>
      <c r="H105" s="3" t="inlineStr">
        <is>
          <t>B</t>
        </is>
      </c>
      <c r="I105" s="4" t="n">
        <v>44117</v>
      </c>
      <c r="J105" s="4" t="n">
        <v>44316</v>
      </c>
      <c r="K105" s="4" t="n">
        <v>44999</v>
      </c>
      <c r="L105" s="3" t="n">
        <v>6</v>
      </c>
      <c r="M105" s="3" t="n">
        <v>100000</v>
      </c>
      <c r="N105" s="3" t="n">
        <v>18</v>
      </c>
      <c r="O105" s="3" t="b">
        <v>0</v>
      </c>
      <c r="P105" s="3" t="b">
        <v>0</v>
      </c>
      <c r="Q105" s="3" t="n">
        <v>3407.534246575347</v>
      </c>
      <c r="R105" s="3" t="n">
        <v>33682.19178082192</v>
      </c>
      <c r="S105" s="3" t="n">
        <v>37089.72602739726</v>
      </c>
      <c r="T105" s="5">
        <f>IF(J105&lt;&gt;"",M105*N105/365/100*('Cashflow Projection'!$B$2-Investors!J105),0)</f>
        <v/>
      </c>
    </row>
    <row r="106">
      <c r="A106" s="3" t="inlineStr">
        <is>
          <t>ZPED01</t>
        </is>
      </c>
      <c r="B106" s="3" t="inlineStr">
        <is>
          <t>Wendy</t>
        </is>
      </c>
      <c r="C106" s="3" t="inlineStr">
        <is>
          <t>Pedersen</t>
        </is>
      </c>
      <c r="D106" s="3" t="inlineStr">
        <is>
          <t>Heron Fields</t>
        </is>
      </c>
      <c r="E106" s="3" t="inlineStr">
        <is>
          <t>HFB110</t>
        </is>
      </c>
      <c r="F106" s="3" t="b">
        <v>1</v>
      </c>
      <c r="G106" s="3" t="b">
        <v>1</v>
      </c>
      <c r="H106" s="3" t="inlineStr">
        <is>
          <t>B</t>
        </is>
      </c>
      <c r="I106" s="4" t="n">
        <v>44253</v>
      </c>
      <c r="J106" s="4" t="n">
        <v>44352</v>
      </c>
      <c r="K106" s="4" t="n">
        <v>45019</v>
      </c>
      <c r="L106" s="3" t="n">
        <v>2</v>
      </c>
      <c r="M106" s="3" t="n">
        <v>900000</v>
      </c>
      <c r="N106" s="3" t="n">
        <v>18</v>
      </c>
      <c r="O106" s="3" t="b">
        <v>0</v>
      </c>
      <c r="P106" s="3" t="b">
        <v>0</v>
      </c>
      <c r="Q106" s="3" t="n">
        <v>15256.84931506851</v>
      </c>
      <c r="R106" s="3" t="n">
        <v>296038.3561643836</v>
      </c>
      <c r="S106" s="3" t="n">
        <v>311295.2054794521</v>
      </c>
      <c r="T106" s="5">
        <f>IF(J106&lt;&gt;"",M106*N106/365/100*('Cashflow Projection'!$B$2-Investors!J106),0)</f>
        <v/>
      </c>
    </row>
    <row r="107">
      <c r="A107" s="3" t="inlineStr">
        <is>
          <t>ZCRO01</t>
        </is>
      </c>
      <c r="B107" s="3" t="inlineStr">
        <is>
          <t>Marc</t>
        </is>
      </c>
      <c r="C107" s="3" t="inlineStr">
        <is>
          <t>Lunau</t>
        </is>
      </c>
      <c r="D107" s="3" t="inlineStr">
        <is>
          <t>Heron Fields</t>
        </is>
      </c>
      <c r="E107" s="3" t="inlineStr">
        <is>
          <t>HFB111</t>
        </is>
      </c>
      <c r="F107" s="3" t="b">
        <v>1</v>
      </c>
      <c r="G107" s="3" t="b">
        <v>1</v>
      </c>
      <c r="H107" s="3" t="inlineStr">
        <is>
          <t>B</t>
        </is>
      </c>
      <c r="I107" s="4" t="n">
        <v>44266</v>
      </c>
      <c r="J107" s="4" t="n">
        <v>44352</v>
      </c>
      <c r="K107" s="4" t="n">
        <v>45027</v>
      </c>
      <c r="L107" s="3" t="n">
        <v>5</v>
      </c>
      <c r="M107" s="3" t="n">
        <v>110000</v>
      </c>
      <c r="N107" s="3" t="n">
        <v>18</v>
      </c>
      <c r="O107" s="3" t="b">
        <v>0</v>
      </c>
      <c r="P107" s="3" t="b">
        <v>0</v>
      </c>
      <c r="Q107" s="3" t="n">
        <v>1619.863013698627</v>
      </c>
      <c r="R107" s="3" t="n">
        <v>36616.43835616438</v>
      </c>
      <c r="S107" s="3" t="n">
        <v>38236.30136986301</v>
      </c>
      <c r="T107" s="5">
        <f>IF(J107&lt;&gt;"",M107*N107/365/100*('Cashflow Projection'!$B$2-Investors!J107),0)</f>
        <v/>
      </c>
    </row>
    <row r="108">
      <c r="A108" s="3" t="inlineStr">
        <is>
          <t>ZLUN01</t>
        </is>
      </c>
      <c r="B108" s="3" t="inlineStr">
        <is>
          <t>Marc</t>
        </is>
      </c>
      <c r="C108" s="3" t="inlineStr">
        <is>
          <t>Lunau</t>
        </is>
      </c>
      <c r="D108" s="3" t="inlineStr">
        <is>
          <t>Heron Fields</t>
        </is>
      </c>
      <c r="E108" s="3" t="inlineStr">
        <is>
          <t>HFB111</t>
        </is>
      </c>
      <c r="F108" s="3" t="b">
        <v>1</v>
      </c>
      <c r="G108" s="3" t="b">
        <v>1</v>
      </c>
      <c r="H108" s="3" t="inlineStr">
        <is>
          <t>B</t>
        </is>
      </c>
      <c r="I108" s="4" t="n">
        <v>44187</v>
      </c>
      <c r="J108" s="4" t="n">
        <v>44352</v>
      </c>
      <c r="K108" s="4" t="n">
        <v>45027</v>
      </c>
      <c r="L108" s="3" t="n">
        <v>6</v>
      </c>
      <c r="M108" s="3" t="n">
        <v>100000</v>
      </c>
      <c r="N108" s="3" t="n">
        <v>18</v>
      </c>
      <c r="O108" s="3" t="b">
        <v>0</v>
      </c>
      <c r="P108" s="3" t="b">
        <v>0</v>
      </c>
      <c r="Q108" s="3" t="n">
        <v>2825.342465753428</v>
      </c>
      <c r="R108" s="3" t="n">
        <v>33287.67123287671</v>
      </c>
      <c r="S108" s="3" t="n">
        <v>36113.01369863014</v>
      </c>
      <c r="T108" s="5">
        <f>IF(J108&lt;&gt;"",M108*N108/365/100*('Cashflow Projection'!$B$2-Investors!J108),0)</f>
        <v/>
      </c>
    </row>
    <row r="109">
      <c r="A109" s="3" t="inlineStr">
        <is>
          <t>ZSCA02</t>
        </is>
      </c>
      <c r="B109" s="3" t="inlineStr">
        <is>
          <t>Chad</t>
        </is>
      </c>
      <c r="C109" s="3" t="inlineStr">
        <is>
          <t>Scalzini</t>
        </is>
      </c>
      <c r="D109" s="3" t="inlineStr">
        <is>
          <t>Heron Fields</t>
        </is>
      </c>
      <c r="E109" s="3" t="inlineStr">
        <is>
          <t>HFB111</t>
        </is>
      </c>
      <c r="F109" s="3" t="b">
        <v>1</v>
      </c>
      <c r="G109" s="3" t="b">
        <v>1</v>
      </c>
      <c r="H109" s="3" t="inlineStr">
        <is>
          <t>B</t>
        </is>
      </c>
      <c r="I109" s="4" t="n">
        <v>44435</v>
      </c>
      <c r="J109" s="4" t="n">
        <v>44508</v>
      </c>
      <c r="K109" s="4" t="n">
        <v>45027</v>
      </c>
      <c r="L109" s="3" t="n">
        <v>1</v>
      </c>
      <c r="M109" s="3" t="n">
        <v>500000</v>
      </c>
      <c r="N109" s="3" t="n">
        <v>18</v>
      </c>
      <c r="O109" s="3" t="b">
        <v>0</v>
      </c>
      <c r="P109" s="3" t="b">
        <v>0</v>
      </c>
      <c r="Q109" s="3" t="n">
        <v>6250.000000000005</v>
      </c>
      <c r="R109" s="3" t="n">
        <v>127972.602739726</v>
      </c>
      <c r="S109" s="3" t="n">
        <v>134222.602739726</v>
      </c>
      <c r="T109" s="5">
        <f>IF(J109&lt;&gt;"",M109*N109/365/100*('Cashflow Projection'!$B$2-Investors!J109),0)</f>
        <v/>
      </c>
    </row>
    <row r="110">
      <c r="A110" s="3" t="inlineStr">
        <is>
          <t>ZSCH03</t>
        </is>
      </c>
      <c r="B110" s="3" t="inlineStr">
        <is>
          <t>Gary James</t>
        </is>
      </c>
      <c r="C110" s="3" t="inlineStr">
        <is>
          <t>Schmidt</t>
        </is>
      </c>
      <c r="D110" s="3" t="inlineStr">
        <is>
          <t>Heron Fields</t>
        </is>
      </c>
      <c r="E110" s="3" t="inlineStr">
        <is>
          <t>HFB111</t>
        </is>
      </c>
      <c r="F110" s="3" t="b">
        <v>1</v>
      </c>
      <c r="G110" s="3" t="b">
        <v>1</v>
      </c>
      <c r="H110" s="3" t="inlineStr">
        <is>
          <t>B</t>
        </is>
      </c>
      <c r="I110" s="4" t="n">
        <v>44323</v>
      </c>
      <c r="J110" s="4" t="n">
        <v>44352</v>
      </c>
      <c r="K110" s="4" t="n">
        <v>45027</v>
      </c>
      <c r="L110" s="3" t="n">
        <v>1</v>
      </c>
      <c r="M110" s="3" t="n">
        <v>200000</v>
      </c>
      <c r="N110" s="3" t="n">
        <v>15</v>
      </c>
      <c r="O110" s="3" t="b">
        <v>0</v>
      </c>
      <c r="P110" s="3" t="b">
        <v>0</v>
      </c>
      <c r="Q110" s="3" t="n">
        <v>993.1506849315075</v>
      </c>
      <c r="R110" s="3" t="n">
        <v>55479.45205479451</v>
      </c>
      <c r="S110" s="3" t="n">
        <v>56472.60273972602</v>
      </c>
      <c r="T110" s="5">
        <f>IF(J110&lt;&gt;"",M110*N110/365/100*('Cashflow Projection'!$B$2-Investors!J110),0)</f>
        <v/>
      </c>
    </row>
    <row r="111">
      <c r="A111" s="3" t="inlineStr">
        <is>
          <t>ZBEN01</t>
        </is>
      </c>
      <c r="B111" s="3" t="inlineStr">
        <is>
          <t>Heino</t>
        </is>
      </c>
      <c r="C111" s="3" t="inlineStr">
        <is>
          <t>Beneke</t>
        </is>
      </c>
      <c r="D111" s="3" t="inlineStr">
        <is>
          <t>Heron Fields</t>
        </is>
      </c>
      <c r="E111" s="3" t="inlineStr">
        <is>
          <t>HFB201</t>
        </is>
      </c>
      <c r="F111" s="3" t="b">
        <v>1</v>
      </c>
      <c r="G111" s="3" t="b">
        <v>1</v>
      </c>
      <c r="H111" s="3" t="inlineStr">
        <is>
          <t>B</t>
        </is>
      </c>
      <c r="I111" s="4" t="n">
        <v>44352</v>
      </c>
      <c r="J111" s="4" t="n">
        <v>44352</v>
      </c>
      <c r="K111" s="4" t="n">
        <v>44936</v>
      </c>
      <c r="L111" s="3" t="n">
        <v>1</v>
      </c>
      <c r="M111" s="3" t="n">
        <v>100000</v>
      </c>
      <c r="N111" s="3" t="n">
        <v>15</v>
      </c>
      <c r="O111" s="3" t="b">
        <v>0</v>
      </c>
      <c r="P111" s="3" t="b">
        <v>0</v>
      </c>
      <c r="Q111" s="3" t="n">
        <v>0</v>
      </c>
      <c r="R111" s="3" t="n">
        <v>24000</v>
      </c>
      <c r="S111" s="3" t="n">
        <v>24000</v>
      </c>
      <c r="T111" s="5">
        <f>IF(J111&lt;&gt;"",M111*N111/365/100*('Cashflow Projection'!$B$2-Investors!J111),0)</f>
        <v/>
      </c>
    </row>
    <row r="112">
      <c r="A112" s="3" t="inlineStr">
        <is>
          <t>ZGLO01</t>
        </is>
      </c>
      <c r="B112" s="3" t="inlineStr">
        <is>
          <t>Elizma</t>
        </is>
      </c>
      <c r="C112" s="3" t="inlineStr">
        <is>
          <t>Goltz</t>
        </is>
      </c>
      <c r="D112" s="3" t="inlineStr">
        <is>
          <t>Heron Fields</t>
        </is>
      </c>
      <c r="E112" s="3" t="inlineStr">
        <is>
          <t>HFB201</t>
        </is>
      </c>
      <c r="F112" s="3" t="b">
        <v>1</v>
      </c>
      <c r="G112" s="3" t="b">
        <v>1</v>
      </c>
      <c r="H112" s="3" t="inlineStr">
        <is>
          <t>B</t>
        </is>
      </c>
      <c r="I112" s="4" t="n">
        <v>44267</v>
      </c>
      <c r="J112" s="4" t="n">
        <v>44378</v>
      </c>
      <c r="K112" s="4" t="n">
        <v>44936</v>
      </c>
      <c r="L112" s="3" t="n">
        <v>1</v>
      </c>
      <c r="M112" s="3" t="n">
        <v>800000</v>
      </c>
      <c r="N112" s="3" t="n">
        <v>18</v>
      </c>
      <c r="O112" s="3" t="b">
        <v>0</v>
      </c>
      <c r="P112" s="3" t="b">
        <v>0</v>
      </c>
      <c r="Q112" s="3" t="n">
        <v>15205.47945205481</v>
      </c>
      <c r="R112" s="3" t="n">
        <v>220142.4657534247</v>
      </c>
      <c r="S112" s="3" t="n">
        <v>235347.9452054795</v>
      </c>
      <c r="T112" s="5">
        <f>IF(J112&lt;&gt;"",M112*N112/365/100*('Cashflow Projection'!$B$2-Investors!J112),0)</f>
        <v/>
      </c>
    </row>
    <row r="113">
      <c r="A113" s="3" t="inlineStr">
        <is>
          <t>ZMIN01</t>
        </is>
      </c>
      <c r="B113" s="3" t="inlineStr">
        <is>
          <t>Irene Petronella</t>
        </is>
      </c>
      <c r="C113" s="3" t="inlineStr">
        <is>
          <t>Minnaar</t>
        </is>
      </c>
      <c r="D113" s="3" t="inlineStr">
        <is>
          <t>Heron Fields</t>
        </is>
      </c>
      <c r="E113" s="3" t="inlineStr">
        <is>
          <t>HFB202</t>
        </is>
      </c>
      <c r="F113" s="3" t="b">
        <v>1</v>
      </c>
      <c r="G113" s="3" t="b">
        <v>1</v>
      </c>
      <c r="H113" s="3" t="inlineStr">
        <is>
          <t>B</t>
        </is>
      </c>
      <c r="I113" s="4" t="n">
        <v>44280</v>
      </c>
      <c r="J113" s="4" t="n">
        <v>44378</v>
      </c>
      <c r="K113" s="4" t="n">
        <v>44895</v>
      </c>
      <c r="L113" s="3" t="n">
        <v>1</v>
      </c>
      <c r="M113" s="3" t="n">
        <v>500000</v>
      </c>
      <c r="N113" s="3" t="n">
        <v>18</v>
      </c>
      <c r="O113" s="3" t="b">
        <v>1</v>
      </c>
      <c r="P113" s="3" t="b">
        <v>0</v>
      </c>
      <c r="Q113" s="3" t="n">
        <v>8390.410958904116</v>
      </c>
      <c r="R113" s="3" t="n">
        <v>127479.4520547945</v>
      </c>
      <c r="S113" s="3" t="n">
        <v>135869.8630136986</v>
      </c>
      <c r="T113" s="5">
        <f>IF(J113&lt;&gt;"",M113*N113/365/100*('Cashflow Projection'!$B$2-Investors!J113),0)</f>
        <v/>
      </c>
    </row>
    <row r="114">
      <c r="A114" s="3" t="inlineStr">
        <is>
          <t>ZRUS01</t>
        </is>
      </c>
      <c r="B114" s="3" t="inlineStr">
        <is>
          <t>Izak Cornelius</t>
        </is>
      </c>
      <c r="C114" s="3" t="inlineStr">
        <is>
          <t>Rust</t>
        </is>
      </c>
      <c r="D114" s="3" t="inlineStr">
        <is>
          <t>Heron Fields</t>
        </is>
      </c>
      <c r="E114" s="3" t="inlineStr">
        <is>
          <t>HFB202</t>
        </is>
      </c>
      <c r="F114" s="3" t="b">
        <v>1</v>
      </c>
      <c r="G114" s="3" t="b">
        <v>1</v>
      </c>
      <c r="H114" s="3" t="inlineStr">
        <is>
          <t>B</t>
        </is>
      </c>
      <c r="I114" s="4" t="n">
        <v>44287</v>
      </c>
      <c r="J114" s="4" t="n">
        <v>44352</v>
      </c>
      <c r="K114" s="4" t="n">
        <v>45007</v>
      </c>
      <c r="L114" s="3" t="n">
        <v>1</v>
      </c>
      <c r="M114" s="3" t="n">
        <v>250000</v>
      </c>
      <c r="N114" s="3" t="n">
        <v>15</v>
      </c>
      <c r="O114" s="3" t="b">
        <v>0</v>
      </c>
      <c r="P114" s="3" t="b">
        <v>0</v>
      </c>
      <c r="Q114" s="3" t="n">
        <v>2782.534246575344</v>
      </c>
      <c r="R114" s="3" t="n">
        <v>67294.5205479452</v>
      </c>
      <c r="S114" s="3" t="n">
        <v>70077.05479452055</v>
      </c>
      <c r="T114" s="5">
        <f>IF(J114&lt;&gt;"",M114*N114/365/100*('Cashflow Projection'!$B$2-Investors!J114),0)</f>
        <v/>
      </c>
    </row>
    <row r="115">
      <c r="A115" s="3" t="inlineStr">
        <is>
          <t>ZVAL01</t>
        </is>
      </c>
      <c r="B115" s="3" t="inlineStr">
        <is>
          <t>Manoj</t>
        </is>
      </c>
      <c r="C115" s="3" t="inlineStr">
        <is>
          <t>Vallabh</t>
        </is>
      </c>
      <c r="D115" s="3" t="inlineStr">
        <is>
          <t>Heron Fields</t>
        </is>
      </c>
      <c r="E115" s="3" t="inlineStr">
        <is>
          <t>HFB202</t>
        </is>
      </c>
      <c r="F115" s="3" t="b">
        <v>1</v>
      </c>
      <c r="G115" s="3" t="b">
        <v>1</v>
      </c>
      <c r="H115" s="3" t="inlineStr">
        <is>
          <t>B</t>
        </is>
      </c>
      <c r="I115" s="4" t="n">
        <v>44286</v>
      </c>
      <c r="J115" s="4" t="n">
        <v>44352</v>
      </c>
      <c r="K115" s="4" t="n">
        <v>45007</v>
      </c>
      <c r="L115" s="3" t="n">
        <v>1</v>
      </c>
      <c r="M115" s="3" t="n">
        <v>150000</v>
      </c>
      <c r="N115" s="3" t="n">
        <v>15</v>
      </c>
      <c r="O115" s="3" t="b">
        <v>0</v>
      </c>
      <c r="P115" s="3" t="b">
        <v>0</v>
      </c>
      <c r="Q115" s="3" t="n">
        <v>1695.205479452056</v>
      </c>
      <c r="R115" s="3" t="n">
        <v>40376.71232876713</v>
      </c>
      <c r="S115" s="3" t="n">
        <v>42071.91780821919</v>
      </c>
      <c r="T115" s="5">
        <f>IF(J115&lt;&gt;"",M115*N115/365/100*('Cashflow Projection'!$B$2-Investors!J115),0)</f>
        <v/>
      </c>
    </row>
    <row r="116">
      <c r="A116" s="3" t="inlineStr">
        <is>
          <t>ZDIC01</t>
        </is>
      </c>
      <c r="B116" s="3" t="inlineStr">
        <is>
          <t>Grant Allan</t>
        </is>
      </c>
      <c r="C116" s="3" t="inlineStr">
        <is>
          <t>Dickinson</t>
        </is>
      </c>
      <c r="D116" s="3" t="inlineStr">
        <is>
          <t>Heron Fields</t>
        </is>
      </c>
      <c r="E116" s="3" t="inlineStr">
        <is>
          <t>HFB203</t>
        </is>
      </c>
      <c r="F116" s="3" t="b">
        <v>1</v>
      </c>
      <c r="G116" s="3" t="b">
        <v>1</v>
      </c>
      <c r="H116" s="3" t="inlineStr">
        <is>
          <t>B</t>
        </is>
      </c>
      <c r="I116" s="4" t="n">
        <v>44286</v>
      </c>
      <c r="J116" s="4" t="n">
        <v>44352</v>
      </c>
      <c r="K116" s="4" t="n">
        <v>44895</v>
      </c>
      <c r="L116" s="3" t="n">
        <v>4</v>
      </c>
      <c r="M116" s="3" t="n">
        <v>600000</v>
      </c>
      <c r="N116" s="3" t="n">
        <v>18</v>
      </c>
      <c r="O116" s="3" t="b">
        <v>1</v>
      </c>
      <c r="P116" s="3" t="b">
        <v>0</v>
      </c>
      <c r="Q116" s="3" t="n">
        <v>6780.821917808225</v>
      </c>
      <c r="R116" s="3" t="n">
        <v>160668.4931506849</v>
      </c>
      <c r="S116" s="3" t="n">
        <v>167449.3150684932</v>
      </c>
      <c r="T116" s="5">
        <f>IF(J116&lt;&gt;"",M116*N116/365/100*('Cashflow Projection'!$B$2-Investors!J116),0)</f>
        <v/>
      </c>
    </row>
    <row r="117">
      <c r="A117" s="3" t="inlineStr">
        <is>
          <t>ZWAL01</t>
        </is>
      </c>
      <c r="B117" s="3" t="inlineStr">
        <is>
          <t>Benedict Joseph</t>
        </is>
      </c>
      <c r="C117" s="3" t="inlineStr">
        <is>
          <t>Walters</t>
        </is>
      </c>
      <c r="D117" s="3" t="inlineStr">
        <is>
          <t>Heron Fields</t>
        </is>
      </c>
      <c r="E117" s="3" t="inlineStr">
        <is>
          <t>HFB203</t>
        </is>
      </c>
      <c r="F117" s="3" t="b">
        <v>1</v>
      </c>
      <c r="G117" s="3" t="b">
        <v>1</v>
      </c>
      <c r="H117" s="3" t="inlineStr">
        <is>
          <t>B</t>
        </is>
      </c>
      <c r="I117" s="4" t="n">
        <v>44293</v>
      </c>
      <c r="J117" s="4" t="n">
        <v>44352</v>
      </c>
      <c r="K117" s="4" t="n">
        <v>44936</v>
      </c>
      <c r="L117" s="3" t="n">
        <v>1</v>
      </c>
      <c r="M117" s="3" t="n">
        <v>150000</v>
      </c>
      <c r="N117" s="3" t="n">
        <v>15</v>
      </c>
      <c r="O117" s="3" t="b">
        <v>0</v>
      </c>
      <c r="P117" s="3" t="b">
        <v>0</v>
      </c>
      <c r="Q117" s="3" t="n">
        <v>1515.410958904111</v>
      </c>
      <c r="R117" s="3" t="n">
        <v>36000</v>
      </c>
      <c r="S117" s="3" t="n">
        <v>37515.41095890411</v>
      </c>
      <c r="T117" s="5">
        <f>IF(J117&lt;&gt;"",M117*N117/365/100*('Cashflow Projection'!$B$2-Investors!J117),0)</f>
        <v/>
      </c>
    </row>
    <row r="118">
      <c r="A118" s="3" t="inlineStr">
        <is>
          <t>ZDEB01</t>
        </is>
      </c>
      <c r="B118" s="3" t="inlineStr">
        <is>
          <t>William Henry</t>
        </is>
      </c>
      <c r="C118" s="3" t="inlineStr">
        <is>
          <t>De Beer</t>
        </is>
      </c>
      <c r="D118" s="3" t="inlineStr">
        <is>
          <t>Heron Fields</t>
        </is>
      </c>
      <c r="E118" s="3" t="inlineStr">
        <is>
          <t>HFB204</t>
        </is>
      </c>
      <c r="F118" s="3" t="b">
        <v>1</v>
      </c>
      <c r="G118" s="3" t="b">
        <v>1</v>
      </c>
      <c r="H118" s="3" t="inlineStr">
        <is>
          <t>B</t>
        </is>
      </c>
      <c r="I118" s="4" t="n">
        <v>44278</v>
      </c>
      <c r="J118" s="4" t="n">
        <v>44352</v>
      </c>
      <c r="K118" s="4" t="n">
        <v>44998</v>
      </c>
      <c r="L118" s="3" t="n">
        <v>2</v>
      </c>
      <c r="M118" s="3" t="n">
        <v>900000</v>
      </c>
      <c r="N118" s="3" t="n">
        <v>18</v>
      </c>
      <c r="O118" s="3" t="b">
        <v>1</v>
      </c>
      <c r="P118" s="3" t="b">
        <v>0</v>
      </c>
      <c r="Q118" s="3" t="n">
        <v>11404.10958904111</v>
      </c>
      <c r="R118" s="3" t="n">
        <v>286717.8082191781</v>
      </c>
      <c r="S118" s="3" t="n">
        <v>298121.9178082192</v>
      </c>
      <c r="T118" s="5">
        <f>IF(J118&lt;&gt;"",M118*N118/365/100*('Cashflow Projection'!$B$2-Investors!J118),0)</f>
        <v/>
      </c>
    </row>
    <row r="119">
      <c r="A119" s="3" t="inlineStr">
        <is>
          <t>ZDEB01</t>
        </is>
      </c>
      <c r="B119" s="3" t="inlineStr">
        <is>
          <t>William Henry</t>
        </is>
      </c>
      <c r="C119" s="3" t="inlineStr">
        <is>
          <t>De Beer</t>
        </is>
      </c>
      <c r="D119" s="3" t="inlineStr">
        <is>
          <t>Heron Fields</t>
        </is>
      </c>
      <c r="E119" s="3" t="inlineStr">
        <is>
          <t>HFB205</t>
        </is>
      </c>
      <c r="F119" s="3" t="b">
        <v>1</v>
      </c>
      <c r="G119" s="3" t="b">
        <v>1</v>
      </c>
      <c r="H119" s="3" t="inlineStr">
        <is>
          <t>B</t>
        </is>
      </c>
      <c r="I119" s="4" t="n">
        <v>44278</v>
      </c>
      <c r="J119" s="4" t="n">
        <v>44352</v>
      </c>
      <c r="K119" s="4" t="n">
        <v>44974</v>
      </c>
      <c r="L119" s="3" t="n">
        <v>3</v>
      </c>
      <c r="M119" s="3" t="n">
        <v>900000</v>
      </c>
      <c r="N119" s="3" t="n">
        <v>18</v>
      </c>
      <c r="O119" s="3" t="b">
        <v>0</v>
      </c>
      <c r="P119" s="3" t="b">
        <v>0</v>
      </c>
      <c r="Q119" s="3" t="n">
        <v>11404.10958904111</v>
      </c>
      <c r="R119" s="3" t="n">
        <v>276065.7534246575</v>
      </c>
      <c r="S119" s="3" t="n">
        <v>287469.8630136986</v>
      </c>
      <c r="T119" s="5">
        <f>IF(J119&lt;&gt;"",M119*N119/365/100*('Cashflow Projection'!$B$2-Investors!J119),0)</f>
        <v/>
      </c>
    </row>
    <row r="120">
      <c r="A120" s="3" t="inlineStr">
        <is>
          <t>ZDEL01</t>
        </is>
      </c>
      <c r="B120" s="3" t="inlineStr">
        <is>
          <t>Pieter</t>
        </is>
      </c>
      <c r="C120" s="3" t="inlineStr">
        <is>
          <t>Jansen van Vuuren</t>
        </is>
      </c>
      <c r="D120" s="3" t="inlineStr">
        <is>
          <t>Heron Fields</t>
        </is>
      </c>
      <c r="E120" s="3" t="inlineStr">
        <is>
          <t>HFB206</t>
        </is>
      </c>
      <c r="F120" s="3" t="b">
        <v>0</v>
      </c>
      <c r="G120" s="3" t="b">
        <v>0</v>
      </c>
      <c r="H120" s="3" t="inlineStr">
        <is>
          <t>B</t>
        </is>
      </c>
      <c r="I120" s="4" t="n">
        <v>44473</v>
      </c>
      <c r="J120" s="4" t="n">
        <v>44618</v>
      </c>
      <c r="K120" s="4" t="n">
        <v>45343</v>
      </c>
      <c r="L120" s="3" t="n">
        <v>1</v>
      </c>
      <c r="M120" s="3" t="n">
        <v>1000000</v>
      </c>
      <c r="N120" s="3" t="n">
        <v>18</v>
      </c>
      <c r="O120" s="3" t="b">
        <v>1</v>
      </c>
      <c r="P120" s="3" t="b">
        <v>0</v>
      </c>
      <c r="Q120" s="3" t="n">
        <v>25609.58904109591</v>
      </c>
      <c r="R120" s="3" t="n">
        <v>357534.2465753425</v>
      </c>
      <c r="S120" s="3" t="n">
        <v>383143.8356164384</v>
      </c>
      <c r="T120" s="5">
        <f>IF(J120&lt;&gt;"",M120*N120/365/100*('Cashflow Projection'!$B$2-Investors!J120),0)</f>
        <v/>
      </c>
    </row>
    <row r="121">
      <c r="A121" s="3" t="inlineStr">
        <is>
          <t>ZDAD01</t>
        </is>
      </c>
      <c r="B121" s="3" t="inlineStr">
        <is>
          <t>Feroz</t>
        </is>
      </c>
      <c r="C121" s="3" t="inlineStr">
        <is>
          <t>Dadoo</t>
        </is>
      </c>
      <c r="D121" s="3" t="inlineStr">
        <is>
          <t>Heron Fields</t>
        </is>
      </c>
      <c r="E121" s="3" t="inlineStr">
        <is>
          <t>HFB207</t>
        </is>
      </c>
      <c r="F121" s="3" t="b">
        <v>0</v>
      </c>
      <c r="G121" s="3" t="b">
        <v>0</v>
      </c>
      <c r="H121" s="3" t="inlineStr">
        <is>
          <t>B</t>
        </is>
      </c>
      <c r="I121" s="4" t="n">
        <v>44287</v>
      </c>
      <c r="J121" s="4" t="n">
        <v>44352</v>
      </c>
      <c r="K121" s="4" t="n">
        <v>45035</v>
      </c>
      <c r="L121" s="3" t="n">
        <v>2</v>
      </c>
      <c r="M121" s="3" t="n">
        <v>500000</v>
      </c>
      <c r="N121" s="3" t="n">
        <v>18</v>
      </c>
      <c r="O121" s="3" t="b">
        <v>1</v>
      </c>
      <c r="P121" s="3" t="b">
        <v>0</v>
      </c>
      <c r="Q121" s="3" t="n">
        <v>5565.068493150688</v>
      </c>
      <c r="R121" s="3" t="n">
        <v>168410.9589041096</v>
      </c>
      <c r="S121" s="3" t="n">
        <v>173976.0273972603</v>
      </c>
      <c r="T121" s="5">
        <f>IF(J121&lt;&gt;"",M121*N121/365/100*('Cashflow Projection'!$B$2-Investors!J121),0)</f>
        <v/>
      </c>
    </row>
    <row r="122">
      <c r="A122" s="3" t="inlineStr">
        <is>
          <t>ZGIL01</t>
        </is>
      </c>
      <c r="B122" s="3" t="inlineStr">
        <is>
          <t>Estelle Maria</t>
        </is>
      </c>
      <c r="C122" s="3" t="inlineStr">
        <is>
          <t>Gildenhuys</t>
        </is>
      </c>
      <c r="D122" s="3" t="inlineStr">
        <is>
          <t>Heron Fields</t>
        </is>
      </c>
      <c r="E122" s="3" t="inlineStr">
        <is>
          <t>HFB207</t>
        </is>
      </c>
      <c r="F122" s="3" t="b">
        <v>0</v>
      </c>
      <c r="G122" s="3" t="b">
        <v>0</v>
      </c>
      <c r="H122" s="3" t="inlineStr">
        <is>
          <t>B</t>
        </is>
      </c>
      <c r="I122" s="4" t="n">
        <v>44298</v>
      </c>
      <c r="J122" s="4" t="n">
        <v>44352</v>
      </c>
      <c r="K122" s="4" t="n">
        <v>45106</v>
      </c>
      <c r="L122" s="3" t="n">
        <v>2</v>
      </c>
      <c r="M122" s="3" t="n">
        <v>400000</v>
      </c>
      <c r="N122" s="3" t="n">
        <v>18</v>
      </c>
      <c r="O122" s="3" t="b">
        <v>1</v>
      </c>
      <c r="P122" s="3" t="b">
        <v>0</v>
      </c>
      <c r="Q122" s="3" t="n">
        <v>3698.630136986305</v>
      </c>
      <c r="R122" s="3" t="n">
        <v>148734.2465753425</v>
      </c>
      <c r="S122" s="3" t="n">
        <v>152432.8767123288</v>
      </c>
      <c r="T122" s="5">
        <f>IF(J122&lt;&gt;"",M122*N122/365/100*('Cashflow Projection'!$B$2-Investors!J122),0)</f>
        <v/>
      </c>
    </row>
    <row r="123">
      <c r="A123" s="3" t="inlineStr">
        <is>
          <t>ZFLA01</t>
        </is>
      </c>
      <c r="B123" s="3" t="inlineStr">
        <is>
          <t>Jose Manuel Rezende</t>
        </is>
      </c>
      <c r="C123" s="3" t="inlineStr">
        <is>
          <t>Flamengo</t>
        </is>
      </c>
      <c r="D123" s="3" t="inlineStr">
        <is>
          <t>Heron Fields</t>
        </is>
      </c>
      <c r="E123" s="3" t="inlineStr">
        <is>
          <t>HFB208</t>
        </is>
      </c>
      <c r="F123" s="3" t="b">
        <v>1</v>
      </c>
      <c r="G123" s="3" t="b">
        <v>1</v>
      </c>
      <c r="H123" s="3" t="inlineStr">
        <is>
          <t>B</t>
        </is>
      </c>
      <c r="I123" s="4" t="n">
        <v>44763</v>
      </c>
      <c r="J123" s="4" t="n">
        <v>44840</v>
      </c>
      <c r="K123" s="4" t="n">
        <v>45002</v>
      </c>
      <c r="L123" s="3" t="n">
        <v>1</v>
      </c>
      <c r="M123" s="3" t="n">
        <v>400000</v>
      </c>
      <c r="N123" s="3" t="n">
        <v>15</v>
      </c>
      <c r="O123" s="3" t="b">
        <v>0</v>
      </c>
      <c r="P123" s="3" t="b">
        <v>0</v>
      </c>
      <c r="Q123" s="3" t="n">
        <v>6928.767123287678</v>
      </c>
      <c r="R123" s="3" t="n">
        <v>26630.13698630137</v>
      </c>
      <c r="S123" s="3" t="n">
        <v>33558.90410958904</v>
      </c>
      <c r="T123" s="5">
        <f>IF(J123&lt;&gt;"",M123*N123/365/100*('Cashflow Projection'!$B$2-Investors!J123),0)</f>
        <v/>
      </c>
    </row>
    <row r="124">
      <c r="A124" s="3" t="inlineStr">
        <is>
          <t>ZHAA01</t>
        </is>
      </c>
      <c r="B124" s="3" t="inlineStr">
        <is>
          <t>Maresia</t>
        </is>
      </c>
      <c r="C124" s="3" t="inlineStr">
        <is>
          <t>Haasbroek</t>
        </is>
      </c>
      <c r="D124" s="3" t="inlineStr">
        <is>
          <t>Heron Fields</t>
        </is>
      </c>
      <c r="E124" s="3" t="inlineStr">
        <is>
          <t>HFB208</t>
        </is>
      </c>
      <c r="F124" s="3" t="b">
        <v>1</v>
      </c>
      <c r="G124" s="3" t="b">
        <v>1</v>
      </c>
      <c r="H124" s="3" t="inlineStr">
        <is>
          <t>B</t>
        </is>
      </c>
      <c r="I124" s="4" t="n">
        <v>44286</v>
      </c>
      <c r="J124" s="4" t="n">
        <v>44352</v>
      </c>
      <c r="K124" s="4" t="n">
        <v>45002</v>
      </c>
      <c r="L124" s="3" t="n">
        <v>1</v>
      </c>
      <c r="M124" s="3" t="n">
        <v>500000</v>
      </c>
      <c r="N124" s="3" t="n">
        <v>18</v>
      </c>
      <c r="O124" s="3" t="b">
        <v>0</v>
      </c>
      <c r="P124" s="3" t="b">
        <v>0</v>
      </c>
      <c r="Q124" s="3" t="n">
        <v>5650.684931506853</v>
      </c>
      <c r="R124" s="3" t="n">
        <v>160273.9726027397</v>
      </c>
      <c r="S124" s="3" t="n">
        <v>165924.6575342466</v>
      </c>
      <c r="T124" s="5">
        <f>IF(J124&lt;&gt;"",M124*N124/365/100*('Cashflow Projection'!$B$2-Investors!J124),0)</f>
        <v/>
      </c>
    </row>
    <row r="125">
      <c r="A125" s="3" t="inlineStr">
        <is>
          <t>ZDEB01</t>
        </is>
      </c>
      <c r="B125" s="3" t="inlineStr">
        <is>
          <t>William Henry</t>
        </is>
      </c>
      <c r="C125" s="3" t="inlineStr">
        <is>
          <t>De Beer</t>
        </is>
      </c>
      <c r="D125" s="3" t="inlineStr">
        <is>
          <t>Heron Fields</t>
        </is>
      </c>
      <c r="E125" s="3" t="inlineStr">
        <is>
          <t>HFB209</t>
        </is>
      </c>
      <c r="F125" s="3" t="b">
        <v>1</v>
      </c>
      <c r="G125" s="3" t="b">
        <v>0</v>
      </c>
      <c r="H125" s="3" t="inlineStr">
        <is>
          <t>B</t>
        </is>
      </c>
      <c r="I125" s="4" t="n">
        <v>44286</v>
      </c>
      <c r="J125" s="4" t="n">
        <v>44352</v>
      </c>
      <c r="K125" s="4" t="n">
        <v>45036</v>
      </c>
      <c r="L125" s="3" t="n">
        <v>4</v>
      </c>
      <c r="M125" s="3" t="n">
        <v>900000</v>
      </c>
      <c r="N125" s="3" t="n">
        <v>18</v>
      </c>
      <c r="O125" s="3" t="b">
        <v>1</v>
      </c>
      <c r="P125" s="3" t="b">
        <v>0</v>
      </c>
      <c r="Q125" s="3" t="n">
        <v>10171.23287671234</v>
      </c>
      <c r="R125" s="3" t="n">
        <v>303583.5616438356</v>
      </c>
      <c r="S125" s="3" t="n">
        <v>313754.794520548</v>
      </c>
      <c r="T125" s="5">
        <f>IF(J125&lt;&gt;"",M125*N125/365/100*('Cashflow Projection'!$B$2-Investors!J125),0)</f>
        <v/>
      </c>
    </row>
    <row r="126">
      <c r="A126" s="3" t="inlineStr">
        <is>
          <t>ZEDE01</t>
        </is>
      </c>
      <c r="B126" s="3" t="inlineStr">
        <is>
          <t>JP</t>
        </is>
      </c>
      <c r="C126" s="3" t="inlineStr">
        <is>
          <t>van Eden</t>
        </is>
      </c>
      <c r="D126" s="3" t="inlineStr">
        <is>
          <t>Heron Fields</t>
        </is>
      </c>
      <c r="E126" s="3" t="inlineStr">
        <is>
          <t>HFB210</t>
        </is>
      </c>
      <c r="F126" s="3" t="b">
        <v>0</v>
      </c>
      <c r="G126" s="3" t="b">
        <v>0</v>
      </c>
      <c r="H126" s="3" t="inlineStr">
        <is>
          <t>B</t>
        </is>
      </c>
      <c r="I126" s="4" t="n">
        <v>44294</v>
      </c>
      <c r="J126" s="4" t="n">
        <v>44352</v>
      </c>
      <c r="K126" s="4" t="n">
        <v>45035</v>
      </c>
      <c r="L126" s="3" t="n">
        <v>1</v>
      </c>
      <c r="M126" s="3" t="n">
        <v>500000</v>
      </c>
      <c r="N126" s="3" t="n">
        <v>18</v>
      </c>
      <c r="O126" s="3" t="b">
        <v>1</v>
      </c>
      <c r="P126" s="3" t="b">
        <v>0</v>
      </c>
      <c r="Q126" s="3" t="n">
        <v>4965.753424657537</v>
      </c>
      <c r="R126" s="3" t="n">
        <v>168410.9589041096</v>
      </c>
      <c r="S126" s="3" t="n">
        <v>173376.7123287671</v>
      </c>
      <c r="T126" s="5">
        <f>IF(J126&lt;&gt;"",M126*N126/365/100*('Cashflow Projection'!$B$2-Investors!J126),0)</f>
        <v/>
      </c>
    </row>
    <row r="127">
      <c r="A127" s="3" t="inlineStr">
        <is>
          <t>ZJAN02</t>
        </is>
      </c>
      <c r="B127" s="3" t="inlineStr">
        <is>
          <t>Lynne</t>
        </is>
      </c>
      <c r="C127" s="3" t="inlineStr">
        <is>
          <t>Jansen van Vuuren</t>
        </is>
      </c>
      <c r="D127" s="3" t="inlineStr">
        <is>
          <t>Heron Fields</t>
        </is>
      </c>
      <c r="E127" s="3" t="inlineStr">
        <is>
          <t>HFB210</t>
        </is>
      </c>
      <c r="F127" s="3" t="b">
        <v>0</v>
      </c>
      <c r="G127" s="3" t="b">
        <v>0</v>
      </c>
      <c r="H127" s="3" t="inlineStr">
        <is>
          <t>B</t>
        </is>
      </c>
      <c r="I127" s="4" t="n">
        <v>44494</v>
      </c>
      <c r="J127" s="4" t="n">
        <v>44664</v>
      </c>
      <c r="K127" s="4" t="n">
        <v>45343</v>
      </c>
      <c r="L127" s="3" t="n">
        <v>1</v>
      </c>
      <c r="M127" s="3" t="n">
        <v>100000</v>
      </c>
      <c r="N127" s="3" t="n">
        <v>14</v>
      </c>
      <c r="O127" s="3" t="b">
        <v>1</v>
      </c>
      <c r="P127" s="3" t="b">
        <v>0</v>
      </c>
      <c r="Q127" s="3" t="n">
        <v>3060.958904109598</v>
      </c>
      <c r="R127" s="3" t="n">
        <v>26043.83561643835</v>
      </c>
      <c r="S127" s="3" t="n">
        <v>29104.79452054795</v>
      </c>
      <c r="T127" s="5">
        <f>IF(J127&lt;&gt;"",M127*N127/365/100*('Cashflow Projection'!$B$2-Investors!J127),0)</f>
        <v/>
      </c>
    </row>
    <row r="128">
      <c r="A128" s="3" t="inlineStr">
        <is>
          <t>ZMBA01</t>
        </is>
      </c>
      <c r="B128" s="3" t="inlineStr">
        <is>
          <t>Vincent Mogoane</t>
        </is>
      </c>
      <c r="C128" s="3" t="inlineStr">
        <is>
          <t>Mbatha</t>
        </is>
      </c>
      <c r="D128" s="3" t="inlineStr">
        <is>
          <t>Heron Fields</t>
        </is>
      </c>
      <c r="E128" s="3" t="inlineStr">
        <is>
          <t>HFB210</t>
        </is>
      </c>
      <c r="F128" s="3" t="b">
        <v>0</v>
      </c>
      <c r="G128" s="3" t="b">
        <v>0</v>
      </c>
      <c r="H128" s="3" t="inlineStr">
        <is>
          <t>B</t>
        </is>
      </c>
      <c r="I128" s="4" t="n">
        <v>44477</v>
      </c>
      <c r="J128" s="4" t="n">
        <v>44618</v>
      </c>
      <c r="K128" s="4" t="n">
        <v>45323</v>
      </c>
      <c r="L128" s="3" t="n">
        <v>1</v>
      </c>
      <c r="M128" s="3" t="n">
        <v>200000</v>
      </c>
      <c r="N128" s="3" t="n">
        <v>14</v>
      </c>
      <c r="O128" s="3" t="b">
        <v>1</v>
      </c>
      <c r="P128" s="3" t="b">
        <v>0</v>
      </c>
      <c r="Q128" s="3" t="n">
        <v>4984.931506849328</v>
      </c>
      <c r="R128" s="3" t="n">
        <v>54082.19178082192</v>
      </c>
      <c r="S128" s="3" t="n">
        <v>59067.12328767125</v>
      </c>
      <c r="T128" s="5">
        <f>IF(J128&lt;&gt;"",M128*N128/365/100*('Cashflow Projection'!$B$2-Investors!J128),0)</f>
        <v/>
      </c>
    </row>
    <row r="129">
      <c r="A129" s="3" t="inlineStr">
        <is>
          <t>ZAFR01</t>
        </is>
      </c>
      <c r="B129" s="3" t="inlineStr">
        <is>
          <t>John Robert</t>
        </is>
      </c>
      <c r="C129" s="3" t="inlineStr">
        <is>
          <t>Zylstra</t>
        </is>
      </c>
      <c r="D129" s="3" t="inlineStr">
        <is>
          <t>Heron Fields</t>
        </is>
      </c>
      <c r="E129" s="3" t="inlineStr">
        <is>
          <t>HFB211</t>
        </is>
      </c>
      <c r="F129" s="3" t="b">
        <v>0</v>
      </c>
      <c r="G129" s="3" t="b">
        <v>0</v>
      </c>
      <c r="H129" s="3" t="inlineStr">
        <is>
          <t>B</t>
        </is>
      </c>
      <c r="I129" s="4" t="n">
        <v>44287</v>
      </c>
      <c r="J129" s="4" t="n">
        <v>44352</v>
      </c>
      <c r="K129" s="4" t="n">
        <v>45035</v>
      </c>
      <c r="L129" s="3" t="n">
        <v>1</v>
      </c>
      <c r="M129" s="3" t="n">
        <v>700000</v>
      </c>
      <c r="N129" s="3" t="n">
        <v>18</v>
      </c>
      <c r="O129" s="3" t="b">
        <v>1</v>
      </c>
      <c r="P129" s="3" t="b">
        <v>0</v>
      </c>
      <c r="Q129" s="3" t="n">
        <v>7791.095890410967</v>
      </c>
      <c r="R129" s="3" t="n">
        <v>235775.3424657534</v>
      </c>
      <c r="S129" s="3" t="n">
        <v>243566.4383561644</v>
      </c>
      <c r="T129" s="5">
        <f>IF(J129&lt;&gt;"",M129*N129/365/100*('Cashflow Projection'!$B$2-Investors!J129),0)</f>
        <v/>
      </c>
    </row>
    <row r="130">
      <c r="A130" s="3" t="inlineStr">
        <is>
          <t>ZBEN02</t>
        </is>
      </c>
      <c r="B130" s="3" t="inlineStr">
        <is>
          <t>Veronica</t>
        </is>
      </c>
      <c r="C130" s="3" t="inlineStr">
        <is>
          <t>Beneke</t>
        </is>
      </c>
      <c r="D130" s="3" t="inlineStr">
        <is>
          <t>Heron Fields</t>
        </is>
      </c>
      <c r="E130" s="3" t="inlineStr">
        <is>
          <t>HFB211</t>
        </is>
      </c>
      <c r="F130" s="3" t="b">
        <v>0</v>
      </c>
      <c r="G130" s="3" t="b">
        <v>0</v>
      </c>
      <c r="H130" s="3" t="inlineStr">
        <is>
          <t>B</t>
        </is>
      </c>
      <c r="I130" s="4" t="n">
        <v>44315</v>
      </c>
      <c r="J130" s="4" t="n">
        <v>44352</v>
      </c>
      <c r="K130" s="4" t="n">
        <v>45106</v>
      </c>
      <c r="L130" s="3" t="n">
        <v>1</v>
      </c>
      <c r="M130" s="3" t="n">
        <v>200000</v>
      </c>
      <c r="N130" s="3" t="n">
        <v>15</v>
      </c>
      <c r="O130" s="3" t="b">
        <v>1</v>
      </c>
      <c r="P130" s="3" t="b">
        <v>0</v>
      </c>
      <c r="Q130" s="3" t="n">
        <v>1267.123287671234</v>
      </c>
      <c r="R130" s="3" t="n">
        <v>61972.60273972603</v>
      </c>
      <c r="S130" s="3" t="n">
        <v>63239.72602739726</v>
      </c>
      <c r="T130" s="5">
        <f>IF(J130&lt;&gt;"",M130*N130/365/100*('Cashflow Projection'!$B$2-Investors!J130),0)</f>
        <v/>
      </c>
    </row>
    <row r="131">
      <c r="A131" s="3" t="inlineStr">
        <is>
          <t>ZDIC01</t>
        </is>
      </c>
      <c r="B131" s="3" t="inlineStr">
        <is>
          <t>Grant Allan</t>
        </is>
      </c>
      <c r="C131" s="3" t="inlineStr">
        <is>
          <t>Dickinson</t>
        </is>
      </c>
      <c r="D131" s="3" t="inlineStr">
        <is>
          <t>Heron Fields</t>
        </is>
      </c>
      <c r="E131" s="3" t="inlineStr">
        <is>
          <t>HFB212</t>
        </is>
      </c>
      <c r="F131" s="3" t="b">
        <v>0</v>
      </c>
      <c r="G131" s="3" t="b">
        <v>0</v>
      </c>
      <c r="H131" s="3" t="inlineStr">
        <is>
          <t>B</t>
        </is>
      </c>
      <c r="I131" s="4" t="n">
        <v>44286</v>
      </c>
      <c r="J131" s="4" t="n">
        <v>44352</v>
      </c>
      <c r="K131" s="4" t="n">
        <v>45056</v>
      </c>
      <c r="L131" s="3" t="n">
        <v>5</v>
      </c>
      <c r="M131" s="3" t="n">
        <v>900000</v>
      </c>
      <c r="N131" s="3" t="n">
        <v>18</v>
      </c>
      <c r="O131" s="3" t="b">
        <v>1</v>
      </c>
      <c r="P131" s="3" t="b">
        <v>0</v>
      </c>
      <c r="Q131" s="3" t="n">
        <v>10171.23287671234</v>
      </c>
      <c r="R131" s="3" t="n">
        <v>312460.2739726027</v>
      </c>
      <c r="S131" s="3" t="n">
        <v>322631.5068493151</v>
      </c>
      <c r="T131" s="5">
        <f>IF(J131&lt;&gt;"",M131*N131/365/100*('Cashflow Projection'!$B$2-Investors!J131),0)</f>
        <v/>
      </c>
    </row>
    <row r="132">
      <c r="A132" s="3" t="inlineStr">
        <is>
          <t>ZREN01</t>
        </is>
      </c>
      <c r="B132" s="3" t="inlineStr">
        <is>
          <t>Marlene Ann</t>
        </is>
      </c>
      <c r="C132" s="3" t="inlineStr">
        <is>
          <t>van Rensburg</t>
        </is>
      </c>
      <c r="D132" s="3" t="inlineStr">
        <is>
          <t>Heron Fields</t>
        </is>
      </c>
      <c r="E132" s="3" t="inlineStr">
        <is>
          <t>HFB213</t>
        </is>
      </c>
      <c r="F132" s="3" t="b">
        <v>0</v>
      </c>
      <c r="G132" s="3" t="b">
        <v>0</v>
      </c>
      <c r="H132" s="3" t="inlineStr">
        <is>
          <t>B</t>
        </is>
      </c>
      <c r="I132" s="4" t="n">
        <v>44460</v>
      </c>
      <c r="J132" s="4" t="n">
        <v>44550</v>
      </c>
      <c r="K132" s="4" t="n">
        <v>45267</v>
      </c>
      <c r="L132" s="3" t="n">
        <v>1</v>
      </c>
      <c r="M132" s="3" t="n">
        <v>1000000</v>
      </c>
      <c r="N132" s="3" t="n">
        <v>18</v>
      </c>
      <c r="O132" s="3" t="b">
        <v>1</v>
      </c>
      <c r="P132" s="3" t="b">
        <v>0</v>
      </c>
      <c r="Q132" s="3" t="n">
        <v>15547.94520547947</v>
      </c>
      <c r="R132" s="3" t="n">
        <v>353589.0410958905</v>
      </c>
      <c r="S132" s="3" t="n">
        <v>369136.9863013699</v>
      </c>
      <c r="T132" s="5">
        <f>IF(J132&lt;&gt;"",M132*N132/365/100*('Cashflow Projection'!$B$2-Investors!J132),0)</f>
        <v/>
      </c>
    </row>
    <row r="133">
      <c r="A133" s="3" t="inlineStr">
        <is>
          <t>ZDEL01</t>
        </is>
      </c>
      <c r="B133" s="3" t="inlineStr">
        <is>
          <t>Pieter</t>
        </is>
      </c>
      <c r="C133" s="3" t="inlineStr">
        <is>
          <t>Jansen van Vuuren</t>
        </is>
      </c>
      <c r="D133" s="3" t="inlineStr">
        <is>
          <t>Heron Fields</t>
        </is>
      </c>
      <c r="E133" s="3" t="inlineStr">
        <is>
          <t>HFB214</t>
        </is>
      </c>
      <c r="F133" s="3" t="b">
        <v>1</v>
      </c>
      <c r="G133" s="3" t="b">
        <v>1</v>
      </c>
      <c r="H133" s="3" t="inlineStr">
        <is>
          <t>B</t>
        </is>
      </c>
      <c r="I133" s="4" t="n">
        <v>44473</v>
      </c>
      <c r="J133" s="4" t="n">
        <v>44618</v>
      </c>
      <c r="K133" s="4" t="n">
        <v>45128</v>
      </c>
      <c r="L133" s="3" t="n">
        <v>2</v>
      </c>
      <c r="M133" s="3" t="n">
        <v>1000000</v>
      </c>
      <c r="N133" s="3" t="n">
        <v>18</v>
      </c>
      <c r="O133" s="3" t="b">
        <v>0</v>
      </c>
      <c r="P133" s="3" t="b">
        <v>0</v>
      </c>
      <c r="Q133" s="3" t="n">
        <v>25609.58904109591</v>
      </c>
      <c r="R133" s="3" t="n">
        <v>251506.8493150685</v>
      </c>
      <c r="S133" s="3" t="n">
        <v>277116.4383561644</v>
      </c>
      <c r="T133" s="5">
        <f>IF(J133&lt;&gt;"",M133*N133/365/100*('Cashflow Projection'!$B$2-Investors!J133),0)</f>
        <v/>
      </c>
    </row>
    <row r="134">
      <c r="A134" s="3" t="inlineStr">
        <is>
          <t>ZKUS04</t>
        </is>
      </c>
      <c r="B134" s="3" t="inlineStr">
        <is>
          <t>Willie</t>
        </is>
      </c>
      <c r="C134" s="3" t="inlineStr">
        <is>
          <t>Kusel</t>
        </is>
      </c>
      <c r="D134" s="3" t="inlineStr">
        <is>
          <t>Heron Fields</t>
        </is>
      </c>
      <c r="E134" s="3" t="inlineStr">
        <is>
          <t>HFB301</t>
        </is>
      </c>
      <c r="F134" s="3" t="b">
        <v>1</v>
      </c>
      <c r="G134" s="3" t="b">
        <v>1</v>
      </c>
      <c r="H134" s="3" t="inlineStr">
        <is>
          <t>B</t>
        </is>
      </c>
      <c r="I134" s="4" t="n">
        <v>44490</v>
      </c>
      <c r="J134" s="4" t="n">
        <v>44664</v>
      </c>
      <c r="K134" s="4" t="n">
        <v>44956</v>
      </c>
      <c r="L134" s="3" t="n">
        <v>1</v>
      </c>
      <c r="M134" s="3" t="n">
        <v>500000</v>
      </c>
      <c r="N134" s="3" t="n">
        <v>16</v>
      </c>
      <c r="O134" s="3" t="b">
        <v>0</v>
      </c>
      <c r="P134" s="3" t="b">
        <v>0</v>
      </c>
      <c r="Q134" s="3" t="n">
        <v>15647.26027397264</v>
      </c>
      <c r="R134" s="3" t="n">
        <v>64000</v>
      </c>
      <c r="S134" s="3" t="n">
        <v>79647.26027397264</v>
      </c>
      <c r="T134" s="5">
        <f>IF(J134&lt;&gt;"",M134*N134/365/100*('Cashflow Projection'!$B$2-Investors!J134),0)</f>
        <v/>
      </c>
    </row>
    <row r="135">
      <c r="A135" s="3" t="inlineStr">
        <is>
          <t>ZLAB01</t>
        </is>
      </c>
      <c r="B135" s="3" t="inlineStr">
        <is>
          <t>Andre Jan</t>
        </is>
      </c>
      <c r="C135" s="3" t="inlineStr">
        <is>
          <t>Labuschagne</t>
        </is>
      </c>
      <c r="D135" s="3" t="inlineStr">
        <is>
          <t>Heron Fields</t>
        </is>
      </c>
      <c r="E135" s="3" t="inlineStr">
        <is>
          <t>HFB301</t>
        </is>
      </c>
      <c r="F135" s="3" t="b">
        <v>1</v>
      </c>
      <c r="G135" s="3" t="b">
        <v>1</v>
      </c>
      <c r="H135" s="3" t="inlineStr">
        <is>
          <t>B</t>
        </is>
      </c>
      <c r="I135" s="4" t="n">
        <v>44474</v>
      </c>
      <c r="J135" s="4" t="n">
        <v>44618</v>
      </c>
      <c r="K135" s="4" t="n">
        <v>44956</v>
      </c>
      <c r="L135" s="3" t="n">
        <v>1</v>
      </c>
      <c r="M135" s="3" t="n">
        <v>500000</v>
      </c>
      <c r="N135" s="3" t="n">
        <v>16</v>
      </c>
      <c r="O135" s="3" t="b">
        <v>0</v>
      </c>
      <c r="P135" s="3" t="b">
        <v>0</v>
      </c>
      <c r="Q135" s="3" t="n">
        <v>12719.17808219179</v>
      </c>
      <c r="R135" s="3" t="n">
        <v>74082.19178082192</v>
      </c>
      <c r="S135" s="3" t="n">
        <v>86801.36986301371</v>
      </c>
      <c r="T135" s="5">
        <f>IF(J135&lt;&gt;"",M135*N135/365/100*('Cashflow Projection'!$B$2-Investors!J135),0)</f>
        <v/>
      </c>
    </row>
    <row r="136">
      <c r="A136" s="3" t="inlineStr">
        <is>
          <t>ZPRO01</t>
        </is>
      </c>
      <c r="B136" s="3" t="inlineStr">
        <is>
          <t>Adrian</t>
        </is>
      </c>
      <c r="C136" s="3" t="inlineStr">
        <is>
          <t>du Toit</t>
        </is>
      </c>
      <c r="D136" s="3" t="inlineStr">
        <is>
          <t>Heron Fields</t>
        </is>
      </c>
      <c r="E136" s="3" t="inlineStr">
        <is>
          <t>HFB302</t>
        </is>
      </c>
      <c r="F136" s="3" t="b">
        <v>1</v>
      </c>
      <c r="G136" s="3" t="b">
        <v>1</v>
      </c>
      <c r="H136" s="3" t="inlineStr">
        <is>
          <t>B</t>
        </is>
      </c>
      <c r="I136" s="4" t="n">
        <v>44488</v>
      </c>
      <c r="J136" s="4" t="n">
        <v>44550</v>
      </c>
      <c r="K136" s="4" t="n">
        <v>44952</v>
      </c>
      <c r="L136" s="3" t="n">
        <v>3</v>
      </c>
      <c r="M136" s="3" t="n">
        <v>1000000</v>
      </c>
      <c r="N136" s="3" t="n">
        <v>18</v>
      </c>
      <c r="O136" s="3" t="b">
        <v>0</v>
      </c>
      <c r="P136" s="3" t="b">
        <v>0</v>
      </c>
      <c r="Q136" s="3" t="n">
        <v>10753.42465753426</v>
      </c>
      <c r="R136" s="3" t="n">
        <v>198246.5753424658</v>
      </c>
      <c r="S136" s="3" t="n">
        <v>209000</v>
      </c>
      <c r="T136" s="5">
        <f>IF(J136&lt;&gt;"",M136*N136/365/100*('Cashflow Projection'!$B$2-Investors!J136),0)</f>
        <v/>
      </c>
    </row>
    <row r="137">
      <c r="A137" s="3" t="inlineStr">
        <is>
          <t>ZLOU03</t>
        </is>
      </c>
      <c r="B137" s="3" t="inlineStr">
        <is>
          <t>Peter Arnold</t>
        </is>
      </c>
      <c r="C137" s="3" t="inlineStr">
        <is>
          <t>Louwrens</t>
        </is>
      </c>
      <c r="D137" s="3" t="inlineStr">
        <is>
          <t>Heron Fields</t>
        </is>
      </c>
      <c r="E137" s="3" t="inlineStr">
        <is>
          <t>HFB303</t>
        </is>
      </c>
      <c r="F137" s="3" t="b">
        <v>1</v>
      </c>
      <c r="G137" s="3" t="b">
        <v>1</v>
      </c>
      <c r="H137" s="3" t="inlineStr">
        <is>
          <t>B</t>
        </is>
      </c>
      <c r="I137" s="4" t="n">
        <v>44601</v>
      </c>
      <c r="J137" s="4" t="n">
        <v>44664</v>
      </c>
      <c r="K137" s="4" t="n">
        <v>44942</v>
      </c>
      <c r="L137" s="3" t="n">
        <v>1</v>
      </c>
      <c r="M137" s="3" t="n">
        <v>350000</v>
      </c>
      <c r="N137" s="3" t="n">
        <v>14</v>
      </c>
      <c r="O137" s="3" t="b">
        <v>0</v>
      </c>
      <c r="P137" s="3" t="b">
        <v>0</v>
      </c>
      <c r="Q137" s="3" t="n">
        <v>4108.904109589038</v>
      </c>
      <c r="R137" s="3" t="n">
        <v>37320.54794520548</v>
      </c>
      <c r="S137" s="3" t="n">
        <v>41429.45205479451</v>
      </c>
      <c r="T137" s="5">
        <f>IF(J137&lt;&gt;"",M137*N137/365/100*('Cashflow Projection'!$B$2-Investors!J137),0)</f>
        <v/>
      </c>
    </row>
    <row r="138">
      <c r="A138" s="3" t="inlineStr">
        <is>
          <t>ZRUD01</t>
        </is>
      </c>
      <c r="B138" s="3" t="inlineStr">
        <is>
          <t>Pieter</t>
        </is>
      </c>
      <c r="C138" s="3" t="inlineStr">
        <is>
          <t>Jansen van Vuuren</t>
        </is>
      </c>
      <c r="D138" s="3" t="inlineStr">
        <is>
          <t>Heron Fields</t>
        </is>
      </c>
      <c r="E138" s="3" t="inlineStr">
        <is>
          <t>HFB303</t>
        </is>
      </c>
      <c r="F138" s="3" t="b">
        <v>1</v>
      </c>
      <c r="G138" s="3" t="b">
        <v>1</v>
      </c>
      <c r="H138" s="3" t="inlineStr">
        <is>
          <t>B</t>
        </is>
      </c>
      <c r="I138" s="4" t="n">
        <v>44494</v>
      </c>
      <c r="J138" s="4" t="n">
        <v>44664</v>
      </c>
      <c r="K138" s="4" t="n">
        <v>44942</v>
      </c>
      <c r="L138" s="3" t="n">
        <v>1</v>
      </c>
      <c r="M138" s="3" t="n">
        <v>150000</v>
      </c>
      <c r="N138" s="3" t="n">
        <v>14</v>
      </c>
      <c r="O138" s="3" t="b">
        <v>0</v>
      </c>
      <c r="P138" s="3" t="b">
        <v>0</v>
      </c>
      <c r="Q138" s="3" t="n">
        <v>4591.438356164394</v>
      </c>
      <c r="R138" s="3" t="n">
        <v>15994.52054794521</v>
      </c>
      <c r="S138" s="3" t="n">
        <v>20585.9589041096</v>
      </c>
      <c r="T138" s="5">
        <f>IF(J138&lt;&gt;"",M138*N138/365/100*('Cashflow Projection'!$B$2-Investors!J138),0)</f>
        <v/>
      </c>
    </row>
    <row r="139">
      <c r="A139" s="3" t="inlineStr">
        <is>
          <t>ZDOT01</t>
        </is>
      </c>
      <c r="B139" s="3" t="inlineStr">
        <is>
          <t>Mark Charles</t>
        </is>
      </c>
      <c r="C139" s="3" t="inlineStr">
        <is>
          <t>Pope</t>
        </is>
      </c>
      <c r="D139" s="3" t="inlineStr">
        <is>
          <t>Heron Fields</t>
        </is>
      </c>
      <c r="E139" s="3" t="inlineStr">
        <is>
          <t>HFB304</t>
        </is>
      </c>
      <c r="F139" s="3" t="b">
        <v>1</v>
      </c>
      <c r="G139" s="3" t="b">
        <v>1</v>
      </c>
      <c r="H139" s="3" t="inlineStr">
        <is>
          <t>B</t>
        </is>
      </c>
      <c r="I139" s="4" t="n">
        <v>44517</v>
      </c>
      <c r="J139" s="4" t="n">
        <v>44690</v>
      </c>
      <c r="K139" s="4" t="n">
        <v>45027</v>
      </c>
      <c r="L139" s="3" t="n">
        <v>1</v>
      </c>
      <c r="M139" s="3" t="n">
        <v>1000000</v>
      </c>
      <c r="N139" s="3" t="n">
        <v>18</v>
      </c>
      <c r="O139" s="3" t="b">
        <v>0</v>
      </c>
      <c r="P139" s="3" t="b">
        <v>0</v>
      </c>
      <c r="Q139" s="3" t="n">
        <v>31657.53424657537</v>
      </c>
      <c r="R139" s="3" t="n">
        <v>166191.7808219178</v>
      </c>
      <c r="S139" s="3" t="n">
        <v>197849.3150684932</v>
      </c>
      <c r="T139" s="5">
        <f>IF(J139&lt;&gt;"",M139*N139/365/100*('Cashflow Projection'!$B$2-Investors!J139),0)</f>
        <v/>
      </c>
    </row>
    <row r="140">
      <c r="A140" s="3" t="inlineStr">
        <is>
          <t>ZSCH04</t>
        </is>
      </c>
      <c r="B140" s="3" t="inlineStr">
        <is>
          <t>Christiaan</t>
        </is>
      </c>
      <c r="C140" s="3" t="inlineStr">
        <is>
          <t>Schroder</t>
        </is>
      </c>
      <c r="D140" s="3" t="inlineStr">
        <is>
          <t>Heron Fields</t>
        </is>
      </c>
      <c r="E140" s="3" t="inlineStr">
        <is>
          <t>HFB306</t>
        </is>
      </c>
      <c r="F140" s="3" t="b">
        <v>1</v>
      </c>
      <c r="G140" s="3" t="b">
        <v>1</v>
      </c>
      <c r="H140" s="3" t="inlineStr">
        <is>
          <t>B</t>
        </is>
      </c>
      <c r="I140" s="4" t="n">
        <v>44491</v>
      </c>
      <c r="J140" s="4" t="n">
        <v>44644</v>
      </c>
      <c r="K140" s="4" t="n">
        <v>45020</v>
      </c>
      <c r="L140" s="3" t="n">
        <v>1</v>
      </c>
      <c r="M140" s="3" t="n">
        <v>1000000</v>
      </c>
      <c r="N140" s="3" t="n">
        <v>18</v>
      </c>
      <c r="O140" s="3" t="b">
        <v>1</v>
      </c>
      <c r="P140" s="3" t="b">
        <v>0</v>
      </c>
      <c r="Q140" s="3" t="n">
        <v>27335.61643835624</v>
      </c>
      <c r="R140" s="3" t="n">
        <v>185424.6575342466</v>
      </c>
      <c r="S140" s="3" t="n">
        <v>212760.2739726028</v>
      </c>
      <c r="T140" s="5">
        <f>IF(J140&lt;&gt;"",M140*N140/365/100*('Cashflow Projection'!$B$2-Investors!J140),0)</f>
        <v/>
      </c>
    </row>
    <row r="141">
      <c r="A141" s="3" t="inlineStr">
        <is>
          <t>ZROU01</t>
        </is>
      </c>
      <c r="B141" s="3" t="inlineStr">
        <is>
          <t>Laura</t>
        </is>
      </c>
      <c r="C141" s="3" t="inlineStr">
        <is>
          <t>Roux</t>
        </is>
      </c>
      <c r="D141" s="3" t="inlineStr">
        <is>
          <t>Heron Fields</t>
        </is>
      </c>
      <c r="E141" s="3" t="inlineStr">
        <is>
          <t>HFB307</t>
        </is>
      </c>
      <c r="F141" s="3" t="b">
        <v>1</v>
      </c>
      <c r="G141" s="3" t="b">
        <v>1</v>
      </c>
      <c r="H141" s="3" t="inlineStr">
        <is>
          <t>B</t>
        </is>
      </c>
      <c r="I141" s="4" t="n">
        <v>44488</v>
      </c>
      <c r="J141" s="4" t="n">
        <v>44643</v>
      </c>
      <c r="K141" s="4" t="n">
        <v>45020</v>
      </c>
      <c r="L141" s="3" t="n">
        <v>1</v>
      </c>
      <c r="M141" s="3" t="n">
        <v>200000</v>
      </c>
      <c r="N141" s="3" t="n">
        <v>14</v>
      </c>
      <c r="O141" s="3" t="b">
        <v>1</v>
      </c>
      <c r="P141" s="3" t="b">
        <v>0</v>
      </c>
      <c r="Q141" s="3" t="n">
        <v>5532.876712328782</v>
      </c>
      <c r="R141" s="3" t="n">
        <v>28920.54794520548</v>
      </c>
      <c r="S141" s="3" t="n">
        <v>34453.42465753426</v>
      </c>
      <c r="T141" s="5">
        <f>IF(J141&lt;&gt;"",M141*N141/365/100*('Cashflow Projection'!$B$2-Investors!J141),0)</f>
        <v/>
      </c>
    </row>
    <row r="142">
      <c r="A142" s="3" t="inlineStr">
        <is>
          <t>ZVOR01</t>
        </is>
      </c>
      <c r="B142" s="3" t="inlineStr">
        <is>
          <t xml:space="preserve">Sophia Maria Catharina </t>
        </is>
      </c>
      <c r="C142" s="3" t="inlineStr">
        <is>
          <t>Vorster</t>
        </is>
      </c>
      <c r="D142" s="3" t="inlineStr">
        <is>
          <t>Heron Fields</t>
        </is>
      </c>
      <c r="E142" s="3" t="inlineStr">
        <is>
          <t>HFB307</t>
        </is>
      </c>
      <c r="F142" s="3" t="b">
        <v>1</v>
      </c>
      <c r="G142" s="3" t="b">
        <v>1</v>
      </c>
      <c r="H142" s="3" t="inlineStr">
        <is>
          <t>B</t>
        </is>
      </c>
      <c r="I142" s="4" t="n">
        <v>44490</v>
      </c>
      <c r="J142" s="4" t="n">
        <v>44643</v>
      </c>
      <c r="K142" s="4" t="n">
        <v>45020</v>
      </c>
      <c r="L142" s="3" t="n">
        <v>3</v>
      </c>
      <c r="M142" s="3" t="n">
        <v>200000</v>
      </c>
      <c r="N142" s="3" t="n">
        <v>16</v>
      </c>
      <c r="O142" s="3" t="b">
        <v>1</v>
      </c>
      <c r="P142" s="3" t="b">
        <v>0</v>
      </c>
      <c r="Q142" s="3" t="n">
        <v>5464.38356164385</v>
      </c>
      <c r="R142" s="3" t="n">
        <v>33052.05479452055</v>
      </c>
      <c r="S142" s="3" t="n">
        <v>38516.4383561644</v>
      </c>
      <c r="T142" s="5">
        <f>IF(J142&lt;&gt;"",M142*N142/365/100*('Cashflow Projection'!$B$2-Investors!J142),0)</f>
        <v/>
      </c>
    </row>
    <row r="143">
      <c r="A143" s="3" t="inlineStr">
        <is>
          <t>ZGOF01</t>
        </is>
      </c>
      <c r="B143" s="3" t="inlineStr">
        <is>
          <t>Angela</t>
        </is>
      </c>
      <c r="C143" s="3" t="inlineStr">
        <is>
          <t>Goff</t>
        </is>
      </c>
      <c r="D143" s="3" t="inlineStr">
        <is>
          <t>Heron Fields</t>
        </is>
      </c>
      <c r="E143" s="3" t="inlineStr">
        <is>
          <t>HFB308</t>
        </is>
      </c>
      <c r="F143" s="3" t="b">
        <v>1</v>
      </c>
      <c r="G143" s="3" t="b">
        <v>1</v>
      </c>
      <c r="H143" s="3" t="inlineStr">
        <is>
          <t>B</t>
        </is>
      </c>
      <c r="I143" s="4" t="n">
        <v>44491</v>
      </c>
      <c r="J143" s="4" t="n">
        <v>44664</v>
      </c>
      <c r="K143" s="4" t="n">
        <v>45009</v>
      </c>
      <c r="L143" s="3" t="n">
        <v>1</v>
      </c>
      <c r="M143" s="3" t="n">
        <v>1000000</v>
      </c>
      <c r="N143" s="3" t="n">
        <v>18</v>
      </c>
      <c r="O143" s="3" t="b">
        <v>1</v>
      </c>
      <c r="P143" s="3" t="b">
        <v>0</v>
      </c>
      <c r="Q143" s="3" t="n">
        <v>31123.28767123295</v>
      </c>
      <c r="R143" s="3" t="n">
        <v>170136.9863013699</v>
      </c>
      <c r="S143" s="3" t="n">
        <v>201260.2739726028</v>
      </c>
      <c r="T143" s="5">
        <f>IF(J143&lt;&gt;"",M143*N143/365/100*('Cashflow Projection'!$B$2-Investors!J143),0)</f>
        <v/>
      </c>
    </row>
    <row r="144">
      <c r="A144" s="3" t="inlineStr">
        <is>
          <t>ZBLU01</t>
        </is>
      </c>
      <c r="B144" s="3" t="inlineStr">
        <is>
          <t>Samantha Jessica</t>
        </is>
      </c>
      <c r="C144" s="3" t="inlineStr">
        <is>
          <t>Blues</t>
        </is>
      </c>
      <c r="D144" s="3" t="inlineStr">
        <is>
          <t>Heron Fields</t>
        </is>
      </c>
      <c r="E144" s="3" t="inlineStr">
        <is>
          <t>HFB309</t>
        </is>
      </c>
      <c r="F144" s="3" t="b">
        <v>1</v>
      </c>
      <c r="G144" s="3" t="b">
        <v>1</v>
      </c>
      <c r="H144" s="3" t="inlineStr">
        <is>
          <t>B</t>
        </is>
      </c>
      <c r="I144" s="4" t="n">
        <v>44480</v>
      </c>
      <c r="J144" s="4" t="n">
        <v>44618</v>
      </c>
      <c r="K144" s="4" t="n">
        <v>45086</v>
      </c>
      <c r="L144" s="3" t="n">
        <v>1</v>
      </c>
      <c r="M144" s="3" t="n">
        <v>400000</v>
      </c>
      <c r="N144" s="3" t="n">
        <v>14</v>
      </c>
      <c r="O144" s="3" t="b">
        <v>0</v>
      </c>
      <c r="P144" s="3" t="b">
        <v>0</v>
      </c>
      <c r="Q144" s="3" t="n">
        <v>9764.383561643859</v>
      </c>
      <c r="R144" s="3" t="n">
        <v>71802.73972602739</v>
      </c>
      <c r="S144" s="3" t="n">
        <v>81567.12328767125</v>
      </c>
      <c r="T144" s="5">
        <f>IF(J144&lt;&gt;"",M144*N144/365/100*('Cashflow Projection'!$B$2-Investors!J144),0)</f>
        <v/>
      </c>
    </row>
    <row r="145">
      <c r="A145" s="3" t="inlineStr">
        <is>
          <t>ZJAN03</t>
        </is>
      </c>
      <c r="B145" s="3" t="inlineStr">
        <is>
          <t>Rudolph Johannes</t>
        </is>
      </c>
      <c r="C145" s="3" t="inlineStr">
        <is>
          <t>Jansen van Vuuren</t>
        </is>
      </c>
      <c r="D145" s="3" t="inlineStr">
        <is>
          <t>Heron Fields</t>
        </is>
      </c>
      <c r="E145" s="3" t="inlineStr">
        <is>
          <t>HFB309</t>
        </is>
      </c>
      <c r="F145" s="3" t="b">
        <v>1</v>
      </c>
      <c r="G145" s="3" t="b">
        <v>1</v>
      </c>
      <c r="H145" s="3" t="inlineStr">
        <is>
          <t>B</t>
        </is>
      </c>
      <c r="I145" s="4" t="n">
        <v>44494</v>
      </c>
      <c r="J145" s="4" t="n">
        <v>44664</v>
      </c>
      <c r="K145" s="4" t="n">
        <v>45086</v>
      </c>
      <c r="L145" s="3" t="n">
        <v>1</v>
      </c>
      <c r="M145" s="3" t="n">
        <v>100000</v>
      </c>
      <c r="N145" s="3" t="n">
        <v>14</v>
      </c>
      <c r="O145" s="3" t="b">
        <v>0</v>
      </c>
      <c r="P145" s="3" t="b">
        <v>0</v>
      </c>
      <c r="Q145" s="3" t="n">
        <v>3060.958904109598</v>
      </c>
      <c r="R145" s="3" t="n">
        <v>16186.30136986301</v>
      </c>
      <c r="S145" s="3" t="n">
        <v>19247.26027397261</v>
      </c>
      <c r="T145" s="5">
        <f>IF(J145&lt;&gt;"",M145*N145/365/100*('Cashflow Projection'!$B$2-Investors!J145),0)</f>
        <v/>
      </c>
    </row>
    <row r="146">
      <c r="A146" s="3" t="inlineStr">
        <is>
          <t>ZVED01</t>
        </is>
      </c>
      <c r="B146" s="3" t="inlineStr">
        <is>
          <t>Craig</t>
        </is>
      </c>
      <c r="C146" s="3" t="inlineStr">
        <is>
          <t>Vedders</t>
        </is>
      </c>
      <c r="D146" s="3" t="inlineStr">
        <is>
          <t>Heron Fields</t>
        </is>
      </c>
      <c r="E146" s="3" t="inlineStr">
        <is>
          <t>HFB309</t>
        </is>
      </c>
      <c r="F146" s="3" t="b">
        <v>1</v>
      </c>
      <c r="G146" s="3" t="b">
        <v>1</v>
      </c>
      <c r="H146" s="3" t="inlineStr">
        <is>
          <t>B</t>
        </is>
      </c>
      <c r="I146" s="4" t="n">
        <v>44705</v>
      </c>
      <c r="J146" s="4" t="n">
        <v>44719</v>
      </c>
      <c r="K146" s="4" t="n">
        <v>45086</v>
      </c>
      <c r="L146" s="3" t="n">
        <v>4</v>
      </c>
      <c r="M146" s="3" t="n">
        <v>299172.38</v>
      </c>
      <c r="N146" s="3" t="n">
        <v>14</v>
      </c>
      <c r="O146" s="3" t="b">
        <v>0</v>
      </c>
      <c r="P146" s="3" t="b">
        <v>0</v>
      </c>
      <c r="Q146" s="3" t="n">
        <v>831.9451115068495</v>
      </c>
      <c r="R146" s="3" t="n">
        <v>42113.63529972603</v>
      </c>
      <c r="S146" s="3" t="n">
        <v>42945.58041123288</v>
      </c>
      <c r="T146" s="5">
        <f>IF(J146&lt;&gt;"",M146*N146/365/100*('Cashflow Projection'!$B$2-Investors!J146),0)</f>
        <v/>
      </c>
    </row>
    <row r="147">
      <c r="A147" s="3" t="inlineStr">
        <is>
          <t>ZPRO01</t>
        </is>
      </c>
      <c r="B147" s="3" t="inlineStr">
        <is>
          <t>Adrian</t>
        </is>
      </c>
      <c r="C147" s="3" t="inlineStr">
        <is>
          <t>du Toit</t>
        </is>
      </c>
      <c r="D147" s="3" t="inlineStr">
        <is>
          <t>Heron Fields</t>
        </is>
      </c>
      <c r="E147" s="3" t="inlineStr">
        <is>
          <t>HFB310</t>
        </is>
      </c>
      <c r="F147" s="3" t="b">
        <v>1</v>
      </c>
      <c r="G147" s="3" t="b">
        <v>1</v>
      </c>
      <c r="H147" s="3" t="inlineStr">
        <is>
          <t>B</t>
        </is>
      </c>
      <c r="I147" s="4" t="n">
        <v>44488</v>
      </c>
      <c r="J147" s="4" t="n">
        <v>44550</v>
      </c>
      <c r="K147" s="4" t="n">
        <v>45014</v>
      </c>
      <c r="L147" s="3" t="n">
        <v>4</v>
      </c>
      <c r="M147" s="3" t="n">
        <v>1000000</v>
      </c>
      <c r="N147" s="3" t="n">
        <v>18</v>
      </c>
      <c r="O147" s="3" t="b">
        <v>0</v>
      </c>
      <c r="P147" s="3" t="b">
        <v>0</v>
      </c>
      <c r="Q147" s="3" t="n">
        <v>10753.42465753426</v>
      </c>
      <c r="R147" s="3" t="n">
        <v>228821.9178082192</v>
      </c>
      <c r="S147" s="3" t="n">
        <v>239575.3424657534</v>
      </c>
      <c r="T147" s="5">
        <f>IF(J147&lt;&gt;"",M147*N147/365/100*('Cashflow Projection'!$B$2-Investors!J147),0)</f>
        <v/>
      </c>
    </row>
    <row r="148">
      <c r="A148" s="3" t="inlineStr">
        <is>
          <t>ZREN01</t>
        </is>
      </c>
      <c r="B148" s="3" t="inlineStr">
        <is>
          <t>Marlene Ann</t>
        </is>
      </c>
      <c r="C148" s="3" t="inlineStr">
        <is>
          <t>van Rensburg</t>
        </is>
      </c>
      <c r="D148" s="3" t="inlineStr">
        <is>
          <t>Heron Fields</t>
        </is>
      </c>
      <c r="E148" s="3" t="inlineStr">
        <is>
          <t>HFB311</t>
        </is>
      </c>
      <c r="F148" s="3" t="b">
        <v>1</v>
      </c>
      <c r="G148" s="3" t="b">
        <v>1</v>
      </c>
      <c r="H148" s="3" t="inlineStr">
        <is>
          <t>B</t>
        </is>
      </c>
      <c r="I148" s="4" t="n">
        <v>44460</v>
      </c>
      <c r="J148" s="4" t="n">
        <v>44590</v>
      </c>
      <c r="K148" s="4" t="n">
        <v>45035</v>
      </c>
      <c r="L148" s="3" t="n">
        <v>2</v>
      </c>
      <c r="M148" s="3" t="n">
        <v>500000</v>
      </c>
      <c r="N148" s="3" t="n">
        <v>18</v>
      </c>
      <c r="O148" s="3" t="b">
        <v>0</v>
      </c>
      <c r="P148" s="3" t="b">
        <v>0</v>
      </c>
      <c r="Q148" s="3" t="n">
        <v>11335.61643835616</v>
      </c>
      <c r="R148" s="3" t="n">
        <v>109726.0273972603</v>
      </c>
      <c r="S148" s="3" t="n">
        <v>121061.6438356164</v>
      </c>
      <c r="T148" s="5">
        <f>IF(J148&lt;&gt;"",M148*N148/365/100*('Cashflow Projection'!$B$2-Investors!J148),0)</f>
        <v/>
      </c>
    </row>
    <row r="149">
      <c r="A149" s="3" t="inlineStr">
        <is>
          <t>ZVOR01</t>
        </is>
      </c>
      <c r="B149" s="3" t="inlineStr">
        <is>
          <t xml:space="preserve">Sophia Maria Catharina </t>
        </is>
      </c>
      <c r="C149" s="3" t="inlineStr">
        <is>
          <t>Vorster</t>
        </is>
      </c>
      <c r="D149" s="3" t="inlineStr">
        <is>
          <t>Heron Fields</t>
        </is>
      </c>
      <c r="E149" s="3" t="inlineStr">
        <is>
          <t>HFB311</t>
        </is>
      </c>
      <c r="F149" s="3" t="b">
        <v>1</v>
      </c>
      <c r="G149" s="3" t="b">
        <v>1</v>
      </c>
      <c r="H149" s="3" t="inlineStr">
        <is>
          <t>B</t>
        </is>
      </c>
      <c r="I149" s="4" t="n">
        <v>44544</v>
      </c>
      <c r="J149" s="4" t="n">
        <v>44706</v>
      </c>
      <c r="K149" s="4" t="n">
        <v>45035</v>
      </c>
      <c r="L149" s="3" t="n">
        <v>4</v>
      </c>
      <c r="M149" s="3" t="n">
        <v>100000</v>
      </c>
      <c r="N149" s="3" t="n">
        <v>16</v>
      </c>
      <c r="O149" s="3" t="b">
        <v>0</v>
      </c>
      <c r="P149" s="3" t="b">
        <v>0</v>
      </c>
      <c r="Q149" s="3" t="n">
        <v>3000.684931506859</v>
      </c>
      <c r="R149" s="3" t="n">
        <v>14421.91780821918</v>
      </c>
      <c r="S149" s="3" t="n">
        <v>17422.60273972604</v>
      </c>
      <c r="T149" s="5">
        <f>IF(J149&lt;&gt;"",M149*N149/365/100*('Cashflow Projection'!$B$2-Investors!J149),0)</f>
        <v/>
      </c>
    </row>
    <row r="150">
      <c r="A150" s="3" t="inlineStr">
        <is>
          <t>ZREN01</t>
        </is>
      </c>
      <c r="B150" s="3" t="inlineStr">
        <is>
          <t>Marlene Ann</t>
        </is>
      </c>
      <c r="C150" s="3" t="inlineStr">
        <is>
          <t>van Rensburg</t>
        </is>
      </c>
      <c r="D150" s="3" t="inlineStr">
        <is>
          <t>Heron Fields</t>
        </is>
      </c>
      <c r="E150" s="3" t="inlineStr">
        <is>
          <t>HFB312</t>
        </is>
      </c>
      <c r="F150" s="3" t="b">
        <v>1</v>
      </c>
      <c r="G150" s="3" t="b">
        <v>1</v>
      </c>
      <c r="H150" s="3" t="inlineStr">
        <is>
          <t>B</t>
        </is>
      </c>
      <c r="I150" s="4" t="n">
        <v>44460</v>
      </c>
      <c r="J150" s="4" t="n">
        <v>44581</v>
      </c>
      <c r="K150" s="4" t="n">
        <v>45027</v>
      </c>
      <c r="L150" s="3" t="n">
        <v>3</v>
      </c>
      <c r="M150" s="3" t="n">
        <v>1000000</v>
      </c>
      <c r="N150" s="3" t="n">
        <v>18</v>
      </c>
      <c r="O150" s="3" t="b">
        <v>0</v>
      </c>
      <c r="P150" s="3" t="b">
        <v>0</v>
      </c>
      <c r="Q150" s="3" t="n">
        <v>21068.49315068492</v>
      </c>
      <c r="R150" s="3" t="n">
        <v>219945.2054794521</v>
      </c>
      <c r="S150" s="3" t="n">
        <v>241013.698630137</v>
      </c>
      <c r="T150" s="5">
        <f>IF(J150&lt;&gt;"",M150*N150/365/100*('Cashflow Projection'!$B$2-Investors!J150),0)</f>
        <v/>
      </c>
    </row>
    <row r="151">
      <c r="A151" s="3" t="inlineStr">
        <is>
          <t>ZCON01</t>
        </is>
      </c>
      <c r="B151" s="3" t="inlineStr">
        <is>
          <t>Gerhard Lotter</t>
        </is>
      </c>
      <c r="C151" s="3" t="inlineStr">
        <is>
          <t>Conradie</t>
        </is>
      </c>
      <c r="D151" s="3" t="inlineStr">
        <is>
          <t>Heron Fields</t>
        </is>
      </c>
      <c r="E151" s="3" t="inlineStr">
        <is>
          <t>HFB313</t>
        </is>
      </c>
      <c r="F151" s="3" t="b">
        <v>1</v>
      </c>
      <c r="G151" s="3" t="b">
        <v>1</v>
      </c>
      <c r="H151" s="3" t="inlineStr">
        <is>
          <t>B</t>
        </is>
      </c>
      <c r="I151" s="4" t="n">
        <v>44650</v>
      </c>
      <c r="J151" s="4" t="n">
        <v>44650</v>
      </c>
      <c r="K151" s="4" t="n">
        <v>45051</v>
      </c>
      <c r="L151" s="3" t="n">
        <v>1</v>
      </c>
      <c r="M151" s="3" t="n">
        <v>1068455</v>
      </c>
      <c r="N151" s="3" t="n">
        <v>14</v>
      </c>
      <c r="O151" s="3" t="b">
        <v>0</v>
      </c>
      <c r="P151" s="3" t="b">
        <v>0</v>
      </c>
      <c r="Q151" s="3" t="n">
        <v>0</v>
      </c>
      <c r="R151" s="3" t="n">
        <v>164337.1608219178</v>
      </c>
      <c r="S151" s="3" t="n">
        <v>164337.1608219178</v>
      </c>
      <c r="T151" s="5">
        <f>IF(J151&lt;&gt;"",M151*N151/365/100*('Cashflow Projection'!$B$2-Investors!J151),0)</f>
        <v/>
      </c>
    </row>
    <row r="152">
      <c r="A152" s="3" t="inlineStr">
        <is>
          <t>ZCON01</t>
        </is>
      </c>
      <c r="B152" s="3" t="inlineStr">
        <is>
          <t>Gerhard Lotter</t>
        </is>
      </c>
      <c r="C152" s="3" t="inlineStr">
        <is>
          <t>Conradie</t>
        </is>
      </c>
      <c r="D152" s="3" t="inlineStr">
        <is>
          <t>Heron View</t>
        </is>
      </c>
      <c r="E152" s="3" t="inlineStr">
        <is>
          <t>HVC101</t>
        </is>
      </c>
      <c r="F152" s="3" t="b">
        <v>1</v>
      </c>
      <c r="G152" s="3" t="b">
        <v>1</v>
      </c>
      <c r="H152" s="3" t="inlineStr">
        <is>
          <t>C</t>
        </is>
      </c>
      <c r="I152" s="4" t="n">
        <v>44674</v>
      </c>
      <c r="J152" s="4" t="n">
        <v>44681</v>
      </c>
      <c r="K152" s="4" t="n">
        <v>45154</v>
      </c>
      <c r="L152" s="3" t="n">
        <v>2</v>
      </c>
      <c r="M152" s="3" t="n">
        <v>503089.15</v>
      </c>
      <c r="N152" s="3" t="n">
        <v>14</v>
      </c>
      <c r="O152" s="3" t="b">
        <v>0</v>
      </c>
      <c r="P152" s="3" t="b">
        <v>0</v>
      </c>
      <c r="Q152" s="3" t="n">
        <v>675.3799547945207</v>
      </c>
      <c r="R152" s="3" t="n">
        <v>91272.7767479452</v>
      </c>
      <c r="S152" s="3" t="n">
        <v>91948.15670273973</v>
      </c>
      <c r="T152" s="5">
        <f>IF(J152&lt;&gt;"",M152*N152/365/100*('Cashflow Projection'!$B$2-Investors!J152),0)</f>
        <v/>
      </c>
    </row>
    <row r="153">
      <c r="A153" s="3" t="inlineStr">
        <is>
          <t>ZDEH01</t>
        </is>
      </c>
      <c r="B153" s="3" t="inlineStr">
        <is>
          <t>Charl</t>
        </is>
      </c>
      <c r="C153" s="3" t="inlineStr">
        <is>
          <t>Oberholzer</t>
        </is>
      </c>
      <c r="D153" s="3" t="inlineStr">
        <is>
          <t>Heron View</t>
        </is>
      </c>
      <c r="E153" s="3" t="inlineStr">
        <is>
          <t>HVC101</t>
        </is>
      </c>
      <c r="F153" s="3" t="b">
        <v>1</v>
      </c>
      <c r="G153" s="3" t="b">
        <v>1</v>
      </c>
      <c r="H153" s="3" t="inlineStr">
        <is>
          <t>C</t>
        </is>
      </c>
      <c r="I153" s="4" t="n">
        <v>44854</v>
      </c>
      <c r="J153" s="4" t="n">
        <v>44889</v>
      </c>
      <c r="K153" s="4" t="n">
        <v>45154</v>
      </c>
      <c r="L153" s="3" t="n">
        <v>2</v>
      </c>
      <c r="M153" s="3" t="n">
        <v>229383.56</v>
      </c>
      <c r="N153" s="3" t="n">
        <v>14</v>
      </c>
      <c r="O153" s="3" t="b">
        <v>0</v>
      </c>
      <c r="P153" s="3" t="b">
        <v>0</v>
      </c>
      <c r="Q153" s="3" t="n">
        <v>1979.611545205481</v>
      </c>
      <c r="R153" s="3" t="n">
        <v>23315.42486575342</v>
      </c>
      <c r="S153" s="3" t="n">
        <v>25295.0364109589</v>
      </c>
      <c r="T153" s="5">
        <f>IF(J153&lt;&gt;"",M153*N153/365/100*('Cashflow Projection'!$B$2-Investors!J153),0)</f>
        <v/>
      </c>
    </row>
    <row r="154">
      <c r="A154" s="3" t="inlineStr">
        <is>
          <t>ZERA02</t>
        </is>
      </c>
      <c r="B154" s="3" t="inlineStr">
        <is>
          <t>Chantal Celeste Jafthaleen</t>
        </is>
      </c>
      <c r="C154" s="3" t="inlineStr">
        <is>
          <t>Erasmus</t>
        </is>
      </c>
      <c r="D154" s="3" t="inlineStr">
        <is>
          <t>Heron View</t>
        </is>
      </c>
      <c r="E154" s="3" t="inlineStr">
        <is>
          <t>HVC101</t>
        </is>
      </c>
      <c r="F154" s="3" t="b">
        <v>1</v>
      </c>
      <c r="G154" s="3" t="b">
        <v>1</v>
      </c>
      <c r="H154" s="3" t="inlineStr">
        <is>
          <t>C</t>
        </is>
      </c>
      <c r="I154" s="4" t="n">
        <v>44854</v>
      </c>
      <c r="J154" s="4" t="n">
        <v>44889</v>
      </c>
      <c r="K154" s="4" t="n">
        <v>45154</v>
      </c>
      <c r="L154" s="3" t="n">
        <v>2</v>
      </c>
      <c r="M154" s="3" t="n">
        <v>380000</v>
      </c>
      <c r="N154" s="3" t="n">
        <v>14</v>
      </c>
      <c r="O154" s="3" t="b">
        <v>0</v>
      </c>
      <c r="P154" s="3" t="b">
        <v>0</v>
      </c>
      <c r="Q154" s="3" t="n">
        <v>3279.452054794519</v>
      </c>
      <c r="R154" s="3" t="n">
        <v>38624.65753424658</v>
      </c>
      <c r="S154" s="3" t="n">
        <v>41904.1095890411</v>
      </c>
      <c r="T154" s="5">
        <f>IF(J154&lt;&gt;"",M154*N154/365/100*('Cashflow Projection'!$B$2-Investors!J154),0)</f>
        <v/>
      </c>
    </row>
    <row r="155">
      <c r="A155" s="3" t="inlineStr">
        <is>
          <t>ZKRI02</t>
        </is>
      </c>
      <c r="B155" s="3" t="inlineStr">
        <is>
          <t>Hermanus Johannes</t>
        </is>
      </c>
      <c r="C155" s="3" t="inlineStr">
        <is>
          <t>Kriel</t>
        </is>
      </c>
      <c r="D155" s="3" t="inlineStr">
        <is>
          <t>Heron View</t>
        </is>
      </c>
      <c r="E155" s="3" t="inlineStr">
        <is>
          <t>HVC102</t>
        </is>
      </c>
      <c r="F155" s="3" t="b">
        <v>1</v>
      </c>
      <c r="G155" s="3" t="b">
        <v>1</v>
      </c>
      <c r="H155" s="3" t="inlineStr">
        <is>
          <t>C</t>
        </is>
      </c>
      <c r="I155" s="4" t="n">
        <v>44846</v>
      </c>
      <c r="J155" s="4" t="n">
        <v>44861</v>
      </c>
      <c r="K155" s="4" t="n">
        <v>45154</v>
      </c>
      <c r="L155" s="3" t="n">
        <v>2</v>
      </c>
      <c r="M155" s="3" t="n">
        <v>1100000</v>
      </c>
      <c r="N155" s="3" t="n">
        <v>18</v>
      </c>
      <c r="O155" s="3" t="b">
        <v>0</v>
      </c>
      <c r="P155" s="3" t="b">
        <v>0</v>
      </c>
      <c r="Q155" s="3" t="n">
        <v>4068.493150684933</v>
      </c>
      <c r="R155" s="3" t="n">
        <v>158942.4657534247</v>
      </c>
      <c r="S155" s="3" t="n">
        <v>163010.9589041096</v>
      </c>
      <c r="T155" s="5">
        <f>IF(J155&lt;&gt;"",M155*N155/365/100*('Cashflow Projection'!$B$2-Investors!J155),0)</f>
        <v/>
      </c>
    </row>
    <row r="156">
      <c r="A156" s="3" t="inlineStr">
        <is>
          <t>ZDEV01</t>
        </is>
      </c>
      <c r="B156" s="3" t="inlineStr">
        <is>
          <t>Andre Deric</t>
        </is>
      </c>
      <c r="C156" s="3" t="inlineStr">
        <is>
          <t>de Villiers</t>
        </is>
      </c>
      <c r="D156" s="3" t="inlineStr">
        <is>
          <t>Heron View</t>
        </is>
      </c>
      <c r="E156" s="3" t="inlineStr">
        <is>
          <t>HVC103</t>
        </is>
      </c>
      <c r="F156" s="3" t="b">
        <v>1</v>
      </c>
      <c r="G156" s="3" t="b">
        <v>1</v>
      </c>
      <c r="H156" s="3" t="inlineStr">
        <is>
          <t>C</t>
        </is>
      </c>
      <c r="I156" s="4" t="n">
        <v>44833</v>
      </c>
      <c r="J156" s="4" t="n">
        <v>44861</v>
      </c>
      <c r="K156" s="4" t="n">
        <v>45174</v>
      </c>
      <c r="L156" s="3" t="n">
        <v>1</v>
      </c>
      <c r="M156" s="3" t="n">
        <v>1000000</v>
      </c>
      <c r="N156" s="3" t="n">
        <v>18</v>
      </c>
      <c r="O156" s="3" t="b">
        <v>0</v>
      </c>
      <c r="P156" s="3" t="b">
        <v>0</v>
      </c>
      <c r="Q156" s="3" t="n">
        <v>6883.561643835613</v>
      </c>
      <c r="R156" s="3" t="n">
        <v>154356.1643835616</v>
      </c>
      <c r="S156" s="3" t="n">
        <v>161239.7260273973</v>
      </c>
      <c r="T156" s="5">
        <f>IF(J156&lt;&gt;"",M156*N156/365/100*('Cashflow Projection'!$B$2-Investors!J156),0)</f>
        <v/>
      </c>
    </row>
    <row r="157">
      <c r="A157" s="3" t="inlineStr">
        <is>
          <t>ZTHA01</t>
        </is>
      </c>
      <c r="B157" s="3" t="inlineStr">
        <is>
          <t>Gerald Adriaan Odendal</t>
        </is>
      </c>
      <c r="C157" s="3" t="inlineStr">
        <is>
          <t>Matthee</t>
        </is>
      </c>
      <c r="D157" s="3" t="inlineStr">
        <is>
          <t>Heron View</t>
        </is>
      </c>
      <c r="E157" s="3" t="inlineStr">
        <is>
          <t>HVC103</t>
        </is>
      </c>
      <c r="F157" s="3" t="b">
        <v>1</v>
      </c>
      <c r="G157" s="3" t="b">
        <v>1</v>
      </c>
      <c r="H157" s="3" t="inlineStr">
        <is>
          <t>C</t>
        </is>
      </c>
      <c r="I157" s="4" t="n">
        <v>44851</v>
      </c>
      <c r="J157" s="4" t="n">
        <v>44868</v>
      </c>
      <c r="K157" s="4" t="n">
        <v>45174</v>
      </c>
      <c r="L157" s="3" t="n">
        <v>2</v>
      </c>
      <c r="M157" s="3" t="n">
        <v>118391.41</v>
      </c>
      <c r="N157" s="3" t="n">
        <v>14</v>
      </c>
      <c r="O157" s="3" t="b">
        <v>0</v>
      </c>
      <c r="P157" s="3" t="b">
        <v>0</v>
      </c>
      <c r="Q157" s="3" t="n">
        <v>496.2708419178084</v>
      </c>
      <c r="R157" s="3" t="n">
        <v>13895.58357369863</v>
      </c>
      <c r="S157" s="3" t="n">
        <v>14391.85441561644</v>
      </c>
      <c r="T157" s="5">
        <f>IF(J157&lt;&gt;"",M157*N157/365/100*('Cashflow Projection'!$B$2-Investors!J157),0)</f>
        <v/>
      </c>
    </row>
    <row r="158">
      <c r="A158" s="3" t="inlineStr">
        <is>
          <t>ZBEL01</t>
        </is>
      </c>
      <c r="B158" s="3" t="inlineStr">
        <is>
          <t>Helen Constance</t>
        </is>
      </c>
      <c r="C158" s="3" t="inlineStr">
        <is>
          <t>Belford</t>
        </is>
      </c>
      <c r="D158" s="3" t="inlineStr">
        <is>
          <t>Heron View</t>
        </is>
      </c>
      <c r="E158" s="3" t="inlineStr">
        <is>
          <t>HVC104</t>
        </is>
      </c>
      <c r="F158" s="3" t="b">
        <v>1</v>
      </c>
      <c r="G158" s="3" t="b">
        <v>1</v>
      </c>
      <c r="H158" s="3" t="inlineStr">
        <is>
          <t>C</t>
        </is>
      </c>
      <c r="I158" s="4" t="n">
        <v>44846</v>
      </c>
      <c r="J158" s="4" t="n">
        <v>44868</v>
      </c>
      <c r="K158" s="4" t="n">
        <v>45167</v>
      </c>
      <c r="L158" s="3" t="n">
        <v>4</v>
      </c>
      <c r="M158" s="3" t="n">
        <v>280000</v>
      </c>
      <c r="N158" s="3" t="n">
        <v>16</v>
      </c>
      <c r="O158" s="3" t="b">
        <v>0</v>
      </c>
      <c r="P158" s="3" t="b">
        <v>0</v>
      </c>
      <c r="Q158" s="3" t="n">
        <v>1518.904109589041</v>
      </c>
      <c r="R158" s="3" t="n">
        <v>36699.17808219178</v>
      </c>
      <c r="S158" s="3" t="n">
        <v>38218.08219178082</v>
      </c>
      <c r="T158" s="5">
        <f>IF(J158&lt;&gt;"",M158*N158/365/100*('Cashflow Projection'!$B$2-Investors!J158),0)</f>
        <v/>
      </c>
    </row>
    <row r="159">
      <c r="A159" s="3" t="inlineStr">
        <is>
          <t>ZLEW01</t>
        </is>
      </c>
      <c r="B159" s="3" t="inlineStr">
        <is>
          <t>Martina Christina</t>
        </is>
      </c>
      <c r="C159" s="3" t="inlineStr">
        <is>
          <t>Lewis</t>
        </is>
      </c>
      <c r="D159" s="3" t="inlineStr">
        <is>
          <t>Heron View</t>
        </is>
      </c>
      <c r="E159" s="3" t="inlineStr">
        <is>
          <t>HVC104</t>
        </is>
      </c>
      <c r="F159" s="3" t="b">
        <v>1</v>
      </c>
      <c r="G159" s="3" t="b">
        <v>1</v>
      </c>
      <c r="H159" s="3" t="inlineStr">
        <is>
          <t>C</t>
        </is>
      </c>
      <c r="I159" s="4" t="n">
        <v>44840</v>
      </c>
      <c r="J159" s="4" t="n">
        <v>44889</v>
      </c>
      <c r="K159" s="4" t="n">
        <v>45167</v>
      </c>
      <c r="L159" s="3" t="n">
        <v>8</v>
      </c>
      <c r="M159" s="3" t="n">
        <v>800000</v>
      </c>
      <c r="N159" s="3" t="n">
        <v>18</v>
      </c>
      <c r="O159" s="3" t="b">
        <v>0</v>
      </c>
      <c r="P159" s="3" t="b">
        <v>0</v>
      </c>
      <c r="Q159" s="3" t="n">
        <v>9665.753424657529</v>
      </c>
      <c r="R159" s="3" t="n">
        <v>109676.7123287671</v>
      </c>
      <c r="S159" s="3" t="n">
        <v>119342.4657534246</v>
      </c>
      <c r="T159" s="5">
        <f>IF(J159&lt;&gt;"",M159*N159/365/100*('Cashflow Projection'!$B$2-Investors!J159),0)</f>
        <v/>
      </c>
    </row>
    <row r="160">
      <c r="A160" s="3" t="inlineStr">
        <is>
          <t>ZDEM01</t>
        </is>
      </c>
      <c r="B160" s="3" t="inlineStr">
        <is>
          <t>Gillies Nikian Anton</t>
        </is>
      </c>
      <c r="C160" s="3" t="inlineStr">
        <is>
          <t>De Montille</t>
        </is>
      </c>
      <c r="D160" s="3" t="inlineStr">
        <is>
          <t>Heron View</t>
        </is>
      </c>
      <c r="E160" s="3" t="inlineStr">
        <is>
          <t>HVC105</t>
        </is>
      </c>
      <c r="F160" s="3" t="b">
        <v>1</v>
      </c>
      <c r="G160" s="3" t="b">
        <v>1</v>
      </c>
      <c r="H160" s="3" t="inlineStr">
        <is>
          <t>C</t>
        </is>
      </c>
      <c r="I160" s="4" t="n">
        <v>44858</v>
      </c>
      <c r="J160" s="4" t="n">
        <v>44889</v>
      </c>
      <c r="K160" s="4" t="n">
        <v>45175</v>
      </c>
      <c r="L160" s="3" t="n">
        <v>2</v>
      </c>
      <c r="M160" s="3" t="n">
        <v>118537.67</v>
      </c>
      <c r="N160" s="3" t="n">
        <v>14</v>
      </c>
      <c r="O160" s="3" t="b">
        <v>0</v>
      </c>
      <c r="P160" s="3" t="b">
        <v>0</v>
      </c>
      <c r="Q160" s="3" t="n">
        <v>906.0824638356169</v>
      </c>
      <c r="R160" s="3" t="n">
        <v>13003.42001863014</v>
      </c>
      <c r="S160" s="3" t="n">
        <v>13909.50248246575</v>
      </c>
      <c r="T160" s="5">
        <f>IF(J160&lt;&gt;"",M160*N160/365/100*('Cashflow Projection'!$B$2-Investors!J160),0)</f>
        <v/>
      </c>
    </row>
    <row r="161">
      <c r="A161" s="3" t="inlineStr">
        <is>
          <t>ZWED01</t>
        </is>
      </c>
      <c r="B161" s="3" t="inlineStr">
        <is>
          <t>Hans Jurgen Peter</t>
        </is>
      </c>
      <c r="C161" s="3" t="inlineStr">
        <is>
          <t>Wedermann</t>
        </is>
      </c>
      <c r="D161" s="3" t="inlineStr">
        <is>
          <t>Heron View</t>
        </is>
      </c>
      <c r="E161" s="3" t="inlineStr">
        <is>
          <t>HVC105</t>
        </is>
      </c>
      <c r="F161" s="3" t="b">
        <v>1</v>
      </c>
      <c r="G161" s="3" t="b">
        <v>1</v>
      </c>
      <c r="H161" s="3" t="inlineStr">
        <is>
          <t>C</t>
        </is>
      </c>
      <c r="I161" s="4" t="n">
        <v>44840</v>
      </c>
      <c r="J161" s="4" t="n">
        <v>44861</v>
      </c>
      <c r="K161" s="4" t="n">
        <v>45175</v>
      </c>
      <c r="L161" s="3" t="n">
        <v>6</v>
      </c>
      <c r="M161" s="3" t="n">
        <v>1000000</v>
      </c>
      <c r="N161" s="3" t="n">
        <v>18</v>
      </c>
      <c r="O161" s="3" t="b">
        <v>0</v>
      </c>
      <c r="P161" s="3" t="b">
        <v>0</v>
      </c>
      <c r="Q161" s="3" t="n">
        <v>5178.08219178082</v>
      </c>
      <c r="R161" s="3" t="n">
        <v>154849.3150684932</v>
      </c>
      <c r="S161" s="3" t="n">
        <v>160027.397260274</v>
      </c>
      <c r="T161" s="5">
        <f>IF(J161&lt;&gt;"",M161*N161/365/100*('Cashflow Projection'!$B$2-Investors!J161),0)</f>
        <v/>
      </c>
    </row>
    <row r="162">
      <c r="A162" s="3" t="inlineStr">
        <is>
          <t>ZNUN01</t>
        </is>
      </c>
      <c r="B162" s="3" t="inlineStr">
        <is>
          <t>Francisco Antonio</t>
        </is>
      </c>
      <c r="C162" s="3" t="inlineStr">
        <is>
          <t>Nunes</t>
        </is>
      </c>
      <c r="D162" s="3" t="inlineStr">
        <is>
          <t>Heron View</t>
        </is>
      </c>
      <c r="E162" s="3" t="inlineStr">
        <is>
          <t>HVC106</t>
        </is>
      </c>
      <c r="F162" s="3" t="b">
        <v>1</v>
      </c>
      <c r="G162" s="3" t="b">
        <v>1</v>
      </c>
      <c r="H162" s="3" t="inlineStr">
        <is>
          <t>C</t>
        </is>
      </c>
      <c r="I162" s="4" t="n">
        <v>44847</v>
      </c>
      <c r="J162" s="4" t="n">
        <v>44876</v>
      </c>
      <c r="K162" s="4" t="n">
        <v>45170</v>
      </c>
      <c r="L162" s="3" t="n">
        <v>7</v>
      </c>
      <c r="M162" s="3" t="n">
        <v>250000</v>
      </c>
      <c r="N162" s="3" t="n">
        <v>18</v>
      </c>
      <c r="O162" s="3" t="b">
        <v>0</v>
      </c>
      <c r="P162" s="3" t="b">
        <v>0</v>
      </c>
      <c r="Q162" s="3" t="n">
        <v>1787.671232876711</v>
      </c>
      <c r="R162" s="3" t="n">
        <v>36246.57534246575</v>
      </c>
      <c r="S162" s="3" t="n">
        <v>38034.24657534246</v>
      </c>
      <c r="T162" s="5">
        <f>IF(J162&lt;&gt;"",M162*N162/365/100*('Cashflow Projection'!$B$2-Investors!J162),0)</f>
        <v/>
      </c>
    </row>
    <row r="163">
      <c r="A163" s="3" t="inlineStr">
        <is>
          <t>ZOLI01</t>
        </is>
      </c>
      <c r="B163" s="3" t="inlineStr">
        <is>
          <t>Jan Lukas Cornelus</t>
        </is>
      </c>
      <c r="C163" s="3" t="inlineStr">
        <is>
          <t>Olivier</t>
        </is>
      </c>
      <c r="D163" s="3" t="inlineStr">
        <is>
          <t>Heron View</t>
        </is>
      </c>
      <c r="E163" s="3" t="inlineStr">
        <is>
          <t>HVC106</t>
        </is>
      </c>
      <c r="F163" s="3" t="b">
        <v>1</v>
      </c>
      <c r="G163" s="3" t="b">
        <v>1</v>
      </c>
      <c r="H163" s="3" t="inlineStr">
        <is>
          <t>C</t>
        </is>
      </c>
      <c r="I163" s="4" t="n">
        <v>44858</v>
      </c>
      <c r="J163" s="4" t="n">
        <v>44889</v>
      </c>
      <c r="K163" s="4" t="n">
        <v>45170</v>
      </c>
      <c r="L163" s="3" t="n">
        <v>3</v>
      </c>
      <c r="M163" s="3" t="n">
        <v>560000</v>
      </c>
      <c r="N163" s="3" t="n">
        <v>18</v>
      </c>
      <c r="O163" s="3" t="b">
        <v>0</v>
      </c>
      <c r="P163" s="3" t="b">
        <v>0</v>
      </c>
      <c r="Q163" s="3" t="n">
        <v>4280.547945205481</v>
      </c>
      <c r="R163" s="3" t="n">
        <v>77602.19178082192</v>
      </c>
      <c r="S163" s="3" t="n">
        <v>81882.7397260274</v>
      </c>
      <c r="T163" s="5">
        <f>IF(J163&lt;&gt;"",M163*N163/365/100*('Cashflow Projection'!$B$2-Investors!J163),0)</f>
        <v/>
      </c>
    </row>
    <row r="164">
      <c r="A164" s="3" t="inlineStr">
        <is>
          <t>ZRIT01</t>
        </is>
      </c>
      <c r="B164" s="3" t="inlineStr">
        <is>
          <t>Dennis</t>
        </is>
      </c>
      <c r="C164" s="3" t="inlineStr">
        <is>
          <t>Ritter</t>
        </is>
      </c>
      <c r="D164" s="3" t="inlineStr">
        <is>
          <t>Heron View</t>
        </is>
      </c>
      <c r="E164" s="3" t="inlineStr">
        <is>
          <t>HVC106</t>
        </is>
      </c>
      <c r="F164" s="3" t="b">
        <v>1</v>
      </c>
      <c r="G164" s="3" t="b">
        <v>1</v>
      </c>
      <c r="H164" s="3" t="inlineStr">
        <is>
          <t>C</t>
        </is>
      </c>
      <c r="I164" s="4" t="n">
        <v>44858</v>
      </c>
      <c r="J164" s="4" t="n">
        <v>44889</v>
      </c>
      <c r="K164" s="4" t="n">
        <v>45170</v>
      </c>
      <c r="L164" s="3" t="n">
        <v>5</v>
      </c>
      <c r="M164" s="3" t="n">
        <v>300000</v>
      </c>
      <c r="N164" s="3" t="n">
        <v>18</v>
      </c>
      <c r="O164" s="3" t="b">
        <v>0</v>
      </c>
      <c r="P164" s="3" t="b">
        <v>0</v>
      </c>
      <c r="Q164" s="3" t="n">
        <v>2293.150684931506</v>
      </c>
      <c r="R164" s="3" t="n">
        <v>41572.60273972603</v>
      </c>
      <c r="S164" s="3" t="n">
        <v>43865.75342465753</v>
      </c>
      <c r="T164" s="5">
        <f>IF(J164&lt;&gt;"",M164*N164/365/100*('Cashflow Projection'!$B$2-Investors!J164),0)</f>
        <v/>
      </c>
    </row>
    <row r="165">
      <c r="A165" s="3" t="inlineStr">
        <is>
          <t>ZCON01</t>
        </is>
      </c>
      <c r="B165" s="3" t="inlineStr">
        <is>
          <t>Gerhard Lotter</t>
        </is>
      </c>
      <c r="C165" s="3" t="inlineStr">
        <is>
          <t>Conradie</t>
        </is>
      </c>
      <c r="D165" s="3" t="inlineStr">
        <is>
          <t>Heron View</t>
        </is>
      </c>
      <c r="E165" s="3" t="inlineStr">
        <is>
          <t>HVC201</t>
        </is>
      </c>
      <c r="F165" s="3" t="b">
        <v>1</v>
      </c>
      <c r="G165" s="3" t="b">
        <v>1</v>
      </c>
      <c r="H165" s="3" t="inlineStr">
        <is>
          <t>C</t>
        </is>
      </c>
      <c r="I165" s="4" t="n">
        <v>44704</v>
      </c>
      <c r="J165" s="4" t="n">
        <v>44711</v>
      </c>
      <c r="K165" s="4" t="n">
        <v>45177</v>
      </c>
      <c r="L165" s="3" t="n">
        <v>3</v>
      </c>
      <c r="M165" s="3" t="n">
        <v>694542.34</v>
      </c>
      <c r="N165" s="3" t="n">
        <v>14</v>
      </c>
      <c r="O165" s="3" t="b">
        <v>0</v>
      </c>
      <c r="P165" s="3" t="b">
        <v>0</v>
      </c>
      <c r="Q165" s="3" t="n">
        <v>932.3993057534248</v>
      </c>
      <c r="R165" s="3" t="n">
        <v>124142.3075660274</v>
      </c>
      <c r="S165" s="3" t="n">
        <v>125074.7068717808</v>
      </c>
      <c r="T165" s="5">
        <f>IF(J165&lt;&gt;"",M165*N165/365/100*('Cashflow Projection'!$B$2-Investors!J165),0)</f>
        <v/>
      </c>
    </row>
    <row r="166">
      <c r="A166" s="3" t="inlineStr">
        <is>
          <t>ZDAV01</t>
        </is>
      </c>
      <c r="B166" s="3" t="inlineStr">
        <is>
          <t>Heather Mary Lyn</t>
        </is>
      </c>
      <c r="C166" s="3" t="inlineStr">
        <is>
          <t>Davies</t>
        </is>
      </c>
      <c r="D166" s="3" t="inlineStr">
        <is>
          <t>Heron View</t>
        </is>
      </c>
      <c r="E166" s="3" t="inlineStr">
        <is>
          <t>HVC201</t>
        </is>
      </c>
      <c r="F166" s="3" t="b">
        <v>1</v>
      </c>
      <c r="G166" s="3" t="b">
        <v>1</v>
      </c>
      <c r="H166" s="3" t="inlineStr">
        <is>
          <t>C</t>
        </is>
      </c>
      <c r="I166" s="4" t="n">
        <v>44851</v>
      </c>
      <c r="J166" s="4" t="n">
        <v>44889</v>
      </c>
      <c r="K166" s="4" t="n">
        <v>45177</v>
      </c>
      <c r="L166" s="3" t="n">
        <v>4</v>
      </c>
      <c r="M166" s="3" t="n">
        <v>250000</v>
      </c>
      <c r="N166" s="3" t="n">
        <v>16</v>
      </c>
      <c r="O166" s="3" t="b">
        <v>0</v>
      </c>
      <c r="P166" s="3" t="b">
        <v>0</v>
      </c>
      <c r="Q166" s="3" t="n">
        <v>2342.465753424657</v>
      </c>
      <c r="R166" s="3" t="n">
        <v>31561.64383561644</v>
      </c>
      <c r="S166" s="3" t="n">
        <v>33904.10958904109</v>
      </c>
      <c r="T166" s="5">
        <f>IF(J166&lt;&gt;"",M166*N166/365/100*('Cashflow Projection'!$B$2-Investors!J166),0)</f>
        <v/>
      </c>
    </row>
    <row r="167">
      <c r="A167" s="3" t="inlineStr">
        <is>
          <t>ZKUS03</t>
        </is>
      </c>
      <c r="B167" s="3" t="inlineStr">
        <is>
          <t>Joanne Tracy</t>
        </is>
      </c>
      <c r="C167" s="3" t="inlineStr">
        <is>
          <t>Kuster</t>
        </is>
      </c>
      <c r="D167" s="3" t="inlineStr">
        <is>
          <t>Heron View</t>
        </is>
      </c>
      <c r="E167" s="3" t="inlineStr">
        <is>
          <t>HVC201</t>
        </is>
      </c>
      <c r="F167" s="3" t="b">
        <v>1</v>
      </c>
      <c r="G167" s="3" t="b">
        <v>1</v>
      </c>
      <c r="H167" s="3" t="inlineStr">
        <is>
          <t>C</t>
        </is>
      </c>
      <c r="I167" s="4" t="n">
        <v>44862</v>
      </c>
      <c r="J167" s="4" t="n">
        <v>44903</v>
      </c>
      <c r="K167" s="4" t="n">
        <v>45177</v>
      </c>
      <c r="L167" s="3" t="n">
        <v>4</v>
      </c>
      <c r="M167" s="3" t="n">
        <v>112071.92</v>
      </c>
      <c r="N167" s="3" t="n">
        <v>14</v>
      </c>
      <c r="O167" s="3" t="b">
        <v>0</v>
      </c>
      <c r="P167" s="3" t="b">
        <v>0</v>
      </c>
      <c r="Q167" s="3" t="n">
        <v>1151.423835616438</v>
      </c>
      <c r="R167" s="3" t="n">
        <v>11778.29822246575</v>
      </c>
      <c r="S167" s="3" t="n">
        <v>12929.72205808219</v>
      </c>
      <c r="T167" s="5">
        <f>IF(J167&lt;&gt;"",M167*N167/365/100*('Cashflow Projection'!$B$2-Investors!J167),0)</f>
        <v/>
      </c>
    </row>
    <row r="168">
      <c r="A168" s="3" t="inlineStr">
        <is>
          <t>ZALM01</t>
        </is>
      </c>
      <c r="B168" s="3" t="inlineStr">
        <is>
          <t>Marc</t>
        </is>
      </c>
      <c r="C168" s="3" t="inlineStr">
        <is>
          <t>Lunau</t>
        </is>
      </c>
      <c r="D168" s="3" t="inlineStr">
        <is>
          <t>Heron View</t>
        </is>
      </c>
      <c r="E168" s="3" t="inlineStr">
        <is>
          <t>HVC202</t>
        </is>
      </c>
      <c r="F168" s="3" t="b">
        <v>0</v>
      </c>
      <c r="G168" s="3" t="b">
        <v>0</v>
      </c>
      <c r="H168" s="3" t="inlineStr">
        <is>
          <t>C</t>
        </is>
      </c>
      <c r="I168" s="4" t="n">
        <v>44854</v>
      </c>
      <c r="J168" s="4" t="n">
        <v>44889</v>
      </c>
      <c r="K168" s="4" t="n">
        <v>45505</v>
      </c>
      <c r="L168" s="3" t="n">
        <v>6</v>
      </c>
      <c r="M168" s="3" t="n">
        <v>100000</v>
      </c>
      <c r="N168" s="3" t="n">
        <v>18</v>
      </c>
      <c r="O168" s="3" t="b">
        <v>0</v>
      </c>
      <c r="P168" s="3" t="b">
        <v>0</v>
      </c>
      <c r="Q168" s="3" t="n">
        <v>863.0136986301366</v>
      </c>
      <c r="R168" s="3" t="n">
        <v>30378.08219178082</v>
      </c>
      <c r="S168" s="3" t="n">
        <v>31241.09589041096</v>
      </c>
      <c r="T168" s="5">
        <f>IF(J168&lt;&gt;"",M168*N168/365/100*('Cashflow Projection'!$B$2-Investors!J168),0)</f>
        <v/>
      </c>
    </row>
    <row r="169">
      <c r="A169" s="3" t="inlineStr">
        <is>
          <t>ZINT01</t>
        </is>
      </c>
      <c r="B169" s="3" t="inlineStr">
        <is>
          <t>Marc</t>
        </is>
      </c>
      <c r="C169" s="3" t="inlineStr">
        <is>
          <t>Lunau</t>
        </is>
      </c>
      <c r="D169" s="3" t="inlineStr">
        <is>
          <t>Heron View</t>
        </is>
      </c>
      <c r="E169" s="3" t="inlineStr">
        <is>
          <t>HVC202</t>
        </is>
      </c>
      <c r="F169" s="3" t="b">
        <v>0</v>
      </c>
      <c r="G169" s="3" t="b">
        <v>0</v>
      </c>
      <c r="H169" s="3" t="inlineStr">
        <is>
          <t>C</t>
        </is>
      </c>
      <c r="I169" s="4" t="n">
        <v>44967</v>
      </c>
      <c r="J169" s="4" t="n">
        <v>45072</v>
      </c>
      <c r="K169" s="4" t="n">
        <v>45505</v>
      </c>
      <c r="L169" s="3" t="n">
        <v>14</v>
      </c>
      <c r="M169" s="3" t="n">
        <v>100000</v>
      </c>
      <c r="N169" s="3" t="n">
        <v>18</v>
      </c>
      <c r="O169" s="3" t="b">
        <v>0</v>
      </c>
      <c r="P169" s="3" t="b">
        <v>0</v>
      </c>
      <c r="Q169" s="3" t="n">
        <v>2953.424657534252</v>
      </c>
      <c r="R169" s="3" t="n">
        <v>21353.42465753424</v>
      </c>
      <c r="S169" s="3" t="n">
        <v>24306.8493150685</v>
      </c>
      <c r="T169" s="5">
        <f>IF(J169&lt;&gt;"",M169*N169/365/100*('Cashflow Projection'!$B$2-Investors!J169),0)</f>
        <v/>
      </c>
    </row>
    <row r="170">
      <c r="A170" s="3" t="inlineStr">
        <is>
          <t>ZMON01</t>
        </is>
      </c>
      <c r="B170" s="3" t="inlineStr">
        <is>
          <t>Zolani</t>
        </is>
      </c>
      <c r="C170" s="3" t="inlineStr">
        <is>
          <t>Moni</t>
        </is>
      </c>
      <c r="D170" s="3" t="inlineStr">
        <is>
          <t>Heron View</t>
        </is>
      </c>
      <c r="E170" s="3" t="inlineStr">
        <is>
          <t>HVC202</t>
        </is>
      </c>
      <c r="F170" s="3" t="b">
        <v>0</v>
      </c>
      <c r="G170" s="3" t="b">
        <v>0</v>
      </c>
      <c r="H170" s="3" t="inlineStr">
        <is>
          <t>C</t>
        </is>
      </c>
      <c r="I170" s="4" t="n">
        <v>44942</v>
      </c>
      <c r="J170" s="4" t="n">
        <v>45016</v>
      </c>
      <c r="K170" s="4" t="n">
        <v>45505</v>
      </c>
      <c r="L170" s="3" t="n">
        <v>1</v>
      </c>
      <c r="M170" s="3" t="n">
        <v>100000</v>
      </c>
      <c r="N170" s="3" t="n">
        <v>14</v>
      </c>
      <c r="O170" s="3" t="b">
        <v>0</v>
      </c>
      <c r="P170" s="3" t="b">
        <v>0</v>
      </c>
      <c r="Q170" s="3" t="n">
        <v>2017.12328767123</v>
      </c>
      <c r="R170" s="3" t="n">
        <v>18756.16438356164</v>
      </c>
      <c r="S170" s="3" t="n">
        <v>20773.28767123287</v>
      </c>
      <c r="T170" s="5">
        <f>IF(J170&lt;&gt;"",M170*N170/365/100*('Cashflow Projection'!$B$2-Investors!J170),0)</f>
        <v/>
      </c>
    </row>
    <row r="171">
      <c r="A171" s="3" t="inlineStr">
        <is>
          <t>ZPER01</t>
        </is>
      </c>
      <c r="B171" s="3" t="inlineStr">
        <is>
          <t>Abraham Jacobus</t>
        </is>
      </c>
      <c r="C171" s="3" t="inlineStr">
        <is>
          <t>Olivier</t>
        </is>
      </c>
      <c r="D171" s="3" t="inlineStr">
        <is>
          <t>Heron View</t>
        </is>
      </c>
      <c r="E171" s="3" t="inlineStr">
        <is>
          <t>HVC202</t>
        </is>
      </c>
      <c r="F171" s="3" t="b">
        <v>0</v>
      </c>
      <c r="G171" s="3" t="b">
        <v>0</v>
      </c>
      <c r="H171" s="3" t="inlineStr">
        <is>
          <t>C</t>
        </is>
      </c>
      <c r="I171" s="4" t="n">
        <v>44886</v>
      </c>
      <c r="J171" s="4" t="n">
        <v>44903</v>
      </c>
      <c r="K171" s="4" t="n">
        <v>45505</v>
      </c>
      <c r="L171" s="3" t="n">
        <v>1</v>
      </c>
      <c r="M171" s="3" t="n">
        <v>100000</v>
      </c>
      <c r="N171" s="3" t="n">
        <v>14</v>
      </c>
      <c r="O171" s="3" t="b">
        <v>0</v>
      </c>
      <c r="P171" s="3" t="b">
        <v>0</v>
      </c>
      <c r="Q171" s="3" t="n">
        <v>435.6164383561643</v>
      </c>
      <c r="R171" s="3" t="n">
        <v>23090.41095890411</v>
      </c>
      <c r="S171" s="3" t="n">
        <v>23526.02739726027</v>
      </c>
      <c r="T171" s="5">
        <f>IF(J171&lt;&gt;"",M171*N171/365/100*('Cashflow Projection'!$B$2-Investors!J171),0)</f>
        <v/>
      </c>
    </row>
    <row r="172">
      <c r="A172" s="3" t="inlineStr">
        <is>
          <t>ZRAB02</t>
        </is>
      </c>
      <c r="B172" s="3" t="inlineStr">
        <is>
          <t>Roisin Natalie</t>
        </is>
      </c>
      <c r="C172" s="3" t="inlineStr">
        <is>
          <t>Rabe (Mc Dowell)</t>
        </is>
      </c>
      <c r="D172" s="3" t="inlineStr">
        <is>
          <t>Heron View</t>
        </is>
      </c>
      <c r="E172" s="3" t="inlineStr">
        <is>
          <t>HVC202</t>
        </is>
      </c>
      <c r="F172" s="3" t="b">
        <v>0</v>
      </c>
      <c r="G172" s="3" t="b">
        <v>0</v>
      </c>
      <c r="H172" s="3" t="inlineStr">
        <is>
          <t>C</t>
        </is>
      </c>
      <c r="I172" s="4" t="n">
        <v>44872</v>
      </c>
      <c r="J172" s="4" t="n">
        <v>44903</v>
      </c>
      <c r="K172" s="4" t="n">
        <v>45505</v>
      </c>
      <c r="L172" s="3" t="n">
        <v>2</v>
      </c>
      <c r="M172" s="3" t="n">
        <v>300000</v>
      </c>
      <c r="N172" s="3" t="n">
        <v>14</v>
      </c>
      <c r="O172" s="3" t="b">
        <v>0</v>
      </c>
      <c r="P172" s="3" t="b">
        <v>0</v>
      </c>
      <c r="Q172" s="3" t="n">
        <v>2342.465753424656</v>
      </c>
      <c r="R172" s="3" t="n">
        <v>69271.23287671233</v>
      </c>
      <c r="S172" s="3" t="n">
        <v>71613.69863013698</v>
      </c>
      <c r="T172" s="5">
        <f>IF(J172&lt;&gt;"",M172*N172/365/100*('Cashflow Projection'!$B$2-Investors!J172),0)</f>
        <v/>
      </c>
    </row>
    <row r="173">
      <c r="A173" s="3" t="inlineStr">
        <is>
          <t>ZRIT01</t>
        </is>
      </c>
      <c r="B173" s="3" t="inlineStr">
        <is>
          <t>Dennis</t>
        </is>
      </c>
      <c r="C173" s="3" t="inlineStr">
        <is>
          <t>Ritter</t>
        </is>
      </c>
      <c r="D173" s="3" t="inlineStr">
        <is>
          <t>Heron View</t>
        </is>
      </c>
      <c r="E173" s="3" t="inlineStr">
        <is>
          <t>HVC202</t>
        </is>
      </c>
      <c r="F173" s="3" t="b">
        <v>0</v>
      </c>
      <c r="G173" s="3" t="b">
        <v>0</v>
      </c>
      <c r="H173" s="3" t="inlineStr">
        <is>
          <t>C</t>
        </is>
      </c>
      <c r="I173" s="4" t="n">
        <v>44858</v>
      </c>
      <c r="J173" s="4" t="n">
        <v>44889</v>
      </c>
      <c r="K173" s="4" t="n">
        <v>45505</v>
      </c>
      <c r="L173" s="3" t="n">
        <v>6</v>
      </c>
      <c r="M173" s="3" t="n">
        <v>300000</v>
      </c>
      <c r="N173" s="3" t="n">
        <v>18</v>
      </c>
      <c r="O173" s="3" t="b">
        <v>0</v>
      </c>
      <c r="P173" s="3" t="b">
        <v>0</v>
      </c>
      <c r="Q173" s="3" t="n">
        <v>2293.150684931506</v>
      </c>
      <c r="R173" s="3" t="n">
        <v>91134.24657534246</v>
      </c>
      <c r="S173" s="3" t="n">
        <v>93427.39726027397</v>
      </c>
      <c r="T173" s="5">
        <f>IF(J173&lt;&gt;"",M173*N173/365/100*('Cashflow Projection'!$B$2-Investors!J173),0)</f>
        <v/>
      </c>
    </row>
    <row r="174">
      <c r="A174" s="3" t="inlineStr">
        <is>
          <t>ZVAN11</t>
        </is>
      </c>
      <c r="B174" s="3" t="inlineStr">
        <is>
          <t>Wilma</t>
        </is>
      </c>
      <c r="C174" s="3" t="inlineStr">
        <is>
          <t>van Bosch</t>
        </is>
      </c>
      <c r="D174" s="3" t="inlineStr">
        <is>
          <t>Heron View</t>
        </is>
      </c>
      <c r="E174" s="3" t="inlineStr">
        <is>
          <t>HVC202</t>
        </is>
      </c>
      <c r="F174" s="3" t="b">
        <v>0</v>
      </c>
      <c r="G174" s="3" t="b">
        <v>0</v>
      </c>
      <c r="H174" s="3" t="inlineStr">
        <is>
          <t>C</t>
        </is>
      </c>
      <c r="I174" s="4" t="n">
        <v>44880</v>
      </c>
      <c r="J174" s="4" t="n">
        <v>44903</v>
      </c>
      <c r="K174" s="4" t="n">
        <v>45505</v>
      </c>
      <c r="L174" s="3" t="n">
        <v>1</v>
      </c>
      <c r="M174" s="3" t="n">
        <v>100000</v>
      </c>
      <c r="N174" s="3" t="n">
        <v>14</v>
      </c>
      <c r="O174" s="3" t="b">
        <v>0</v>
      </c>
      <c r="P174" s="3" t="b">
        <v>0</v>
      </c>
      <c r="Q174" s="3" t="n">
        <v>583.5616438356162</v>
      </c>
      <c r="R174" s="3" t="n">
        <v>23090.41095890411</v>
      </c>
      <c r="S174" s="3" t="n">
        <v>23673.97260273972</v>
      </c>
      <c r="T174" s="5">
        <f>IF(J174&lt;&gt;"",M174*N174/365/100*('Cashflow Projection'!$B$2-Investors!J174),0)</f>
        <v/>
      </c>
    </row>
    <row r="175">
      <c r="A175" s="3" t="inlineStr">
        <is>
          <t>ZDEC01</t>
        </is>
      </c>
      <c r="B175" s="3" t="inlineStr">
        <is>
          <t>Hendrik</t>
        </is>
      </c>
      <c r="C175" s="3" t="inlineStr">
        <is>
          <t>de Clerk</t>
        </is>
      </c>
      <c r="D175" s="3" t="inlineStr">
        <is>
          <t>Heron View</t>
        </is>
      </c>
      <c r="E175" s="3" t="inlineStr">
        <is>
          <t>HVC203</t>
        </is>
      </c>
      <c r="F175" s="3" t="b">
        <v>1</v>
      </c>
      <c r="G175" s="3" t="b">
        <v>1</v>
      </c>
      <c r="H175" s="3" t="inlineStr">
        <is>
          <t>C</t>
        </is>
      </c>
      <c r="I175" s="4" t="n">
        <v>44861</v>
      </c>
      <c r="J175" s="4" t="n">
        <v>44889</v>
      </c>
      <c r="K175" s="4" t="n">
        <v>45154</v>
      </c>
      <c r="L175" s="3" t="n">
        <v>2</v>
      </c>
      <c r="M175" s="3" t="n">
        <v>1000000</v>
      </c>
      <c r="N175" s="3" t="n">
        <v>18</v>
      </c>
      <c r="O175" s="3" t="b">
        <v>0</v>
      </c>
      <c r="P175" s="3" t="b">
        <v>0</v>
      </c>
      <c r="Q175" s="3" t="n">
        <v>6904.109589041092</v>
      </c>
      <c r="R175" s="3" t="n">
        <v>130684.9315068493</v>
      </c>
      <c r="S175" s="3" t="n">
        <v>137589.0410958904</v>
      </c>
      <c r="T175" s="5">
        <f>IF(J175&lt;&gt;"",M175*N175/365/100*('Cashflow Projection'!$B$2-Investors!J175),0)</f>
        <v/>
      </c>
    </row>
    <row r="176">
      <c r="A176" s="3" t="inlineStr">
        <is>
          <t>ZNIE02</t>
        </is>
      </c>
      <c r="B176" s="3" t="inlineStr">
        <is>
          <t>Linda Kathleen</t>
        </is>
      </c>
      <c r="C176" s="3" t="inlineStr">
        <is>
          <t>van Niekerk</t>
        </is>
      </c>
      <c r="D176" s="3" t="inlineStr">
        <is>
          <t>Heron View</t>
        </is>
      </c>
      <c r="E176" s="3" t="inlineStr">
        <is>
          <t>HVC203</t>
        </is>
      </c>
      <c r="F176" s="3" t="b">
        <v>1</v>
      </c>
      <c r="G176" s="3" t="b">
        <v>1</v>
      </c>
      <c r="H176" s="3" t="inlineStr">
        <is>
          <t>C</t>
        </is>
      </c>
      <c r="I176" s="4" t="n">
        <v>44858</v>
      </c>
      <c r="J176" s="4" t="n">
        <v>44889</v>
      </c>
      <c r="K176" s="4" t="n">
        <v>45154</v>
      </c>
      <c r="L176" s="3" t="n">
        <v>2</v>
      </c>
      <c r="M176" s="3" t="n">
        <v>100000</v>
      </c>
      <c r="N176" s="3" t="n">
        <v>14</v>
      </c>
      <c r="O176" s="3" t="b">
        <v>0</v>
      </c>
      <c r="P176" s="3" t="b">
        <v>0</v>
      </c>
      <c r="Q176" s="3" t="n">
        <v>764.3835616438353</v>
      </c>
      <c r="R176" s="3" t="n">
        <v>10164.38356164384</v>
      </c>
      <c r="S176" s="3" t="n">
        <v>10928.76712328767</v>
      </c>
      <c r="T176" s="5">
        <f>IF(J176&lt;&gt;"",M176*N176/365/100*('Cashflow Projection'!$B$2-Investors!J176),0)</f>
        <v/>
      </c>
    </row>
    <row r="177">
      <c r="A177" s="3" t="inlineStr">
        <is>
          <t>ZCRO01</t>
        </is>
      </c>
      <c r="B177" s="3" t="inlineStr">
        <is>
          <t>Marc</t>
        </is>
      </c>
      <c r="C177" s="3" t="inlineStr">
        <is>
          <t>Lunau</t>
        </is>
      </c>
      <c r="D177" s="3" t="inlineStr">
        <is>
          <t>Heron View</t>
        </is>
      </c>
      <c r="E177" s="3" t="inlineStr">
        <is>
          <t>HVC204</t>
        </is>
      </c>
      <c r="F177" s="3" t="b">
        <v>0</v>
      </c>
      <c r="G177" s="3" t="b">
        <v>0</v>
      </c>
      <c r="H177" s="3" t="inlineStr">
        <is>
          <t>C</t>
        </is>
      </c>
      <c r="I177" s="4" t="n">
        <v>44992</v>
      </c>
      <c r="J177" s="4" t="n">
        <v>45107</v>
      </c>
      <c r="K177" s="4" t="n">
        <v>45530</v>
      </c>
      <c r="L177" s="3" t="n">
        <v>13</v>
      </c>
      <c r="M177" s="3" t="n">
        <v>150000</v>
      </c>
      <c r="N177" s="3" t="n">
        <v>18</v>
      </c>
      <c r="O177" s="3" t="b">
        <v>0</v>
      </c>
      <c r="P177" s="3" t="b">
        <v>0</v>
      </c>
      <c r="Q177" s="3" t="n">
        <v>4974.657534246577</v>
      </c>
      <c r="R177" s="3" t="n">
        <v>31290.41095890411</v>
      </c>
      <c r="S177" s="3" t="n">
        <v>36265.06849315068</v>
      </c>
      <c r="T177" s="5">
        <f>IF(J177&lt;&gt;"",M177*N177/365/100*('Cashflow Projection'!$B$2-Investors!J177),0)</f>
        <v/>
      </c>
    </row>
    <row r="178">
      <c r="A178" s="3" t="inlineStr">
        <is>
          <t>ZFEM01</t>
        </is>
      </c>
      <c r="B178" s="3" t="inlineStr">
        <is>
          <t>Francina Elisabeth</t>
        </is>
      </c>
      <c r="C178" s="3" t="inlineStr">
        <is>
          <t>Morkel</t>
        </is>
      </c>
      <c r="D178" s="3" t="inlineStr">
        <is>
          <t>Heron View</t>
        </is>
      </c>
      <c r="E178" s="3" t="inlineStr">
        <is>
          <t>HVC204</t>
        </is>
      </c>
      <c r="F178" s="3" t="b">
        <v>0</v>
      </c>
      <c r="G178" s="3" t="b">
        <v>0</v>
      </c>
      <c r="H178" s="3" t="inlineStr">
        <is>
          <t>C</t>
        </is>
      </c>
      <c r="I178" s="4" t="n">
        <v>44887</v>
      </c>
      <c r="J178" s="4" t="n">
        <v>44916</v>
      </c>
      <c r="K178" s="4" t="n">
        <v>45530</v>
      </c>
      <c r="L178" s="3" t="n">
        <v>3</v>
      </c>
      <c r="M178" s="3" t="n">
        <v>113202.05</v>
      </c>
      <c r="N178" s="3" t="n">
        <v>14</v>
      </c>
      <c r="O178" s="3" t="b">
        <v>0</v>
      </c>
      <c r="P178" s="3" t="b">
        <v>0</v>
      </c>
      <c r="Q178" s="3" t="n">
        <v>858.3196530821914</v>
      </c>
      <c r="R178" s="3" t="n">
        <v>26659.85813150685</v>
      </c>
      <c r="S178" s="3" t="n">
        <v>27518.17778458904</v>
      </c>
      <c r="T178" s="5">
        <f>IF(J178&lt;&gt;"",M178*N178/365/100*('Cashflow Projection'!$B$2-Investors!J178),0)</f>
        <v/>
      </c>
    </row>
    <row r="179">
      <c r="A179" s="3" t="inlineStr">
        <is>
          <t>ZKUS02</t>
        </is>
      </c>
      <c r="B179" s="3" t="inlineStr">
        <is>
          <t>Kerry Lisa</t>
        </is>
      </c>
      <c r="C179" s="3" t="inlineStr">
        <is>
          <t>Kuster</t>
        </is>
      </c>
      <c r="D179" s="3" t="inlineStr">
        <is>
          <t>Heron View</t>
        </is>
      </c>
      <c r="E179" s="3" t="inlineStr">
        <is>
          <t>HVC204</t>
        </is>
      </c>
      <c r="F179" s="3" t="b">
        <v>0</v>
      </c>
      <c r="G179" s="3" t="b">
        <v>0</v>
      </c>
      <c r="H179" s="3" t="inlineStr">
        <is>
          <t>C</t>
        </is>
      </c>
      <c r="I179" s="4" t="n">
        <v>44854</v>
      </c>
      <c r="J179" s="4" t="n">
        <v>44889</v>
      </c>
      <c r="K179" s="4" t="n">
        <v>45530</v>
      </c>
      <c r="L179" s="3" t="n">
        <v>3</v>
      </c>
      <c r="M179" s="3" t="n">
        <v>275583.65</v>
      </c>
      <c r="N179" s="3" t="n">
        <v>14</v>
      </c>
      <c r="O179" s="3" t="b">
        <v>0</v>
      </c>
      <c r="P179" s="3" t="b">
        <v>0</v>
      </c>
      <c r="Q179" s="3" t="n">
        <v>2378.324650684931</v>
      </c>
      <c r="R179" s="3" t="n">
        <v>67755.8267150685</v>
      </c>
      <c r="S179" s="3" t="n">
        <v>70134.15136575342</v>
      </c>
      <c r="T179" s="5">
        <f>IF(J179&lt;&gt;"",M179*N179/365/100*('Cashflow Projection'!$B$2-Investors!J179),0)</f>
        <v/>
      </c>
    </row>
    <row r="180">
      <c r="A180" s="3" t="inlineStr">
        <is>
          <t>ZSTO01</t>
        </is>
      </c>
      <c r="B180" s="3" t="inlineStr">
        <is>
          <t>Nicolaas</t>
        </is>
      </c>
      <c r="C180" s="3" t="inlineStr">
        <is>
          <t>Stols</t>
        </is>
      </c>
      <c r="D180" s="3" t="inlineStr">
        <is>
          <t>Heron View</t>
        </is>
      </c>
      <c r="E180" s="3" t="inlineStr">
        <is>
          <t>HVC204</t>
        </is>
      </c>
      <c r="F180" s="3" t="b">
        <v>0</v>
      </c>
      <c r="G180" s="3" t="b">
        <v>0</v>
      </c>
      <c r="H180" s="3" t="inlineStr">
        <is>
          <t>C</t>
        </is>
      </c>
      <c r="I180" s="4" t="n">
        <v>44858</v>
      </c>
      <c r="J180" s="4" t="n">
        <v>44889</v>
      </c>
      <c r="K180" s="4" t="n">
        <v>45530</v>
      </c>
      <c r="L180" s="3" t="n">
        <v>3</v>
      </c>
      <c r="M180" s="3" t="n">
        <v>200000</v>
      </c>
      <c r="N180" s="3" t="n">
        <v>16</v>
      </c>
      <c r="O180" s="3" t="b">
        <v>0</v>
      </c>
      <c r="P180" s="3" t="b">
        <v>0</v>
      </c>
      <c r="Q180" s="3" t="n">
        <v>1528.767123287671</v>
      </c>
      <c r="R180" s="3" t="n">
        <v>56197.2602739726</v>
      </c>
      <c r="S180" s="3" t="n">
        <v>57726.02739726027</v>
      </c>
      <c r="T180" s="5">
        <f>IF(J180&lt;&gt;"",M180*N180/365/100*('Cashflow Projection'!$B$2-Investors!J180),0)</f>
        <v/>
      </c>
    </row>
    <row r="181">
      <c r="A181" s="3" t="inlineStr">
        <is>
          <t>ZVAN10</t>
        </is>
      </c>
      <c r="B181" s="3" t="inlineStr">
        <is>
          <t>Wilhelm Johannes</t>
        </is>
      </c>
      <c r="C181" s="3" t="inlineStr">
        <is>
          <t>van der Merwe</t>
        </is>
      </c>
      <c r="D181" s="3" t="inlineStr">
        <is>
          <t>Heron View</t>
        </is>
      </c>
      <c r="E181" s="3" t="inlineStr">
        <is>
          <t>HVC204</t>
        </is>
      </c>
      <c r="F181" s="3" t="b">
        <v>0</v>
      </c>
      <c r="G181" s="3" t="b">
        <v>0</v>
      </c>
      <c r="H181" s="3" t="inlineStr">
        <is>
          <t>C</t>
        </is>
      </c>
      <c r="I181" s="4" t="n">
        <v>44859</v>
      </c>
      <c r="J181" s="4" t="n">
        <v>44889</v>
      </c>
      <c r="K181" s="4" t="n">
        <v>45530</v>
      </c>
      <c r="L181" s="3" t="n">
        <v>1</v>
      </c>
      <c r="M181" s="3" t="n">
        <v>250000</v>
      </c>
      <c r="N181" s="3" t="n">
        <v>14</v>
      </c>
      <c r="O181" s="3" t="b">
        <v>0</v>
      </c>
      <c r="P181" s="3" t="b">
        <v>0</v>
      </c>
      <c r="Q181" s="3" t="n">
        <v>1849.31506849315</v>
      </c>
      <c r="R181" s="3" t="n">
        <v>61465.75342465754</v>
      </c>
      <c r="S181" s="3" t="n">
        <v>63315.06849315068</v>
      </c>
      <c r="T181" s="5">
        <f>IF(J181&lt;&gt;"",M181*N181/365/100*('Cashflow Projection'!$B$2-Investors!J181),0)</f>
        <v/>
      </c>
    </row>
    <row r="182">
      <c r="A182" s="3" t="inlineStr">
        <is>
          <t>ZWIL01</t>
        </is>
      </c>
      <c r="B182" s="3" t="inlineStr">
        <is>
          <t>Gail</t>
        </is>
      </c>
      <c r="C182" s="3" t="inlineStr">
        <is>
          <t>Wilson</t>
        </is>
      </c>
      <c r="D182" s="3" t="inlineStr">
        <is>
          <t>Heron View</t>
        </is>
      </c>
      <c r="E182" s="3" t="inlineStr">
        <is>
          <t>HVC204</t>
        </is>
      </c>
      <c r="F182" s="3" t="b">
        <v>0</v>
      </c>
      <c r="G182" s="3" t="b">
        <v>0</v>
      </c>
      <c r="H182" s="3" t="inlineStr">
        <is>
          <t>C</t>
        </is>
      </c>
      <c r="I182" s="4" t="n">
        <v>44872</v>
      </c>
      <c r="J182" s="4" t="n">
        <v>44903</v>
      </c>
      <c r="K182" s="4" t="n">
        <v>45530</v>
      </c>
      <c r="L182" s="3" t="n">
        <v>2</v>
      </c>
      <c r="M182" s="3" t="n">
        <v>118664.38</v>
      </c>
      <c r="N182" s="3" t="n">
        <v>14</v>
      </c>
      <c r="O182" s="3" t="b">
        <v>0</v>
      </c>
      <c r="P182" s="3" t="b">
        <v>0</v>
      </c>
      <c r="Q182" s="3" t="n">
        <v>926.5574876712327</v>
      </c>
      <c r="R182" s="3" t="n">
        <v>28537.97062027398</v>
      </c>
      <c r="S182" s="3" t="n">
        <v>29464.52810794521</v>
      </c>
      <c r="T182" s="5">
        <f>IF(J182&lt;&gt;"",M182*N182/365/100*('Cashflow Projection'!$B$2-Investors!J182),0)</f>
        <v/>
      </c>
    </row>
    <row r="183">
      <c r="A183" s="3" t="inlineStr">
        <is>
          <t>ZMIL01</t>
        </is>
      </c>
      <c r="B183" s="3" t="inlineStr">
        <is>
          <t xml:space="preserve">Arno </t>
        </is>
      </c>
      <c r="C183" s="3" t="inlineStr">
        <is>
          <t>Milne</t>
        </is>
      </c>
      <c r="D183" s="3" t="inlineStr">
        <is>
          <t>Heron View</t>
        </is>
      </c>
      <c r="E183" s="3" t="inlineStr">
        <is>
          <t>HVC205</t>
        </is>
      </c>
      <c r="F183" s="3" t="b">
        <v>1</v>
      </c>
      <c r="G183" s="3" t="b">
        <v>0</v>
      </c>
      <c r="H183" s="3" t="inlineStr">
        <is>
          <t>C</t>
        </is>
      </c>
      <c r="I183" s="4" t="n">
        <v>44876</v>
      </c>
      <c r="J183" s="4" t="n">
        <v>44903</v>
      </c>
      <c r="K183" s="4" t="n">
        <v>45394</v>
      </c>
      <c r="L183" s="3" t="n">
        <v>1</v>
      </c>
      <c r="M183" s="3" t="n">
        <v>500000</v>
      </c>
      <c r="N183" s="3" t="n">
        <v>16</v>
      </c>
      <c r="O183" s="3" t="b">
        <v>0</v>
      </c>
      <c r="P183" s="3" t="b">
        <v>0</v>
      </c>
      <c r="Q183" s="3" t="n">
        <v>3410.958904109588</v>
      </c>
      <c r="R183" s="3" t="n">
        <v>107616.4383561644</v>
      </c>
      <c r="S183" s="3" t="n">
        <v>111027.397260274</v>
      </c>
      <c r="T183" s="5">
        <f>IF(J183&lt;&gt;"",M183*N183/365/100*('Cashflow Projection'!$B$2-Investors!J183),0)</f>
        <v/>
      </c>
    </row>
    <row r="184">
      <c r="A184" s="3" t="inlineStr">
        <is>
          <t>ZSCA03</t>
        </is>
      </c>
      <c r="B184" s="3" t="inlineStr">
        <is>
          <t>Gerda Margaret</t>
        </is>
      </c>
      <c r="C184" s="3" t="inlineStr">
        <is>
          <t>Scalzini</t>
        </is>
      </c>
      <c r="D184" s="3" t="inlineStr">
        <is>
          <t>Heron View</t>
        </is>
      </c>
      <c r="E184" s="3" t="inlineStr">
        <is>
          <t>HVC205</t>
        </is>
      </c>
      <c r="F184" s="3" t="b">
        <v>1</v>
      </c>
      <c r="G184" s="3" t="b">
        <v>0</v>
      </c>
      <c r="H184" s="3" t="inlineStr">
        <is>
          <t>C</t>
        </is>
      </c>
      <c r="I184" s="4" t="n">
        <v>44862</v>
      </c>
      <c r="J184" s="4" t="n">
        <v>44903</v>
      </c>
      <c r="K184" s="4" t="n">
        <v>45394</v>
      </c>
      <c r="L184" s="3" t="n">
        <v>2</v>
      </c>
      <c r="M184" s="3" t="n">
        <v>111894.52</v>
      </c>
      <c r="N184" s="3" t="n">
        <v>14</v>
      </c>
      <c r="O184" s="3" t="b">
        <v>0</v>
      </c>
      <c r="P184" s="3" t="b">
        <v>0</v>
      </c>
      <c r="Q184" s="3" t="n">
        <v>1149.601232876713</v>
      </c>
      <c r="R184" s="3" t="n">
        <v>21072.95699945205</v>
      </c>
      <c r="S184" s="3" t="n">
        <v>22222.55823232877</v>
      </c>
      <c r="T184" s="5">
        <f>IF(J184&lt;&gt;"",M184*N184/365/100*('Cashflow Projection'!$B$2-Investors!J184),0)</f>
        <v/>
      </c>
    </row>
    <row r="185">
      <c r="A185" s="3" t="inlineStr">
        <is>
          <t>ZVIV01</t>
        </is>
      </c>
      <c r="B185" s="3" t="inlineStr">
        <is>
          <t>Philip Gerhard</t>
        </is>
      </c>
      <c r="C185" s="3" t="inlineStr">
        <is>
          <t>Vivier</t>
        </is>
      </c>
      <c r="D185" s="3" t="inlineStr">
        <is>
          <t>Heron View</t>
        </is>
      </c>
      <c r="E185" s="3" t="inlineStr">
        <is>
          <t>HVC205</t>
        </is>
      </c>
      <c r="F185" s="3" t="b">
        <v>1</v>
      </c>
      <c r="G185" s="3" t="b">
        <v>0</v>
      </c>
      <c r="H185" s="3" t="inlineStr">
        <is>
          <t>C</t>
        </is>
      </c>
      <c r="I185" s="4" t="n">
        <v>44876</v>
      </c>
      <c r="J185" s="4" t="n">
        <v>44903</v>
      </c>
      <c r="K185" s="4" t="n">
        <v>45394</v>
      </c>
      <c r="L185" s="3" t="n">
        <v>1</v>
      </c>
      <c r="M185" s="3" t="n">
        <v>400000</v>
      </c>
      <c r="N185" s="3" t="n">
        <v>14</v>
      </c>
      <c r="O185" s="3" t="b">
        <v>0</v>
      </c>
      <c r="P185" s="3" t="b">
        <v>0</v>
      </c>
      <c r="Q185" s="3" t="n">
        <v>2728.76712328767</v>
      </c>
      <c r="R185" s="3" t="n">
        <v>75331.50684931506</v>
      </c>
      <c r="S185" s="3" t="n">
        <v>78060.27397260274</v>
      </c>
      <c r="T185" s="5">
        <f>IF(J185&lt;&gt;"",M185*N185/365/100*('Cashflow Projection'!$B$2-Investors!J185),0)</f>
        <v/>
      </c>
    </row>
    <row r="186">
      <c r="A186" s="3" t="inlineStr">
        <is>
          <t>ZWAL02</t>
        </is>
      </c>
      <c r="B186" s="3" t="inlineStr">
        <is>
          <t>Johann</t>
        </is>
      </c>
      <c r="C186" s="3" t="inlineStr">
        <is>
          <t>Wallander</t>
        </is>
      </c>
      <c r="D186" s="3" t="inlineStr">
        <is>
          <t>Heron View</t>
        </is>
      </c>
      <c r="E186" s="3" t="inlineStr">
        <is>
          <t>HVC205</t>
        </is>
      </c>
      <c r="F186" s="3" t="b">
        <v>1</v>
      </c>
      <c r="G186" s="3" t="b">
        <v>0</v>
      </c>
      <c r="H186" s="3" t="inlineStr">
        <is>
          <t>C</t>
        </is>
      </c>
      <c r="I186" s="4" t="n">
        <v>44887</v>
      </c>
      <c r="J186" s="4" t="n">
        <v>44903</v>
      </c>
      <c r="K186" s="4" t="n">
        <v>45394</v>
      </c>
      <c r="L186" s="3" t="n">
        <v>4</v>
      </c>
      <c r="M186" s="3" t="n">
        <v>100000</v>
      </c>
      <c r="N186" s="3" t="n">
        <v>14</v>
      </c>
      <c r="O186" s="3" t="b">
        <v>0</v>
      </c>
      <c r="P186" s="3" t="b">
        <v>0</v>
      </c>
      <c r="Q186" s="3" t="n">
        <v>410.958904109589</v>
      </c>
      <c r="R186" s="3" t="n">
        <v>18832.87671232877</v>
      </c>
      <c r="S186" s="3" t="n">
        <v>19243.83561643835</v>
      </c>
      <c r="T186" s="5">
        <f>IF(J186&lt;&gt;"",M186*N186/365/100*('Cashflow Projection'!$B$2-Investors!J186),0)</f>
        <v/>
      </c>
    </row>
    <row r="187">
      <c r="A187" s="3" t="inlineStr">
        <is>
          <t>ZKRI02</t>
        </is>
      </c>
      <c r="B187" s="3" t="inlineStr">
        <is>
          <t>Hermanus Johannes</t>
        </is>
      </c>
      <c r="C187" s="3" t="inlineStr">
        <is>
          <t>Kriel</t>
        </is>
      </c>
      <c r="D187" s="3" t="inlineStr">
        <is>
          <t>Heron View</t>
        </is>
      </c>
      <c r="E187" s="3" t="inlineStr">
        <is>
          <t>HVC206</t>
        </is>
      </c>
      <c r="F187" s="3" t="b">
        <v>1</v>
      </c>
      <c r="G187" s="3" t="b">
        <v>0</v>
      </c>
      <c r="H187" s="3" t="inlineStr">
        <is>
          <t>C</t>
        </is>
      </c>
      <c r="I187" s="4" t="n">
        <v>44846</v>
      </c>
      <c r="J187" s="4" t="n">
        <v>44861</v>
      </c>
      <c r="K187" s="4" t="n">
        <v>45394</v>
      </c>
      <c r="L187" s="3" t="n">
        <v>3</v>
      </c>
      <c r="M187" s="3" t="n">
        <v>1100000</v>
      </c>
      <c r="N187" s="3" t="n">
        <v>18</v>
      </c>
      <c r="O187" s="3" t="b">
        <v>0</v>
      </c>
      <c r="P187" s="3" t="b">
        <v>0</v>
      </c>
      <c r="Q187" s="3" t="n">
        <v>4068.493150684933</v>
      </c>
      <c r="R187" s="3" t="n">
        <v>289134.2465753425</v>
      </c>
      <c r="S187" s="3" t="n">
        <v>293202.7397260274</v>
      </c>
      <c r="T187" s="5">
        <f>IF(J187&lt;&gt;"",M187*N187/365/100*('Cashflow Projection'!$B$2-Investors!J187),0)</f>
        <v/>
      </c>
    </row>
    <row r="188">
      <c r="A188" s="3" t="inlineStr">
        <is>
          <t>ZCON01</t>
        </is>
      </c>
      <c r="B188" s="3" t="inlineStr">
        <is>
          <t>Gerhard Lotter</t>
        </is>
      </c>
      <c r="C188" s="3" t="inlineStr">
        <is>
          <t>Conradie</t>
        </is>
      </c>
      <c r="D188" s="3" t="inlineStr">
        <is>
          <t>Heron View</t>
        </is>
      </c>
      <c r="E188" s="3" t="inlineStr">
        <is>
          <t>HVC301</t>
        </is>
      </c>
      <c r="F188" s="3" t="b">
        <v>1</v>
      </c>
      <c r="G188" s="3" t="b">
        <v>1</v>
      </c>
      <c r="H188" s="3" t="inlineStr">
        <is>
          <t>C</t>
        </is>
      </c>
      <c r="I188" s="4" t="n">
        <v>44748</v>
      </c>
      <c r="J188" s="4" t="n">
        <v>44755</v>
      </c>
      <c r="K188" s="4" t="n">
        <v>45154</v>
      </c>
      <c r="L188" s="3" t="n">
        <v>4</v>
      </c>
      <c r="M188" s="3" t="n">
        <v>990694.47</v>
      </c>
      <c r="N188" s="3" t="n">
        <v>14</v>
      </c>
      <c r="O188" s="3" t="b">
        <v>0</v>
      </c>
      <c r="P188" s="3" t="b">
        <v>0</v>
      </c>
      <c r="Q188" s="3" t="n">
        <v>1424.971497945205</v>
      </c>
      <c r="R188" s="3" t="n">
        <v>151616.9673813699</v>
      </c>
      <c r="S188" s="3" t="n">
        <v>153041.9388793151</v>
      </c>
      <c r="T188" s="5">
        <f>IF(J188&lt;&gt;"",M188*N188/365/100*('Cashflow Projection'!$B$2-Investors!J188),0)</f>
        <v/>
      </c>
    </row>
    <row r="189">
      <c r="A189" s="3" t="inlineStr">
        <is>
          <t>ZINT01</t>
        </is>
      </c>
      <c r="B189" s="3" t="inlineStr">
        <is>
          <t>Marc</t>
        </is>
      </c>
      <c r="C189" s="3" t="inlineStr">
        <is>
          <t>Lunau</t>
        </is>
      </c>
      <c r="D189" s="3" t="inlineStr">
        <is>
          <t>Heron View</t>
        </is>
      </c>
      <c r="E189" s="3" t="inlineStr">
        <is>
          <t>HVC301</t>
        </is>
      </c>
      <c r="F189" s="3" t="b">
        <v>1</v>
      </c>
      <c r="G189" s="3" t="b">
        <v>1</v>
      </c>
      <c r="H189" s="3" t="inlineStr">
        <is>
          <t>C</t>
        </is>
      </c>
      <c r="I189" s="4" t="n">
        <v>44967</v>
      </c>
      <c r="J189" s="4" t="n">
        <v>45072</v>
      </c>
      <c r="K189" s="4" t="n">
        <v>45154</v>
      </c>
      <c r="L189" s="3" t="n">
        <v>15</v>
      </c>
      <c r="M189" s="3" t="n">
        <v>100000</v>
      </c>
      <c r="N189" s="3" t="n">
        <v>18</v>
      </c>
      <c r="O189" s="3" t="b">
        <v>0</v>
      </c>
      <c r="P189" s="3" t="b">
        <v>0</v>
      </c>
      <c r="Q189" s="3" t="n">
        <v>2953.424657534252</v>
      </c>
      <c r="R189" s="3" t="n">
        <v>4043.835616438356</v>
      </c>
      <c r="S189" s="3" t="n">
        <v>6997.260273972608</v>
      </c>
      <c r="T189" s="5">
        <f>IF(J189&lt;&gt;"",M189*N189/365/100*('Cashflow Projection'!$B$2-Investors!J189),0)</f>
        <v/>
      </c>
    </row>
    <row r="190">
      <c r="A190" s="3" t="inlineStr">
        <is>
          <t>ZCON01</t>
        </is>
      </c>
      <c r="B190" s="3" t="inlineStr">
        <is>
          <t>Gerhard Lotter</t>
        </is>
      </c>
      <c r="C190" s="3" t="inlineStr">
        <is>
          <t>Conradie</t>
        </is>
      </c>
      <c r="D190" s="3" t="inlineStr">
        <is>
          <t>Heron View</t>
        </is>
      </c>
      <c r="E190" s="3" t="inlineStr">
        <is>
          <t>HVC302</t>
        </is>
      </c>
      <c r="F190" s="3" t="b">
        <v>0</v>
      </c>
      <c r="G190" s="3" t="b">
        <v>0</v>
      </c>
      <c r="H190" s="3" t="inlineStr">
        <is>
          <t>C</t>
        </is>
      </c>
      <c r="I190" s="4" t="n">
        <v>44748</v>
      </c>
      <c r="J190" s="4" t="n">
        <v>44755</v>
      </c>
      <c r="K190" s="4" t="n">
        <v>45475</v>
      </c>
      <c r="L190" s="3" t="n">
        <v>5</v>
      </c>
      <c r="M190" s="3" t="n">
        <v>990694.47</v>
      </c>
      <c r="N190" s="3" t="n">
        <v>14</v>
      </c>
      <c r="O190" s="3" t="b">
        <v>0</v>
      </c>
      <c r="P190" s="3" t="b">
        <v>0</v>
      </c>
      <c r="Q190" s="3" t="n">
        <v>1424.971497945205</v>
      </c>
      <c r="R190" s="3" t="n">
        <v>273594.5276054795</v>
      </c>
      <c r="S190" s="3" t="n">
        <v>275019.4991034247</v>
      </c>
      <c r="T190" s="5">
        <f>IF(J190&lt;&gt;"",M190*N190/365/100*('Cashflow Projection'!$B$2-Investors!J190),0)</f>
        <v/>
      </c>
    </row>
    <row r="191">
      <c r="A191" s="3" t="inlineStr">
        <is>
          <t>ZKEW01</t>
        </is>
      </c>
      <c r="B191" s="3" t="inlineStr">
        <is>
          <t>Lisa Maree</t>
        </is>
      </c>
      <c r="C191" s="3" t="inlineStr">
        <is>
          <t>Kewley</t>
        </is>
      </c>
      <c r="D191" s="3" t="inlineStr">
        <is>
          <t>Heron View</t>
        </is>
      </c>
      <c r="E191" s="3" t="inlineStr">
        <is>
          <t>HVC302</t>
        </is>
      </c>
      <c r="F191" s="3" t="b">
        <v>0</v>
      </c>
      <c r="G191" s="3" t="b">
        <v>0</v>
      </c>
      <c r="H191" s="3" t="inlineStr">
        <is>
          <t>C</t>
        </is>
      </c>
      <c r="I191" s="4" t="n">
        <v>44862</v>
      </c>
      <c r="J191" s="4" t="n">
        <v>44903</v>
      </c>
      <c r="K191" s="4" t="n">
        <v>45475</v>
      </c>
      <c r="L191" s="3" t="n">
        <v>2</v>
      </c>
      <c r="M191" s="3" t="n">
        <v>117205.48</v>
      </c>
      <c r="N191" s="3" t="n">
        <v>14</v>
      </c>
      <c r="O191" s="3" t="b">
        <v>0</v>
      </c>
      <c r="P191" s="3" t="b">
        <v>0</v>
      </c>
      <c r="Q191" s="3" t="n">
        <v>1204.165890410958</v>
      </c>
      <c r="R191" s="3" t="n">
        <v>25714.56120109589</v>
      </c>
      <c r="S191" s="3" t="n">
        <v>26918.72709150684</v>
      </c>
      <c r="T191" s="5">
        <f>IF(J191&lt;&gt;"",M191*N191/365/100*('Cashflow Projection'!$B$2-Investors!J191),0)</f>
        <v/>
      </c>
    </row>
    <row r="192">
      <c r="A192" s="3" t="inlineStr">
        <is>
          <t>ZJEN01</t>
        </is>
      </c>
      <c r="B192" s="3" t="inlineStr">
        <is>
          <t>Daryl Anne</t>
        </is>
      </c>
      <c r="C192" s="3" t="inlineStr">
        <is>
          <t>Jennings</t>
        </is>
      </c>
      <c r="D192" s="3" t="inlineStr">
        <is>
          <t>Heron View</t>
        </is>
      </c>
      <c r="E192" s="3" t="inlineStr">
        <is>
          <t>HVC303</t>
        </is>
      </c>
      <c r="F192" s="3" t="b">
        <v>1</v>
      </c>
      <c r="G192" s="3" t="b">
        <v>1</v>
      </c>
      <c r="H192" s="3" t="inlineStr">
        <is>
          <t>C</t>
        </is>
      </c>
      <c r="I192" s="4" t="n">
        <v>44876</v>
      </c>
      <c r="J192" s="4" t="n">
        <v>44903</v>
      </c>
      <c r="K192" s="4" t="n">
        <v>45177</v>
      </c>
      <c r="L192" s="3" t="n">
        <v>2</v>
      </c>
      <c r="M192" s="3" t="n">
        <v>118969.18</v>
      </c>
      <c r="N192" s="3" t="n">
        <v>14</v>
      </c>
      <c r="O192" s="3" t="b">
        <v>0</v>
      </c>
      <c r="P192" s="3" t="b">
        <v>0</v>
      </c>
      <c r="Q192" s="3" t="n">
        <v>811.5979676712328</v>
      </c>
      <c r="R192" s="3" t="n">
        <v>12503.17190356164</v>
      </c>
      <c r="S192" s="3" t="n">
        <v>13314.76987123288</v>
      </c>
      <c r="T192" s="5">
        <f>IF(J192&lt;&gt;"",M192*N192/365/100*('Cashflow Projection'!$B$2-Investors!J192),0)</f>
        <v/>
      </c>
    </row>
    <row r="193">
      <c r="A193" s="3" t="inlineStr">
        <is>
          <t>ZMEY02</t>
        </is>
      </c>
      <c r="B193" s="3" t="inlineStr">
        <is>
          <t>Catharina Levina</t>
        </is>
      </c>
      <c r="C193" s="3" t="inlineStr">
        <is>
          <t>Meyer</t>
        </is>
      </c>
      <c r="D193" s="3" t="inlineStr">
        <is>
          <t>Heron View</t>
        </is>
      </c>
      <c r="E193" s="3" t="inlineStr">
        <is>
          <t>HVC303</t>
        </is>
      </c>
      <c r="F193" s="3" t="b">
        <v>1</v>
      </c>
      <c r="G193" s="3" t="b">
        <v>1</v>
      </c>
      <c r="H193" s="3" t="inlineStr">
        <is>
          <t>C</t>
        </is>
      </c>
      <c r="I193" s="4" t="n">
        <v>44862</v>
      </c>
      <c r="J193" s="4" t="n">
        <v>44903</v>
      </c>
      <c r="K193" s="4" t="n">
        <v>45177</v>
      </c>
      <c r="L193" s="3" t="n">
        <v>2</v>
      </c>
      <c r="M193" s="3" t="n">
        <v>223789.04</v>
      </c>
      <c r="N193" s="3" t="n">
        <v>14</v>
      </c>
      <c r="O193" s="3" t="b">
        <v>0</v>
      </c>
      <c r="P193" s="3" t="b">
        <v>0</v>
      </c>
      <c r="Q193" s="3" t="n">
        <v>2299.202465753426</v>
      </c>
      <c r="R193" s="3" t="n">
        <v>23519.3084230137</v>
      </c>
      <c r="S193" s="3" t="n">
        <v>25818.51088876712</v>
      </c>
      <c r="T193" s="5">
        <f>IF(J193&lt;&gt;"",M193*N193/365/100*('Cashflow Projection'!$B$2-Investors!J193),0)</f>
        <v/>
      </c>
    </row>
    <row r="194">
      <c r="A194" s="3" t="inlineStr">
        <is>
          <t>ZRIT01</t>
        </is>
      </c>
      <c r="B194" s="3" t="inlineStr">
        <is>
          <t>Dennis</t>
        </is>
      </c>
      <c r="C194" s="3" t="inlineStr">
        <is>
          <t>Ritter</t>
        </is>
      </c>
      <c r="D194" s="3" t="inlineStr">
        <is>
          <t>Heron View</t>
        </is>
      </c>
      <c r="E194" s="3" t="inlineStr">
        <is>
          <t>HVC303</t>
        </is>
      </c>
      <c r="F194" s="3" t="b">
        <v>1</v>
      </c>
      <c r="G194" s="3" t="b">
        <v>1</v>
      </c>
      <c r="H194" s="3" t="inlineStr">
        <is>
          <t>C</t>
        </is>
      </c>
      <c r="I194" s="4" t="n">
        <v>44862</v>
      </c>
      <c r="J194" s="4" t="n">
        <v>44903</v>
      </c>
      <c r="K194" s="4" t="n">
        <v>45177</v>
      </c>
      <c r="L194" s="3" t="n">
        <v>7</v>
      </c>
      <c r="M194" s="3" t="n">
        <v>232778.08</v>
      </c>
      <c r="N194" s="3" t="n">
        <v>18</v>
      </c>
      <c r="O194" s="3" t="b">
        <v>0</v>
      </c>
      <c r="P194" s="3" t="b">
        <v>0</v>
      </c>
      <c r="Q194" s="3" t="n">
        <v>2391.555616438357</v>
      </c>
      <c r="R194" s="3" t="n">
        <v>31453.73946739726</v>
      </c>
      <c r="S194" s="3" t="n">
        <v>33845.29508383562</v>
      </c>
      <c r="T194" s="5">
        <f>IF(J194&lt;&gt;"",M194*N194/365/100*('Cashflow Projection'!$B$2-Investors!J194),0)</f>
        <v/>
      </c>
    </row>
    <row r="195">
      <c r="A195" s="3" t="inlineStr">
        <is>
          <t>ZWES01</t>
        </is>
      </c>
      <c r="B195" s="3" t="inlineStr">
        <is>
          <t>Gerhardus Jacobus</t>
        </is>
      </c>
      <c r="C195" s="3" t="inlineStr">
        <is>
          <t>Wessels</t>
        </is>
      </c>
      <c r="D195" s="3" t="inlineStr">
        <is>
          <t>Heron View</t>
        </is>
      </c>
      <c r="E195" s="3" t="inlineStr">
        <is>
          <t>HVC303</t>
        </is>
      </c>
      <c r="F195" s="3" t="b">
        <v>1</v>
      </c>
      <c r="G195" s="3" t="b">
        <v>1</v>
      </c>
      <c r="H195" s="3" t="inlineStr">
        <is>
          <t>C</t>
        </is>
      </c>
      <c r="I195" s="4" t="n">
        <v>44862</v>
      </c>
      <c r="J195" s="4" t="n">
        <v>44903</v>
      </c>
      <c r="K195" s="4" t="n">
        <v>45177</v>
      </c>
      <c r="L195" s="3" t="n">
        <v>2</v>
      </c>
      <c r="M195" s="3" t="n">
        <v>500000</v>
      </c>
      <c r="N195" s="3" t="n">
        <v>16</v>
      </c>
      <c r="O195" s="3" t="b">
        <v>0</v>
      </c>
      <c r="P195" s="3" t="b">
        <v>0</v>
      </c>
      <c r="Q195" s="3" t="n">
        <v>5136.98630136986</v>
      </c>
      <c r="R195" s="3" t="n">
        <v>60054.79452054794</v>
      </c>
      <c r="S195" s="3" t="n">
        <v>65191.7808219178</v>
      </c>
      <c r="T195" s="5">
        <f>IF(J195&lt;&gt;"",M195*N195/365/100*('Cashflow Projection'!$B$2-Investors!J195),0)</f>
        <v/>
      </c>
    </row>
    <row r="196">
      <c r="A196" s="3" t="inlineStr">
        <is>
          <t>ZVAN05</t>
        </is>
      </c>
      <c r="B196" s="3" t="inlineStr">
        <is>
          <t>Hermanus</t>
        </is>
      </c>
      <c r="C196" s="3" t="inlineStr">
        <is>
          <t>van der Sandt</t>
        </is>
      </c>
      <c r="D196" s="3" t="inlineStr">
        <is>
          <t>Heron View</t>
        </is>
      </c>
      <c r="E196" s="3" t="inlineStr">
        <is>
          <t>HVC304</t>
        </is>
      </c>
      <c r="F196" s="3" t="b">
        <v>0</v>
      </c>
      <c r="G196" s="3" t="b">
        <v>0</v>
      </c>
      <c r="H196" s="3" t="inlineStr">
        <is>
          <t>C</t>
        </is>
      </c>
      <c r="I196" s="4" t="n">
        <v>44862</v>
      </c>
      <c r="J196" s="4" t="n">
        <v>44903</v>
      </c>
      <c r="K196" s="4" t="n">
        <v>45533</v>
      </c>
      <c r="L196" s="3" t="n">
        <v>3</v>
      </c>
      <c r="M196" s="3" t="n">
        <v>1028006.85</v>
      </c>
      <c r="N196" s="3" t="n">
        <v>18</v>
      </c>
      <c r="O196" s="3" t="b">
        <v>0</v>
      </c>
      <c r="P196" s="3" t="b">
        <v>0</v>
      </c>
      <c r="Q196" s="3" t="n">
        <v>10561.71421232877</v>
      </c>
      <c r="R196" s="3" t="n">
        <v>319386.2377808219</v>
      </c>
      <c r="S196" s="3" t="n">
        <v>329947.9519931507</v>
      </c>
      <c r="T196" s="5">
        <f>IF(J196&lt;&gt;"",M196*N196/365/100*('Cashflow Projection'!$B$2-Investors!J196),0)</f>
        <v/>
      </c>
    </row>
    <row r="197">
      <c r="A197" s="3" t="inlineStr">
        <is>
          <t>ZBER01</t>
        </is>
      </c>
      <c r="B197" s="3" t="inlineStr">
        <is>
          <t>Beverley</t>
        </is>
      </c>
      <c r="C197" s="3" t="inlineStr">
        <is>
          <t>Berk-Heinze</t>
        </is>
      </c>
      <c r="D197" s="3" t="inlineStr">
        <is>
          <t>Heron View</t>
        </is>
      </c>
      <c r="E197" s="3" t="inlineStr">
        <is>
          <t>HVC305</t>
        </is>
      </c>
      <c r="F197" s="3" t="b">
        <v>0</v>
      </c>
      <c r="G197" s="3" t="b">
        <v>0</v>
      </c>
      <c r="H197" s="3" t="inlineStr">
        <is>
          <t>C</t>
        </is>
      </c>
      <c r="I197" s="4" t="n">
        <v>44868</v>
      </c>
      <c r="J197" s="4" t="n">
        <v>44909</v>
      </c>
      <c r="K197" s="4" t="n">
        <v>45533</v>
      </c>
      <c r="L197" s="3" t="n">
        <v>1</v>
      </c>
      <c r="M197" s="3" t="n">
        <v>350000</v>
      </c>
      <c r="N197" s="3" t="n">
        <v>18</v>
      </c>
      <c r="O197" s="3" t="b">
        <v>0</v>
      </c>
      <c r="P197" s="3" t="b">
        <v>0</v>
      </c>
      <c r="Q197" s="3" t="n">
        <v>3639.041095890413</v>
      </c>
      <c r="R197" s="3" t="n">
        <v>107704.1095890411</v>
      </c>
      <c r="S197" s="3" t="n">
        <v>111343.1506849315</v>
      </c>
      <c r="T197" s="5">
        <f>IF(J197&lt;&gt;"",M197*N197/365/100*('Cashflow Projection'!$B$2-Investors!J197),0)</f>
        <v/>
      </c>
    </row>
    <row r="198">
      <c r="A198" s="3" t="inlineStr">
        <is>
          <t>ZDEK01</t>
        </is>
      </c>
      <c r="B198" s="3" t="inlineStr">
        <is>
          <t>Dawn Margaret</t>
        </is>
      </c>
      <c r="C198" s="3" t="inlineStr">
        <is>
          <t>De Klerk (Way)</t>
        </is>
      </c>
      <c r="D198" s="3" t="inlineStr">
        <is>
          <t>Heron View</t>
        </is>
      </c>
      <c r="E198" s="3" t="inlineStr">
        <is>
          <t>HVC305</t>
        </is>
      </c>
      <c r="F198" s="3" t="b">
        <v>0</v>
      </c>
      <c r="G198" s="3" t="b">
        <v>0</v>
      </c>
      <c r="H198" s="3" t="inlineStr">
        <is>
          <t>C</t>
        </is>
      </c>
      <c r="I198" s="4" t="n">
        <v>44988</v>
      </c>
      <c r="J198" s="4" t="n">
        <v>45107</v>
      </c>
      <c r="K198" s="4" t="n">
        <v>45533</v>
      </c>
      <c r="L198" s="3" t="n">
        <v>3</v>
      </c>
      <c r="M198" s="3" t="n">
        <v>254616.44</v>
      </c>
      <c r="N198" s="3" t="n">
        <v>16</v>
      </c>
      <c r="O198" s="3" t="b">
        <v>0</v>
      </c>
      <c r="P198" s="3" t="b">
        <v>0</v>
      </c>
      <c r="Q198" s="3" t="n">
        <v>8723.228992328759</v>
      </c>
      <c r="R198" s="3" t="n">
        <v>47547.00424767123</v>
      </c>
      <c r="S198" s="3" t="n">
        <v>56270.23323999999</v>
      </c>
      <c r="T198" s="5">
        <f>IF(J198&lt;&gt;"",M198*N198/365/100*('Cashflow Projection'!$B$2-Investors!J198),0)</f>
        <v/>
      </c>
    </row>
    <row r="199">
      <c r="A199" s="3" t="inlineStr">
        <is>
          <t>ZDUT01</t>
        </is>
      </c>
      <c r="B199" s="3" t="inlineStr">
        <is>
          <t>Willem Anton</t>
        </is>
      </c>
      <c r="C199" s="3" t="inlineStr">
        <is>
          <t>du Toit</t>
        </is>
      </c>
      <c r="D199" s="3" t="inlineStr">
        <is>
          <t>Heron View</t>
        </is>
      </c>
      <c r="E199" s="3" t="inlineStr">
        <is>
          <t>HVC305</t>
        </is>
      </c>
      <c r="F199" s="3" t="b">
        <v>0</v>
      </c>
      <c r="G199" s="3" t="b">
        <v>0</v>
      </c>
      <c r="H199" s="3" t="inlineStr">
        <is>
          <t>C</t>
        </is>
      </c>
      <c r="I199" s="4" t="n">
        <v>44876</v>
      </c>
      <c r="J199" s="4" t="n">
        <v>44903</v>
      </c>
      <c r="K199" s="4" t="n">
        <v>45533</v>
      </c>
      <c r="L199" s="3" t="n">
        <v>1</v>
      </c>
      <c r="M199" s="3" t="n">
        <v>100000</v>
      </c>
      <c r="N199" s="3" t="n">
        <v>14</v>
      </c>
      <c r="O199" s="3" t="b">
        <v>0</v>
      </c>
      <c r="P199" s="3" t="b">
        <v>0</v>
      </c>
      <c r="Q199" s="3" t="n">
        <v>682.1917808219175</v>
      </c>
      <c r="R199" s="3" t="n">
        <v>24164.38356164383</v>
      </c>
      <c r="S199" s="3" t="n">
        <v>24846.57534246575</v>
      </c>
      <c r="T199" s="5">
        <f>IF(J199&lt;&gt;"",M199*N199/365/100*('Cashflow Projection'!$B$2-Investors!J199),0)</f>
        <v/>
      </c>
    </row>
    <row r="200">
      <c r="A200" s="3" t="inlineStr">
        <is>
          <t>ZKRO01</t>
        </is>
      </c>
      <c r="B200" s="3" t="inlineStr">
        <is>
          <t>Frans</t>
        </is>
      </c>
      <c r="C200" s="3" t="inlineStr">
        <is>
          <t>van der Merwe</t>
        </is>
      </c>
      <c r="D200" s="3" t="inlineStr">
        <is>
          <t>Heron View</t>
        </is>
      </c>
      <c r="E200" s="3" t="inlineStr">
        <is>
          <t>HVC305</t>
        </is>
      </c>
      <c r="F200" s="3" t="b">
        <v>0</v>
      </c>
      <c r="G200" s="3" t="b">
        <v>0</v>
      </c>
      <c r="H200" s="3" t="inlineStr">
        <is>
          <t>C</t>
        </is>
      </c>
      <c r="I200" s="4" t="n">
        <v>44887</v>
      </c>
      <c r="J200" s="4" t="n">
        <v>44916</v>
      </c>
      <c r="K200" s="4" t="n">
        <v>45533</v>
      </c>
      <c r="L200" s="3" t="n">
        <v>3</v>
      </c>
      <c r="M200" s="3" t="n">
        <v>100000</v>
      </c>
      <c r="N200" s="3" t="n">
        <v>16</v>
      </c>
      <c r="O200" s="3" t="b">
        <v>0</v>
      </c>
      <c r="P200" s="3" t="b">
        <v>0</v>
      </c>
      <c r="Q200" s="3" t="n">
        <v>758.2191780821914</v>
      </c>
      <c r="R200" s="3" t="n">
        <v>27046.57534246575</v>
      </c>
      <c r="S200" s="3" t="n">
        <v>27804.79452054794</v>
      </c>
      <c r="T200" s="5">
        <f>IF(J200&lt;&gt;"",M200*N200/365/100*('Cashflow Projection'!$B$2-Investors!J200),0)</f>
        <v/>
      </c>
    </row>
    <row r="201">
      <c r="A201" s="3" t="inlineStr">
        <is>
          <t>ZVOL01</t>
        </is>
      </c>
      <c r="B201" s="3" t="inlineStr">
        <is>
          <t>Gideon Cornelius</t>
        </is>
      </c>
      <c r="C201" s="3" t="inlineStr">
        <is>
          <t>Volschenk</t>
        </is>
      </c>
      <c r="D201" s="3" t="inlineStr">
        <is>
          <t>Heron View</t>
        </is>
      </c>
      <c r="E201" s="3" t="inlineStr">
        <is>
          <t>HVC305</t>
        </is>
      </c>
      <c r="F201" s="3" t="b">
        <v>0</v>
      </c>
      <c r="G201" s="3" t="b">
        <v>0</v>
      </c>
      <c r="H201" s="3" t="inlineStr">
        <is>
          <t>C</t>
        </is>
      </c>
      <c r="I201" s="4" t="n">
        <v>44876</v>
      </c>
      <c r="J201" s="4" t="n">
        <v>44903</v>
      </c>
      <c r="K201" s="4" t="n">
        <v>45533</v>
      </c>
      <c r="L201" s="3" t="n">
        <v>4</v>
      </c>
      <c r="M201" s="3" t="n">
        <v>313690.76</v>
      </c>
      <c r="N201" s="3" t="n">
        <v>14</v>
      </c>
      <c r="O201" s="3" t="b">
        <v>0</v>
      </c>
      <c r="P201" s="3" t="b">
        <v>0</v>
      </c>
      <c r="Q201" s="3" t="n">
        <v>2139.972581917808</v>
      </c>
      <c r="R201" s="3" t="n">
        <v>75801.43844383562</v>
      </c>
      <c r="S201" s="3" t="n">
        <v>77941.41102575343</v>
      </c>
      <c r="T201" s="5">
        <f>IF(J201&lt;&gt;"",M201*N201/365/100*('Cashflow Projection'!$B$2-Investors!J201),0)</f>
        <v/>
      </c>
    </row>
    <row r="202">
      <c r="A202" s="3" t="inlineStr">
        <is>
          <t>ZVAN05</t>
        </is>
      </c>
      <c r="B202" s="3" t="inlineStr">
        <is>
          <t>Hermanus</t>
        </is>
      </c>
      <c r="C202" s="3" t="inlineStr">
        <is>
          <t>van der Sandt</t>
        </is>
      </c>
      <c r="D202" s="3" t="inlineStr">
        <is>
          <t>Heron View</t>
        </is>
      </c>
      <c r="E202" s="3" t="inlineStr">
        <is>
          <t>HVC306</t>
        </is>
      </c>
      <c r="F202" s="3" t="b">
        <v>1</v>
      </c>
      <c r="G202" s="3" t="b">
        <v>0</v>
      </c>
      <c r="H202" s="3" t="inlineStr">
        <is>
          <t>C</t>
        </is>
      </c>
      <c r="I202" s="4" t="n">
        <v>44866</v>
      </c>
      <c r="J202" s="4" t="n">
        <v>44903</v>
      </c>
      <c r="K202" s="4" t="n">
        <v>45406</v>
      </c>
      <c r="L202" s="3" t="n">
        <v>4</v>
      </c>
      <c r="M202" s="3" t="n">
        <v>1100000</v>
      </c>
      <c r="N202" s="3" t="n">
        <v>18</v>
      </c>
      <c r="O202" s="3" t="b">
        <v>0</v>
      </c>
      <c r="P202" s="3" t="b">
        <v>0</v>
      </c>
      <c r="Q202" s="3" t="n">
        <v>10216.43835616439</v>
      </c>
      <c r="R202" s="3" t="n">
        <v>272860.2739726027</v>
      </c>
      <c r="S202" s="3" t="n">
        <v>283076.7123287671</v>
      </c>
      <c r="T202" s="5">
        <f>IF(J202&lt;&gt;"",M202*N202/365/100*('Cashflow Projection'!$B$2-Investors!J202),0)</f>
        <v/>
      </c>
    </row>
    <row r="203">
      <c r="A203" s="3" t="inlineStr">
        <is>
          <t>ZINT01</t>
        </is>
      </c>
      <c r="B203" s="3" t="inlineStr">
        <is>
          <t>Marc</t>
        </is>
      </c>
      <c r="C203" s="3" t="inlineStr">
        <is>
          <t>Lunau</t>
        </is>
      </c>
      <c r="D203" s="3" t="inlineStr">
        <is>
          <t>Heron View</t>
        </is>
      </c>
      <c r="E203" s="3" t="inlineStr">
        <is>
          <t>HVD101</t>
        </is>
      </c>
      <c r="F203" s="3" t="b">
        <v>1</v>
      </c>
      <c r="G203" s="3" t="b">
        <v>1</v>
      </c>
      <c r="H203" s="3" t="inlineStr">
        <is>
          <t>D</t>
        </is>
      </c>
      <c r="I203" s="4" t="n">
        <v>44658</v>
      </c>
      <c r="J203" s="4" t="n">
        <v>44706</v>
      </c>
      <c r="K203" s="4" t="n">
        <v>45272</v>
      </c>
      <c r="L203" s="3" t="n">
        <v>9</v>
      </c>
      <c r="M203" s="3" t="n">
        <v>100000</v>
      </c>
      <c r="N203" s="3" t="n">
        <v>18</v>
      </c>
      <c r="O203" s="3" t="b">
        <v>1</v>
      </c>
      <c r="P203" s="3" t="b">
        <v>0</v>
      </c>
      <c r="Q203" s="3" t="n">
        <v>920.5479452054802</v>
      </c>
      <c r="R203" s="3" t="n">
        <v>27912.32876712329</v>
      </c>
      <c r="S203" s="3" t="n">
        <v>28832.87671232877</v>
      </c>
      <c r="T203" s="5">
        <f>IF(J203&lt;&gt;"",M203*N203/365/100*('Cashflow Projection'!$B$2-Investors!J203),0)</f>
        <v/>
      </c>
    </row>
    <row r="204">
      <c r="A204" s="3" t="inlineStr">
        <is>
          <t>ZMAT03</t>
        </is>
      </c>
      <c r="B204" s="3" t="inlineStr">
        <is>
          <t>Delia</t>
        </is>
      </c>
      <c r="C204" s="3" t="inlineStr">
        <is>
          <t>Matthee</t>
        </is>
      </c>
      <c r="D204" s="3" t="inlineStr">
        <is>
          <t>Heron View</t>
        </is>
      </c>
      <c r="E204" s="3" t="inlineStr">
        <is>
          <t>HVD101</t>
        </is>
      </c>
      <c r="F204" s="3" t="b">
        <v>1</v>
      </c>
      <c r="G204" s="3" t="b">
        <v>1</v>
      </c>
      <c r="H204" s="3" t="inlineStr">
        <is>
          <t>D</t>
        </is>
      </c>
      <c r="I204" s="4" t="n">
        <v>44697</v>
      </c>
      <c r="J204" s="4" t="n">
        <v>44706</v>
      </c>
      <c r="K204" s="4" t="n">
        <v>45308</v>
      </c>
      <c r="L204" s="3" t="n">
        <v>3</v>
      </c>
      <c r="M204" s="3" t="n">
        <v>200000</v>
      </c>
      <c r="N204" s="3" t="n">
        <v>16</v>
      </c>
      <c r="O204" s="3" t="b">
        <v>0</v>
      </c>
      <c r="P204" s="3" t="b">
        <v>0</v>
      </c>
      <c r="Q204" s="3" t="n">
        <v>345.2054794520548</v>
      </c>
      <c r="R204" s="3" t="n">
        <v>52778.08219178082</v>
      </c>
      <c r="S204" s="3" t="n">
        <v>53123.28767123287</v>
      </c>
      <c r="T204" s="5">
        <f>IF(J204&lt;&gt;"",M204*N204/365/100*('Cashflow Projection'!$B$2-Investors!J204),0)</f>
        <v/>
      </c>
    </row>
    <row r="205">
      <c r="A205" s="3" t="inlineStr">
        <is>
          <t>ZWAT01</t>
        </is>
      </c>
      <c r="B205" s="3" t="inlineStr">
        <is>
          <t>Peter Gregory</t>
        </is>
      </c>
      <c r="C205" s="3" t="inlineStr">
        <is>
          <t>Watts</t>
        </is>
      </c>
      <c r="D205" s="3" t="inlineStr">
        <is>
          <t>Heron View</t>
        </is>
      </c>
      <c r="E205" s="3" t="inlineStr">
        <is>
          <t>HVD101</t>
        </is>
      </c>
      <c r="F205" s="3" t="b">
        <v>1</v>
      </c>
      <c r="G205" s="3" t="b">
        <v>1</v>
      </c>
      <c r="H205" s="3" t="inlineStr">
        <is>
          <t>D</t>
        </is>
      </c>
      <c r="I205" s="4" t="n">
        <v>44657</v>
      </c>
      <c r="J205" s="4" t="n">
        <v>44713</v>
      </c>
      <c r="K205" s="4" t="n">
        <v>45272</v>
      </c>
      <c r="L205" s="3" t="n">
        <v>10</v>
      </c>
      <c r="M205" s="3" t="n">
        <v>715859.1899999999</v>
      </c>
      <c r="N205" s="3" t="n">
        <v>18</v>
      </c>
      <c r="O205" s="3" t="b">
        <v>1</v>
      </c>
      <c r="P205" s="3" t="b">
        <v>0</v>
      </c>
      <c r="Q205" s="3" t="n">
        <v>7697.937865068493</v>
      </c>
      <c r="R205" s="3" t="n">
        <v>197341.7854734246</v>
      </c>
      <c r="S205" s="3" t="n">
        <v>205039.7233384931</v>
      </c>
      <c r="T205" s="5">
        <f>IF(J205&lt;&gt;"",M205*N205/365/100*('Cashflow Projection'!$B$2-Investors!J205),0)</f>
        <v/>
      </c>
    </row>
    <row r="206">
      <c r="A206" s="3" t="inlineStr">
        <is>
          <t>ZHAL03</t>
        </is>
      </c>
      <c r="B206" s="3" t="inlineStr">
        <is>
          <t>Graeme Haffenden</t>
        </is>
      </c>
      <c r="C206" s="3" t="inlineStr">
        <is>
          <t>Hall</t>
        </is>
      </c>
      <c r="D206" s="3" t="inlineStr">
        <is>
          <t>Heron View</t>
        </is>
      </c>
      <c r="E206" s="3" t="inlineStr">
        <is>
          <t>HVD102</t>
        </is>
      </c>
      <c r="F206" s="3" t="b">
        <v>1</v>
      </c>
      <c r="G206" s="3" t="b">
        <v>1</v>
      </c>
      <c r="H206" s="3" t="inlineStr">
        <is>
          <t>D</t>
        </is>
      </c>
      <c r="I206" s="4" t="n">
        <v>44775</v>
      </c>
      <c r="J206" s="4" t="n">
        <v>44819</v>
      </c>
      <c r="K206" s="4" t="n">
        <v>45272</v>
      </c>
      <c r="L206" s="3" t="n">
        <v>1</v>
      </c>
      <c r="M206" s="3" t="n">
        <v>500000</v>
      </c>
      <c r="N206" s="3" t="n">
        <v>16</v>
      </c>
      <c r="O206" s="3" t="b">
        <v>1</v>
      </c>
      <c r="P206" s="3" t="b">
        <v>0</v>
      </c>
      <c r="Q206" s="3" t="n">
        <v>4972.602739726023</v>
      </c>
      <c r="R206" s="3" t="n">
        <v>99287.67123287672</v>
      </c>
      <c r="S206" s="3" t="n">
        <v>104260.2739726027</v>
      </c>
      <c r="T206" s="5">
        <f>IF(J206&lt;&gt;"",M206*N206/365/100*('Cashflow Projection'!$B$2-Investors!J206),0)</f>
        <v/>
      </c>
    </row>
    <row r="207">
      <c r="A207" s="3" t="inlineStr">
        <is>
          <t>ZLEB01</t>
        </is>
      </c>
      <c r="B207" s="3" t="inlineStr">
        <is>
          <t>Hopolang</t>
        </is>
      </c>
      <c r="C207" s="3" t="inlineStr">
        <is>
          <t>Lebusa</t>
        </is>
      </c>
      <c r="D207" s="3" t="inlineStr">
        <is>
          <t>Heron View</t>
        </is>
      </c>
      <c r="E207" s="3" t="inlineStr">
        <is>
          <t>HVD102</t>
        </is>
      </c>
      <c r="F207" s="3" t="b">
        <v>1</v>
      </c>
      <c r="G207" s="3" t="b">
        <v>1</v>
      </c>
      <c r="H207" s="3" t="inlineStr">
        <is>
          <t>D</t>
        </is>
      </c>
      <c r="I207" s="4" t="n">
        <v>44657</v>
      </c>
      <c r="J207" s="4" t="n">
        <v>44694</v>
      </c>
      <c r="K207" s="4" t="n">
        <v>45323</v>
      </c>
      <c r="L207" s="3" t="n">
        <v>10</v>
      </c>
      <c r="M207" s="3" t="n">
        <v>500000</v>
      </c>
      <c r="N207" s="3" t="n">
        <v>18</v>
      </c>
      <c r="O207" s="3" t="b">
        <v>1</v>
      </c>
      <c r="P207" s="3" t="b">
        <v>0</v>
      </c>
      <c r="Q207" s="3" t="n">
        <v>3547.945205479449</v>
      </c>
      <c r="R207" s="3" t="n">
        <v>155095.8904109589</v>
      </c>
      <c r="S207" s="3" t="n">
        <v>158643.8356164384</v>
      </c>
      <c r="T207" s="5">
        <f>IF(J207&lt;&gt;"",M207*N207/365/100*('Cashflow Projection'!$B$2-Investors!J207),0)</f>
        <v/>
      </c>
    </row>
    <row r="208">
      <c r="A208" s="3" t="inlineStr">
        <is>
          <t>ZCUP01</t>
        </is>
      </c>
      <c r="B208" s="3" t="inlineStr">
        <is>
          <t>Tyrone</t>
        </is>
      </c>
      <c r="C208" s="3" t="inlineStr">
        <is>
          <t>Cupido</t>
        </is>
      </c>
      <c r="D208" s="3" t="inlineStr">
        <is>
          <t>Heron View</t>
        </is>
      </c>
      <c r="E208" s="3" t="inlineStr">
        <is>
          <t>HVD103</t>
        </is>
      </c>
      <c r="F208" s="3" t="b">
        <v>1</v>
      </c>
      <c r="G208" s="3" t="b">
        <v>1</v>
      </c>
      <c r="H208" s="3" t="inlineStr">
        <is>
          <t>D</t>
        </is>
      </c>
      <c r="I208" s="4" t="n">
        <v>44914</v>
      </c>
      <c r="J208" s="4" t="n">
        <v>45008</v>
      </c>
      <c r="K208" s="4" t="n">
        <v>45323</v>
      </c>
      <c r="L208" s="3" t="n">
        <v>2</v>
      </c>
      <c r="M208" s="3" t="n">
        <v>100000</v>
      </c>
      <c r="N208" s="3" t="n">
        <v>14</v>
      </c>
      <c r="O208" s="3" t="b">
        <v>0</v>
      </c>
      <c r="P208" s="3" t="b">
        <v>0</v>
      </c>
      <c r="Q208" s="3" t="n">
        <v>2545.890410958903</v>
      </c>
      <c r="R208" s="3" t="n">
        <v>12082.19178082192</v>
      </c>
      <c r="S208" s="3" t="n">
        <v>14628.08219178082</v>
      </c>
      <c r="T208" s="5">
        <f>IF(J208&lt;&gt;"",M208*N208/365/100*('Cashflow Projection'!$B$2-Investors!J208),0)</f>
        <v/>
      </c>
    </row>
    <row r="209">
      <c r="A209" s="3" t="inlineStr">
        <is>
          <t>ZHEN01</t>
        </is>
      </c>
      <c r="B209" s="3" t="inlineStr">
        <is>
          <t>Theodore Shane</t>
        </is>
      </c>
      <c r="C209" s="3" t="inlineStr">
        <is>
          <t>Hendricks</t>
        </is>
      </c>
      <c r="D209" s="3" t="inlineStr">
        <is>
          <t>Heron View</t>
        </is>
      </c>
      <c r="E209" s="3" t="inlineStr">
        <is>
          <t>HVD103</t>
        </is>
      </c>
      <c r="F209" s="3" t="b">
        <v>1</v>
      </c>
      <c r="G209" s="3" t="b">
        <v>1</v>
      </c>
      <c r="H209" s="3" t="inlineStr">
        <is>
          <t>D</t>
        </is>
      </c>
      <c r="I209" s="4" t="n">
        <v>44705</v>
      </c>
      <c r="J209" s="4" t="n">
        <v>44719</v>
      </c>
      <c r="K209" s="4" t="n">
        <v>45272</v>
      </c>
      <c r="L209" s="3" t="n">
        <v>3</v>
      </c>
      <c r="M209" s="3" t="n">
        <v>100000</v>
      </c>
      <c r="N209" s="3" t="n">
        <v>14</v>
      </c>
      <c r="O209" s="3" t="b">
        <v>1</v>
      </c>
      <c r="P209" s="3" t="b">
        <v>0</v>
      </c>
      <c r="Q209" s="3" t="n">
        <v>278.0821917808218</v>
      </c>
      <c r="R209" s="3" t="n">
        <v>21210.95890410959</v>
      </c>
      <c r="S209" s="3" t="n">
        <v>21489.04109589041</v>
      </c>
      <c r="T209" s="5">
        <f>IF(J209&lt;&gt;"",M209*N209/365/100*('Cashflow Projection'!$B$2-Investors!J209),0)</f>
        <v/>
      </c>
    </row>
    <row r="210">
      <c r="A210" s="3" t="inlineStr">
        <is>
          <t>ZLEB01</t>
        </is>
      </c>
      <c r="B210" s="3" t="inlineStr">
        <is>
          <t>Hopolang</t>
        </is>
      </c>
      <c r="C210" s="3" t="inlineStr">
        <is>
          <t>Lebusa</t>
        </is>
      </c>
      <c r="D210" s="3" t="inlineStr">
        <is>
          <t>Heron View</t>
        </is>
      </c>
      <c r="E210" s="3" t="inlineStr">
        <is>
          <t>HVD103</t>
        </is>
      </c>
      <c r="F210" s="3" t="b">
        <v>1</v>
      </c>
      <c r="G210" s="3" t="b">
        <v>1</v>
      </c>
      <c r="H210" s="3" t="inlineStr">
        <is>
          <t>D</t>
        </is>
      </c>
      <c r="I210" s="4" t="n">
        <v>44657</v>
      </c>
      <c r="J210" s="4" t="n">
        <v>44694</v>
      </c>
      <c r="K210" s="4" t="n">
        <v>45323</v>
      </c>
      <c r="L210" s="3" t="n">
        <v>11</v>
      </c>
      <c r="M210" s="3" t="n">
        <v>551117.11</v>
      </c>
      <c r="N210" s="3" t="n">
        <v>18</v>
      </c>
      <c r="O210" s="3" t="b">
        <v>0</v>
      </c>
      <c r="P210" s="3" t="b">
        <v>0</v>
      </c>
      <c r="Q210" s="3" t="n">
        <v>3910.666616164384</v>
      </c>
      <c r="R210" s="3" t="n">
        <v>170951.9977923288</v>
      </c>
      <c r="S210" s="3" t="n">
        <v>174862.6644084932</v>
      </c>
      <c r="T210" s="5">
        <f>IF(J210&lt;&gt;"",M210*N210/365/100*('Cashflow Projection'!$B$2-Investors!J210),0)</f>
        <v/>
      </c>
    </row>
    <row r="211">
      <c r="A211" s="3" t="inlineStr">
        <is>
          <t>ZLES01</t>
        </is>
      </c>
      <c r="B211" s="3" t="inlineStr">
        <is>
          <t>Megan Frances</t>
        </is>
      </c>
      <c r="C211" s="3" t="inlineStr">
        <is>
          <t>Leslie</t>
        </is>
      </c>
      <c r="D211" s="3" t="inlineStr">
        <is>
          <t>Heron View</t>
        </is>
      </c>
      <c r="E211" s="3" t="inlineStr">
        <is>
          <t>HVD103</t>
        </is>
      </c>
      <c r="F211" s="3" t="b">
        <v>1</v>
      </c>
      <c r="G211" s="3" t="b">
        <v>1</v>
      </c>
      <c r="H211" s="3" t="inlineStr">
        <is>
          <t>D</t>
        </is>
      </c>
      <c r="I211" s="4" t="n">
        <v>44938</v>
      </c>
      <c r="J211" s="4" t="n">
        <v>45016</v>
      </c>
      <c r="K211" s="4" t="n">
        <v>45272</v>
      </c>
      <c r="L211" s="3" t="n">
        <v>1</v>
      </c>
      <c r="M211" s="3" t="n">
        <v>150000</v>
      </c>
      <c r="N211" s="3" t="n">
        <v>14</v>
      </c>
      <c r="O211" s="3" t="b">
        <v>1</v>
      </c>
      <c r="P211" s="3" t="b">
        <v>0</v>
      </c>
      <c r="Q211" s="3" t="n">
        <v>3185.958904109588</v>
      </c>
      <c r="R211" s="3" t="n">
        <v>14728.76712328767</v>
      </c>
      <c r="S211" s="3" t="n">
        <v>17914.72602739726</v>
      </c>
      <c r="T211" s="5">
        <f>IF(J211&lt;&gt;"",M211*N211/365/100*('Cashflow Projection'!$B$2-Investors!J211),0)</f>
        <v/>
      </c>
    </row>
    <row r="212">
      <c r="A212" s="3" t="inlineStr">
        <is>
          <t>ZZYL04</t>
        </is>
      </c>
      <c r="B212" s="3" t="inlineStr">
        <is>
          <t>Steven Michael</t>
        </is>
      </c>
      <c r="C212" s="3" t="inlineStr">
        <is>
          <t>Zylstra</t>
        </is>
      </c>
      <c r="D212" s="3" t="inlineStr">
        <is>
          <t>Heron View</t>
        </is>
      </c>
      <c r="E212" s="3" t="inlineStr">
        <is>
          <t>HVD103</t>
        </is>
      </c>
      <c r="F212" s="3" t="b">
        <v>1</v>
      </c>
      <c r="G212" s="3" t="b">
        <v>1</v>
      </c>
      <c r="H212" s="3" t="inlineStr">
        <is>
          <t>D</t>
        </is>
      </c>
      <c r="I212" s="4" t="n">
        <v>44697</v>
      </c>
      <c r="J212" s="4" t="n">
        <v>44706</v>
      </c>
      <c r="K212" s="4" t="n">
        <v>45299</v>
      </c>
      <c r="L212" s="3" t="n">
        <v>1</v>
      </c>
      <c r="M212" s="3" t="n">
        <v>100000</v>
      </c>
      <c r="N212" s="3" t="n">
        <v>14</v>
      </c>
      <c r="O212" s="3" t="b">
        <v>1</v>
      </c>
      <c r="P212" s="3" t="b">
        <v>0</v>
      </c>
      <c r="Q212" s="3" t="n">
        <v>172.6027397260274</v>
      </c>
      <c r="R212" s="3" t="n">
        <v>22745.20547945205</v>
      </c>
      <c r="S212" s="3" t="n">
        <v>22917.80821917808</v>
      </c>
      <c r="T212" s="5">
        <f>IF(J212&lt;&gt;"",M212*N212/365/100*('Cashflow Projection'!$B$2-Investors!J212),0)</f>
        <v/>
      </c>
    </row>
    <row r="213">
      <c r="A213" s="3" t="inlineStr">
        <is>
          <t>ZFON01</t>
        </is>
      </c>
      <c r="B213" s="3" t="inlineStr">
        <is>
          <t>Lorraine</t>
        </is>
      </c>
      <c r="C213" s="3" t="inlineStr">
        <is>
          <t>Aveling-Fountain</t>
        </is>
      </c>
      <c r="D213" s="3" t="inlineStr">
        <is>
          <t>Heron View</t>
        </is>
      </c>
      <c r="E213" s="3" t="inlineStr">
        <is>
          <t>HVD104</t>
        </is>
      </c>
      <c r="F213" s="3" t="b">
        <v>1</v>
      </c>
      <c r="G213" s="3" t="b">
        <v>1</v>
      </c>
      <c r="H213" s="3" t="inlineStr">
        <is>
          <t>D</t>
        </is>
      </c>
      <c r="I213" s="4" t="n">
        <v>44676</v>
      </c>
      <c r="J213" s="4" t="n">
        <v>44706</v>
      </c>
      <c r="K213" s="4" t="n">
        <v>45272</v>
      </c>
      <c r="L213" s="3" t="n">
        <v>4</v>
      </c>
      <c r="M213" s="3" t="n">
        <v>622783.5600000001</v>
      </c>
      <c r="N213" s="3" t="n">
        <v>16</v>
      </c>
      <c r="O213" s="3" t="b">
        <v>1</v>
      </c>
      <c r="P213" s="3" t="b">
        <v>0</v>
      </c>
      <c r="Q213" s="3" t="n">
        <v>3583.138290410961</v>
      </c>
      <c r="R213" s="3" t="n">
        <v>154518.5731331507</v>
      </c>
      <c r="S213" s="3" t="n">
        <v>158101.7114235616</v>
      </c>
      <c r="T213" s="5">
        <f>IF(J213&lt;&gt;"",M213*N213/365/100*('Cashflow Projection'!$B$2-Investors!J213),0)</f>
        <v/>
      </c>
    </row>
    <row r="214">
      <c r="A214" s="3" t="inlineStr">
        <is>
          <t>ZGMA01</t>
        </is>
      </c>
      <c r="B214" s="3" t="inlineStr">
        <is>
          <t>Gerald Adriaan Odendal</t>
        </is>
      </c>
      <c r="C214" s="3" t="inlineStr">
        <is>
          <t>Matthee</t>
        </is>
      </c>
      <c r="D214" s="3" t="inlineStr">
        <is>
          <t>Heron View</t>
        </is>
      </c>
      <c r="E214" s="3" t="inlineStr">
        <is>
          <t>HVD104</t>
        </is>
      </c>
      <c r="F214" s="3" t="b">
        <v>1</v>
      </c>
      <c r="G214" s="3" t="b">
        <v>1</v>
      </c>
      <c r="H214" s="3" t="inlineStr">
        <is>
          <t>D</t>
        </is>
      </c>
      <c r="I214" s="4" t="n">
        <v>44684</v>
      </c>
      <c r="J214" s="4" t="n">
        <v>44706</v>
      </c>
      <c r="K214" s="4" t="n">
        <v>45323</v>
      </c>
      <c r="L214" s="3" t="n">
        <v>2</v>
      </c>
      <c r="M214" s="3" t="n">
        <v>200000</v>
      </c>
      <c r="N214" s="3" t="n">
        <v>14</v>
      </c>
      <c r="O214" s="3" t="b">
        <v>1</v>
      </c>
      <c r="P214" s="3" t="b">
        <v>0</v>
      </c>
      <c r="Q214" s="3" t="n">
        <v>843.8356164383565</v>
      </c>
      <c r="R214" s="3" t="n">
        <v>47331.50684931507</v>
      </c>
      <c r="S214" s="3" t="n">
        <v>48175.34246575343</v>
      </c>
      <c r="T214" s="5">
        <f>IF(J214&lt;&gt;"",M214*N214/365/100*('Cashflow Projection'!$B$2-Investors!J214),0)</f>
        <v/>
      </c>
    </row>
    <row r="215">
      <c r="A215" s="3" t="inlineStr">
        <is>
          <t>ZVAL02</t>
        </is>
      </c>
      <c r="B215" s="3" t="inlineStr">
        <is>
          <t>Himal Dipak</t>
        </is>
      </c>
      <c r="C215" s="3" t="inlineStr">
        <is>
          <t>Vallabh</t>
        </is>
      </c>
      <c r="D215" s="3" t="inlineStr">
        <is>
          <t>Heron View</t>
        </is>
      </c>
      <c r="E215" s="3" t="inlineStr">
        <is>
          <t>HVD104</t>
        </is>
      </c>
      <c r="F215" s="3" t="b">
        <v>1</v>
      </c>
      <c r="G215" s="3" t="b">
        <v>1</v>
      </c>
      <c r="H215" s="3" t="inlineStr">
        <is>
          <t>D</t>
        </is>
      </c>
      <c r="I215" s="4" t="n">
        <v>44697</v>
      </c>
      <c r="J215" s="4" t="n">
        <v>44706</v>
      </c>
      <c r="K215" s="4" t="n">
        <v>45323</v>
      </c>
      <c r="L215" s="3" t="n">
        <v>1</v>
      </c>
      <c r="M215" s="3" t="n">
        <v>200000</v>
      </c>
      <c r="N215" s="3" t="n">
        <v>14</v>
      </c>
      <c r="O215" s="3" t="b">
        <v>1</v>
      </c>
      <c r="P215" s="3" t="b">
        <v>0</v>
      </c>
      <c r="Q215" s="3" t="n">
        <v>345.2054794520548</v>
      </c>
      <c r="R215" s="3" t="n">
        <v>47331.50684931507</v>
      </c>
      <c r="S215" s="3" t="n">
        <v>47676.71232876712</v>
      </c>
      <c r="T215" s="5">
        <f>IF(J215&lt;&gt;"",M215*N215/365/100*('Cashflow Projection'!$B$2-Investors!J215),0)</f>
        <v/>
      </c>
    </row>
    <row r="216">
      <c r="A216" s="3" t="inlineStr">
        <is>
          <t>ZHEI01</t>
        </is>
      </c>
      <c r="B216" s="3" t="inlineStr">
        <is>
          <t>Dieter Raimund</t>
        </is>
      </c>
      <c r="C216" s="3" t="inlineStr">
        <is>
          <t>Heinze</t>
        </is>
      </c>
      <c r="D216" s="3" t="inlineStr">
        <is>
          <t>Heron View</t>
        </is>
      </c>
      <c r="E216" s="3" t="inlineStr">
        <is>
          <t>HVD201</t>
        </is>
      </c>
      <c r="F216" s="3" t="b">
        <v>1</v>
      </c>
      <c r="G216" s="3" t="b">
        <v>1</v>
      </c>
      <c r="H216" s="3" t="inlineStr">
        <is>
          <t>D</t>
        </is>
      </c>
      <c r="I216" s="4" t="n">
        <v>44706</v>
      </c>
      <c r="J216" s="4" t="n">
        <v>44719</v>
      </c>
      <c r="K216" s="4" t="n">
        <v>45272</v>
      </c>
      <c r="L216" s="3" t="n">
        <v>9</v>
      </c>
      <c r="M216" s="3" t="n">
        <v>771986.9399999999</v>
      </c>
      <c r="N216" s="3" t="n">
        <v>18</v>
      </c>
      <c r="O216" s="3" t="b">
        <v>1</v>
      </c>
      <c r="P216" s="3" t="b">
        <v>0</v>
      </c>
      <c r="Q216" s="3" t="n">
        <v>1998.705913150684</v>
      </c>
      <c r="R216" s="3" t="n">
        <v>210530.3561852055</v>
      </c>
      <c r="S216" s="3" t="n">
        <v>212529.0620983561</v>
      </c>
      <c r="T216" s="5">
        <f>IF(J216&lt;&gt;"",M216*N216/365/100*('Cashflow Projection'!$B$2-Investors!J216),0)</f>
        <v/>
      </c>
    </row>
    <row r="217">
      <c r="A217" s="3" t="inlineStr">
        <is>
          <t>ZHUT01</t>
        </is>
      </c>
      <c r="B217" s="3" t="inlineStr">
        <is>
          <t>Tracy Jane</t>
        </is>
      </c>
      <c r="C217" s="3" t="inlineStr">
        <is>
          <t>Hutchings</t>
        </is>
      </c>
      <c r="D217" s="3" t="inlineStr">
        <is>
          <t>Heron View</t>
        </is>
      </c>
      <c r="E217" s="3" t="inlineStr">
        <is>
          <t>HVD201</t>
        </is>
      </c>
      <c r="F217" s="3" t="b">
        <v>1</v>
      </c>
      <c r="G217" s="3" t="b">
        <v>1</v>
      </c>
      <c r="H217" s="3" t="inlineStr">
        <is>
          <t>D</t>
        </is>
      </c>
      <c r="I217" s="4" t="n">
        <v>44705</v>
      </c>
      <c r="J217" s="4" t="n">
        <v>44721</v>
      </c>
      <c r="K217" s="4" t="n">
        <v>45272</v>
      </c>
      <c r="L217" s="3" t="n">
        <v>7</v>
      </c>
      <c r="M217" s="3" t="n">
        <v>250000</v>
      </c>
      <c r="N217" s="3" t="n">
        <v>16</v>
      </c>
      <c r="O217" s="3" t="b">
        <v>1</v>
      </c>
      <c r="P217" s="3" t="b">
        <v>0</v>
      </c>
      <c r="Q217" s="3" t="n">
        <v>797.9452054794519</v>
      </c>
      <c r="R217" s="3" t="n">
        <v>60383.56164383562</v>
      </c>
      <c r="S217" s="3" t="n">
        <v>61181.50684931507</v>
      </c>
      <c r="T217" s="5">
        <f>IF(J217&lt;&gt;"",M217*N217/365/100*('Cashflow Projection'!$B$2-Investors!J217),0)</f>
        <v/>
      </c>
    </row>
    <row r="218">
      <c r="A218" s="3" t="inlineStr">
        <is>
          <t>ZFER01</t>
        </is>
      </c>
      <c r="B218" s="3" t="inlineStr">
        <is>
          <t>Leon</t>
        </is>
      </c>
      <c r="C218" s="3" t="inlineStr">
        <is>
          <t>Ferreira</t>
        </is>
      </c>
      <c r="D218" s="3" t="inlineStr">
        <is>
          <t>Heron View</t>
        </is>
      </c>
      <c r="E218" s="3" t="inlineStr">
        <is>
          <t>HVD202</t>
        </is>
      </c>
      <c r="F218" s="3" t="b">
        <v>1</v>
      </c>
      <c r="G218" s="3" t="b">
        <v>0</v>
      </c>
      <c r="H218" s="3" t="inlineStr">
        <is>
          <t>D</t>
        </is>
      </c>
      <c r="I218" s="4" t="n">
        <v>44762</v>
      </c>
      <c r="J218" s="4" t="n">
        <v>44791</v>
      </c>
      <c r="K218" s="4" t="n">
        <v>45415</v>
      </c>
      <c r="L218" s="3" t="n">
        <v>2</v>
      </c>
      <c r="M218" s="3" t="n">
        <v>100000</v>
      </c>
      <c r="N218" s="3" t="n">
        <v>14</v>
      </c>
      <c r="O218" s="3" t="b">
        <v>0</v>
      </c>
      <c r="P218" s="3" t="b">
        <v>0</v>
      </c>
      <c r="Q218" s="3" t="n">
        <v>632.8767123287669</v>
      </c>
      <c r="R218" s="3" t="n">
        <v>23934.24657534246</v>
      </c>
      <c r="S218" s="3" t="n">
        <v>24567.12328767123</v>
      </c>
      <c r="T218" s="5">
        <f>IF(J218&lt;&gt;"",M218*N218/365/100*('Cashflow Projection'!$B$2-Investors!J218),0)</f>
        <v/>
      </c>
    </row>
    <row r="219">
      <c r="A219" s="3" t="inlineStr">
        <is>
          <t>ZHAR01</t>
        </is>
      </c>
      <c r="B219" s="3" t="inlineStr">
        <is>
          <t>Terry Anne</t>
        </is>
      </c>
      <c r="C219" s="3" t="inlineStr">
        <is>
          <t>Hart</t>
        </is>
      </c>
      <c r="D219" s="3" t="inlineStr">
        <is>
          <t>Heron View</t>
        </is>
      </c>
      <c r="E219" s="3" t="inlineStr">
        <is>
          <t>HVD202</t>
        </is>
      </c>
      <c r="F219" s="3" t="b">
        <v>1</v>
      </c>
      <c r="G219" s="3" t="b">
        <v>0</v>
      </c>
      <c r="H219" s="3" t="inlineStr">
        <is>
          <t>D</t>
        </is>
      </c>
      <c r="I219" s="4" t="n">
        <v>44708</v>
      </c>
      <c r="J219" s="4" t="n">
        <v>44735</v>
      </c>
      <c r="K219" s="4" t="n">
        <v>45415</v>
      </c>
      <c r="L219" s="3" t="n">
        <v>2</v>
      </c>
      <c r="M219" s="3" t="n">
        <v>126369.86</v>
      </c>
      <c r="N219" s="3" t="n">
        <v>14</v>
      </c>
      <c r="O219" s="3" t="b">
        <v>0</v>
      </c>
      <c r="P219" s="3" t="b">
        <v>0</v>
      </c>
      <c r="Q219" s="3" t="n">
        <v>694.1686830136986</v>
      </c>
      <c r="R219" s="3" t="n">
        <v>32960.02923835616</v>
      </c>
      <c r="S219" s="3" t="n">
        <v>33654.19792136986</v>
      </c>
      <c r="T219" s="5">
        <f>IF(J219&lt;&gt;"",M219*N219/365/100*('Cashflow Projection'!$B$2-Investors!J219),0)</f>
        <v/>
      </c>
    </row>
    <row r="220">
      <c r="A220" s="3" t="inlineStr">
        <is>
          <t>ZJAN01</t>
        </is>
      </c>
      <c r="B220" s="3" t="inlineStr">
        <is>
          <t>Petrus Johannes</t>
        </is>
      </c>
      <c r="C220" s="3" t="inlineStr">
        <is>
          <t>Jansen van Rensburg</t>
        </is>
      </c>
      <c r="D220" s="3" t="inlineStr">
        <is>
          <t>Heron View</t>
        </is>
      </c>
      <c r="E220" s="3" t="inlineStr">
        <is>
          <t>HVD202</t>
        </is>
      </c>
      <c r="F220" s="3" t="b">
        <v>1</v>
      </c>
      <c r="G220" s="3" t="b">
        <v>0</v>
      </c>
      <c r="H220" s="3" t="inlineStr">
        <is>
          <t>D</t>
        </is>
      </c>
      <c r="I220" s="4" t="n">
        <v>44705</v>
      </c>
      <c r="J220" s="4" t="n">
        <v>44721</v>
      </c>
      <c r="K220" s="4" t="n">
        <v>45415</v>
      </c>
      <c r="L220" s="3" t="n">
        <v>2</v>
      </c>
      <c r="M220" s="3" t="n">
        <v>350000</v>
      </c>
      <c r="N220" s="3" t="n">
        <v>14</v>
      </c>
      <c r="O220" s="3" t="b">
        <v>0</v>
      </c>
      <c r="P220" s="3" t="b">
        <v>0</v>
      </c>
      <c r="Q220" s="3" t="n">
        <v>1117.123287671233</v>
      </c>
      <c r="R220" s="3" t="n">
        <v>93167.12328767123</v>
      </c>
      <c r="S220" s="3" t="n">
        <v>94284.24657534246</v>
      </c>
      <c r="T220" s="5">
        <f>IF(J220&lt;&gt;"",M220*N220/365/100*('Cashflow Projection'!$B$2-Investors!J220),0)</f>
        <v/>
      </c>
    </row>
    <row r="221">
      <c r="A221" s="3" t="inlineStr">
        <is>
          <t>ZSON01</t>
        </is>
      </c>
      <c r="B221" s="3" t="inlineStr">
        <is>
          <t>Charles</t>
        </is>
      </c>
      <c r="C221" s="3" t="inlineStr">
        <is>
          <t>Maduna</t>
        </is>
      </c>
      <c r="D221" s="3" t="inlineStr">
        <is>
          <t>Heron View</t>
        </is>
      </c>
      <c r="E221" s="3" t="inlineStr">
        <is>
          <t>HVD202</t>
        </is>
      </c>
      <c r="F221" s="3" t="b">
        <v>1</v>
      </c>
      <c r="G221" s="3" t="b">
        <v>0</v>
      </c>
      <c r="H221" s="3" t="inlineStr">
        <is>
          <t>D</t>
        </is>
      </c>
      <c r="I221" s="4" t="n">
        <v>44791</v>
      </c>
      <c r="J221" s="4" t="n">
        <v>44819</v>
      </c>
      <c r="K221" s="4" t="n">
        <v>45415</v>
      </c>
      <c r="L221" s="3" t="n">
        <v>12</v>
      </c>
      <c r="M221" s="3" t="n">
        <v>288241.52</v>
      </c>
      <c r="N221" s="3" t="n">
        <v>18</v>
      </c>
      <c r="O221" s="3" t="b">
        <v>0</v>
      </c>
      <c r="P221" s="3" t="b">
        <v>0</v>
      </c>
      <c r="Q221" s="3" t="n">
        <v>1824.213455342468</v>
      </c>
      <c r="R221" s="3" t="n">
        <v>84719.31579616439</v>
      </c>
      <c r="S221" s="3" t="n">
        <v>86543.52925150686</v>
      </c>
      <c r="T221" s="5">
        <f>IF(J221&lt;&gt;"",M221*N221/365/100*('Cashflow Projection'!$B$2-Investors!J221),0)</f>
        <v/>
      </c>
    </row>
    <row r="222">
      <c r="A222" s="3" t="inlineStr">
        <is>
          <t>ZWEL01</t>
        </is>
      </c>
      <c r="B222" s="3" t="inlineStr">
        <is>
          <t>Christopher John</t>
        </is>
      </c>
      <c r="C222" s="3" t="inlineStr">
        <is>
          <t>Welham</t>
        </is>
      </c>
      <c r="D222" s="3" t="inlineStr">
        <is>
          <t>Heron View</t>
        </is>
      </c>
      <c r="E222" s="3" t="inlineStr">
        <is>
          <t>HVD202</t>
        </is>
      </c>
      <c r="F222" s="3" t="b">
        <v>1</v>
      </c>
      <c r="G222" s="3" t="b">
        <v>0</v>
      </c>
      <c r="H222" s="3" t="inlineStr">
        <is>
          <t>D</t>
        </is>
      </c>
      <c r="I222" s="4" t="n">
        <v>44707</v>
      </c>
      <c r="J222" s="4" t="n">
        <v>44721</v>
      </c>
      <c r="K222" s="4" t="n">
        <v>45415</v>
      </c>
      <c r="L222" s="3" t="n">
        <v>3</v>
      </c>
      <c r="M222" s="3" t="n">
        <v>146383.1</v>
      </c>
      <c r="N222" s="3" t="n">
        <v>16</v>
      </c>
      <c r="O222" s="3" t="b">
        <v>0</v>
      </c>
      <c r="P222" s="3" t="b">
        <v>0</v>
      </c>
      <c r="Q222" s="3" t="n">
        <v>411.0758287671232</v>
      </c>
      <c r="R222" s="3" t="n">
        <v>44532.54636712329</v>
      </c>
      <c r="S222" s="3" t="n">
        <v>44943.62219589041</v>
      </c>
      <c r="T222" s="5">
        <f>IF(J222&lt;&gt;"",M222*N222/365/100*('Cashflow Projection'!$B$2-Investors!J222),0)</f>
        <v/>
      </c>
    </row>
    <row r="223">
      <c r="A223" s="3" t="inlineStr">
        <is>
          <t>ZDIC01</t>
        </is>
      </c>
      <c r="B223" s="3" t="inlineStr">
        <is>
          <t>Grant Allan</t>
        </is>
      </c>
      <c r="C223" s="3" t="inlineStr">
        <is>
          <t>Dickinson</t>
        </is>
      </c>
      <c r="D223" s="3" t="inlineStr">
        <is>
          <t>Heron View</t>
        </is>
      </c>
      <c r="E223" s="3" t="inlineStr">
        <is>
          <t>HVD203</t>
        </is>
      </c>
      <c r="F223" s="3" t="b">
        <v>1</v>
      </c>
      <c r="G223" s="3" t="b">
        <v>1</v>
      </c>
      <c r="H223" s="3" t="inlineStr">
        <is>
          <t>D</t>
        </is>
      </c>
      <c r="I223" s="4" t="n">
        <v>44706</v>
      </c>
      <c r="J223" s="4" t="n">
        <v>44721</v>
      </c>
      <c r="K223" s="4" t="n">
        <v>45377</v>
      </c>
      <c r="L223" s="3" t="n">
        <v>8</v>
      </c>
      <c r="M223" s="3" t="n">
        <v>1000000</v>
      </c>
      <c r="N223" s="3" t="n">
        <v>18</v>
      </c>
      <c r="O223" s="3" t="b">
        <v>0</v>
      </c>
      <c r="P223" s="3" t="b">
        <v>0</v>
      </c>
      <c r="Q223" s="3" t="n">
        <v>3000</v>
      </c>
      <c r="R223" s="3" t="n">
        <v>323506.8493150685</v>
      </c>
      <c r="S223" s="3" t="n">
        <v>326506.8493150685</v>
      </c>
      <c r="T223" s="5">
        <f>IF(J223&lt;&gt;"",M223*N223/365/100*('Cashflow Projection'!$B$2-Investors!J223),0)</f>
        <v/>
      </c>
    </row>
    <row r="224">
      <c r="A224" s="3" t="inlineStr">
        <is>
          <t>ZBOT01</t>
        </is>
      </c>
      <c r="B224" s="3" t="inlineStr">
        <is>
          <t>Carina</t>
        </is>
      </c>
      <c r="C224" s="3" t="inlineStr">
        <is>
          <t>Botha</t>
        </is>
      </c>
      <c r="D224" s="3" t="inlineStr">
        <is>
          <t>Heron View</t>
        </is>
      </c>
      <c r="E224" s="3" t="inlineStr">
        <is>
          <t>HVD204</t>
        </is>
      </c>
      <c r="F224" s="3" t="b">
        <v>1</v>
      </c>
      <c r="G224" s="3" t="b">
        <v>1</v>
      </c>
      <c r="H224" s="3" t="inlineStr">
        <is>
          <t>D</t>
        </is>
      </c>
      <c r="I224" s="4" t="n">
        <v>44705</v>
      </c>
      <c r="J224" s="4" t="n">
        <v>44719</v>
      </c>
      <c r="K224" s="4" t="n">
        <v>45330</v>
      </c>
      <c r="L224" s="3" t="n">
        <v>4</v>
      </c>
      <c r="M224" s="3" t="n">
        <v>149779.92</v>
      </c>
      <c r="N224" s="3" t="n">
        <v>14</v>
      </c>
      <c r="O224" s="3" t="b">
        <v>0</v>
      </c>
      <c r="P224" s="3" t="b">
        <v>0</v>
      </c>
      <c r="Q224" s="3" t="n">
        <v>416.5112843835616</v>
      </c>
      <c r="R224" s="3" t="n">
        <v>35101.84755287671</v>
      </c>
      <c r="S224" s="3" t="n">
        <v>35518.35883726027</v>
      </c>
      <c r="T224" s="5">
        <f>IF(J224&lt;&gt;"",M224*N224/365/100*('Cashflow Projection'!$B$2-Investors!J224),0)</f>
        <v/>
      </c>
    </row>
    <row r="225">
      <c r="A225" s="3" t="inlineStr">
        <is>
          <t>ZNAT01</t>
        </is>
      </c>
      <c r="B225" s="3" t="inlineStr">
        <is>
          <t>Thandekile Evelyn</t>
        </is>
      </c>
      <c r="C225" s="3" t="inlineStr">
        <is>
          <t>Hlapolosa</t>
        </is>
      </c>
      <c r="D225" s="3" t="inlineStr">
        <is>
          <t>Heron View</t>
        </is>
      </c>
      <c r="E225" s="3" t="inlineStr">
        <is>
          <t>HVD204</t>
        </is>
      </c>
      <c r="F225" s="3" t="b">
        <v>1</v>
      </c>
      <c r="G225" s="3" t="b">
        <v>1</v>
      </c>
      <c r="H225" s="3" t="inlineStr">
        <is>
          <t>D</t>
        </is>
      </c>
      <c r="I225" s="4" t="n">
        <v>44713</v>
      </c>
      <c r="J225" s="4" t="n">
        <v>44735</v>
      </c>
      <c r="K225" s="4" t="n">
        <v>45233</v>
      </c>
      <c r="L225" s="3" t="n">
        <v>4</v>
      </c>
      <c r="M225" s="3" t="n">
        <v>324145.21</v>
      </c>
      <c r="N225" s="3" t="n">
        <v>14</v>
      </c>
      <c r="O225" s="3" t="b">
        <v>1</v>
      </c>
      <c r="P225" s="3" t="b">
        <v>0</v>
      </c>
      <c r="Q225" s="3" t="n">
        <v>1465.313963013699</v>
      </c>
      <c r="R225" s="3" t="n">
        <v>61916.17545534247</v>
      </c>
      <c r="S225" s="3" t="n">
        <v>63381.48941835617</v>
      </c>
      <c r="T225" s="5">
        <f>IF(J225&lt;&gt;"",M225*N225/365/100*('Cashflow Projection'!$B$2-Investors!J225),0)</f>
        <v/>
      </c>
    </row>
    <row r="226">
      <c r="A226" s="3" t="inlineStr">
        <is>
          <t>ZSCH01</t>
        </is>
      </c>
      <c r="B226" s="3" t="inlineStr">
        <is>
          <t>Inge</t>
        </is>
      </c>
      <c r="C226" s="3" t="inlineStr">
        <is>
          <t>Schubert</t>
        </is>
      </c>
      <c r="D226" s="3" t="inlineStr">
        <is>
          <t>Heron View</t>
        </is>
      </c>
      <c r="E226" s="3" t="inlineStr">
        <is>
          <t>HVD204</t>
        </is>
      </c>
      <c r="F226" s="3" t="b">
        <v>1</v>
      </c>
      <c r="G226" s="3" t="b">
        <v>1</v>
      </c>
      <c r="H226" s="3" t="inlineStr">
        <is>
          <t>D</t>
        </is>
      </c>
      <c r="I226" s="4" t="n">
        <v>44705</v>
      </c>
      <c r="J226" s="4" t="n">
        <v>44719</v>
      </c>
      <c r="K226" s="4" t="n">
        <v>45330</v>
      </c>
      <c r="L226" s="3" t="n">
        <v>13</v>
      </c>
      <c r="M226" s="3" t="n">
        <v>549828.71</v>
      </c>
      <c r="N226" s="3" t="n">
        <v>18</v>
      </c>
      <c r="O226" s="3" t="b">
        <v>0</v>
      </c>
      <c r="P226" s="3" t="b">
        <v>0</v>
      </c>
      <c r="Q226" s="3" t="n">
        <v>1528.975727808219</v>
      </c>
      <c r="R226" s="3" t="n">
        <v>165671.6754131507</v>
      </c>
      <c r="S226" s="3" t="n">
        <v>167200.6511409589</v>
      </c>
      <c r="T226" s="5">
        <f>IF(J226&lt;&gt;"",M226*N226/365/100*('Cashflow Projection'!$B$2-Investors!J226),0)</f>
        <v/>
      </c>
    </row>
    <row r="227">
      <c r="A227" s="3" t="inlineStr">
        <is>
          <t>ZSON01</t>
        </is>
      </c>
      <c r="B227" s="3" t="inlineStr">
        <is>
          <t>Charles</t>
        </is>
      </c>
      <c r="C227" s="3" t="inlineStr">
        <is>
          <t>Maduna</t>
        </is>
      </c>
      <c r="D227" s="3" t="inlineStr">
        <is>
          <t>Heron View</t>
        </is>
      </c>
      <c r="E227" s="3" t="inlineStr">
        <is>
          <t>HVD301</t>
        </is>
      </c>
      <c r="F227" s="3" t="b">
        <v>1</v>
      </c>
      <c r="G227" s="3" t="b">
        <v>1</v>
      </c>
      <c r="H227" s="3" t="inlineStr">
        <is>
          <t>D</t>
        </is>
      </c>
      <c r="I227" s="4" t="n">
        <v>44707</v>
      </c>
      <c r="J227" s="4" t="n">
        <v>44735</v>
      </c>
      <c r="K227" s="4" t="n">
        <v>45299</v>
      </c>
      <c r="L227" s="3" t="n">
        <v>11</v>
      </c>
      <c r="M227" s="3" t="n">
        <v>1000000</v>
      </c>
      <c r="N227" s="3" t="n">
        <v>18</v>
      </c>
      <c r="O227" s="3" t="b">
        <v>1</v>
      </c>
      <c r="P227" s="3" t="b">
        <v>0</v>
      </c>
      <c r="Q227" s="3" t="n">
        <v>5684.931506849316</v>
      </c>
      <c r="R227" s="3" t="n">
        <v>278136.9863013698</v>
      </c>
      <c r="S227" s="3" t="n">
        <v>283821.9178082192</v>
      </c>
      <c r="T227" s="5">
        <f>IF(J227&lt;&gt;"",M227*N227/365/100*('Cashflow Projection'!$B$2-Investors!J227),0)</f>
        <v/>
      </c>
    </row>
    <row r="228">
      <c r="A228" s="3" t="inlineStr">
        <is>
          <t>ZKRU01</t>
        </is>
      </c>
      <c r="B228" s="3" t="inlineStr">
        <is>
          <t>Jurgen</t>
        </is>
      </c>
      <c r="C228" s="3" t="inlineStr">
        <is>
          <t>Kruger</t>
        </is>
      </c>
      <c r="D228" s="3" t="inlineStr">
        <is>
          <t>Heron View</t>
        </is>
      </c>
      <c r="E228" s="3" t="inlineStr">
        <is>
          <t>HVD302</t>
        </is>
      </c>
      <c r="F228" s="3" t="b">
        <v>0</v>
      </c>
      <c r="G228" s="3" t="b">
        <v>0</v>
      </c>
      <c r="H228" s="3" t="inlineStr">
        <is>
          <t>D</t>
        </is>
      </c>
      <c r="I228" s="4" t="n">
        <v>44700</v>
      </c>
      <c r="J228" s="4" t="n">
        <v>44713</v>
      </c>
      <c r="K228" s="4" t="n">
        <v>45468</v>
      </c>
      <c r="L228" s="3" t="n">
        <v>5</v>
      </c>
      <c r="M228" s="3" t="n">
        <v>630284.25</v>
      </c>
      <c r="N228" s="3" t="n">
        <v>18</v>
      </c>
      <c r="O228" s="3" t="b">
        <v>0</v>
      </c>
      <c r="P228" s="3" t="b">
        <v>0</v>
      </c>
      <c r="Q228" s="3" t="n">
        <v>1580.027640410959</v>
      </c>
      <c r="R228" s="3" t="n">
        <v>234672.957739726</v>
      </c>
      <c r="S228" s="3" t="n">
        <v>236252.985380137</v>
      </c>
      <c r="T228" s="5">
        <f>IF(J228&lt;&gt;"",M228*N228/365/100*('Cashflow Projection'!$B$2-Investors!J228),0)</f>
        <v/>
      </c>
    </row>
    <row r="229">
      <c r="A229" s="3" t="inlineStr">
        <is>
          <t>ZWEL01</t>
        </is>
      </c>
      <c r="B229" s="3" t="inlineStr">
        <is>
          <t>Christopher John</t>
        </is>
      </c>
      <c r="C229" s="3" t="inlineStr">
        <is>
          <t>Welham</t>
        </is>
      </c>
      <c r="D229" s="3" t="inlineStr">
        <is>
          <t>Heron View</t>
        </is>
      </c>
      <c r="E229" s="3" t="inlineStr">
        <is>
          <t>HVD302</t>
        </is>
      </c>
      <c r="F229" s="3" t="b">
        <v>0</v>
      </c>
      <c r="G229" s="3" t="b">
        <v>0</v>
      </c>
      <c r="H229" s="3" t="inlineStr">
        <is>
          <t>D</t>
        </is>
      </c>
      <c r="I229" s="4" t="n">
        <v>44707</v>
      </c>
      <c r="J229" s="4" t="n">
        <v>44735</v>
      </c>
      <c r="K229" s="4" t="n">
        <v>45468</v>
      </c>
      <c r="L229" s="3" t="n">
        <v>4</v>
      </c>
      <c r="M229" s="3" t="n">
        <v>353616.9</v>
      </c>
      <c r="N229" s="3" t="n">
        <v>16</v>
      </c>
      <c r="O229" s="3" t="b">
        <v>0</v>
      </c>
      <c r="P229" s="3" t="b">
        <v>0</v>
      </c>
      <c r="Q229" s="3" t="n">
        <v>2010.287856164384</v>
      </c>
      <c r="R229" s="3" t="n">
        <v>113622.4384438356</v>
      </c>
      <c r="S229" s="3" t="n">
        <v>115632.7263</v>
      </c>
      <c r="T229" s="5">
        <f>IF(J229&lt;&gt;"",M229*N229/365/100*('Cashflow Projection'!$B$2-Investors!J229),0)</f>
        <v/>
      </c>
    </row>
    <row r="230">
      <c r="A230" s="3" t="inlineStr">
        <is>
          <t>ZDIC01</t>
        </is>
      </c>
      <c r="B230" s="3" t="inlineStr">
        <is>
          <t>Grant Allan</t>
        </is>
      </c>
      <c r="C230" s="3" t="inlineStr">
        <is>
          <t>Dickinson</t>
        </is>
      </c>
      <c r="D230" s="3" t="inlineStr">
        <is>
          <t>Heron View</t>
        </is>
      </c>
      <c r="E230" s="3" t="inlineStr">
        <is>
          <t>HVD303</t>
        </is>
      </c>
      <c r="F230" s="3" t="b">
        <v>0</v>
      </c>
      <c r="G230" s="3" t="b">
        <v>0</v>
      </c>
      <c r="H230" s="3" t="inlineStr">
        <is>
          <t>D</t>
        </is>
      </c>
      <c r="I230" s="4" t="n">
        <v>44706</v>
      </c>
      <c r="J230" s="4" t="n">
        <v>44735</v>
      </c>
      <c r="K230" s="4" t="n">
        <v>45469</v>
      </c>
      <c r="L230" s="3" t="n">
        <v>9</v>
      </c>
      <c r="M230" s="3" t="n">
        <v>418733.56</v>
      </c>
      <c r="N230" s="3" t="n">
        <v>18</v>
      </c>
      <c r="O230" s="3" t="b">
        <v>0</v>
      </c>
      <c r="P230" s="3" t="b">
        <v>0</v>
      </c>
      <c r="Q230" s="3" t="n">
        <v>2460.776674520549</v>
      </c>
      <c r="R230" s="3" t="n">
        <v>151570.0765676712</v>
      </c>
      <c r="S230" s="3" t="n">
        <v>154030.8532421918</v>
      </c>
      <c r="T230" s="5">
        <f>IF(J230&lt;&gt;"",M230*N230/365/100*('Cashflow Projection'!$B$2-Investors!J230),0)</f>
        <v/>
      </c>
    </row>
    <row r="231">
      <c r="A231" s="3" t="inlineStr">
        <is>
          <t>ZPLA01</t>
        </is>
      </c>
      <c r="B231" s="3" t="inlineStr">
        <is>
          <t>Aneta</t>
        </is>
      </c>
      <c r="C231" s="3" t="inlineStr">
        <is>
          <t>Placzkowska</t>
        </is>
      </c>
      <c r="D231" s="3" t="inlineStr">
        <is>
          <t>Heron View</t>
        </is>
      </c>
      <c r="E231" s="3" t="inlineStr">
        <is>
          <t>HVD303</t>
        </is>
      </c>
      <c r="F231" s="3" t="b">
        <v>0</v>
      </c>
      <c r="G231" s="3" t="b">
        <v>0</v>
      </c>
      <c r="H231" s="3" t="inlineStr">
        <is>
          <t>D</t>
        </is>
      </c>
      <c r="I231" s="4" t="n">
        <v>44705</v>
      </c>
      <c r="J231" s="4" t="n">
        <v>44721</v>
      </c>
      <c r="K231" s="4" t="n">
        <v>45469</v>
      </c>
      <c r="L231" s="3" t="n">
        <v>2</v>
      </c>
      <c r="M231" s="3" t="n">
        <v>600000</v>
      </c>
      <c r="N231" s="3" t="n">
        <v>16</v>
      </c>
      <c r="O231" s="3" t="b">
        <v>0</v>
      </c>
      <c r="P231" s="3" t="b">
        <v>0</v>
      </c>
      <c r="Q231" s="3" t="n">
        <v>1915.068493150684</v>
      </c>
      <c r="R231" s="3" t="n">
        <v>196734.2465753425</v>
      </c>
      <c r="S231" s="3" t="n">
        <v>198649.3150684932</v>
      </c>
      <c r="T231" s="5">
        <f>IF(J231&lt;&gt;"",M231*N231/365/100*('Cashflow Projection'!$B$2-Investors!J231),0)</f>
        <v/>
      </c>
    </row>
    <row r="232">
      <c r="A232" s="3" t="inlineStr">
        <is>
          <t>ZOOS01</t>
        </is>
      </c>
      <c r="B232" s="3" t="inlineStr">
        <is>
          <t>Diana</t>
        </is>
      </c>
      <c r="C232" s="3" t="inlineStr">
        <is>
          <t>Oosthuizen</t>
        </is>
      </c>
      <c r="D232" s="3" t="inlineStr">
        <is>
          <t>Heron View</t>
        </is>
      </c>
      <c r="E232" s="3" t="inlineStr">
        <is>
          <t>HVD304</t>
        </is>
      </c>
      <c r="F232" s="3" t="b">
        <v>0</v>
      </c>
      <c r="G232" s="3" t="b">
        <v>0</v>
      </c>
      <c r="H232" s="3" t="inlineStr">
        <is>
          <t>D</t>
        </is>
      </c>
      <c r="I232" s="4" t="n">
        <v>44713</v>
      </c>
      <c r="J232" s="4" t="n">
        <v>44743</v>
      </c>
      <c r="K232" s="4" t="n">
        <v>45484</v>
      </c>
      <c r="L232" s="3" t="n">
        <v>1</v>
      </c>
      <c r="M232" s="3" t="n">
        <v>150000</v>
      </c>
      <c r="N232" s="3" t="n">
        <v>14</v>
      </c>
      <c r="O232" s="3" t="b">
        <v>0</v>
      </c>
      <c r="P232" s="3" t="b">
        <v>0</v>
      </c>
      <c r="Q232" s="3" t="n">
        <v>924.6575342465749</v>
      </c>
      <c r="R232" s="3" t="n">
        <v>42632.87671232877</v>
      </c>
      <c r="S232" s="3" t="n">
        <v>43557.53424657534</v>
      </c>
      <c r="T232" s="5">
        <f>IF(J232&lt;&gt;"",M232*N232/365/100*('Cashflow Projection'!$B$2-Investors!J232),0)</f>
        <v/>
      </c>
    </row>
    <row r="233">
      <c r="A233" s="3" t="inlineStr">
        <is>
          <t>ZRAN01</t>
        </is>
      </c>
      <c r="B233" s="3" t="inlineStr">
        <is>
          <t>Ross Partick Gemill</t>
        </is>
      </c>
      <c r="C233" s="3" t="inlineStr">
        <is>
          <t>Rankin</t>
        </is>
      </c>
      <c r="D233" s="3" t="inlineStr">
        <is>
          <t>Heron View</t>
        </is>
      </c>
      <c r="E233" s="3" t="inlineStr">
        <is>
          <t>HVD304</t>
        </is>
      </c>
      <c r="F233" s="3" t="b">
        <v>0</v>
      </c>
      <c r="G233" s="3" t="b">
        <v>0</v>
      </c>
      <c r="H233" s="3" t="inlineStr">
        <is>
          <t>D</t>
        </is>
      </c>
      <c r="I233" s="4" t="n">
        <v>44706</v>
      </c>
      <c r="J233" s="4" t="n">
        <v>44735</v>
      </c>
      <c r="K233" s="4" t="n">
        <v>45484</v>
      </c>
      <c r="L233" s="3" t="n">
        <v>22</v>
      </c>
      <c r="M233" s="3" t="n">
        <v>850000</v>
      </c>
      <c r="N233" s="3" t="n">
        <v>18</v>
      </c>
      <c r="O233" s="3" t="b">
        <v>0</v>
      </c>
      <c r="P233" s="3" t="b">
        <v>0</v>
      </c>
      <c r="Q233" s="3" t="n">
        <v>4995.205479452057</v>
      </c>
      <c r="R233" s="3" t="n">
        <v>313964.3835616438</v>
      </c>
      <c r="S233" s="3" t="n">
        <v>318959.5890410959</v>
      </c>
      <c r="T233" s="5">
        <f>IF(J233&lt;&gt;"",M233*N233/365/100*('Cashflow Projection'!$B$2-Investors!J233),0)</f>
        <v/>
      </c>
    </row>
    <row r="234">
      <c r="A234" s="3" t="inlineStr">
        <is>
          <t>ZMEY02</t>
        </is>
      </c>
      <c r="B234" s="3" t="inlineStr">
        <is>
          <t>Catharina Levina</t>
        </is>
      </c>
      <c r="C234" s="3" t="inlineStr">
        <is>
          <t>Meyer</t>
        </is>
      </c>
      <c r="D234" s="3" t="inlineStr">
        <is>
          <t>Heron View</t>
        </is>
      </c>
      <c r="E234" s="3" t="inlineStr">
        <is>
          <t>HVE101</t>
        </is>
      </c>
      <c r="F234" s="3" t="b">
        <v>0</v>
      </c>
      <c r="G234" s="3" t="b">
        <v>0</v>
      </c>
      <c r="H234" s="3" t="inlineStr">
        <is>
          <t>E</t>
        </is>
      </c>
      <c r="I234" s="4" t="n">
        <v>45187</v>
      </c>
      <c r="J234" s="4" t="n">
        <v>45321</v>
      </c>
      <c r="K234" s="4" t="n">
        <v>45685</v>
      </c>
      <c r="L234" s="3" t="n">
        <v>3</v>
      </c>
      <c r="M234" s="3" t="n">
        <v>249607.55</v>
      </c>
      <c r="N234" s="3" t="n">
        <v>14</v>
      </c>
      <c r="O234" s="3" t="b">
        <v>0</v>
      </c>
      <c r="P234" s="3" t="b">
        <v>0</v>
      </c>
      <c r="Q234" s="3" t="n">
        <v>10080.0418821918</v>
      </c>
      <c r="R234" s="3" t="n">
        <v>34849.31711780822</v>
      </c>
      <c r="S234" s="3" t="n">
        <v>44929.35900000001</v>
      </c>
      <c r="T234" s="5">
        <f>IF(J234&lt;&gt;"",M234*N234/365/100*('Cashflow Projection'!$B$2-Investors!J234),0)</f>
        <v/>
      </c>
    </row>
    <row r="235">
      <c r="A235" s="3" t="inlineStr">
        <is>
          <t>ZTHA01</t>
        </is>
      </c>
      <c r="B235" s="3" t="inlineStr">
        <is>
          <t>Gerald Adriaan Odendal</t>
        </is>
      </c>
      <c r="C235" s="3" t="inlineStr">
        <is>
          <t>Matthee</t>
        </is>
      </c>
      <c r="D235" s="3" t="inlineStr">
        <is>
          <t>Heron View</t>
        </is>
      </c>
      <c r="E235" s="3" t="inlineStr">
        <is>
          <t>HVE101</t>
        </is>
      </c>
      <c r="F235" s="3" t="b">
        <v>0</v>
      </c>
      <c r="G235" s="3" t="b">
        <v>0</v>
      </c>
      <c r="H235" s="3" t="inlineStr">
        <is>
          <t>E</t>
        </is>
      </c>
      <c r="I235" s="4" t="n">
        <v>45330</v>
      </c>
      <c r="J235" s="3" t="inlineStr"/>
      <c r="K235" s="4" t="n">
        <v>45685</v>
      </c>
      <c r="L235" s="3" t="n">
        <v>11</v>
      </c>
      <c r="M235" s="3" t="n">
        <v>238175.34</v>
      </c>
      <c r="N235" s="3" t="n">
        <v>18</v>
      </c>
      <c r="O235" s="3" t="b">
        <v>0</v>
      </c>
      <c r="P235" s="3" t="b">
        <v>0</v>
      </c>
      <c r="Q235" s="3" t="n">
        <v>2153.366087671232</v>
      </c>
      <c r="R235" s="3" t="n">
        <v>38173.30791780822</v>
      </c>
      <c r="S235" s="3" t="n">
        <v>40326.67400547945</v>
      </c>
      <c r="T235" s="5">
        <f>IF(J235&lt;&gt;"",M235*N235/365/100*('Cashflow Projection'!$B$2-Investors!J235),0)</f>
        <v/>
      </c>
    </row>
    <row r="236">
      <c r="A236" s="3" t="inlineStr">
        <is>
          <t>ZVER02</t>
        </is>
      </c>
      <c r="B236" s="3" t="inlineStr">
        <is>
          <t>Jean-Jacques EP</t>
        </is>
      </c>
      <c r="C236" s="3" t="inlineStr">
        <is>
          <t>Verhaeghe</t>
        </is>
      </c>
      <c r="D236" s="3" t="inlineStr">
        <is>
          <t>Heron View</t>
        </is>
      </c>
      <c r="E236" s="3" t="inlineStr">
        <is>
          <t>HVE101</t>
        </is>
      </c>
      <c r="F236" s="3" t="b">
        <v>0</v>
      </c>
      <c r="G236" s="3" t="b">
        <v>0</v>
      </c>
      <c r="H236" s="3" t="inlineStr">
        <is>
          <t>E</t>
        </is>
      </c>
      <c r="I236" s="4" t="n">
        <v>45187</v>
      </c>
      <c r="J236" s="4" t="n">
        <v>45321</v>
      </c>
      <c r="K236" s="4" t="n">
        <v>45685</v>
      </c>
      <c r="L236" s="3" t="n">
        <v>7</v>
      </c>
      <c r="M236" s="3" t="n">
        <v>115294.52</v>
      </c>
      <c r="N236" s="3" t="n">
        <v>14</v>
      </c>
      <c r="O236" s="3" t="b">
        <v>0</v>
      </c>
      <c r="P236" s="3" t="b">
        <v>0</v>
      </c>
      <c r="Q236" s="3" t="n">
        <v>4656.003355616451</v>
      </c>
      <c r="R236" s="3" t="n">
        <v>16097.01024438356</v>
      </c>
      <c r="S236" s="3" t="n">
        <v>20753.01360000001</v>
      </c>
      <c r="T236" s="5">
        <f>IF(J236&lt;&gt;"",M236*N236/365/100*('Cashflow Projection'!$B$2-Investors!J236),0)</f>
        <v/>
      </c>
    </row>
    <row r="237">
      <c r="A237" s="3" t="inlineStr">
        <is>
          <t>ZFER02</t>
        </is>
      </c>
      <c r="B237" s="3" t="inlineStr">
        <is>
          <t>Olga Maria</t>
        </is>
      </c>
      <c r="C237" s="3" t="inlineStr">
        <is>
          <t>Fernandes</t>
        </is>
      </c>
      <c r="D237" s="3" t="inlineStr">
        <is>
          <t>Heron View</t>
        </is>
      </c>
      <c r="E237" s="3" t="inlineStr">
        <is>
          <t>HVE102</t>
        </is>
      </c>
      <c r="F237" s="3" t="b">
        <v>0</v>
      </c>
      <c r="G237" s="3" t="b">
        <v>0</v>
      </c>
      <c r="H237" s="3" t="inlineStr">
        <is>
          <t>E</t>
        </is>
      </c>
      <c r="I237" s="4" t="n">
        <v>45187</v>
      </c>
      <c r="J237" s="4" t="n">
        <v>45321</v>
      </c>
      <c r="K237" s="4" t="n">
        <v>45685</v>
      </c>
      <c r="L237" s="3" t="n">
        <v>2</v>
      </c>
      <c r="M237" s="3" t="n">
        <v>115099.32</v>
      </c>
      <c r="N237" s="3" t="n">
        <v>14</v>
      </c>
      <c r="O237" s="3" t="b">
        <v>0</v>
      </c>
      <c r="P237" s="3" t="b">
        <v>0</v>
      </c>
      <c r="Q237" s="3" t="n">
        <v>4648.120484383565</v>
      </c>
      <c r="R237" s="3" t="n">
        <v>16069.75711561644</v>
      </c>
      <c r="S237" s="3" t="n">
        <v>20717.8776</v>
      </c>
      <c r="T237" s="5">
        <f>IF(J237&lt;&gt;"",M237*N237/365/100*('Cashflow Projection'!$B$2-Investors!J237),0)</f>
        <v/>
      </c>
    </row>
    <row r="238">
      <c r="A238" s="3" t="inlineStr">
        <is>
          <t>ZMYB01</t>
        </is>
      </c>
      <c r="B238" s="3" t="inlineStr">
        <is>
          <t>Hermanus Carel</t>
        </is>
      </c>
      <c r="C238" s="3" t="inlineStr">
        <is>
          <t>Myburgh</t>
        </is>
      </c>
      <c r="D238" s="3" t="inlineStr">
        <is>
          <t>Heron View</t>
        </is>
      </c>
      <c r="E238" s="3" t="inlineStr">
        <is>
          <t>HVE104</t>
        </is>
      </c>
      <c r="F238" s="3" t="b">
        <v>0</v>
      </c>
      <c r="G238" s="3" t="b">
        <v>0</v>
      </c>
      <c r="H238" s="3" t="inlineStr">
        <is>
          <t>E</t>
        </is>
      </c>
      <c r="I238" s="4" t="n">
        <v>45188</v>
      </c>
      <c r="J238" s="4" t="n">
        <v>45371</v>
      </c>
      <c r="K238" s="4" t="n">
        <v>45685</v>
      </c>
      <c r="L238" s="3" t="n">
        <v>6</v>
      </c>
      <c r="M238" s="3" t="n">
        <v>1200000</v>
      </c>
      <c r="N238" s="3" t="n">
        <v>18</v>
      </c>
      <c r="O238" s="3" t="b">
        <v>0</v>
      </c>
      <c r="P238" s="3" t="b">
        <v>0</v>
      </c>
      <c r="Q238" s="3" t="n">
        <v>66180.82191780811</v>
      </c>
      <c r="R238" s="3" t="n">
        <v>185819.1780821918</v>
      </c>
      <c r="S238" s="3" t="n">
        <v>251999.9999999999</v>
      </c>
      <c r="T238" s="5">
        <f>IF(J238&lt;&gt;"",M238*N238/365/100*('Cashflow Projection'!$B$2-Investors!J238),0)</f>
        <v/>
      </c>
    </row>
    <row r="239">
      <c r="A239" s="3" t="inlineStr">
        <is>
          <t>ZLEB01</t>
        </is>
      </c>
      <c r="B239" s="3" t="inlineStr">
        <is>
          <t>Hopolang</t>
        </is>
      </c>
      <c r="C239" s="3" t="inlineStr">
        <is>
          <t>Lebusa</t>
        </is>
      </c>
      <c r="D239" s="3" t="inlineStr">
        <is>
          <t>Heron View</t>
        </is>
      </c>
      <c r="E239" s="3" t="inlineStr">
        <is>
          <t>HVE201</t>
        </is>
      </c>
      <c r="F239" s="3" t="b">
        <v>0</v>
      </c>
      <c r="G239" s="3" t="b">
        <v>0</v>
      </c>
      <c r="H239" s="3" t="inlineStr">
        <is>
          <t>E</t>
        </is>
      </c>
      <c r="I239" s="4" t="n">
        <v>45328</v>
      </c>
      <c r="J239" s="3" t="inlineStr"/>
      <c r="K239" s="4" t="n">
        <v>45685</v>
      </c>
      <c r="L239" s="3" t="n">
        <v>13</v>
      </c>
      <c r="M239" s="3" t="n">
        <v>725979.77</v>
      </c>
      <c r="N239" s="3" t="n">
        <v>18</v>
      </c>
      <c r="O239" s="3" t="b">
        <v>0</v>
      </c>
      <c r="P239" s="3" t="b">
        <v>0</v>
      </c>
      <c r="Q239" s="3" t="n">
        <v>6563.652715068493</v>
      </c>
      <c r="R239" s="3" t="n">
        <v>117071.6966087671</v>
      </c>
      <c r="S239" s="3" t="n">
        <v>123635.3493238356</v>
      </c>
      <c r="T239" s="5">
        <f>IF(J239&lt;&gt;"",M239*N239/365/100*('Cashflow Projection'!$B$2-Investors!J239),0)</f>
        <v/>
      </c>
    </row>
    <row r="240">
      <c r="A240" s="3" t="inlineStr">
        <is>
          <t>ZSCO01</t>
        </is>
      </c>
      <c r="B240" s="3" t="inlineStr">
        <is>
          <t>Caryn</t>
        </is>
      </c>
      <c r="C240" s="3" t="inlineStr">
        <is>
          <t>Scott</t>
        </is>
      </c>
      <c r="D240" s="3" t="inlineStr">
        <is>
          <t>Heron View</t>
        </is>
      </c>
      <c r="E240" s="3" t="inlineStr">
        <is>
          <t>HVE201</t>
        </is>
      </c>
      <c r="F240" s="3" t="b">
        <v>0</v>
      </c>
      <c r="G240" s="3" t="b">
        <v>0</v>
      </c>
      <c r="H240" s="3" t="inlineStr">
        <is>
          <t>E</t>
        </is>
      </c>
      <c r="I240" s="4" t="n">
        <v>45195</v>
      </c>
      <c r="J240" s="4" t="n">
        <v>45350</v>
      </c>
      <c r="K240" s="4" t="n">
        <v>45685</v>
      </c>
      <c r="L240" s="3" t="n">
        <v>2</v>
      </c>
      <c r="M240" s="3" t="n">
        <v>500000</v>
      </c>
      <c r="N240" s="3" t="n">
        <v>16</v>
      </c>
      <c r="O240" s="3" t="b">
        <v>0</v>
      </c>
      <c r="P240" s="3" t="b">
        <v>0</v>
      </c>
      <c r="Q240" s="3" t="n">
        <v>23356.16438356164</v>
      </c>
      <c r="R240" s="3" t="n">
        <v>73424.65753424658</v>
      </c>
      <c r="S240" s="3" t="n">
        <v>96780.82191780822</v>
      </c>
      <c r="T240" s="5">
        <f>IF(J240&lt;&gt;"",M240*N240/365/100*('Cashflow Projection'!$B$2-Investors!J240),0)</f>
        <v/>
      </c>
    </row>
    <row r="241">
      <c r="A241" s="3" t="inlineStr">
        <is>
          <t>ZMYB01</t>
        </is>
      </c>
      <c r="B241" s="3" t="inlineStr">
        <is>
          <t>Hermanus Carel</t>
        </is>
      </c>
      <c r="C241" s="3" t="inlineStr">
        <is>
          <t>Myburgh</t>
        </is>
      </c>
      <c r="D241" s="3" t="inlineStr">
        <is>
          <t>Heron View</t>
        </is>
      </c>
      <c r="E241" s="3" t="inlineStr">
        <is>
          <t>HVE202</t>
        </is>
      </c>
      <c r="F241" s="3" t="b">
        <v>0</v>
      </c>
      <c r="G241" s="3" t="b">
        <v>0</v>
      </c>
      <c r="H241" s="3" t="inlineStr">
        <is>
          <t>E</t>
        </is>
      </c>
      <c r="I241" s="4" t="n">
        <v>45188</v>
      </c>
      <c r="J241" s="4" t="n">
        <v>45371</v>
      </c>
      <c r="K241" s="4" t="n">
        <v>45685</v>
      </c>
      <c r="L241" s="3" t="n">
        <v>7</v>
      </c>
      <c r="M241" s="3" t="n">
        <v>1200000</v>
      </c>
      <c r="N241" s="3" t="n">
        <v>18</v>
      </c>
      <c r="O241" s="3" t="b">
        <v>0</v>
      </c>
      <c r="P241" s="3" t="b">
        <v>0</v>
      </c>
      <c r="Q241" s="3" t="n">
        <v>66180.82191780811</v>
      </c>
      <c r="R241" s="3" t="n">
        <v>185819.1780821918</v>
      </c>
      <c r="S241" s="3" t="n">
        <v>251999.9999999999</v>
      </c>
      <c r="T241" s="5">
        <f>IF(J241&lt;&gt;"",M241*N241/365/100*('Cashflow Projection'!$B$2-Investors!J241),0)</f>
        <v/>
      </c>
    </row>
    <row r="242">
      <c r="A242" s="3" t="inlineStr">
        <is>
          <t>ZHOW01</t>
        </is>
      </c>
      <c r="B242" s="3" t="inlineStr">
        <is>
          <t>David Mark</t>
        </is>
      </c>
      <c r="C242" s="3" t="inlineStr">
        <is>
          <t>Howe</t>
        </is>
      </c>
      <c r="D242" s="3" t="inlineStr">
        <is>
          <t>Heron View</t>
        </is>
      </c>
      <c r="E242" s="3" t="inlineStr">
        <is>
          <t>HVE203</t>
        </is>
      </c>
      <c r="F242" s="3" t="b">
        <v>0</v>
      </c>
      <c r="G242" s="3" t="b">
        <v>0</v>
      </c>
      <c r="H242" s="3" t="inlineStr">
        <is>
          <t>E</t>
        </is>
      </c>
      <c r="I242" s="4" t="n">
        <v>45195</v>
      </c>
      <c r="J242" s="4" t="n">
        <v>45321</v>
      </c>
      <c r="K242" s="4" t="n">
        <v>45685</v>
      </c>
      <c r="L242" s="3" t="n">
        <v>1</v>
      </c>
      <c r="M242" s="3" t="n">
        <v>1200000</v>
      </c>
      <c r="N242" s="3" t="n">
        <v>18</v>
      </c>
      <c r="O242" s="3" t="b">
        <v>0</v>
      </c>
      <c r="P242" s="3" t="b">
        <v>0</v>
      </c>
      <c r="Q242" s="3" t="n">
        <v>45567.12328767122</v>
      </c>
      <c r="R242" s="3" t="n">
        <v>215408.2191780822</v>
      </c>
      <c r="S242" s="3" t="n">
        <v>260975.3424657534</v>
      </c>
      <c r="T242" s="5">
        <f>IF(J242&lt;&gt;"",M242*N242/365/100*('Cashflow Projection'!$B$2-Investors!J242),0)</f>
        <v/>
      </c>
    </row>
    <row r="243">
      <c r="A243" s="3" t="inlineStr">
        <is>
          <t>ZMYB01</t>
        </is>
      </c>
      <c r="B243" s="3" t="inlineStr">
        <is>
          <t>Hermanus Carel</t>
        </is>
      </c>
      <c r="C243" s="3" t="inlineStr">
        <is>
          <t>Myburgh</t>
        </is>
      </c>
      <c r="D243" s="3" t="inlineStr">
        <is>
          <t>Heron View</t>
        </is>
      </c>
      <c r="E243" s="3" t="inlineStr">
        <is>
          <t>HVE204</t>
        </is>
      </c>
      <c r="F243" s="3" t="b">
        <v>0</v>
      </c>
      <c r="G243" s="3" t="b">
        <v>0</v>
      </c>
      <c r="H243" s="3" t="inlineStr">
        <is>
          <t>E</t>
        </is>
      </c>
      <c r="I243" s="4" t="n">
        <v>45188</v>
      </c>
      <c r="J243" s="4" t="n">
        <v>45371</v>
      </c>
      <c r="K243" s="4" t="n">
        <v>45685</v>
      </c>
      <c r="L243" s="3" t="n">
        <v>8</v>
      </c>
      <c r="M243" s="3" t="n">
        <v>1200000</v>
      </c>
      <c r="N243" s="3" t="n">
        <v>18</v>
      </c>
      <c r="O243" s="3" t="b">
        <v>0</v>
      </c>
      <c r="P243" s="3" t="b">
        <v>0</v>
      </c>
      <c r="Q243" s="3" t="n">
        <v>66180.82191780811</v>
      </c>
      <c r="R243" s="3" t="n">
        <v>185819.1780821918</v>
      </c>
      <c r="S243" s="3" t="n">
        <v>251999.9999999999</v>
      </c>
      <c r="T243" s="5">
        <f>IF(J243&lt;&gt;"",M243*N243/365/100*('Cashflow Projection'!$B$2-Investors!J243),0)</f>
        <v/>
      </c>
    </row>
    <row r="244">
      <c r="A244" s="3" t="inlineStr">
        <is>
          <t>ZMYB01</t>
        </is>
      </c>
      <c r="B244" s="3" t="inlineStr">
        <is>
          <t>Hermanus Carel</t>
        </is>
      </c>
      <c r="C244" s="3" t="inlineStr">
        <is>
          <t>Myburgh</t>
        </is>
      </c>
      <c r="D244" s="3" t="inlineStr">
        <is>
          <t>Heron View</t>
        </is>
      </c>
      <c r="E244" s="3" t="inlineStr">
        <is>
          <t>HVE301</t>
        </is>
      </c>
      <c r="F244" s="3" t="b">
        <v>0</v>
      </c>
      <c r="G244" s="3" t="b">
        <v>0</v>
      </c>
      <c r="H244" s="3" t="inlineStr">
        <is>
          <t>E</t>
        </is>
      </c>
      <c r="I244" s="4" t="n">
        <v>45188</v>
      </c>
      <c r="J244" s="4" t="n">
        <v>45350</v>
      </c>
      <c r="K244" s="4" t="n">
        <v>45685</v>
      </c>
      <c r="L244" s="3" t="n">
        <v>9</v>
      </c>
      <c r="M244" s="3" t="n">
        <v>1200000</v>
      </c>
      <c r="N244" s="3" t="n">
        <v>18</v>
      </c>
      <c r="O244" s="3" t="b">
        <v>0</v>
      </c>
      <c r="P244" s="3" t="b">
        <v>0</v>
      </c>
      <c r="Q244" s="3" t="n">
        <v>58586.30136986293</v>
      </c>
      <c r="R244" s="3" t="n">
        <v>198246.5753424657</v>
      </c>
      <c r="S244" s="3" t="n">
        <v>256832.8767123287</v>
      </c>
      <c r="T244" s="5">
        <f>IF(J244&lt;&gt;"",M244*N244/365/100*('Cashflow Projection'!$B$2-Investors!J244),0)</f>
        <v/>
      </c>
    </row>
    <row r="245">
      <c r="A245" s="3" t="inlineStr">
        <is>
          <t>ZHOW01</t>
        </is>
      </c>
      <c r="B245" s="3" t="inlineStr">
        <is>
          <t>David Mark</t>
        </is>
      </c>
      <c r="C245" s="3" t="inlineStr">
        <is>
          <t>Howe</t>
        </is>
      </c>
      <c r="D245" s="3" t="inlineStr">
        <is>
          <t>Heron View</t>
        </is>
      </c>
      <c r="E245" s="3" t="inlineStr">
        <is>
          <t>HVE302</t>
        </is>
      </c>
      <c r="F245" s="3" t="b">
        <v>0</v>
      </c>
      <c r="G245" s="3" t="b">
        <v>0</v>
      </c>
      <c r="H245" s="3" t="inlineStr">
        <is>
          <t>E</t>
        </is>
      </c>
      <c r="I245" s="4" t="n">
        <v>45195</v>
      </c>
      <c r="J245" s="4" t="n">
        <v>45321</v>
      </c>
      <c r="K245" s="4" t="n">
        <v>45685</v>
      </c>
      <c r="L245" s="3" t="n">
        <v>2</v>
      </c>
      <c r="M245" s="3" t="n">
        <v>1200000</v>
      </c>
      <c r="N245" s="3" t="n">
        <v>18</v>
      </c>
      <c r="O245" s="3" t="b">
        <v>0</v>
      </c>
      <c r="P245" s="3" t="b">
        <v>0</v>
      </c>
      <c r="Q245" s="3" t="n">
        <v>45567.12328767122</v>
      </c>
      <c r="R245" s="3" t="n">
        <v>215408.2191780822</v>
      </c>
      <c r="S245" s="3" t="n">
        <v>260975.3424657534</v>
      </c>
      <c r="T245" s="5">
        <f>IF(J245&lt;&gt;"",M245*N245/365/100*('Cashflow Projection'!$B$2-Investors!J245),0)</f>
        <v/>
      </c>
    </row>
    <row r="246">
      <c r="A246" s="3" t="inlineStr">
        <is>
          <t>ZCRO01</t>
        </is>
      </c>
      <c r="B246" s="3" t="inlineStr">
        <is>
          <t>Marc</t>
        </is>
      </c>
      <c r="C246" s="3" t="inlineStr">
        <is>
          <t>Lunau</t>
        </is>
      </c>
      <c r="D246" s="3" t="inlineStr">
        <is>
          <t>Heron View</t>
        </is>
      </c>
      <c r="E246" s="3" t="inlineStr">
        <is>
          <t>HVE303</t>
        </is>
      </c>
      <c r="F246" s="3" t="b">
        <v>0</v>
      </c>
      <c r="G246" s="3" t="b">
        <v>0</v>
      </c>
      <c r="H246" s="3" t="inlineStr">
        <is>
          <t>E</t>
        </is>
      </c>
      <c r="I246" s="4" t="n">
        <v>45198</v>
      </c>
      <c r="J246" s="4" t="n">
        <v>45224</v>
      </c>
      <c r="K246" s="4" t="n">
        <v>45685</v>
      </c>
      <c r="L246" s="3" t="n">
        <v>17</v>
      </c>
      <c r="M246" s="3" t="n">
        <v>110000</v>
      </c>
      <c r="N246" s="3" t="n">
        <v>18</v>
      </c>
      <c r="O246" s="3" t="b">
        <v>0</v>
      </c>
      <c r="P246" s="3" t="b">
        <v>0</v>
      </c>
      <c r="Q246" s="3" t="n">
        <v>861.9178082191779</v>
      </c>
      <c r="R246" s="3" t="n">
        <v>25007.67123287671</v>
      </c>
      <c r="S246" s="3" t="n">
        <v>25869.58904109589</v>
      </c>
      <c r="T246" s="5">
        <f>IF(J246&lt;&gt;"",M246*N246/365/100*('Cashflow Projection'!$B$2-Investors!J246),0)</f>
        <v/>
      </c>
    </row>
    <row r="247">
      <c r="A247" s="3" t="inlineStr">
        <is>
          <t>ZHOW01</t>
        </is>
      </c>
      <c r="B247" s="3" t="inlineStr">
        <is>
          <t>David Mark</t>
        </is>
      </c>
      <c r="C247" s="3" t="inlineStr">
        <is>
          <t>Howe</t>
        </is>
      </c>
      <c r="D247" s="3" t="inlineStr">
        <is>
          <t>Heron View</t>
        </is>
      </c>
      <c r="E247" s="3" t="inlineStr">
        <is>
          <t>HVE303</t>
        </is>
      </c>
      <c r="F247" s="3" t="b">
        <v>0</v>
      </c>
      <c r="G247" s="3" t="b">
        <v>0</v>
      </c>
      <c r="H247" s="3" t="inlineStr">
        <is>
          <t>E</t>
        </is>
      </c>
      <c r="I247" s="4" t="n">
        <v>45195</v>
      </c>
      <c r="J247" s="4" t="n">
        <v>45321</v>
      </c>
      <c r="K247" s="4" t="n">
        <v>45685</v>
      </c>
      <c r="L247" s="3" t="n">
        <v>3</v>
      </c>
      <c r="M247" s="3" t="n">
        <v>600000</v>
      </c>
      <c r="N247" s="3" t="n">
        <v>18</v>
      </c>
      <c r="O247" s="3" t="b">
        <v>0</v>
      </c>
      <c r="P247" s="3" t="b">
        <v>0</v>
      </c>
      <c r="Q247" s="3" t="n">
        <v>22783.56164383561</v>
      </c>
      <c r="R247" s="3" t="n">
        <v>107704.1095890411</v>
      </c>
      <c r="S247" s="3" t="n">
        <v>130487.6712328767</v>
      </c>
      <c r="T247" s="5">
        <f>IF(J247&lt;&gt;"",M247*N247/365/100*('Cashflow Projection'!$B$2-Investors!J247),0)</f>
        <v/>
      </c>
    </row>
    <row r="248">
      <c r="A248" s="3" t="inlineStr">
        <is>
          <t>ZMYB01</t>
        </is>
      </c>
      <c r="B248" s="3" t="inlineStr">
        <is>
          <t>Hermanus Carel</t>
        </is>
      </c>
      <c r="C248" s="3" t="inlineStr">
        <is>
          <t>Myburgh</t>
        </is>
      </c>
      <c r="D248" s="3" t="inlineStr">
        <is>
          <t>Heron View</t>
        </is>
      </c>
      <c r="E248" s="3" t="inlineStr">
        <is>
          <t>HVE304</t>
        </is>
      </c>
      <c r="F248" s="3" t="b">
        <v>0</v>
      </c>
      <c r="G248" s="3" t="b">
        <v>0</v>
      </c>
      <c r="H248" s="3" t="inlineStr">
        <is>
          <t>E</t>
        </is>
      </c>
      <c r="I248" s="4" t="n">
        <v>45188</v>
      </c>
      <c r="J248" s="4" t="n">
        <v>45350</v>
      </c>
      <c r="K248" s="4" t="n">
        <v>45685</v>
      </c>
      <c r="L248" s="3" t="n">
        <v>10</v>
      </c>
      <c r="M248" s="3" t="n">
        <v>1200000</v>
      </c>
      <c r="N248" s="3" t="n">
        <v>18</v>
      </c>
      <c r="O248" s="3" t="b">
        <v>0</v>
      </c>
      <c r="P248" s="3" t="b">
        <v>0</v>
      </c>
      <c r="Q248" s="3" t="n">
        <v>58586.30136986293</v>
      </c>
      <c r="R248" s="3" t="n">
        <v>198246.5753424657</v>
      </c>
      <c r="S248" s="3" t="n">
        <v>256832.8767123287</v>
      </c>
      <c r="T248" s="5">
        <f>IF(J248&lt;&gt;"",M248*N248/365/100*('Cashflow Projection'!$B$2-Investors!J248),0)</f>
        <v/>
      </c>
    </row>
    <row r="249">
      <c r="A249" s="3" t="inlineStr">
        <is>
          <t>ZLES01</t>
        </is>
      </c>
      <c r="B249" s="3" t="inlineStr">
        <is>
          <t>Megan Frances</t>
        </is>
      </c>
      <c r="C249" s="3" t="inlineStr">
        <is>
          <t>Leslie</t>
        </is>
      </c>
      <c r="D249" s="3" t="inlineStr">
        <is>
          <t>Heron View</t>
        </is>
      </c>
      <c r="E249" s="3" t="inlineStr">
        <is>
          <t>HVF101</t>
        </is>
      </c>
      <c r="F249" s="3" t="b">
        <v>0</v>
      </c>
      <c r="G249" s="3" t="b">
        <v>0</v>
      </c>
      <c r="H249" s="3" t="inlineStr">
        <is>
          <t>F</t>
        </is>
      </c>
      <c r="I249" s="4" t="n">
        <v>45279</v>
      </c>
      <c r="J249" s="4" t="n">
        <v>45371</v>
      </c>
      <c r="K249" s="4" t="n">
        <v>45722</v>
      </c>
      <c r="L249" s="3" t="n">
        <v>2</v>
      </c>
      <c r="M249" s="3" t="n">
        <v>167914.73</v>
      </c>
      <c r="N249" s="3" t="n">
        <v>14</v>
      </c>
      <c r="O249" s="3" t="b">
        <v>0</v>
      </c>
      <c r="P249" s="3" t="b">
        <v>0</v>
      </c>
      <c r="Q249" s="3" t="n">
        <v>4655.608404383556</v>
      </c>
      <c r="R249" s="3" t="n">
        <v>22606.38310191781</v>
      </c>
      <c r="S249" s="3" t="n">
        <v>27261.99150630136</v>
      </c>
      <c r="T249" s="5">
        <f>IF(J249&lt;&gt;"",M249*N249/365/100*('Cashflow Projection'!$B$2-Investors!J249),0)</f>
        <v/>
      </c>
    </row>
    <row r="250">
      <c r="A250" s="3" t="inlineStr">
        <is>
          <t>ZTHA01</t>
        </is>
      </c>
      <c r="B250" s="3" t="inlineStr">
        <is>
          <t>Gerald Adriaan Odendal</t>
        </is>
      </c>
      <c r="C250" s="3" t="inlineStr">
        <is>
          <t>Matthee</t>
        </is>
      </c>
      <c r="D250" s="3" t="inlineStr">
        <is>
          <t>Heron View</t>
        </is>
      </c>
      <c r="E250" s="3" t="inlineStr">
        <is>
          <t>HVF101</t>
        </is>
      </c>
      <c r="F250" s="3" t="b">
        <v>0</v>
      </c>
      <c r="G250" s="3" t="b">
        <v>0</v>
      </c>
      <c r="H250" s="3" t="inlineStr">
        <is>
          <t>F</t>
        </is>
      </c>
      <c r="I250" s="4" t="n">
        <v>45371</v>
      </c>
      <c r="J250" s="3" t="inlineStr"/>
      <c r="K250" s="4" t="n">
        <v>45722</v>
      </c>
      <c r="L250" s="3" t="n">
        <v>12</v>
      </c>
      <c r="M250" s="3" t="n">
        <v>100000</v>
      </c>
      <c r="N250" s="3" t="n">
        <v>18</v>
      </c>
      <c r="O250" s="3" t="b">
        <v>0</v>
      </c>
      <c r="P250" s="3" t="b">
        <v>0</v>
      </c>
      <c r="Q250" s="3" t="n">
        <v>904.1095890410966</v>
      </c>
      <c r="R250" s="3" t="n">
        <v>15830.13698630137</v>
      </c>
      <c r="S250" s="3" t="n">
        <v>16734.24657534247</v>
      </c>
      <c r="T250" s="5">
        <f>IF(J250&lt;&gt;"",M250*N250/365/100*('Cashflow Projection'!$B$2-Investors!J250),0)</f>
        <v/>
      </c>
    </row>
    <row r="251">
      <c r="A251" s="3" t="inlineStr">
        <is>
          <t>ZWAT01</t>
        </is>
      </c>
      <c r="B251" s="3" t="inlineStr">
        <is>
          <t>Peter Gregory</t>
        </is>
      </c>
      <c r="C251" s="3" t="inlineStr">
        <is>
          <t>Watts</t>
        </is>
      </c>
      <c r="D251" s="3" t="inlineStr">
        <is>
          <t>Heron View</t>
        </is>
      </c>
      <c r="E251" s="3" t="inlineStr">
        <is>
          <t>HVF101</t>
        </is>
      </c>
      <c r="F251" s="3" t="b">
        <v>0</v>
      </c>
      <c r="G251" s="3" t="b">
        <v>0</v>
      </c>
      <c r="H251" s="3" t="inlineStr">
        <is>
          <t>F</t>
        </is>
      </c>
      <c r="I251" s="4" t="n">
        <v>45279</v>
      </c>
      <c r="J251" s="4" t="n">
        <v>45371</v>
      </c>
      <c r="K251" s="4" t="n">
        <v>45722</v>
      </c>
      <c r="L251" s="3" t="n">
        <v>14</v>
      </c>
      <c r="M251" s="3" t="n">
        <v>920898.91</v>
      </c>
      <c r="N251" s="3" t="n">
        <v>18</v>
      </c>
      <c r="O251" s="3" t="b">
        <v>0</v>
      </c>
      <c r="P251" s="3" t="b">
        <v>0</v>
      </c>
      <c r="Q251" s="3" t="n">
        <v>25532.86840876708</v>
      </c>
      <c r="R251" s="3" t="n">
        <v>159403.8168049315</v>
      </c>
      <c r="S251" s="3" t="n">
        <v>184936.6852136986</v>
      </c>
      <c r="T251" s="5">
        <f>IF(J251&lt;&gt;"",M251*N251/365/100*('Cashflow Projection'!$B$2-Investors!J251),0)</f>
        <v/>
      </c>
    </row>
    <row r="252">
      <c r="A252" s="3" t="inlineStr">
        <is>
          <t>ZFON01</t>
        </is>
      </c>
      <c r="B252" s="3" t="inlineStr">
        <is>
          <t>Lorraine</t>
        </is>
      </c>
      <c r="C252" s="3" t="inlineStr">
        <is>
          <t>Aveling-Fountain</t>
        </is>
      </c>
      <c r="D252" s="3" t="inlineStr">
        <is>
          <t>Heron View</t>
        </is>
      </c>
      <c r="E252" s="3" t="inlineStr">
        <is>
          <t>HVF102</t>
        </is>
      </c>
      <c r="F252" s="3" t="b">
        <v>0</v>
      </c>
      <c r="G252" s="3" t="b">
        <v>0</v>
      </c>
      <c r="H252" s="3" t="inlineStr">
        <is>
          <t>F</t>
        </is>
      </c>
      <c r="I252" s="4" t="n">
        <v>45279</v>
      </c>
      <c r="J252" s="4" t="n">
        <v>45371</v>
      </c>
      <c r="K252" s="4" t="n">
        <v>45722</v>
      </c>
      <c r="L252" s="3" t="n">
        <v>5</v>
      </c>
      <c r="M252" s="3" t="n">
        <v>780885.27</v>
      </c>
      <c r="N252" s="3" t="n">
        <v>16</v>
      </c>
      <c r="O252" s="3" t="b">
        <v>0</v>
      </c>
      <c r="P252" s="3" t="b">
        <v>0</v>
      </c>
      <c r="Q252" s="3" t="n">
        <v>21650.84639013701</v>
      </c>
      <c r="R252" s="3" t="n">
        <v>120149.3609950685</v>
      </c>
      <c r="S252" s="3" t="n">
        <v>141800.2073852055</v>
      </c>
      <c r="T252" s="5">
        <f>IF(J252&lt;&gt;"",M252*N252/365/100*('Cashflow Projection'!$B$2-Investors!J252),0)</f>
        <v/>
      </c>
    </row>
    <row r="253">
      <c r="A253" s="3" t="inlineStr">
        <is>
          <t>ZTHA01</t>
        </is>
      </c>
      <c r="B253" s="3" t="inlineStr">
        <is>
          <t>Gerald Adriaan Odendal</t>
        </is>
      </c>
      <c r="C253" s="3" t="inlineStr">
        <is>
          <t>Matthee</t>
        </is>
      </c>
      <c r="D253" s="3" t="inlineStr">
        <is>
          <t>Heron View</t>
        </is>
      </c>
      <c r="E253" s="3" t="inlineStr">
        <is>
          <t>HVF102</t>
        </is>
      </c>
      <c r="F253" s="3" t="b">
        <v>0</v>
      </c>
      <c r="G253" s="3" t="b">
        <v>0</v>
      </c>
      <c r="H253" s="3" t="inlineStr">
        <is>
          <t>F</t>
        </is>
      </c>
      <c r="I253" s="4" t="n">
        <v>45314</v>
      </c>
      <c r="J253" s="4" t="n">
        <v>45371</v>
      </c>
      <c r="K253" s="4" t="n">
        <v>45722</v>
      </c>
      <c r="L253" s="3" t="n">
        <v>10</v>
      </c>
      <c r="M253" s="3" t="n">
        <v>243123.29</v>
      </c>
      <c r="N253" s="3" t="n">
        <v>18</v>
      </c>
      <c r="O253" s="3" t="b">
        <v>0</v>
      </c>
      <c r="P253" s="3" t="b">
        <v>0</v>
      </c>
      <c r="Q253" s="3" t="n">
        <v>4176.391858356166</v>
      </c>
      <c r="R253" s="3" t="n">
        <v>42083.64236219178</v>
      </c>
      <c r="S253" s="3" t="n">
        <v>46260.03422054795</v>
      </c>
      <c r="T253" s="5">
        <f>IF(J253&lt;&gt;"",M253*N253/365/100*('Cashflow Projection'!$B$2-Investors!J253),0)</f>
        <v/>
      </c>
    </row>
    <row r="254">
      <c r="A254" s="3" t="inlineStr">
        <is>
          <t>ZPLA01</t>
        </is>
      </c>
      <c r="B254" s="3" t="inlineStr">
        <is>
          <t>Aneta</t>
        </is>
      </c>
      <c r="C254" s="3" t="inlineStr">
        <is>
          <t>Placzkowska</t>
        </is>
      </c>
      <c r="D254" s="3" t="inlineStr">
        <is>
          <t>Heron View</t>
        </is>
      </c>
      <c r="E254" s="3" t="inlineStr">
        <is>
          <t>HVF103</t>
        </is>
      </c>
      <c r="F254" s="3" t="b">
        <v>0</v>
      </c>
      <c r="G254" s="3" t="b">
        <v>0</v>
      </c>
      <c r="H254" s="3" t="inlineStr">
        <is>
          <t>F</t>
        </is>
      </c>
      <c r="I254" s="4" t="n">
        <v>45390.53114403719</v>
      </c>
      <c r="J254" s="3" t="inlineStr"/>
      <c r="K254" s="4" t="n">
        <v>45722</v>
      </c>
      <c r="L254" s="3" t="n">
        <v>0</v>
      </c>
      <c r="M254" s="3" t="n">
        <v>300000</v>
      </c>
      <c r="N254" s="3" t="n">
        <v>16</v>
      </c>
      <c r="O254" s="3" t="b">
        <v>0</v>
      </c>
      <c r="P254" s="3" t="b">
        <v>1</v>
      </c>
      <c r="Q254" s="3" t="n">
        <v>2712.328767123287</v>
      </c>
      <c r="R254" s="3" t="n">
        <v>39583.56164383562</v>
      </c>
      <c r="S254" s="3" t="n">
        <v>42295.89041095891</v>
      </c>
      <c r="T254" s="5">
        <f>IF(J254&lt;&gt;"",M254*N254/365/100*('Cashflow Projection'!$B$2-Investors!J254),0)</f>
        <v/>
      </c>
    </row>
    <row r="255">
      <c r="A255" s="3" t="inlineStr">
        <is>
          <t>ZWAT01</t>
        </is>
      </c>
      <c r="B255" s="3" t="inlineStr">
        <is>
          <t>Peter Gregory</t>
        </is>
      </c>
      <c r="C255" s="3" t="inlineStr">
        <is>
          <t>Watts</t>
        </is>
      </c>
      <c r="D255" s="3" t="inlineStr">
        <is>
          <t>Heron View</t>
        </is>
      </c>
      <c r="E255" s="3" t="inlineStr">
        <is>
          <t>HVF103</t>
        </is>
      </c>
      <c r="F255" s="3" t="b">
        <v>0</v>
      </c>
      <c r="G255" s="3" t="b">
        <v>0</v>
      </c>
      <c r="H255" s="3" t="inlineStr">
        <is>
          <t>F</t>
        </is>
      </c>
      <c r="I255" s="4" t="n">
        <v>45279</v>
      </c>
      <c r="J255" s="3" t="inlineStr"/>
      <c r="K255" s="4" t="n">
        <v>45722</v>
      </c>
      <c r="L255" s="3" t="n">
        <v>15</v>
      </c>
      <c r="M255" s="3" t="n">
        <v>889121.53</v>
      </c>
      <c r="N255" s="3" t="n">
        <v>18</v>
      </c>
      <c r="O255" s="3" t="b">
        <v>0</v>
      </c>
      <c r="P255" s="3" t="b">
        <v>0</v>
      </c>
      <c r="Q255" s="3" t="n">
        <v>8038.633010958903</v>
      </c>
      <c r="R255" s="3" t="n">
        <v>181088.4781923288</v>
      </c>
      <c r="S255" s="3" t="n">
        <v>189127.1112032877</v>
      </c>
      <c r="T255" s="5">
        <f>IF(J255&lt;&gt;"",M255*N255/365/100*('Cashflow Projection'!$B$2-Investors!J255),0)</f>
        <v/>
      </c>
    </row>
    <row r="256">
      <c r="A256" s="3" t="inlineStr">
        <is>
          <t>ZOLI01</t>
        </is>
      </c>
      <c r="B256" s="3" t="inlineStr">
        <is>
          <t>Jan Lukas Cornelus</t>
        </is>
      </c>
      <c r="C256" s="3" t="inlineStr">
        <is>
          <t>Olivier</t>
        </is>
      </c>
      <c r="D256" s="3" t="inlineStr">
        <is>
          <t>Heron View</t>
        </is>
      </c>
      <c r="E256" s="3" t="inlineStr">
        <is>
          <t>HVF104</t>
        </is>
      </c>
      <c r="F256" s="3" t="b">
        <v>0</v>
      </c>
      <c r="G256" s="3" t="b">
        <v>0</v>
      </c>
      <c r="H256" s="3" t="inlineStr">
        <is>
          <t>F</t>
        </is>
      </c>
      <c r="I256" s="4" t="n">
        <v>45177</v>
      </c>
      <c r="J256" s="4" t="n">
        <v>45280</v>
      </c>
      <c r="K256" s="4" t="n">
        <v>45722</v>
      </c>
      <c r="L256" s="3" t="n">
        <v>4</v>
      </c>
      <c r="M256" s="3" t="n">
        <v>560000</v>
      </c>
      <c r="N256" s="3" t="n">
        <v>18</v>
      </c>
      <c r="O256" s="3" t="b">
        <v>0</v>
      </c>
      <c r="P256" s="3" t="b">
        <v>0</v>
      </c>
      <c r="Q256" s="3" t="n">
        <v>17383.01369863012</v>
      </c>
      <c r="R256" s="3" t="n">
        <v>122064.6575342466</v>
      </c>
      <c r="S256" s="3" t="n">
        <v>139447.6712328767</v>
      </c>
      <c r="T256" s="5">
        <f>IF(J256&lt;&gt;"",M256*N256/365/100*('Cashflow Projection'!$B$2-Investors!J256),0)</f>
        <v/>
      </c>
    </row>
    <row r="257">
      <c r="A257" s="3" t="inlineStr">
        <is>
          <t>ZRIT01</t>
        </is>
      </c>
      <c r="B257" s="3" t="inlineStr">
        <is>
          <t>Dennis</t>
        </is>
      </c>
      <c r="C257" s="3" t="inlineStr">
        <is>
          <t>Ritter</t>
        </is>
      </c>
      <c r="D257" s="3" t="inlineStr">
        <is>
          <t>Heron View</t>
        </is>
      </c>
      <c r="E257" s="3" t="inlineStr">
        <is>
          <t>HVF104</t>
        </is>
      </c>
      <c r="F257" s="3" t="b">
        <v>0</v>
      </c>
      <c r="G257" s="3" t="b">
        <v>0</v>
      </c>
      <c r="H257" s="3" t="inlineStr">
        <is>
          <t>F</t>
        </is>
      </c>
      <c r="I257" s="4" t="n">
        <v>45175</v>
      </c>
      <c r="J257" s="4" t="n">
        <v>45224</v>
      </c>
      <c r="K257" s="4" t="n">
        <v>45722</v>
      </c>
      <c r="L257" s="3" t="n">
        <v>16</v>
      </c>
      <c r="M257" s="3" t="n">
        <v>343865.75</v>
      </c>
      <c r="N257" s="3" t="n">
        <v>18</v>
      </c>
      <c r="O257" s="3" t="b">
        <v>0</v>
      </c>
      <c r="P257" s="3" t="b">
        <v>0</v>
      </c>
      <c r="Q257" s="3" t="n">
        <v>5077.90792465753</v>
      </c>
      <c r="R257" s="3" t="n">
        <v>84449.65980821918</v>
      </c>
      <c r="S257" s="3" t="n">
        <v>89527.56773287671</v>
      </c>
      <c r="T257" s="5">
        <f>IF(J257&lt;&gt;"",M257*N257/365/100*('Cashflow Projection'!$B$2-Investors!J257),0)</f>
        <v/>
      </c>
    </row>
    <row r="258">
      <c r="A258" s="3" t="inlineStr">
        <is>
          <t>ZMAN01</t>
        </is>
      </c>
      <c r="B258" s="3" t="inlineStr">
        <is>
          <t>Emma Irene</t>
        </is>
      </c>
      <c r="C258" s="3" t="inlineStr">
        <is>
          <t>Manuel</t>
        </is>
      </c>
      <c r="D258" s="3" t="inlineStr">
        <is>
          <t>Heron View</t>
        </is>
      </c>
      <c r="E258" s="3" t="inlineStr">
        <is>
          <t>HVF201</t>
        </is>
      </c>
      <c r="F258" s="3" t="b">
        <v>0</v>
      </c>
      <c r="G258" s="3" t="b">
        <v>0</v>
      </c>
      <c r="H258" s="3" t="inlineStr">
        <is>
          <t>F</t>
        </is>
      </c>
      <c r="I258" s="4" t="n">
        <v>45330</v>
      </c>
      <c r="J258" s="3" t="inlineStr"/>
      <c r="K258" s="4" t="n">
        <v>45722</v>
      </c>
      <c r="L258" s="3" t="n">
        <v>2</v>
      </c>
      <c r="M258" s="3" t="n">
        <v>1000000</v>
      </c>
      <c r="N258" s="3" t="n">
        <v>18</v>
      </c>
      <c r="O258" s="3" t="b">
        <v>0</v>
      </c>
      <c r="P258" s="3" t="b">
        <v>0</v>
      </c>
      <c r="Q258" s="3" t="n">
        <v>9041.095890410959</v>
      </c>
      <c r="R258" s="3" t="n">
        <v>178520.5479452055</v>
      </c>
      <c r="S258" s="3" t="n">
        <v>187561.6438356165</v>
      </c>
      <c r="T258" s="5">
        <f>IF(J258&lt;&gt;"",M258*N258/365/100*('Cashflow Projection'!$B$2-Investors!J258),0)</f>
        <v/>
      </c>
    </row>
    <row r="259">
      <c r="A259" s="3" t="inlineStr">
        <is>
          <t>ZELO02</t>
        </is>
      </c>
      <c r="B259" s="3" t="inlineStr">
        <is>
          <t>Gertruida Maria Margaretha (Gerda)</t>
        </is>
      </c>
      <c r="C259" s="3" t="inlineStr">
        <is>
          <t>Eloff</t>
        </is>
      </c>
      <c r="D259" s="3" t="inlineStr">
        <is>
          <t>Heron View</t>
        </is>
      </c>
      <c r="E259" s="3" t="inlineStr">
        <is>
          <t>HVF202</t>
        </is>
      </c>
      <c r="F259" s="3" t="b">
        <v>0</v>
      </c>
      <c r="G259" s="3" t="b">
        <v>0</v>
      </c>
      <c r="H259" s="3" t="inlineStr">
        <is>
          <t>F</t>
        </is>
      </c>
      <c r="I259" s="4" t="n">
        <v>45190</v>
      </c>
      <c r="J259" s="4" t="n">
        <v>45321</v>
      </c>
      <c r="K259" s="4" t="n">
        <v>45722</v>
      </c>
      <c r="L259" s="3" t="n">
        <v>1</v>
      </c>
      <c r="M259" s="3" t="n">
        <v>681304.79</v>
      </c>
      <c r="N259" s="3" t="n">
        <v>16</v>
      </c>
      <c r="O259" s="3" t="b">
        <v>0</v>
      </c>
      <c r="P259" s="3" t="b">
        <v>0</v>
      </c>
      <c r="Q259" s="3" t="n">
        <v>26897.53979150695</v>
      </c>
      <c r="R259" s="3" t="n">
        <v>119760.3159627397</v>
      </c>
      <c r="S259" s="3" t="n">
        <v>146657.8557542467</v>
      </c>
      <c r="T259" s="5">
        <f>IF(J259&lt;&gt;"",M259*N259/365/100*('Cashflow Projection'!$B$2-Investors!J259),0)</f>
        <v/>
      </c>
    </row>
    <row r="260">
      <c r="A260" s="3" t="inlineStr">
        <is>
          <t>ZJEN01</t>
        </is>
      </c>
      <c r="B260" s="3" t="inlineStr">
        <is>
          <t>Daryl Anne</t>
        </is>
      </c>
      <c r="C260" s="3" t="inlineStr">
        <is>
          <t>Jennings</t>
        </is>
      </c>
      <c r="D260" s="3" t="inlineStr">
        <is>
          <t>Heron View</t>
        </is>
      </c>
      <c r="E260" s="3" t="inlineStr">
        <is>
          <t>HVF202</t>
        </is>
      </c>
      <c r="F260" s="3" t="b">
        <v>0</v>
      </c>
      <c r="G260" s="3" t="b">
        <v>0</v>
      </c>
      <c r="H260" s="3" t="inlineStr">
        <is>
          <t>F</t>
        </is>
      </c>
      <c r="I260" s="4" t="n">
        <v>45187</v>
      </c>
      <c r="J260" s="4" t="n">
        <v>45321</v>
      </c>
      <c r="K260" s="4" t="n">
        <v>45722</v>
      </c>
      <c r="L260" s="3" t="n">
        <v>3</v>
      </c>
      <c r="M260" s="3" t="n">
        <v>132283.95</v>
      </c>
      <c r="N260" s="3" t="n">
        <v>14</v>
      </c>
      <c r="O260" s="3" t="b">
        <v>0</v>
      </c>
      <c r="P260" s="3" t="b">
        <v>0</v>
      </c>
      <c r="Q260" s="3" t="n">
        <v>5342.097049315056</v>
      </c>
      <c r="R260" s="3" t="n">
        <v>20346.35877534247</v>
      </c>
      <c r="S260" s="3" t="n">
        <v>25688.45582465753</v>
      </c>
      <c r="T260" s="5">
        <f>IF(J260&lt;&gt;"",M260*N260/365/100*('Cashflow Projection'!$B$2-Investors!J260),0)</f>
        <v/>
      </c>
    </row>
    <row r="261">
      <c r="A261" s="3" t="inlineStr">
        <is>
          <t>ZRIT01</t>
        </is>
      </c>
      <c r="B261" s="3" t="inlineStr">
        <is>
          <t>Dennis</t>
        </is>
      </c>
      <c r="C261" s="3" t="inlineStr">
        <is>
          <t>Ritter</t>
        </is>
      </c>
      <c r="D261" s="3" t="inlineStr">
        <is>
          <t>Heron View</t>
        </is>
      </c>
      <c r="E261" s="3" t="inlineStr">
        <is>
          <t>HVF202</t>
        </is>
      </c>
      <c r="F261" s="3" t="b">
        <v>0</v>
      </c>
      <c r="G261" s="3" t="b">
        <v>0</v>
      </c>
      <c r="H261" s="3" t="inlineStr">
        <is>
          <t>F</t>
        </is>
      </c>
      <c r="I261" s="4" t="n">
        <v>45187</v>
      </c>
      <c r="J261" s="4" t="n">
        <v>45224</v>
      </c>
      <c r="K261" s="4" t="n">
        <v>45722</v>
      </c>
      <c r="L261" s="3" t="n">
        <v>17</v>
      </c>
      <c r="M261" s="3" t="n">
        <v>266623.38</v>
      </c>
      <c r="N261" s="3" t="n">
        <v>18</v>
      </c>
      <c r="O261" s="3" t="b">
        <v>0</v>
      </c>
      <c r="P261" s="3" t="b">
        <v>0</v>
      </c>
      <c r="Q261" s="3" t="n">
        <v>2973.033305753426</v>
      </c>
      <c r="R261" s="3" t="n">
        <v>65479.78022794521</v>
      </c>
      <c r="S261" s="3" t="n">
        <v>68452.81353369863</v>
      </c>
      <c r="T261" s="5">
        <f>IF(J261&lt;&gt;"",M261*N261/365/100*('Cashflow Projection'!$B$2-Investors!J261),0)</f>
        <v/>
      </c>
    </row>
    <row r="262">
      <c r="A262" s="3" t="inlineStr">
        <is>
          <t>ZHEI01</t>
        </is>
      </c>
      <c r="B262" s="3" t="inlineStr">
        <is>
          <t>Dieter Raimund</t>
        </is>
      </c>
      <c r="C262" s="3" t="inlineStr">
        <is>
          <t>Heinze</t>
        </is>
      </c>
      <c r="D262" s="3" t="inlineStr">
        <is>
          <t>Heron View</t>
        </is>
      </c>
      <c r="E262" s="3" t="inlineStr">
        <is>
          <t>HVF203</t>
        </is>
      </c>
      <c r="F262" s="3" t="b">
        <v>0</v>
      </c>
      <c r="G262" s="3" t="b">
        <v>0</v>
      </c>
      <c r="H262" s="3" t="inlineStr">
        <is>
          <t>F</t>
        </is>
      </c>
      <c r="I262" s="4" t="n">
        <v>45342</v>
      </c>
      <c r="J262" s="3" t="inlineStr"/>
      <c r="K262" s="4" t="n">
        <v>45722</v>
      </c>
      <c r="L262" s="3" t="n">
        <v>15</v>
      </c>
      <c r="M262" s="3" t="n">
        <v>352090.41</v>
      </c>
      <c r="N262" s="3" t="n">
        <v>18</v>
      </c>
      <c r="O262" s="3" t="b">
        <v>0</v>
      </c>
      <c r="P262" s="3" t="b">
        <v>0</v>
      </c>
      <c r="Q262" s="3" t="n">
        <v>3183.283158904109</v>
      </c>
      <c r="R262" s="3" t="n">
        <v>60771.76939726026</v>
      </c>
      <c r="S262" s="3" t="n">
        <v>63955.05255616437</v>
      </c>
      <c r="T262" s="5">
        <f>IF(J262&lt;&gt;"",M262*N262/365/100*('Cashflow Projection'!$B$2-Investors!J262),0)</f>
        <v/>
      </c>
    </row>
    <row r="263">
      <c r="A263" s="3" t="inlineStr">
        <is>
          <t>ZHUM01</t>
        </is>
      </c>
      <c r="B263" s="3" t="inlineStr">
        <is>
          <t>Tralee Joan</t>
        </is>
      </c>
      <c r="C263" s="3" t="inlineStr">
        <is>
          <t>Human</t>
        </is>
      </c>
      <c r="D263" s="3" t="inlineStr">
        <is>
          <t>Heron View</t>
        </is>
      </c>
      <c r="E263" s="3" t="inlineStr">
        <is>
          <t>HVF203</t>
        </is>
      </c>
      <c r="F263" s="3" t="b">
        <v>0</v>
      </c>
      <c r="G263" s="3" t="b">
        <v>0</v>
      </c>
      <c r="H263" s="3" t="inlineStr">
        <is>
          <t>F</t>
        </is>
      </c>
      <c r="I263" s="4" t="n">
        <v>45187</v>
      </c>
      <c r="J263" s="4" t="n">
        <v>45273</v>
      </c>
      <c r="K263" s="4" t="n">
        <v>45722</v>
      </c>
      <c r="L263" s="3" t="n">
        <v>2</v>
      </c>
      <c r="M263" s="3" t="n">
        <v>100000</v>
      </c>
      <c r="N263" s="3" t="n">
        <v>14</v>
      </c>
      <c r="O263" s="3" t="b">
        <v>0</v>
      </c>
      <c r="P263" s="3" t="b">
        <v>0</v>
      </c>
      <c r="Q263" s="3" t="n">
        <v>2591.780821917808</v>
      </c>
      <c r="R263" s="3" t="n">
        <v>17221.91780821918</v>
      </c>
      <c r="S263" s="3" t="n">
        <v>19813.69863013698</v>
      </c>
      <c r="T263" s="5">
        <f>IF(J263&lt;&gt;"",M263*N263/365/100*('Cashflow Projection'!$B$2-Investors!J263),0)</f>
        <v/>
      </c>
    </row>
    <row r="264">
      <c r="A264" s="3" t="inlineStr">
        <is>
          <t>ZSCH01</t>
        </is>
      </c>
      <c r="B264" s="3" t="inlineStr">
        <is>
          <t>Inge</t>
        </is>
      </c>
      <c r="C264" s="3" t="inlineStr">
        <is>
          <t>Schubert</t>
        </is>
      </c>
      <c r="D264" s="3" t="inlineStr">
        <is>
          <t>Heron View</t>
        </is>
      </c>
      <c r="E264" s="3" t="inlineStr">
        <is>
          <t>HVF203</t>
        </is>
      </c>
      <c r="F264" s="3" t="b">
        <v>0</v>
      </c>
      <c r="G264" s="3" t="b">
        <v>0</v>
      </c>
      <c r="H264" s="3" t="inlineStr">
        <is>
          <t>F</t>
        </is>
      </c>
      <c r="I264" s="4" t="n">
        <v>45335</v>
      </c>
      <c r="J264" s="3" t="inlineStr"/>
      <c r="K264" s="4" t="n">
        <v>45722</v>
      </c>
      <c r="L264" s="3" t="n">
        <v>17</v>
      </c>
      <c r="M264" s="3" t="n">
        <v>717029.36</v>
      </c>
      <c r="N264" s="3" t="n">
        <v>18</v>
      </c>
      <c r="O264" s="3" t="b">
        <v>0</v>
      </c>
      <c r="P264" s="3" t="b">
        <v>0</v>
      </c>
      <c r="Q264" s="3" t="n">
        <v>6482.731200000005</v>
      </c>
      <c r="R264" s="3" t="n">
        <v>126236.45664</v>
      </c>
      <c r="S264" s="3" t="n">
        <v>132719.18784</v>
      </c>
      <c r="T264" s="5">
        <f>IF(J264&lt;&gt;"",M264*N264/365/100*('Cashflow Projection'!$B$2-Investors!J264),0)</f>
        <v/>
      </c>
    </row>
    <row r="265">
      <c r="A265" s="3" t="inlineStr">
        <is>
          <t>ZCRO01</t>
        </is>
      </c>
      <c r="B265" s="3" t="inlineStr">
        <is>
          <t>Marc</t>
        </is>
      </c>
      <c r="C265" s="3" t="inlineStr">
        <is>
          <t>Lunau</t>
        </is>
      </c>
      <c r="D265" s="3" t="inlineStr">
        <is>
          <t>Heron View</t>
        </is>
      </c>
      <c r="E265" s="3" t="inlineStr">
        <is>
          <t>HVG101</t>
        </is>
      </c>
      <c r="F265" s="3" t="b">
        <v>0</v>
      </c>
      <c r="G265" s="3" t="b">
        <v>0</v>
      </c>
      <c r="H265" s="3" t="inlineStr">
        <is>
          <t>G</t>
        </is>
      </c>
      <c r="I265" s="4" t="n">
        <v>45033</v>
      </c>
      <c r="J265" s="4" t="n">
        <v>45129</v>
      </c>
      <c r="K265" s="4" t="n">
        <v>45532</v>
      </c>
      <c r="L265" s="3" t="n">
        <v>16</v>
      </c>
      <c r="M265" s="3" t="n">
        <v>110000</v>
      </c>
      <c r="N265" s="3" t="n">
        <v>18</v>
      </c>
      <c r="O265" s="3" t="b">
        <v>0</v>
      </c>
      <c r="P265" s="3" t="b">
        <v>0</v>
      </c>
      <c r="Q265" s="3" t="n">
        <v>3116.164383561647</v>
      </c>
      <c r="R265" s="3" t="n">
        <v>21861.3698630137</v>
      </c>
      <c r="S265" s="3" t="n">
        <v>24977.53424657534</v>
      </c>
      <c r="T265" s="5">
        <f>IF(J265&lt;&gt;"",M265*N265/365/100*('Cashflow Projection'!$B$2-Investors!J265),0)</f>
        <v/>
      </c>
    </row>
    <row r="266">
      <c r="A266" s="3" t="inlineStr">
        <is>
          <t>ZWIL02</t>
        </is>
      </c>
      <c r="B266" s="3" t="inlineStr">
        <is>
          <t>Pia Inga</t>
        </is>
      </c>
      <c r="C266" s="3" t="inlineStr">
        <is>
          <t>Williams</t>
        </is>
      </c>
      <c r="D266" s="3" t="inlineStr">
        <is>
          <t>Heron View</t>
        </is>
      </c>
      <c r="E266" s="3" t="inlineStr">
        <is>
          <t>HVG101</t>
        </is>
      </c>
      <c r="F266" s="3" t="b">
        <v>0</v>
      </c>
      <c r="G266" s="3" t="b">
        <v>0</v>
      </c>
      <c r="H266" s="3" t="inlineStr">
        <is>
          <t>G</t>
        </is>
      </c>
      <c r="I266" s="4" t="n">
        <v>45033</v>
      </c>
      <c r="J266" s="4" t="n">
        <v>45168</v>
      </c>
      <c r="K266" s="4" t="n">
        <v>45532</v>
      </c>
      <c r="L266" s="3" t="n">
        <v>3</v>
      </c>
      <c r="M266" s="3" t="n">
        <v>1000000</v>
      </c>
      <c r="N266" s="3" t="n">
        <v>18</v>
      </c>
      <c r="O266" s="3" t="b">
        <v>0</v>
      </c>
      <c r="P266" s="3" t="b">
        <v>0</v>
      </c>
      <c r="Q266" s="3" t="n">
        <v>40082.19178082186</v>
      </c>
      <c r="R266" s="3" t="n">
        <v>179506.8493150685</v>
      </c>
      <c r="S266" s="3" t="n">
        <v>219589.0410958904</v>
      </c>
      <c r="T266" s="5">
        <f>IF(J266&lt;&gt;"",M266*N266/365/100*('Cashflow Projection'!$B$2-Investors!J266),0)</f>
        <v/>
      </c>
    </row>
    <row r="267">
      <c r="A267" s="3" t="inlineStr">
        <is>
          <t>ZKRIE0</t>
        </is>
      </c>
      <c r="B267" s="3" t="inlineStr">
        <is>
          <t>Johan Christiaan Rudolph</t>
        </is>
      </c>
      <c r="C267" s="3" t="inlineStr">
        <is>
          <t>Kriek</t>
        </is>
      </c>
      <c r="D267" s="3" t="inlineStr">
        <is>
          <t>Heron View</t>
        </is>
      </c>
      <c r="E267" s="3" t="inlineStr">
        <is>
          <t>HVG102</t>
        </is>
      </c>
      <c r="F267" s="3" t="b">
        <v>0</v>
      </c>
      <c r="G267" s="3" t="b">
        <v>0</v>
      </c>
      <c r="H267" s="3" t="inlineStr">
        <is>
          <t>G</t>
        </is>
      </c>
      <c r="I267" s="4" t="n">
        <v>45033</v>
      </c>
      <c r="J267" s="4" t="n">
        <v>45189</v>
      </c>
      <c r="K267" s="4" t="n">
        <v>45532</v>
      </c>
      <c r="L267" s="3" t="n">
        <v>2</v>
      </c>
      <c r="M267" s="3" t="n">
        <v>1000000</v>
      </c>
      <c r="N267" s="3" t="n">
        <v>18</v>
      </c>
      <c r="O267" s="3" t="b">
        <v>0</v>
      </c>
      <c r="P267" s="3" t="b">
        <v>0</v>
      </c>
      <c r="Q267" s="3" t="n">
        <v>46410.95890410958</v>
      </c>
      <c r="R267" s="3" t="n">
        <v>169150.6849315069</v>
      </c>
      <c r="S267" s="3" t="n">
        <v>215561.6438356164</v>
      </c>
      <c r="T267" s="5">
        <f>IF(J267&lt;&gt;"",M267*N267/365/100*('Cashflow Projection'!$B$2-Investors!J267),0)</f>
        <v/>
      </c>
    </row>
    <row r="268">
      <c r="A268" s="3" t="inlineStr">
        <is>
          <t>ZSIV01</t>
        </is>
      </c>
      <c r="B268" s="3" t="inlineStr">
        <is>
          <t>Gareth William</t>
        </is>
      </c>
      <c r="C268" s="3" t="inlineStr">
        <is>
          <t>Bedell-Sivright</t>
        </is>
      </c>
      <c r="D268" s="3" t="inlineStr">
        <is>
          <t>Heron View</t>
        </is>
      </c>
      <c r="E268" s="3" t="inlineStr">
        <is>
          <t>HVG102</t>
        </is>
      </c>
      <c r="F268" s="3" t="b">
        <v>0</v>
      </c>
      <c r="G268" s="3" t="b">
        <v>0</v>
      </c>
      <c r="H268" s="3" t="inlineStr">
        <is>
          <t>G</t>
        </is>
      </c>
      <c r="I268" s="4" t="n">
        <v>45034</v>
      </c>
      <c r="J268" s="4" t="n">
        <v>45161</v>
      </c>
      <c r="K268" s="4" t="n">
        <v>45532</v>
      </c>
      <c r="L268" s="3" t="n">
        <v>2</v>
      </c>
      <c r="M268" s="3" t="n">
        <v>121786.3</v>
      </c>
      <c r="N268" s="3" t="n">
        <v>14</v>
      </c>
      <c r="O268" s="3" t="b">
        <v>0</v>
      </c>
      <c r="P268" s="3" t="b">
        <v>0</v>
      </c>
      <c r="Q268" s="3" t="n">
        <v>4589.508373972612</v>
      </c>
      <c r="R268" s="3" t="n">
        <v>17330.35732054794</v>
      </c>
      <c r="S268" s="3" t="n">
        <v>21919.86569452056</v>
      </c>
      <c r="T268" s="5">
        <f>IF(J268&lt;&gt;"",M268*N268/365/100*('Cashflow Projection'!$B$2-Investors!J268),0)</f>
        <v/>
      </c>
    </row>
    <row r="269">
      <c r="A269" s="3" t="inlineStr">
        <is>
          <t>ZDEJ01</t>
        </is>
      </c>
      <c r="B269" s="3" t="inlineStr">
        <is>
          <t>Anarene Beatrice</t>
        </is>
      </c>
      <c r="C269" s="3" t="inlineStr">
        <is>
          <t>de Jager</t>
        </is>
      </c>
      <c r="D269" s="3" t="inlineStr">
        <is>
          <t>Heron View</t>
        </is>
      </c>
      <c r="E269" s="3" t="inlineStr">
        <is>
          <t>HVG103</t>
        </is>
      </c>
      <c r="F269" s="3" t="b">
        <v>0</v>
      </c>
      <c r="G269" s="3" t="b">
        <v>0</v>
      </c>
      <c r="H269" s="3" t="inlineStr">
        <is>
          <t>G</t>
        </is>
      </c>
      <c r="I269" s="4" t="n">
        <v>45034</v>
      </c>
      <c r="J269" s="4" t="n">
        <v>45198</v>
      </c>
      <c r="K269" s="4" t="n">
        <v>45532</v>
      </c>
      <c r="L269" s="3" t="n">
        <v>1</v>
      </c>
      <c r="M269" s="3" t="n">
        <v>550000</v>
      </c>
      <c r="N269" s="3" t="n">
        <v>16</v>
      </c>
      <c r="O269" s="3" t="b">
        <v>0</v>
      </c>
      <c r="P269" s="3" t="b">
        <v>0</v>
      </c>
      <c r="Q269" s="3" t="n">
        <v>26859.58904109589</v>
      </c>
      <c r="R269" s="3" t="n">
        <v>80526.02739726027</v>
      </c>
      <c r="S269" s="3" t="n">
        <v>107385.6164383562</v>
      </c>
      <c r="T269" s="5">
        <f>IF(J269&lt;&gt;"",M269*N269/365/100*('Cashflow Projection'!$B$2-Investors!J269),0)</f>
        <v/>
      </c>
    </row>
    <row r="270">
      <c r="A270" s="3" t="inlineStr">
        <is>
          <t>ZSCA02</t>
        </is>
      </c>
      <c r="B270" s="3" t="inlineStr">
        <is>
          <t>Chad</t>
        </is>
      </c>
      <c r="C270" s="3" t="inlineStr">
        <is>
          <t>Scalzini</t>
        </is>
      </c>
      <c r="D270" s="3" t="inlineStr">
        <is>
          <t>Heron View</t>
        </is>
      </c>
      <c r="E270" s="3" t="inlineStr">
        <is>
          <t>HVG103</t>
        </is>
      </c>
      <c r="F270" s="3" t="b">
        <v>0</v>
      </c>
      <c r="G270" s="3" t="b">
        <v>0</v>
      </c>
      <c r="H270" s="3" t="inlineStr">
        <is>
          <t>G</t>
        </is>
      </c>
      <c r="I270" s="4" t="n">
        <v>45042</v>
      </c>
      <c r="J270" s="4" t="n">
        <v>45198</v>
      </c>
      <c r="K270" s="4" t="n">
        <v>45532</v>
      </c>
      <c r="L270" s="3" t="n">
        <v>3</v>
      </c>
      <c r="M270" s="3" t="n">
        <v>550000</v>
      </c>
      <c r="N270" s="3" t="n">
        <v>18</v>
      </c>
      <c r="O270" s="3" t="b">
        <v>0</v>
      </c>
      <c r="P270" s="3" t="b">
        <v>0</v>
      </c>
      <c r="Q270" s="3" t="n">
        <v>25593.83561643835</v>
      </c>
      <c r="R270" s="3" t="n">
        <v>90591.78082191781</v>
      </c>
      <c r="S270" s="3" t="n">
        <v>116185.6164383562</v>
      </c>
      <c r="T270" s="5">
        <f>IF(J270&lt;&gt;"",M270*N270/365/100*('Cashflow Projection'!$B$2-Investors!J270),0)</f>
        <v/>
      </c>
    </row>
    <row r="271">
      <c r="A271" s="3" t="inlineStr">
        <is>
          <t>ZDOT01</t>
        </is>
      </c>
      <c r="B271" s="3" t="inlineStr">
        <is>
          <t>Mark Charles</t>
        </is>
      </c>
      <c r="C271" s="3" t="inlineStr">
        <is>
          <t>Pope</t>
        </is>
      </c>
      <c r="D271" s="3" t="inlineStr">
        <is>
          <t>Heron View</t>
        </is>
      </c>
      <c r="E271" s="3" t="inlineStr">
        <is>
          <t>HVG104</t>
        </is>
      </c>
      <c r="F271" s="3" t="b">
        <v>0</v>
      </c>
      <c r="G271" s="3" t="b">
        <v>0</v>
      </c>
      <c r="H271" s="3" t="inlineStr">
        <is>
          <t>G</t>
        </is>
      </c>
      <c r="I271" s="4" t="n">
        <v>45036</v>
      </c>
      <c r="J271" s="4" t="n">
        <v>45198</v>
      </c>
      <c r="K271" s="4" t="n">
        <v>45532</v>
      </c>
      <c r="L271" s="3" t="n">
        <v>2</v>
      </c>
      <c r="M271" s="3" t="n">
        <v>1000000</v>
      </c>
      <c r="N271" s="3" t="n">
        <v>18</v>
      </c>
      <c r="O271" s="3" t="b">
        <v>0</v>
      </c>
      <c r="P271" s="3" t="b">
        <v>0</v>
      </c>
      <c r="Q271" s="3" t="n">
        <v>48260.27397260274</v>
      </c>
      <c r="R271" s="3" t="n">
        <v>164712.3287671233</v>
      </c>
      <c r="S271" s="3" t="n">
        <v>212972.602739726</v>
      </c>
      <c r="T271" s="5">
        <f>IF(J271&lt;&gt;"",M271*N271/365/100*('Cashflow Projection'!$B$2-Investors!J271),0)</f>
        <v/>
      </c>
    </row>
    <row r="272">
      <c r="A272" s="3" t="inlineStr">
        <is>
          <t>ZVOR01</t>
        </is>
      </c>
      <c r="B272" s="3" t="inlineStr">
        <is>
          <t xml:space="preserve">Sophia Maria Catharina </t>
        </is>
      </c>
      <c r="C272" s="3" t="inlineStr">
        <is>
          <t>Vorster</t>
        </is>
      </c>
      <c r="D272" s="3" t="inlineStr">
        <is>
          <t>Heron View</t>
        </is>
      </c>
      <c r="E272" s="3" t="inlineStr">
        <is>
          <t>HVG104</t>
        </is>
      </c>
      <c r="F272" s="3" t="b">
        <v>0</v>
      </c>
      <c r="G272" s="3" t="b">
        <v>0</v>
      </c>
      <c r="H272" s="3" t="inlineStr">
        <is>
          <t>G</t>
        </is>
      </c>
      <c r="I272" s="4" t="n">
        <v>45042</v>
      </c>
      <c r="J272" s="4" t="n">
        <v>45224</v>
      </c>
      <c r="K272" s="4" t="n">
        <v>45532</v>
      </c>
      <c r="L272" s="3" t="n">
        <v>6</v>
      </c>
      <c r="M272" s="3" t="n">
        <v>117422.6</v>
      </c>
      <c r="N272" s="3" t="n">
        <v>18</v>
      </c>
      <c r="O272" s="3" t="b">
        <v>0</v>
      </c>
      <c r="P272" s="3" t="b">
        <v>0</v>
      </c>
      <c r="Q272" s="3" t="n">
        <v>6384.250676712305</v>
      </c>
      <c r="R272" s="3" t="n">
        <v>17835.36696986301</v>
      </c>
      <c r="S272" s="3" t="n">
        <v>24219.61764657532</v>
      </c>
      <c r="T272" s="5">
        <f>IF(J272&lt;&gt;"",M272*N272/365/100*('Cashflow Projection'!$B$2-Investors!J272),0)</f>
        <v/>
      </c>
    </row>
    <row r="273">
      <c r="A273" s="3" t="inlineStr">
        <is>
          <t>ZREN01</t>
        </is>
      </c>
      <c r="B273" s="3" t="inlineStr">
        <is>
          <t>Marlene Ann</t>
        </is>
      </c>
      <c r="C273" s="3" t="inlineStr">
        <is>
          <t>van Rensburg</t>
        </is>
      </c>
      <c r="D273" s="3" t="inlineStr">
        <is>
          <t>Heron View</t>
        </is>
      </c>
      <c r="E273" s="3" t="inlineStr">
        <is>
          <t>HVG201</t>
        </is>
      </c>
      <c r="F273" s="3" t="b">
        <v>0</v>
      </c>
      <c r="G273" s="3" t="b">
        <v>0</v>
      </c>
      <c r="H273" s="3" t="inlineStr">
        <is>
          <t>G</t>
        </is>
      </c>
      <c r="I273" s="4" t="n">
        <v>45030</v>
      </c>
      <c r="J273" s="4" t="n">
        <v>45168</v>
      </c>
      <c r="K273" s="4" t="n">
        <v>45532</v>
      </c>
      <c r="L273" s="3" t="n">
        <v>4</v>
      </c>
      <c r="M273" s="3" t="n">
        <v>1000000</v>
      </c>
      <c r="N273" s="3" t="n">
        <v>18</v>
      </c>
      <c r="O273" s="3" t="b">
        <v>0</v>
      </c>
      <c r="P273" s="3" t="b">
        <v>0</v>
      </c>
      <c r="Q273" s="3" t="n">
        <v>40945.20547945201</v>
      </c>
      <c r="R273" s="3" t="n">
        <v>179506.8493150685</v>
      </c>
      <c r="S273" s="3" t="n">
        <v>220452.0547945205</v>
      </c>
      <c r="T273" s="5">
        <f>IF(J273&lt;&gt;"",M273*N273/365/100*('Cashflow Projection'!$B$2-Investors!J273),0)</f>
        <v/>
      </c>
    </row>
    <row r="274">
      <c r="A274" s="3" t="inlineStr">
        <is>
          <t>ZVAN05</t>
        </is>
      </c>
      <c r="B274" s="3" t="inlineStr">
        <is>
          <t>Hermanus</t>
        </is>
      </c>
      <c r="C274" s="3" t="inlineStr">
        <is>
          <t>van der Sandt</t>
        </is>
      </c>
      <c r="D274" s="3" t="inlineStr">
        <is>
          <t>Heron View</t>
        </is>
      </c>
      <c r="E274" s="3" t="inlineStr">
        <is>
          <t>HVG201</t>
        </is>
      </c>
      <c r="F274" s="3" t="b">
        <v>0</v>
      </c>
      <c r="G274" s="3" t="b">
        <v>0</v>
      </c>
      <c r="H274" s="3" t="inlineStr">
        <is>
          <t>G</t>
        </is>
      </c>
      <c r="I274" s="4" t="n">
        <v>45051</v>
      </c>
      <c r="J274" s="4" t="n">
        <v>45198</v>
      </c>
      <c r="K274" s="4" t="n">
        <v>45532</v>
      </c>
      <c r="L274" s="3" t="n">
        <v>9</v>
      </c>
      <c r="M274" s="3" t="n">
        <v>125000</v>
      </c>
      <c r="N274" s="3" t="n">
        <v>18</v>
      </c>
      <c r="O274" s="3" t="b">
        <v>0</v>
      </c>
      <c r="P274" s="3" t="b">
        <v>0</v>
      </c>
      <c r="Q274" s="3" t="n">
        <v>5493.150684931505</v>
      </c>
      <c r="R274" s="3" t="n">
        <v>20589.04109589041</v>
      </c>
      <c r="S274" s="3" t="n">
        <v>26082.19178082192</v>
      </c>
      <c r="T274" s="5">
        <f>IF(J274&lt;&gt;"",M274*N274/365/100*('Cashflow Projection'!$B$2-Investors!J274),0)</f>
        <v/>
      </c>
    </row>
    <row r="275">
      <c r="A275" s="3" t="inlineStr">
        <is>
          <t>ZLAB01</t>
        </is>
      </c>
      <c r="B275" s="3" t="inlineStr">
        <is>
          <t>Andre Jan</t>
        </is>
      </c>
      <c r="C275" s="3" t="inlineStr">
        <is>
          <t>Labuschagne</t>
        </is>
      </c>
      <c r="D275" s="3" t="inlineStr">
        <is>
          <t>Heron View</t>
        </is>
      </c>
      <c r="E275" s="3" t="inlineStr">
        <is>
          <t>HVG202</t>
        </is>
      </c>
      <c r="F275" s="3" t="b">
        <v>0</v>
      </c>
      <c r="G275" s="3" t="b">
        <v>0</v>
      </c>
      <c r="H275" s="3" t="inlineStr">
        <is>
          <t>G</t>
        </is>
      </c>
      <c r="I275" s="4" t="n">
        <v>45033</v>
      </c>
      <c r="J275" s="4" t="n">
        <v>45129</v>
      </c>
      <c r="K275" s="4" t="n">
        <v>45532</v>
      </c>
      <c r="L275" s="3" t="n">
        <v>5</v>
      </c>
      <c r="M275" s="3" t="n">
        <v>302195.21</v>
      </c>
      <c r="N275" s="3" t="n">
        <v>18</v>
      </c>
      <c r="O275" s="3" t="b">
        <v>0</v>
      </c>
      <c r="P275" s="3" t="b">
        <v>0</v>
      </c>
      <c r="Q275" s="3" t="n">
        <v>8560.817729862996</v>
      </c>
      <c r="R275" s="3" t="n">
        <v>60058.19324219178</v>
      </c>
      <c r="S275" s="3" t="n">
        <v>68619.01097205478</v>
      </c>
      <c r="T275" s="5">
        <f>IF(J275&lt;&gt;"",M275*N275/365/100*('Cashflow Projection'!$B$2-Investors!J275),0)</f>
        <v/>
      </c>
    </row>
    <row r="276">
      <c r="A276" s="3" t="inlineStr">
        <is>
          <t>ZRAN01</t>
        </is>
      </c>
      <c r="B276" s="3" t="inlineStr">
        <is>
          <t>Ross Partick Gemill</t>
        </is>
      </c>
      <c r="C276" s="3" t="inlineStr">
        <is>
          <t>Rankin</t>
        </is>
      </c>
      <c r="D276" s="3" t="inlineStr">
        <is>
          <t>Heron View</t>
        </is>
      </c>
      <c r="E276" s="3" t="inlineStr">
        <is>
          <t>HVG202</t>
        </is>
      </c>
      <c r="F276" s="3" t="b">
        <v>0</v>
      </c>
      <c r="G276" s="3" t="b">
        <v>0</v>
      </c>
      <c r="H276" s="3" t="inlineStr">
        <is>
          <t>G</t>
        </is>
      </c>
      <c r="I276" s="4" t="n">
        <v>45065</v>
      </c>
      <c r="J276" s="4" t="n">
        <v>45252</v>
      </c>
      <c r="K276" s="4" t="n">
        <v>45532</v>
      </c>
      <c r="L276" s="3" t="n">
        <v>27</v>
      </c>
      <c r="M276" s="3" t="n">
        <v>200000</v>
      </c>
      <c r="N276" s="3" t="n">
        <v>18</v>
      </c>
      <c r="O276" s="3" t="b">
        <v>0</v>
      </c>
      <c r="P276" s="3" t="b">
        <v>0</v>
      </c>
      <c r="Q276" s="3" t="n">
        <v>11238.35616438353</v>
      </c>
      <c r="R276" s="3" t="n">
        <v>27616.43835616438</v>
      </c>
      <c r="S276" s="3" t="n">
        <v>38854.7945205479</v>
      </c>
      <c r="T276" s="5">
        <f>IF(J276&lt;&gt;"",M276*N276/365/100*('Cashflow Projection'!$B$2-Investors!J276),0)</f>
        <v/>
      </c>
    </row>
    <row r="277">
      <c r="A277" s="3" t="inlineStr">
        <is>
          <t>ZSCA02</t>
        </is>
      </c>
      <c r="B277" s="3" t="inlineStr">
        <is>
          <t>Chad</t>
        </is>
      </c>
      <c r="C277" s="3" t="inlineStr">
        <is>
          <t>Scalzini</t>
        </is>
      </c>
      <c r="D277" s="3" t="inlineStr">
        <is>
          <t>Heron View</t>
        </is>
      </c>
      <c r="E277" s="3" t="inlineStr">
        <is>
          <t>HVG202</t>
        </is>
      </c>
      <c r="F277" s="3" t="b">
        <v>0</v>
      </c>
      <c r="G277" s="3" t="b">
        <v>0</v>
      </c>
      <c r="H277" s="3" t="inlineStr">
        <is>
          <t>G</t>
        </is>
      </c>
      <c r="I277" s="4" t="n">
        <v>45033</v>
      </c>
      <c r="J277" s="4" t="n">
        <v>45168</v>
      </c>
      <c r="K277" s="4" t="n">
        <v>45532</v>
      </c>
      <c r="L277" s="3" t="n">
        <v>2</v>
      </c>
      <c r="M277" s="3" t="n">
        <v>600000</v>
      </c>
      <c r="N277" s="3" t="n">
        <v>18</v>
      </c>
      <c r="O277" s="3" t="b">
        <v>0</v>
      </c>
      <c r="P277" s="3" t="b">
        <v>0</v>
      </c>
      <c r="Q277" s="3" t="n">
        <v>24049.31506849315</v>
      </c>
      <c r="R277" s="3" t="n">
        <v>107704.1095890411</v>
      </c>
      <c r="S277" s="3" t="n">
        <v>131753.4246575342</v>
      </c>
      <c r="T277" s="5">
        <f>IF(J277&lt;&gt;"",M277*N277/365/100*('Cashflow Projection'!$B$2-Investors!J277),0)</f>
        <v/>
      </c>
    </row>
    <row r="278">
      <c r="A278" s="3" t="inlineStr">
        <is>
          <t>ZGEL01</t>
        </is>
      </c>
      <c r="B278" s="3" t="inlineStr">
        <is>
          <t>Teresse</t>
        </is>
      </c>
      <c r="C278" s="3" t="inlineStr">
        <is>
          <t>Geldenhuys</t>
        </is>
      </c>
      <c r="D278" s="3" t="inlineStr">
        <is>
          <t>Heron View</t>
        </is>
      </c>
      <c r="E278" s="3" t="inlineStr">
        <is>
          <t>HVG203</t>
        </is>
      </c>
      <c r="F278" s="3" t="b">
        <v>0</v>
      </c>
      <c r="G278" s="3" t="b">
        <v>0</v>
      </c>
      <c r="H278" s="3" t="inlineStr">
        <is>
          <t>G</t>
        </is>
      </c>
      <c r="I278" s="4" t="n">
        <v>45065</v>
      </c>
      <c r="J278" s="4" t="n">
        <v>45252</v>
      </c>
      <c r="K278" s="4" t="n">
        <v>45532</v>
      </c>
      <c r="L278" s="3" t="n">
        <v>1</v>
      </c>
      <c r="M278" s="3" t="n">
        <v>100000</v>
      </c>
      <c r="N278" s="3" t="n">
        <v>14</v>
      </c>
      <c r="O278" s="3" t="b">
        <v>0</v>
      </c>
      <c r="P278" s="3" t="b">
        <v>0</v>
      </c>
      <c r="Q278" s="3" t="n">
        <v>5619.178082191763</v>
      </c>
      <c r="R278" s="3" t="n">
        <v>10739.72602739726</v>
      </c>
      <c r="S278" s="3" t="n">
        <v>16358.90410958902</v>
      </c>
      <c r="T278" s="5">
        <f>IF(J278&lt;&gt;"",M278*N278/365/100*('Cashflow Projection'!$B$2-Investors!J278),0)</f>
        <v/>
      </c>
    </row>
    <row r="279">
      <c r="A279" s="3" t="inlineStr">
        <is>
          <t>ZRAN01</t>
        </is>
      </c>
      <c r="B279" s="3" t="inlineStr">
        <is>
          <t>Ross Partick Gemill</t>
        </is>
      </c>
      <c r="C279" s="3" t="inlineStr">
        <is>
          <t>Rankin</t>
        </is>
      </c>
      <c r="D279" s="3" t="inlineStr">
        <is>
          <t>Heron View</t>
        </is>
      </c>
      <c r="E279" s="3" t="inlineStr">
        <is>
          <t>HVG203</t>
        </is>
      </c>
      <c r="F279" s="3" t="b">
        <v>0</v>
      </c>
      <c r="G279" s="3" t="b">
        <v>0</v>
      </c>
      <c r="H279" s="3" t="inlineStr">
        <is>
          <t>G</t>
        </is>
      </c>
      <c r="I279" s="4" t="n">
        <v>45033</v>
      </c>
      <c r="J279" s="4" t="n">
        <v>45129</v>
      </c>
      <c r="K279" s="4" t="n">
        <v>45532</v>
      </c>
      <c r="L279" s="3" t="n">
        <v>26</v>
      </c>
      <c r="M279" s="3" t="n">
        <v>252491.78</v>
      </c>
      <c r="N279" s="3" t="n">
        <v>18</v>
      </c>
      <c r="O279" s="3" t="b">
        <v>0</v>
      </c>
      <c r="P279" s="3" t="b">
        <v>0</v>
      </c>
      <c r="Q279" s="3" t="n">
        <v>7152.780836164374</v>
      </c>
      <c r="R279" s="3" t="n">
        <v>50180.14718136987</v>
      </c>
      <c r="S279" s="3" t="n">
        <v>57332.92801753424</v>
      </c>
      <c r="T279" s="5">
        <f>IF(J279&lt;&gt;"",M279*N279/365/100*('Cashflow Projection'!$B$2-Investors!J279),0)</f>
        <v/>
      </c>
    </row>
    <row r="280">
      <c r="A280" s="3" t="inlineStr">
        <is>
          <t>ZSMI02</t>
        </is>
      </c>
      <c r="B280" s="3" t="inlineStr">
        <is>
          <t>Sophia Catharina</t>
        </is>
      </c>
      <c r="C280" s="3" t="inlineStr">
        <is>
          <t>Smit</t>
        </is>
      </c>
      <c r="D280" s="3" t="inlineStr">
        <is>
          <t>Heron View</t>
        </is>
      </c>
      <c r="E280" s="3" t="inlineStr">
        <is>
          <t>HVG203</t>
        </is>
      </c>
      <c r="F280" s="3" t="b">
        <v>0</v>
      </c>
      <c r="G280" s="3" t="b">
        <v>0</v>
      </c>
      <c r="H280" s="3" t="inlineStr">
        <is>
          <t>G</t>
        </is>
      </c>
      <c r="I280" s="4" t="n">
        <v>45033</v>
      </c>
      <c r="J280" s="4" t="n">
        <v>45168</v>
      </c>
      <c r="K280" s="4" t="n">
        <v>45532</v>
      </c>
      <c r="L280" s="3" t="n">
        <v>2</v>
      </c>
      <c r="M280" s="3" t="n">
        <v>631732.88</v>
      </c>
      <c r="N280" s="3" t="n">
        <v>18</v>
      </c>
      <c r="O280" s="3" t="b">
        <v>0</v>
      </c>
      <c r="P280" s="3" t="b">
        <v>0</v>
      </c>
      <c r="Q280" s="3" t="n">
        <v>25321.23845041103</v>
      </c>
      <c r="R280" s="3" t="n">
        <v>113400.3788975342</v>
      </c>
      <c r="S280" s="3" t="n">
        <v>138721.6173479453</v>
      </c>
      <c r="T280" s="5">
        <f>IF(J280&lt;&gt;"",M280*N280/365/100*('Cashflow Projection'!$B$2-Investors!J280),0)</f>
        <v/>
      </c>
    </row>
    <row r="281">
      <c r="A281" s="3" t="inlineStr">
        <is>
          <t>ZTHA01</t>
        </is>
      </c>
      <c r="B281" s="3" t="inlineStr">
        <is>
          <t>Gerald Adriaan Odendal</t>
        </is>
      </c>
      <c r="C281" s="3" t="inlineStr">
        <is>
          <t>Matthee</t>
        </is>
      </c>
      <c r="D281" s="3" t="inlineStr">
        <is>
          <t>Heron View</t>
        </is>
      </c>
      <c r="E281" s="3" t="inlineStr">
        <is>
          <t>HVG203</t>
        </is>
      </c>
      <c r="F281" s="3" t="b">
        <v>0</v>
      </c>
      <c r="G281" s="3" t="b">
        <v>0</v>
      </c>
      <c r="H281" s="3" t="inlineStr">
        <is>
          <t>G</t>
        </is>
      </c>
      <c r="I281" s="4" t="n">
        <v>45070</v>
      </c>
      <c r="J281" s="4" t="n">
        <v>45252</v>
      </c>
      <c r="K281" s="4" t="n">
        <v>45532</v>
      </c>
      <c r="L281" s="3" t="n">
        <v>5</v>
      </c>
      <c r="M281" s="3" t="n">
        <v>100000</v>
      </c>
      <c r="N281" s="3" t="n">
        <v>18</v>
      </c>
      <c r="O281" s="3" t="b">
        <v>0</v>
      </c>
      <c r="P281" s="3" t="b">
        <v>0</v>
      </c>
      <c r="Q281" s="3" t="n">
        <v>5475.342465753408</v>
      </c>
      <c r="R281" s="3" t="n">
        <v>13808.21917808219</v>
      </c>
      <c r="S281" s="3" t="n">
        <v>19283.5616438356</v>
      </c>
      <c r="T281" s="5">
        <f>IF(J281&lt;&gt;"",M281*N281/365/100*('Cashflow Projection'!$B$2-Investors!J281),0)</f>
        <v/>
      </c>
    </row>
    <row r="282">
      <c r="A282" s="3" t="inlineStr">
        <is>
          <t>ZBAS01</t>
        </is>
      </c>
      <c r="B282" s="3" t="inlineStr">
        <is>
          <t>Nicolaas Johannes (Nico)</t>
        </is>
      </c>
      <c r="C282" s="3" t="inlineStr">
        <is>
          <t>Basson</t>
        </is>
      </c>
      <c r="D282" s="3" t="inlineStr">
        <is>
          <t>Heron View</t>
        </is>
      </c>
      <c r="E282" s="3" t="inlineStr">
        <is>
          <t>HVG204</t>
        </is>
      </c>
      <c r="F282" s="3" t="b">
        <v>0</v>
      </c>
      <c r="G282" s="3" t="b">
        <v>0</v>
      </c>
      <c r="H282" s="3" t="inlineStr">
        <is>
          <t>G</t>
        </is>
      </c>
      <c r="I282" s="4" t="n">
        <v>45041</v>
      </c>
      <c r="J282" s="4" t="n">
        <v>45198</v>
      </c>
      <c r="K282" s="4" t="n">
        <v>45532</v>
      </c>
      <c r="L282" s="3" t="n">
        <v>1</v>
      </c>
      <c r="M282" s="3" t="n">
        <v>500000</v>
      </c>
      <c r="N282" s="3" t="n">
        <v>16</v>
      </c>
      <c r="O282" s="3" t="b">
        <v>0</v>
      </c>
      <c r="P282" s="3" t="b">
        <v>0</v>
      </c>
      <c r="Q282" s="3" t="n">
        <v>23410.95890410959</v>
      </c>
      <c r="R282" s="3" t="n">
        <v>73205.47945205479</v>
      </c>
      <c r="S282" s="3" t="n">
        <v>96616.43835616438</v>
      </c>
      <c r="T282" s="5">
        <f>IF(J282&lt;&gt;"",M282*N282/365/100*('Cashflow Projection'!$B$2-Investors!J282),0)</f>
        <v/>
      </c>
    </row>
    <row r="283">
      <c r="A283" s="3" t="inlineStr">
        <is>
          <t>ZBEL01</t>
        </is>
      </c>
      <c r="B283" s="3" t="inlineStr">
        <is>
          <t>Helen Constance</t>
        </is>
      </c>
      <c r="C283" s="3" t="inlineStr">
        <is>
          <t>Belford</t>
        </is>
      </c>
      <c r="D283" s="3" t="inlineStr">
        <is>
          <t>Heron View</t>
        </is>
      </c>
      <c r="E283" s="3" t="inlineStr">
        <is>
          <t>HVG204</t>
        </is>
      </c>
      <c r="F283" s="3" t="b">
        <v>0</v>
      </c>
      <c r="G283" s="3" t="b">
        <v>0</v>
      </c>
      <c r="H283" s="3" t="inlineStr">
        <is>
          <t>G</t>
        </is>
      </c>
      <c r="I283" s="4" t="n">
        <v>45070</v>
      </c>
      <c r="J283" s="4" t="n">
        <v>45252</v>
      </c>
      <c r="K283" s="4" t="n">
        <v>45532</v>
      </c>
      <c r="L283" s="3" t="n">
        <v>7</v>
      </c>
      <c r="M283" s="3" t="n">
        <v>250000</v>
      </c>
      <c r="N283" s="3" t="n">
        <v>18</v>
      </c>
      <c r="O283" s="3" t="b">
        <v>0</v>
      </c>
      <c r="P283" s="3" t="b">
        <v>0</v>
      </c>
      <c r="Q283" s="3" t="n">
        <v>13688.35616438357</v>
      </c>
      <c r="R283" s="3" t="n">
        <v>34520.54794520548</v>
      </c>
      <c r="S283" s="3" t="n">
        <v>48208.90410958905</v>
      </c>
      <c r="T283" s="5">
        <f>IF(J283&lt;&gt;"",M283*N283/365/100*('Cashflow Projection'!$B$2-Investors!J283),0)</f>
        <v/>
      </c>
    </row>
    <row r="284">
      <c r="A284" s="3" t="inlineStr">
        <is>
          <t>ZMOS01</t>
        </is>
      </c>
      <c r="B284" s="3" t="inlineStr">
        <is>
          <t>Colin Giovanni</t>
        </is>
      </c>
      <c r="C284" s="3" t="inlineStr">
        <is>
          <t>Mosca</t>
        </is>
      </c>
      <c r="D284" s="3" t="inlineStr">
        <is>
          <t>Heron View</t>
        </is>
      </c>
      <c r="E284" s="3" t="inlineStr">
        <is>
          <t>HVG204</t>
        </is>
      </c>
      <c r="F284" s="3" t="b">
        <v>0</v>
      </c>
      <c r="G284" s="3" t="b">
        <v>0</v>
      </c>
      <c r="H284" s="3" t="inlineStr">
        <is>
          <t>G</t>
        </is>
      </c>
      <c r="I284" s="4" t="n">
        <v>45041</v>
      </c>
      <c r="J284" s="4" t="n">
        <v>45198</v>
      </c>
      <c r="K284" s="4" t="n">
        <v>45532</v>
      </c>
      <c r="L284" s="3" t="n">
        <v>1</v>
      </c>
      <c r="M284" s="3" t="n">
        <v>350000</v>
      </c>
      <c r="N284" s="3" t="n">
        <v>14</v>
      </c>
      <c r="O284" s="3" t="b">
        <v>0</v>
      </c>
      <c r="P284" s="3" t="b">
        <v>0</v>
      </c>
      <c r="Q284" s="3" t="n">
        <v>16387.67123287675</v>
      </c>
      <c r="R284" s="3" t="n">
        <v>44838.35616438356</v>
      </c>
      <c r="S284" s="3" t="n">
        <v>61226.0273972603</v>
      </c>
      <c r="T284" s="5">
        <f>IF(J284&lt;&gt;"",M284*N284/365/100*('Cashflow Projection'!$B$2-Investors!J284),0)</f>
        <v/>
      </c>
    </row>
    <row r="285">
      <c r="A285" s="3" t="inlineStr">
        <is>
          <t>ZHAR02</t>
        </is>
      </c>
      <c r="B285" s="3" t="inlineStr">
        <is>
          <t>Lionel Carl</t>
        </is>
      </c>
      <c r="C285" s="3" t="inlineStr">
        <is>
          <t>Harrington</t>
        </is>
      </c>
      <c r="D285" s="3" t="inlineStr">
        <is>
          <t>Heron View</t>
        </is>
      </c>
      <c r="E285" s="3" t="inlineStr">
        <is>
          <t>HVG301</t>
        </is>
      </c>
      <c r="F285" s="3" t="b">
        <v>0</v>
      </c>
      <c r="G285" s="3" t="b">
        <v>0</v>
      </c>
      <c r="H285" s="3" t="inlineStr">
        <is>
          <t>G</t>
        </is>
      </c>
      <c r="I285" s="4" t="n">
        <v>45034</v>
      </c>
      <c r="J285" s="4" t="n">
        <v>45198</v>
      </c>
      <c r="K285" s="4" t="n">
        <v>45532</v>
      </c>
      <c r="L285" s="3" t="n">
        <v>1</v>
      </c>
      <c r="M285" s="3" t="n">
        <v>400000</v>
      </c>
      <c r="N285" s="3" t="n">
        <v>14</v>
      </c>
      <c r="O285" s="3" t="b">
        <v>0</v>
      </c>
      <c r="P285" s="3" t="b">
        <v>0</v>
      </c>
      <c r="Q285" s="3" t="n">
        <v>19534.2465753424</v>
      </c>
      <c r="R285" s="3" t="n">
        <v>51243.83561643835</v>
      </c>
      <c r="S285" s="3" t="n">
        <v>70778.08219178076</v>
      </c>
      <c r="T285" s="5">
        <f>IF(J285&lt;&gt;"",M285*N285/365/100*('Cashflow Projection'!$B$2-Investors!J285),0)</f>
        <v/>
      </c>
    </row>
    <row r="286">
      <c r="A286" s="3" t="inlineStr">
        <is>
          <t>ZNIE01</t>
        </is>
      </c>
      <c r="B286" s="3" t="inlineStr">
        <is>
          <t>Grant Richard</t>
        </is>
      </c>
      <c r="C286" s="3" t="inlineStr">
        <is>
          <t>van Niekerk</t>
        </is>
      </c>
      <c r="D286" s="3" t="inlineStr">
        <is>
          <t>Heron View</t>
        </is>
      </c>
      <c r="E286" s="3" t="inlineStr">
        <is>
          <t>HVG301</t>
        </is>
      </c>
      <c r="F286" s="3" t="b">
        <v>0</v>
      </c>
      <c r="G286" s="3" t="b">
        <v>0</v>
      </c>
      <c r="H286" s="3" t="inlineStr">
        <is>
          <t>G</t>
        </is>
      </c>
      <c r="I286" s="4" t="n">
        <v>45042</v>
      </c>
      <c r="J286" s="4" t="n">
        <v>45198</v>
      </c>
      <c r="K286" s="4" t="n">
        <v>45532</v>
      </c>
      <c r="L286" s="3" t="n">
        <v>5</v>
      </c>
      <c r="M286" s="3" t="n">
        <v>500000</v>
      </c>
      <c r="N286" s="3" t="n">
        <v>18</v>
      </c>
      <c r="O286" s="3" t="b">
        <v>0</v>
      </c>
      <c r="P286" s="3" t="b">
        <v>0</v>
      </c>
      <c r="Q286" s="3" t="n">
        <v>23267.12328767123</v>
      </c>
      <c r="R286" s="3" t="n">
        <v>82356.16438356164</v>
      </c>
      <c r="S286" s="3" t="n">
        <v>105623.2876712329</v>
      </c>
      <c r="T286" s="5">
        <f>IF(J286&lt;&gt;"",M286*N286/365/100*('Cashflow Projection'!$B$2-Investors!J286),0)</f>
        <v/>
      </c>
    </row>
    <row r="287">
      <c r="A287" s="3" t="inlineStr">
        <is>
          <t>ZVAN05</t>
        </is>
      </c>
      <c r="B287" s="3" t="inlineStr">
        <is>
          <t>Hermanus</t>
        </is>
      </c>
      <c r="C287" s="3" t="inlineStr">
        <is>
          <t>van der Sandt</t>
        </is>
      </c>
      <c r="D287" s="3" t="inlineStr">
        <is>
          <t>Heron View</t>
        </is>
      </c>
      <c r="E287" s="3" t="inlineStr">
        <is>
          <t>HVG301</t>
        </is>
      </c>
      <c r="F287" s="3" t="b">
        <v>0</v>
      </c>
      <c r="G287" s="3" t="b">
        <v>0</v>
      </c>
      <c r="H287" s="3" t="inlineStr">
        <is>
          <t>G</t>
        </is>
      </c>
      <c r="I287" s="4" t="n">
        <v>45051</v>
      </c>
      <c r="J287" s="4" t="n">
        <v>45198</v>
      </c>
      <c r="K287" s="4" t="n">
        <v>45532</v>
      </c>
      <c r="L287" s="3" t="n">
        <v>10</v>
      </c>
      <c r="M287" s="3" t="n">
        <v>200000</v>
      </c>
      <c r="N287" s="3" t="n">
        <v>18</v>
      </c>
      <c r="O287" s="3" t="b">
        <v>0</v>
      </c>
      <c r="P287" s="3" t="b">
        <v>0</v>
      </c>
      <c r="Q287" s="3" t="n">
        <v>8789.041095890389</v>
      </c>
      <c r="R287" s="3" t="n">
        <v>32942.46575342466</v>
      </c>
      <c r="S287" s="3" t="n">
        <v>41731.50684931505</v>
      </c>
      <c r="T287" s="5">
        <f>IF(J287&lt;&gt;"",M287*N287/365/100*('Cashflow Projection'!$B$2-Investors!J287),0)</f>
        <v/>
      </c>
    </row>
    <row r="288">
      <c r="A288" s="3" t="inlineStr">
        <is>
          <t>ZDAD01</t>
        </is>
      </c>
      <c r="B288" s="3" t="inlineStr">
        <is>
          <t>Feroz</t>
        </is>
      </c>
      <c r="C288" s="3" t="inlineStr">
        <is>
          <t>Dadoo</t>
        </is>
      </c>
      <c r="D288" s="3" t="inlineStr">
        <is>
          <t>Heron View</t>
        </is>
      </c>
      <c r="E288" s="3" t="inlineStr">
        <is>
          <t>HVG302</t>
        </is>
      </c>
      <c r="F288" s="3" t="b">
        <v>0</v>
      </c>
      <c r="G288" s="3" t="b">
        <v>0</v>
      </c>
      <c r="H288" s="3" t="inlineStr">
        <is>
          <t>G</t>
        </is>
      </c>
      <c r="I288" s="4" t="n">
        <v>45042</v>
      </c>
      <c r="J288" s="4" t="n">
        <v>45198</v>
      </c>
      <c r="K288" s="4" t="n">
        <v>45532</v>
      </c>
      <c r="L288" s="3" t="n">
        <v>4</v>
      </c>
      <c r="M288" s="3" t="n">
        <v>473976.03</v>
      </c>
      <c r="N288" s="3" t="n">
        <v>18</v>
      </c>
      <c r="O288" s="3" t="b">
        <v>0</v>
      </c>
      <c r="P288" s="3" t="b">
        <v>0</v>
      </c>
      <c r="Q288" s="3" t="n">
        <v>22056.1174508219</v>
      </c>
      <c r="R288" s="3" t="n">
        <v>78069.69568109591</v>
      </c>
      <c r="S288" s="3" t="n">
        <v>100125.8131319178</v>
      </c>
      <c r="T288" s="5">
        <f>IF(J288&lt;&gt;"",M288*N288/365/100*('Cashflow Projection'!$B$2-Investors!J288),0)</f>
        <v/>
      </c>
    </row>
    <row r="289">
      <c r="A289" s="3" t="inlineStr">
        <is>
          <t>ZEDE01</t>
        </is>
      </c>
      <c r="B289" s="3" t="inlineStr">
        <is>
          <t>JP</t>
        </is>
      </c>
      <c r="C289" s="3" t="inlineStr">
        <is>
          <t>van Eden</t>
        </is>
      </c>
      <c r="D289" s="3" t="inlineStr">
        <is>
          <t>Heron View</t>
        </is>
      </c>
      <c r="E289" s="3" t="inlineStr">
        <is>
          <t>HVG302</t>
        </is>
      </c>
      <c r="F289" s="3" t="b">
        <v>0</v>
      </c>
      <c r="G289" s="3" t="b">
        <v>0</v>
      </c>
      <c r="H289" s="3" t="inlineStr">
        <is>
          <t>G</t>
        </is>
      </c>
      <c r="I289" s="4" t="n">
        <v>45042</v>
      </c>
      <c r="J289" s="4" t="n">
        <v>45224</v>
      </c>
      <c r="K289" s="4" t="n">
        <v>45532</v>
      </c>
      <c r="L289" s="3" t="n">
        <v>2</v>
      </c>
      <c r="M289" s="3" t="n">
        <v>600000</v>
      </c>
      <c r="N289" s="3" t="n">
        <v>16</v>
      </c>
      <c r="O289" s="3" t="b">
        <v>0</v>
      </c>
      <c r="P289" s="3" t="b">
        <v>0</v>
      </c>
      <c r="Q289" s="3" t="n">
        <v>32621.91780821912</v>
      </c>
      <c r="R289" s="3" t="n">
        <v>81008.2191780822</v>
      </c>
      <c r="S289" s="3" t="n">
        <v>113630.1369863013</v>
      </c>
      <c r="T289" s="5">
        <f>IF(J289&lt;&gt;"",M289*N289/365/100*('Cashflow Projection'!$B$2-Investors!J289),0)</f>
        <v/>
      </c>
    </row>
    <row r="290">
      <c r="A290" s="3" t="inlineStr">
        <is>
          <t>ZAFR01</t>
        </is>
      </c>
      <c r="B290" s="3" t="inlineStr">
        <is>
          <t>John Robert</t>
        </is>
      </c>
      <c r="C290" s="3" t="inlineStr">
        <is>
          <t>Zylstra</t>
        </is>
      </c>
      <c r="D290" s="3" t="inlineStr">
        <is>
          <t>Heron View</t>
        </is>
      </c>
      <c r="E290" s="3" t="inlineStr">
        <is>
          <t>HVG303</t>
        </is>
      </c>
      <c r="F290" s="3" t="b">
        <v>0</v>
      </c>
      <c r="G290" s="3" t="b">
        <v>0</v>
      </c>
      <c r="H290" s="3" t="inlineStr">
        <is>
          <t>G</t>
        </is>
      </c>
      <c r="I290" s="4" t="n">
        <v>45042</v>
      </c>
      <c r="J290" s="4" t="n">
        <v>45224</v>
      </c>
      <c r="K290" s="4" t="n">
        <v>45532</v>
      </c>
      <c r="L290" s="3" t="n">
        <v>6</v>
      </c>
      <c r="M290" s="3" t="n">
        <v>943566.4399999999</v>
      </c>
      <c r="N290" s="3" t="n">
        <v>18</v>
      </c>
      <c r="O290" s="3" t="b">
        <v>0</v>
      </c>
      <c r="P290" s="3" t="b">
        <v>0</v>
      </c>
      <c r="Q290" s="3" t="n">
        <v>51301.57808712347</v>
      </c>
      <c r="R290" s="3" t="n">
        <v>143318.6943386301</v>
      </c>
      <c r="S290" s="3" t="n">
        <v>194620.2724257536</v>
      </c>
      <c r="T290" s="5">
        <f>IF(J290&lt;&gt;"",M290*N290/365/100*('Cashflow Projection'!$B$2-Investors!J290),0)</f>
        <v/>
      </c>
    </row>
    <row r="291">
      <c r="A291" s="3" t="inlineStr">
        <is>
          <t>ZVER02</t>
        </is>
      </c>
      <c r="B291" s="3" t="inlineStr">
        <is>
          <t>Jean-Jacques EP</t>
        </is>
      </c>
      <c r="C291" s="3" t="inlineStr">
        <is>
          <t>Verhaeghe</t>
        </is>
      </c>
      <c r="D291" s="3" t="inlineStr">
        <is>
          <t>Heron View</t>
        </is>
      </c>
      <c r="E291" s="3" t="inlineStr">
        <is>
          <t>HVG303</t>
        </is>
      </c>
      <c r="F291" s="3" t="b">
        <v>0</v>
      </c>
      <c r="G291" s="3" t="b">
        <v>0</v>
      </c>
      <c r="H291" s="3" t="inlineStr">
        <is>
          <t>G</t>
        </is>
      </c>
      <c r="I291" s="4" t="n">
        <v>45097</v>
      </c>
      <c r="J291" s="4" t="n">
        <v>45259</v>
      </c>
      <c r="K291" s="4" t="n">
        <v>45532</v>
      </c>
      <c r="L291" s="3" t="n">
        <v>6</v>
      </c>
      <c r="M291" s="3" t="n">
        <v>139300.72</v>
      </c>
      <c r="N291" s="3" t="n">
        <v>14</v>
      </c>
      <c r="O291" s="3" t="b">
        <v>0</v>
      </c>
      <c r="P291" s="3" t="b">
        <v>0</v>
      </c>
      <c r="Q291" s="3" t="n">
        <v>6800.928302465739</v>
      </c>
      <c r="R291" s="3" t="n">
        <v>14586.50279013699</v>
      </c>
      <c r="S291" s="3" t="n">
        <v>21387.43109260272</v>
      </c>
      <c r="T291" s="5">
        <f>IF(J291&lt;&gt;"",M291*N291/365/100*('Cashflow Projection'!$B$2-Investors!J291),0)</f>
        <v/>
      </c>
    </row>
    <row r="292">
      <c r="A292" s="3" t="inlineStr">
        <is>
          <t>ZJOS01</t>
        </is>
      </c>
      <c r="B292" s="3" t="inlineStr">
        <is>
          <t>Justin</t>
        </is>
      </c>
      <c r="C292" s="3" t="inlineStr">
        <is>
          <t>Joseph</t>
        </is>
      </c>
      <c r="D292" s="3" t="inlineStr">
        <is>
          <t>Heron View</t>
        </is>
      </c>
      <c r="E292" s="3" t="inlineStr">
        <is>
          <t>HVG304</t>
        </is>
      </c>
      <c r="F292" s="3" t="b">
        <v>0</v>
      </c>
      <c r="G292" s="3" t="b">
        <v>0</v>
      </c>
      <c r="H292" s="3" t="inlineStr">
        <is>
          <t>G</t>
        </is>
      </c>
      <c r="I292" s="4" t="n">
        <v>45057</v>
      </c>
      <c r="J292" s="4" t="n">
        <v>45252</v>
      </c>
      <c r="K292" s="4" t="n">
        <v>45532</v>
      </c>
      <c r="L292" s="3" t="n">
        <v>1</v>
      </c>
      <c r="M292" s="3" t="n">
        <v>100000</v>
      </c>
      <c r="N292" s="3" t="n">
        <v>14</v>
      </c>
      <c r="O292" s="3" t="b">
        <v>0</v>
      </c>
      <c r="P292" s="3" t="b">
        <v>0</v>
      </c>
      <c r="Q292" s="3" t="n">
        <v>5849.315068493132</v>
      </c>
      <c r="R292" s="3" t="n">
        <v>10739.72602739726</v>
      </c>
      <c r="S292" s="3" t="n">
        <v>16589.04109589039</v>
      </c>
      <c r="T292" s="5">
        <f>IF(J292&lt;&gt;"",M292*N292/365/100*('Cashflow Projection'!$B$2-Investors!J292),0)</f>
        <v/>
      </c>
    </row>
    <row r="293">
      <c r="A293" s="3" t="inlineStr">
        <is>
          <t>ZREN01</t>
        </is>
      </c>
      <c r="B293" s="3" t="inlineStr">
        <is>
          <t>Marlene Ann</t>
        </is>
      </c>
      <c r="C293" s="3" t="inlineStr">
        <is>
          <t>van Rensburg</t>
        </is>
      </c>
      <c r="D293" s="3" t="inlineStr">
        <is>
          <t>Heron View</t>
        </is>
      </c>
      <c r="E293" s="3" t="inlineStr">
        <is>
          <t>HVG304</t>
        </is>
      </c>
      <c r="F293" s="3" t="b">
        <v>0</v>
      </c>
      <c r="G293" s="3" t="b">
        <v>0</v>
      </c>
      <c r="H293" s="3" t="inlineStr">
        <is>
          <t>G</t>
        </is>
      </c>
      <c r="I293" s="4" t="n">
        <v>45042</v>
      </c>
      <c r="J293" s="4" t="n">
        <v>45198</v>
      </c>
      <c r="K293" s="4" t="n">
        <v>45532</v>
      </c>
      <c r="L293" s="3" t="n">
        <v>5</v>
      </c>
      <c r="M293" s="3" t="n">
        <v>500000</v>
      </c>
      <c r="N293" s="3" t="n">
        <v>18</v>
      </c>
      <c r="O293" s="3" t="b">
        <v>0</v>
      </c>
      <c r="P293" s="3" t="b">
        <v>0</v>
      </c>
      <c r="Q293" s="3" t="n">
        <v>23267.12328767123</v>
      </c>
      <c r="R293" s="3" t="n">
        <v>82356.16438356164</v>
      </c>
      <c r="S293" s="3" t="n">
        <v>105623.2876712329</v>
      </c>
      <c r="T293" s="5">
        <f>IF(J293&lt;&gt;"",M293*N293/365/100*('Cashflow Projection'!$B$2-Investors!J293),0)</f>
        <v/>
      </c>
    </row>
    <row r="294">
      <c r="A294" s="3" t="inlineStr">
        <is>
          <t>ZSCA02</t>
        </is>
      </c>
      <c r="B294" s="3" t="inlineStr">
        <is>
          <t>Chad</t>
        </is>
      </c>
      <c r="C294" s="3" t="inlineStr">
        <is>
          <t>Scalzini</t>
        </is>
      </c>
      <c r="D294" s="3" t="inlineStr">
        <is>
          <t>Heron View</t>
        </is>
      </c>
      <c r="E294" s="3" t="inlineStr">
        <is>
          <t>HVG304</t>
        </is>
      </c>
      <c r="F294" s="3" t="b">
        <v>0</v>
      </c>
      <c r="G294" s="3" t="b">
        <v>0</v>
      </c>
      <c r="H294" s="3" t="inlineStr">
        <is>
          <t>G</t>
        </is>
      </c>
      <c r="I294" s="4" t="n">
        <v>45044</v>
      </c>
      <c r="J294" s="4" t="n">
        <v>45224</v>
      </c>
      <c r="K294" s="4" t="n">
        <v>45532</v>
      </c>
      <c r="L294" s="3" t="n">
        <v>4</v>
      </c>
      <c r="M294" s="3" t="n">
        <v>500000</v>
      </c>
      <c r="N294" s="3" t="n">
        <v>18</v>
      </c>
      <c r="O294" s="3" t="b">
        <v>0</v>
      </c>
      <c r="P294" s="3" t="b">
        <v>0</v>
      </c>
      <c r="Q294" s="3" t="n">
        <v>26897.26027397262</v>
      </c>
      <c r="R294" s="3" t="n">
        <v>75945.20547945205</v>
      </c>
      <c r="S294" s="3" t="n">
        <v>102842.4657534247</v>
      </c>
      <c r="T294" s="5">
        <f>IF(J294&lt;&gt;"",M294*N294/365/100*('Cashflow Projection'!$B$2-Investors!J294),0)</f>
        <v/>
      </c>
    </row>
    <row r="295">
      <c r="A295" s="3" t="inlineStr">
        <is>
          <t>ZHAN07</t>
        </is>
      </c>
      <c r="B295" s="3" t="inlineStr">
        <is>
          <t>Johannes Hendrik (Hans)</t>
        </is>
      </c>
      <c r="C295" s="3" t="inlineStr">
        <is>
          <t>Hanekom</t>
        </is>
      </c>
      <c r="D295" s="3" t="inlineStr">
        <is>
          <t>Heron View</t>
        </is>
      </c>
      <c r="E295" s="3" t="inlineStr">
        <is>
          <t>HVH101</t>
        </is>
      </c>
      <c r="F295" s="3" t="b">
        <v>1</v>
      </c>
      <c r="G295" s="3" t="b">
        <v>0</v>
      </c>
      <c r="H295" s="3" t="inlineStr">
        <is>
          <t>H</t>
        </is>
      </c>
      <c r="I295" s="4" t="n">
        <v>45210</v>
      </c>
      <c r="J295" s="4" t="n">
        <v>45224</v>
      </c>
      <c r="K295" s="4" t="n">
        <v>45490</v>
      </c>
      <c r="L295" s="3" t="n">
        <v>1</v>
      </c>
      <c r="M295" s="3" t="n">
        <v>1100000</v>
      </c>
      <c r="N295" s="3" t="n">
        <v>18</v>
      </c>
      <c r="O295" s="3" t="b">
        <v>0</v>
      </c>
      <c r="P295" s="3" t="b">
        <v>0</v>
      </c>
      <c r="Q295" s="3" t="n">
        <v>4641.095890410958</v>
      </c>
      <c r="R295" s="3" t="n">
        <v>144295.8904109589</v>
      </c>
      <c r="S295" s="3" t="n">
        <v>148936.9863013699</v>
      </c>
      <c r="T295" s="5">
        <f>IF(J295&lt;&gt;"",M295*N295/365/100*('Cashflow Projection'!$B$2-Investors!J295),0)</f>
        <v/>
      </c>
    </row>
    <row r="296">
      <c r="A296" s="3" t="inlineStr">
        <is>
          <t>ZHAN07</t>
        </is>
      </c>
      <c r="B296" s="3" t="inlineStr">
        <is>
          <t>Johannes Hendrik (Hans)</t>
        </is>
      </c>
      <c r="C296" s="3" t="inlineStr">
        <is>
          <t>Hanekom</t>
        </is>
      </c>
      <c r="D296" s="3" t="inlineStr">
        <is>
          <t>Heron View</t>
        </is>
      </c>
      <c r="E296" s="3" t="inlineStr">
        <is>
          <t>HVH102</t>
        </is>
      </c>
      <c r="F296" s="3" t="b">
        <v>1</v>
      </c>
      <c r="G296" s="3" t="b">
        <v>0</v>
      </c>
      <c r="H296" s="3" t="inlineStr">
        <is>
          <t>H</t>
        </is>
      </c>
      <c r="I296" s="4" t="n">
        <v>45210</v>
      </c>
      <c r="J296" s="4" t="n">
        <v>45224</v>
      </c>
      <c r="K296" s="4" t="n">
        <v>45490</v>
      </c>
      <c r="L296" s="3" t="n">
        <v>2</v>
      </c>
      <c r="M296" s="3" t="n">
        <v>1100000</v>
      </c>
      <c r="N296" s="3" t="n">
        <v>18</v>
      </c>
      <c r="O296" s="3" t="b">
        <v>0</v>
      </c>
      <c r="P296" s="3" t="b">
        <v>0</v>
      </c>
      <c r="Q296" s="3" t="n">
        <v>4641.095890410958</v>
      </c>
      <c r="R296" s="3" t="n">
        <v>144295.8904109589</v>
      </c>
      <c r="S296" s="3" t="n">
        <v>148936.9863013699</v>
      </c>
      <c r="T296" s="5">
        <f>IF(J296&lt;&gt;"",M296*N296/365/100*('Cashflow Projection'!$B$2-Investors!J296),0)</f>
        <v/>
      </c>
    </row>
    <row r="297">
      <c r="A297" s="3" t="inlineStr">
        <is>
          <t>ZHAN07</t>
        </is>
      </c>
      <c r="B297" s="3" t="inlineStr">
        <is>
          <t>Johannes Hendrik (Hans)</t>
        </is>
      </c>
      <c r="C297" s="3" t="inlineStr">
        <is>
          <t>Hanekom</t>
        </is>
      </c>
      <c r="D297" s="3" t="inlineStr">
        <is>
          <t>Heron View</t>
        </is>
      </c>
      <c r="E297" s="3" t="inlineStr">
        <is>
          <t>HVH103</t>
        </is>
      </c>
      <c r="F297" s="3" t="b">
        <v>1</v>
      </c>
      <c r="G297" s="3" t="b">
        <v>0</v>
      </c>
      <c r="H297" s="3" t="inlineStr">
        <is>
          <t>H</t>
        </is>
      </c>
      <c r="I297" s="4" t="n">
        <v>45210</v>
      </c>
      <c r="J297" s="4" t="n">
        <v>45224</v>
      </c>
      <c r="K297" s="4" t="n">
        <v>45490</v>
      </c>
      <c r="L297" s="3" t="n">
        <v>3</v>
      </c>
      <c r="M297" s="3" t="n">
        <v>1100000</v>
      </c>
      <c r="N297" s="3" t="n">
        <v>18</v>
      </c>
      <c r="O297" s="3" t="b">
        <v>0</v>
      </c>
      <c r="P297" s="3" t="b">
        <v>0</v>
      </c>
      <c r="Q297" s="3" t="n">
        <v>4641.095890410958</v>
      </c>
      <c r="R297" s="3" t="n">
        <v>144295.8904109589</v>
      </c>
      <c r="S297" s="3" t="n">
        <v>148936.9863013699</v>
      </c>
      <c r="T297" s="5">
        <f>IF(J297&lt;&gt;"",M297*N297/365/100*('Cashflow Projection'!$B$2-Investors!J297),0)</f>
        <v/>
      </c>
    </row>
    <row r="298">
      <c r="A298" s="3" t="inlineStr">
        <is>
          <t>ZHAN07</t>
        </is>
      </c>
      <c r="B298" s="3" t="inlineStr">
        <is>
          <t>Johannes Hendrik (Hans)</t>
        </is>
      </c>
      <c r="C298" s="3" t="inlineStr">
        <is>
          <t>Hanekom</t>
        </is>
      </c>
      <c r="D298" s="3" t="inlineStr">
        <is>
          <t>Heron View</t>
        </is>
      </c>
      <c r="E298" s="3" t="inlineStr">
        <is>
          <t>HVH104</t>
        </is>
      </c>
      <c r="F298" s="3" t="b">
        <v>1</v>
      </c>
      <c r="G298" s="3" t="b">
        <v>0</v>
      </c>
      <c r="H298" s="3" t="inlineStr">
        <is>
          <t>H</t>
        </is>
      </c>
      <c r="I298" s="4" t="n">
        <v>45210</v>
      </c>
      <c r="J298" s="4" t="n">
        <v>45224</v>
      </c>
      <c r="K298" s="4" t="n">
        <v>45490</v>
      </c>
      <c r="L298" s="3" t="n">
        <v>4</v>
      </c>
      <c r="M298" s="3" t="n">
        <v>1100000</v>
      </c>
      <c r="N298" s="3" t="n">
        <v>18</v>
      </c>
      <c r="O298" s="3" t="b">
        <v>0</v>
      </c>
      <c r="P298" s="3" t="b">
        <v>0</v>
      </c>
      <c r="Q298" s="3" t="n">
        <v>4641.095890410958</v>
      </c>
      <c r="R298" s="3" t="n">
        <v>144295.8904109589</v>
      </c>
      <c r="S298" s="3" t="n">
        <v>148936.9863013699</v>
      </c>
      <c r="T298" s="5">
        <f>IF(J298&lt;&gt;"",M298*N298/365/100*('Cashflow Projection'!$B$2-Investors!J298),0)</f>
        <v/>
      </c>
    </row>
    <row r="299">
      <c r="A299" s="3" t="inlineStr">
        <is>
          <t>ZHAN07</t>
        </is>
      </c>
      <c r="B299" s="3" t="inlineStr">
        <is>
          <t>Johannes Hendrik (Hans)</t>
        </is>
      </c>
      <c r="C299" s="3" t="inlineStr">
        <is>
          <t>Hanekom</t>
        </is>
      </c>
      <c r="D299" s="3" t="inlineStr">
        <is>
          <t>Heron View</t>
        </is>
      </c>
      <c r="E299" s="3" t="inlineStr">
        <is>
          <t>HVH201</t>
        </is>
      </c>
      <c r="F299" s="3" t="b">
        <v>1</v>
      </c>
      <c r="G299" s="3" t="b">
        <v>0</v>
      </c>
      <c r="H299" s="3" t="inlineStr">
        <is>
          <t>H</t>
        </is>
      </c>
      <c r="I299" s="4" t="n">
        <v>45254</v>
      </c>
      <c r="J299" s="4" t="n">
        <v>45259</v>
      </c>
      <c r="K299" s="4" t="n">
        <v>45490</v>
      </c>
      <c r="L299" s="3" t="n">
        <v>5</v>
      </c>
      <c r="M299" s="3" t="n">
        <v>1100000</v>
      </c>
      <c r="N299" s="3" t="n">
        <v>18</v>
      </c>
      <c r="O299" s="3" t="b">
        <v>0</v>
      </c>
      <c r="P299" s="3" t="b">
        <v>0</v>
      </c>
      <c r="Q299" s="3" t="n">
        <v>1657.534246575342</v>
      </c>
      <c r="R299" s="3" t="n">
        <v>125309.5890410959</v>
      </c>
      <c r="S299" s="3" t="n">
        <v>126967.1232876712</v>
      </c>
      <c r="T299" s="5">
        <f>IF(J299&lt;&gt;"",M299*N299/365/100*('Cashflow Projection'!$B$2-Investors!J299),0)</f>
        <v/>
      </c>
    </row>
    <row r="300">
      <c r="A300" s="3" t="inlineStr">
        <is>
          <t>ZHAN07</t>
        </is>
      </c>
      <c r="B300" s="3" t="inlineStr">
        <is>
          <t>Johannes Hendrik (Hans)</t>
        </is>
      </c>
      <c r="C300" s="3" t="inlineStr">
        <is>
          <t>Hanekom</t>
        </is>
      </c>
      <c r="D300" s="3" t="inlineStr">
        <is>
          <t>Heron View</t>
        </is>
      </c>
      <c r="E300" s="3" t="inlineStr">
        <is>
          <t>HVH202</t>
        </is>
      </c>
      <c r="F300" s="3" t="b">
        <v>1</v>
      </c>
      <c r="G300" s="3" t="b">
        <v>0</v>
      </c>
      <c r="H300" s="3" t="inlineStr">
        <is>
          <t>H</t>
        </is>
      </c>
      <c r="I300" s="4" t="n">
        <v>45254</v>
      </c>
      <c r="J300" s="4" t="n">
        <v>45273</v>
      </c>
      <c r="K300" s="4" t="n">
        <v>45490</v>
      </c>
      <c r="L300" s="3" t="n">
        <v>6</v>
      </c>
      <c r="M300" s="3" t="n">
        <v>1100000</v>
      </c>
      <c r="N300" s="3" t="n">
        <v>18</v>
      </c>
      <c r="O300" s="3" t="b">
        <v>0</v>
      </c>
      <c r="P300" s="3" t="b">
        <v>0</v>
      </c>
      <c r="Q300" s="3" t="n">
        <v>6298.6301369863</v>
      </c>
      <c r="R300" s="3" t="n">
        <v>117715.0684931507</v>
      </c>
      <c r="S300" s="3" t="n">
        <v>124013.698630137</v>
      </c>
      <c r="T300" s="5">
        <f>IF(J300&lt;&gt;"",M300*N300/365/100*('Cashflow Projection'!$B$2-Investors!J300),0)</f>
        <v/>
      </c>
    </row>
    <row r="301">
      <c r="A301" s="3" t="inlineStr">
        <is>
          <t>ZHAN07</t>
        </is>
      </c>
      <c r="B301" s="3" t="inlineStr">
        <is>
          <t>Johannes Hendrik (Hans)</t>
        </is>
      </c>
      <c r="C301" s="3" t="inlineStr">
        <is>
          <t>Hanekom</t>
        </is>
      </c>
      <c r="D301" s="3" t="inlineStr">
        <is>
          <t>Heron View</t>
        </is>
      </c>
      <c r="E301" s="3" t="inlineStr">
        <is>
          <t>HVH203</t>
        </is>
      </c>
      <c r="F301" s="3" t="b">
        <v>1</v>
      </c>
      <c r="G301" s="3" t="b">
        <v>0</v>
      </c>
      <c r="H301" s="3" t="inlineStr">
        <is>
          <t>H</t>
        </is>
      </c>
      <c r="I301" s="4" t="n">
        <v>45254</v>
      </c>
      <c r="J301" s="4" t="n">
        <v>45273</v>
      </c>
      <c r="K301" s="4" t="n">
        <v>45490</v>
      </c>
      <c r="L301" s="3" t="n">
        <v>7</v>
      </c>
      <c r="M301" s="3" t="n">
        <v>1100000</v>
      </c>
      <c r="N301" s="3" t="n">
        <v>18</v>
      </c>
      <c r="O301" s="3" t="b">
        <v>0</v>
      </c>
      <c r="P301" s="3" t="b">
        <v>0</v>
      </c>
      <c r="Q301" s="3" t="n">
        <v>6298.6301369863</v>
      </c>
      <c r="R301" s="3" t="n">
        <v>117715.0684931507</v>
      </c>
      <c r="S301" s="3" t="n">
        <v>124013.698630137</v>
      </c>
      <c r="T301" s="5">
        <f>IF(J301&lt;&gt;"",M301*N301/365/100*('Cashflow Projection'!$B$2-Investors!J301),0)</f>
        <v/>
      </c>
    </row>
    <row r="302">
      <c r="A302" s="3" t="inlineStr">
        <is>
          <t>ZHAN07</t>
        </is>
      </c>
      <c r="B302" s="3" t="inlineStr">
        <is>
          <t>Johannes Hendrik (Hans)</t>
        </is>
      </c>
      <c r="C302" s="3" t="inlineStr">
        <is>
          <t>Hanekom</t>
        </is>
      </c>
      <c r="D302" s="3" t="inlineStr">
        <is>
          <t>Heron View</t>
        </is>
      </c>
      <c r="E302" s="3" t="inlineStr">
        <is>
          <t>HVH204</t>
        </is>
      </c>
      <c r="F302" s="3" t="b">
        <v>1</v>
      </c>
      <c r="G302" s="3" t="b">
        <v>0</v>
      </c>
      <c r="H302" s="3" t="inlineStr">
        <is>
          <t>H</t>
        </is>
      </c>
      <c r="I302" s="4" t="n">
        <v>45254</v>
      </c>
      <c r="J302" s="4" t="n">
        <v>45273</v>
      </c>
      <c r="K302" s="4" t="n">
        <v>45490</v>
      </c>
      <c r="L302" s="3" t="n">
        <v>8</v>
      </c>
      <c r="M302" s="3" t="n">
        <v>1100000</v>
      </c>
      <c r="N302" s="3" t="n">
        <v>18</v>
      </c>
      <c r="O302" s="3" t="b">
        <v>0</v>
      </c>
      <c r="P302" s="3" t="b">
        <v>0</v>
      </c>
      <c r="Q302" s="3" t="n">
        <v>6298.6301369863</v>
      </c>
      <c r="R302" s="3" t="n">
        <v>117715.0684931507</v>
      </c>
      <c r="S302" s="3" t="n">
        <v>124013.698630137</v>
      </c>
      <c r="T302" s="5">
        <f>IF(J302&lt;&gt;"",M302*N302/365/100*('Cashflow Projection'!$B$2-Investors!J302),0)</f>
        <v/>
      </c>
    </row>
    <row r="303">
      <c r="A303" s="3" t="inlineStr">
        <is>
          <t>ZDEB01</t>
        </is>
      </c>
      <c r="B303" s="3" t="inlineStr">
        <is>
          <t>William Henry</t>
        </is>
      </c>
      <c r="C303" s="3" t="inlineStr">
        <is>
          <t>De Beer</t>
        </is>
      </c>
      <c r="D303" s="3" t="inlineStr">
        <is>
          <t>Heron View</t>
        </is>
      </c>
      <c r="E303" s="3" t="inlineStr">
        <is>
          <t>HVI101</t>
        </is>
      </c>
      <c r="F303" s="3" t="b">
        <v>0</v>
      </c>
      <c r="G303" s="3" t="b">
        <v>0</v>
      </c>
      <c r="H303" s="3" t="inlineStr">
        <is>
          <t>I</t>
        </is>
      </c>
      <c r="I303" s="4" t="n">
        <v>45044</v>
      </c>
      <c r="J303" s="4" t="n">
        <v>45224</v>
      </c>
      <c r="K303" s="4" t="n">
        <v>45516</v>
      </c>
      <c r="L303" s="3" t="n">
        <v>9</v>
      </c>
      <c r="M303" s="3" t="n">
        <v>1100000</v>
      </c>
      <c r="N303" s="3" t="n">
        <v>18</v>
      </c>
      <c r="O303" s="3" t="b">
        <v>0</v>
      </c>
      <c r="P303" s="3" t="b">
        <v>0</v>
      </c>
      <c r="Q303" s="3" t="n">
        <v>59173.97260273972</v>
      </c>
      <c r="R303" s="3" t="n">
        <v>158400</v>
      </c>
      <c r="S303" s="3" t="n">
        <v>217573.9726027397</v>
      </c>
      <c r="T303" s="5">
        <f>IF(J303&lt;&gt;"",M303*N303/365/100*('Cashflow Projection'!$B$2-Investors!J303),0)</f>
        <v/>
      </c>
    </row>
    <row r="304">
      <c r="A304" s="3" t="inlineStr">
        <is>
          <t>ZBEL01</t>
        </is>
      </c>
      <c r="B304" s="3" t="inlineStr">
        <is>
          <t>Helen Constance</t>
        </is>
      </c>
      <c r="C304" s="3" t="inlineStr">
        <is>
          <t>Belford</t>
        </is>
      </c>
      <c r="D304" s="3" t="inlineStr">
        <is>
          <t>Heron View</t>
        </is>
      </c>
      <c r="E304" s="3" t="inlineStr">
        <is>
          <t>HVI102</t>
        </is>
      </c>
      <c r="F304" s="3" t="b">
        <v>0</v>
      </c>
      <c r="G304" s="3" t="b">
        <v>0</v>
      </c>
      <c r="H304" s="3" t="inlineStr">
        <is>
          <t>I</t>
        </is>
      </c>
      <c r="I304" s="4" t="n">
        <v>45064</v>
      </c>
      <c r="J304" s="4" t="n">
        <v>45252</v>
      </c>
      <c r="K304" s="4" t="n">
        <v>45516</v>
      </c>
      <c r="L304" s="3" t="n">
        <v>6</v>
      </c>
      <c r="M304" s="3" t="n">
        <v>351000</v>
      </c>
      <c r="N304" s="3" t="n">
        <v>18</v>
      </c>
      <c r="O304" s="3" t="b">
        <v>0</v>
      </c>
      <c r="P304" s="3" t="b">
        <v>0</v>
      </c>
      <c r="Q304" s="3" t="n">
        <v>19824.28767123281</v>
      </c>
      <c r="R304" s="3" t="n">
        <v>45697.31506849315</v>
      </c>
      <c r="S304" s="3" t="n">
        <v>65521.60273972596</v>
      </c>
      <c r="T304" s="5">
        <f>IF(J304&lt;&gt;"",M304*N304/365/100*('Cashflow Projection'!$B$2-Investors!J304),0)</f>
        <v/>
      </c>
    </row>
    <row r="305">
      <c r="A305" s="3" t="inlineStr">
        <is>
          <t>ZCAR01</t>
        </is>
      </c>
      <c r="B305" s="3" t="inlineStr">
        <is>
          <t>Martin Michael</t>
        </is>
      </c>
      <c r="C305" s="3" t="inlineStr">
        <is>
          <t>Carolus</t>
        </is>
      </c>
      <c r="D305" s="3" t="inlineStr">
        <is>
          <t>Heron View</t>
        </is>
      </c>
      <c r="E305" s="3" t="inlineStr">
        <is>
          <t>HVI102</t>
        </is>
      </c>
      <c r="F305" s="3" t="b">
        <v>0</v>
      </c>
      <c r="G305" s="3" t="b">
        <v>0</v>
      </c>
      <c r="H305" s="3" t="inlineStr">
        <is>
          <t>I</t>
        </is>
      </c>
      <c r="I305" s="4" t="n">
        <v>45099</v>
      </c>
      <c r="J305" s="4" t="n">
        <v>45259</v>
      </c>
      <c r="K305" s="4" t="n">
        <v>45516</v>
      </c>
      <c r="L305" s="3" t="n">
        <v>1</v>
      </c>
      <c r="M305" s="3" t="n">
        <v>150000</v>
      </c>
      <c r="N305" s="3" t="n">
        <v>14</v>
      </c>
      <c r="O305" s="3" t="b">
        <v>0</v>
      </c>
      <c r="P305" s="3" t="b">
        <v>0</v>
      </c>
      <c r="Q305" s="3" t="n">
        <v>7232.876712328757</v>
      </c>
      <c r="R305" s="3" t="n">
        <v>14786.30136986301</v>
      </c>
      <c r="S305" s="3" t="n">
        <v>22019.17808219177</v>
      </c>
      <c r="T305" s="5">
        <f>IF(J305&lt;&gt;"",M305*N305/365/100*('Cashflow Projection'!$B$2-Investors!J305),0)</f>
        <v/>
      </c>
    </row>
    <row r="306">
      <c r="A306" s="3" t="inlineStr">
        <is>
          <t>ZCOE02</t>
        </is>
      </c>
      <c r="B306" s="3" t="inlineStr">
        <is>
          <t>Hugo Amos</t>
        </is>
      </c>
      <c r="C306" s="3" t="inlineStr">
        <is>
          <t>Coetzee</t>
        </is>
      </c>
      <c r="D306" s="3" t="inlineStr">
        <is>
          <t>Heron View</t>
        </is>
      </c>
      <c r="E306" s="3" t="inlineStr">
        <is>
          <t>HVI102</t>
        </is>
      </c>
      <c r="F306" s="3" t="b">
        <v>0</v>
      </c>
      <c r="G306" s="3" t="b">
        <v>0</v>
      </c>
      <c r="H306" s="3" t="inlineStr">
        <is>
          <t>I</t>
        </is>
      </c>
      <c r="I306" s="4" t="n">
        <v>45044</v>
      </c>
      <c r="J306" s="4" t="n">
        <v>45224</v>
      </c>
      <c r="K306" s="4" t="n">
        <v>45516</v>
      </c>
      <c r="L306" s="3" t="n">
        <v>1</v>
      </c>
      <c r="M306" s="3" t="n">
        <v>400000</v>
      </c>
      <c r="N306" s="3" t="n">
        <v>14</v>
      </c>
      <c r="O306" s="3" t="b">
        <v>0</v>
      </c>
      <c r="P306" s="3" t="b">
        <v>0</v>
      </c>
      <c r="Q306" s="3" t="n">
        <v>21517.80821917801</v>
      </c>
      <c r="R306" s="3" t="n">
        <v>44800</v>
      </c>
      <c r="S306" s="3" t="n">
        <v>66317.80821917801</v>
      </c>
      <c r="T306" s="5">
        <f>IF(J306&lt;&gt;"",M306*N306/365/100*('Cashflow Projection'!$B$2-Investors!J306),0)</f>
        <v/>
      </c>
    </row>
    <row r="307">
      <c r="A307" s="3" t="inlineStr">
        <is>
          <t>ZNEL01</t>
        </is>
      </c>
      <c r="B307" s="3" t="inlineStr">
        <is>
          <t>Lambertus Renier (Bertie)</t>
        </is>
      </c>
      <c r="C307" s="3" t="inlineStr">
        <is>
          <t>Nel</t>
        </is>
      </c>
      <c r="D307" s="3" t="inlineStr">
        <is>
          <t>Heron View</t>
        </is>
      </c>
      <c r="E307" s="3" t="inlineStr">
        <is>
          <t>HVI102</t>
        </is>
      </c>
      <c r="F307" s="3" t="b">
        <v>0</v>
      </c>
      <c r="G307" s="3" t="b">
        <v>0</v>
      </c>
      <c r="H307" s="3" t="inlineStr">
        <is>
          <t>I</t>
        </is>
      </c>
      <c r="I307" s="4" t="n">
        <v>45113</v>
      </c>
      <c r="J307" s="4" t="n">
        <v>45259</v>
      </c>
      <c r="K307" s="4" t="n">
        <v>45516</v>
      </c>
      <c r="L307" s="3" t="n">
        <v>1</v>
      </c>
      <c r="M307" s="3" t="n">
        <v>200000</v>
      </c>
      <c r="N307" s="3" t="n">
        <v>14</v>
      </c>
      <c r="O307" s="3" t="b">
        <v>0</v>
      </c>
      <c r="P307" s="3" t="b">
        <v>0</v>
      </c>
      <c r="Q307" s="3" t="n">
        <v>8799.999999999978</v>
      </c>
      <c r="R307" s="3" t="n">
        <v>19715.06849315068</v>
      </c>
      <c r="S307" s="3" t="n">
        <v>28515.06849315066</v>
      </c>
      <c r="T307" s="5">
        <f>IF(J307&lt;&gt;"",M307*N307/365/100*('Cashflow Projection'!$B$2-Investors!J307),0)</f>
        <v/>
      </c>
    </row>
    <row r="308">
      <c r="A308" s="3" t="inlineStr">
        <is>
          <t>ZSWA02</t>
        </is>
      </c>
      <c r="B308" s="3" t="inlineStr">
        <is>
          <t>Daniel Christiaan De Wet</t>
        </is>
      </c>
      <c r="C308" s="3" t="inlineStr">
        <is>
          <t>Swanepoel</t>
        </is>
      </c>
      <c r="D308" s="3" t="inlineStr">
        <is>
          <t>Heron View</t>
        </is>
      </c>
      <c r="E308" s="3" t="inlineStr">
        <is>
          <t>HVI103</t>
        </is>
      </c>
      <c r="F308" s="3" t="b">
        <v>0</v>
      </c>
      <c r="G308" s="3" t="b">
        <v>0</v>
      </c>
      <c r="H308" s="3" t="inlineStr">
        <is>
          <t>I</t>
        </is>
      </c>
      <c r="I308" s="4" t="n">
        <v>45064</v>
      </c>
      <c r="J308" s="4" t="n">
        <v>45259</v>
      </c>
      <c r="K308" s="4" t="n">
        <v>45516</v>
      </c>
      <c r="L308" s="3" t="n">
        <v>1</v>
      </c>
      <c r="M308" s="3" t="n">
        <v>1000000</v>
      </c>
      <c r="N308" s="3" t="n">
        <v>18</v>
      </c>
      <c r="O308" s="3" t="b">
        <v>0</v>
      </c>
      <c r="P308" s="3" t="b">
        <v>0</v>
      </c>
      <c r="Q308" s="3" t="n">
        <v>58589.04109589048</v>
      </c>
      <c r="R308" s="3" t="n">
        <v>126739.7260273973</v>
      </c>
      <c r="S308" s="3" t="n">
        <v>185328.7671232877</v>
      </c>
      <c r="T308" s="5">
        <f>IF(J308&lt;&gt;"",M308*N308/365/100*('Cashflow Projection'!$B$2-Investors!J308),0)</f>
        <v/>
      </c>
    </row>
    <row r="309">
      <c r="A309" s="3" t="inlineStr">
        <is>
          <t>ZVDM01</t>
        </is>
      </c>
      <c r="B309" s="3" t="inlineStr">
        <is>
          <t>Paula</t>
        </is>
      </c>
      <c r="C309" s="3" t="inlineStr">
        <is>
          <t>van der Mescht</t>
        </is>
      </c>
      <c r="D309" s="3" t="inlineStr">
        <is>
          <t>Heron View</t>
        </is>
      </c>
      <c r="E309" s="3" t="inlineStr">
        <is>
          <t>HVI103</t>
        </is>
      </c>
      <c r="F309" s="3" t="b">
        <v>0</v>
      </c>
      <c r="G309" s="3" t="b">
        <v>0</v>
      </c>
      <c r="H309" s="3" t="inlineStr">
        <is>
          <t>I</t>
        </is>
      </c>
      <c r="I309" s="4" t="n">
        <v>45328</v>
      </c>
      <c r="J309" s="4" t="n">
        <v>45371</v>
      </c>
      <c r="K309" s="4" t="n">
        <v>45516</v>
      </c>
      <c r="L309" s="3" t="n">
        <v>6</v>
      </c>
      <c r="M309" s="3" t="n">
        <v>100000</v>
      </c>
      <c r="N309" s="3" t="n">
        <v>14</v>
      </c>
      <c r="O309" s="3" t="b">
        <v>0</v>
      </c>
      <c r="P309" s="3" t="b">
        <v>0</v>
      </c>
      <c r="Q309" s="3" t="n">
        <v>1295.890410958905</v>
      </c>
      <c r="R309" s="3" t="n">
        <v>5561.643835616438</v>
      </c>
      <c r="S309" s="3" t="n">
        <v>6857.534246575344</v>
      </c>
      <c r="T309" s="5">
        <f>IF(J309&lt;&gt;"",M309*N309/365/100*('Cashflow Projection'!$B$2-Investors!J309),0)</f>
        <v/>
      </c>
    </row>
    <row r="310">
      <c r="A310" s="3" t="inlineStr">
        <is>
          <t>ZDUP01</t>
        </is>
      </c>
      <c r="B310" s="3" t="inlineStr">
        <is>
          <t>Georgina</t>
        </is>
      </c>
      <c r="C310" s="3" t="inlineStr">
        <is>
          <t>Du Plooy</t>
        </is>
      </c>
      <c r="D310" s="3" t="inlineStr">
        <is>
          <t>Heron View</t>
        </is>
      </c>
      <c r="E310" s="3" t="inlineStr">
        <is>
          <t>HVI104</t>
        </is>
      </c>
      <c r="F310" s="3" t="b">
        <v>0</v>
      </c>
      <c r="G310" s="3" t="b">
        <v>0</v>
      </c>
      <c r="H310" s="3" t="inlineStr">
        <is>
          <t>I</t>
        </is>
      </c>
      <c r="I310" s="4" t="n">
        <v>45097</v>
      </c>
      <c r="J310" s="4" t="n">
        <v>45259</v>
      </c>
      <c r="K310" s="4" t="n">
        <v>45516</v>
      </c>
      <c r="L310" s="3" t="n">
        <v>2</v>
      </c>
      <c r="M310" s="3" t="n">
        <v>100000</v>
      </c>
      <c r="N310" s="3" t="n">
        <v>14</v>
      </c>
      <c r="O310" s="3" t="b">
        <v>0</v>
      </c>
      <c r="P310" s="3" t="b">
        <v>0</v>
      </c>
      <c r="Q310" s="3" t="n">
        <v>4882.191780821904</v>
      </c>
      <c r="R310" s="3" t="n">
        <v>9857.534246575342</v>
      </c>
      <c r="S310" s="3" t="n">
        <v>14739.72602739725</v>
      </c>
      <c r="T310" s="5">
        <f>IF(J310&lt;&gt;"",M310*N310/365/100*('Cashflow Projection'!$B$2-Investors!J310),0)</f>
        <v/>
      </c>
    </row>
    <row r="311">
      <c r="A311" s="3" t="inlineStr">
        <is>
          <t>ZRUS01</t>
        </is>
      </c>
      <c r="B311" s="3" t="inlineStr">
        <is>
          <t>Izak Cornelius</t>
        </is>
      </c>
      <c r="C311" s="3" t="inlineStr">
        <is>
          <t>Rust</t>
        </is>
      </c>
      <c r="D311" s="3" t="inlineStr">
        <is>
          <t>Heron View</t>
        </is>
      </c>
      <c r="E311" s="3" t="inlineStr">
        <is>
          <t>HVI104</t>
        </is>
      </c>
      <c r="F311" s="3" t="b">
        <v>0</v>
      </c>
      <c r="G311" s="3" t="b">
        <v>0</v>
      </c>
      <c r="H311" s="3" t="inlineStr">
        <is>
          <t>I</t>
        </is>
      </c>
      <c r="I311" s="4" t="n">
        <v>45086</v>
      </c>
      <c r="J311" s="4" t="n">
        <v>45259</v>
      </c>
      <c r="K311" s="4" t="n">
        <v>45516</v>
      </c>
      <c r="L311" s="3" t="n">
        <v>2</v>
      </c>
      <c r="M311" s="3" t="n">
        <v>1000000</v>
      </c>
      <c r="N311" s="3" t="n">
        <v>18</v>
      </c>
      <c r="O311" s="3" t="b">
        <v>0</v>
      </c>
      <c r="P311" s="3" t="b">
        <v>0</v>
      </c>
      <c r="Q311" s="3" t="n">
        <v>52136.98630136989</v>
      </c>
      <c r="R311" s="3" t="n">
        <v>126739.7260273973</v>
      </c>
      <c r="S311" s="3" t="n">
        <v>178876.7123287672</v>
      </c>
      <c r="T311" s="5">
        <f>IF(J311&lt;&gt;"",M311*N311/365/100*('Cashflow Projection'!$B$2-Investors!J311),0)</f>
        <v/>
      </c>
    </row>
    <row r="312">
      <c r="A312" s="3" t="inlineStr">
        <is>
          <t>ZDEL01</t>
        </is>
      </c>
      <c r="B312" s="3" t="inlineStr">
        <is>
          <t>Pieter</t>
        </is>
      </c>
      <c r="C312" s="3" t="inlineStr">
        <is>
          <t>Jansen van Vuuren</t>
        </is>
      </c>
      <c r="D312" s="3" t="inlineStr">
        <is>
          <t>Heron View</t>
        </is>
      </c>
      <c r="E312" s="3" t="inlineStr">
        <is>
          <t>HVI201</t>
        </is>
      </c>
      <c r="F312" s="3" t="b">
        <v>0</v>
      </c>
      <c r="G312" s="3" t="b">
        <v>0</v>
      </c>
      <c r="H312" s="3" t="inlineStr">
        <is>
          <t>I</t>
        </is>
      </c>
      <c r="I312" s="4" t="n">
        <v>45141</v>
      </c>
      <c r="J312" s="4" t="n">
        <v>45259</v>
      </c>
      <c r="K312" s="4" t="n">
        <v>45516</v>
      </c>
      <c r="L312" s="3" t="n">
        <v>11</v>
      </c>
      <c r="M312" s="3" t="n">
        <v>100000</v>
      </c>
      <c r="N312" s="3" t="n">
        <v>18</v>
      </c>
      <c r="O312" s="3" t="b">
        <v>0</v>
      </c>
      <c r="P312" s="3" t="b">
        <v>0</v>
      </c>
      <c r="Q312" s="3" t="n">
        <v>3556.164383561638</v>
      </c>
      <c r="R312" s="3" t="n">
        <v>12673.97260273973</v>
      </c>
      <c r="S312" s="3" t="n">
        <v>16230.13698630136</v>
      </c>
      <c r="T312" s="5">
        <f>IF(J312&lt;&gt;"",M312*N312/365/100*('Cashflow Projection'!$B$2-Investors!J312),0)</f>
        <v/>
      </c>
    </row>
    <row r="313">
      <c r="A313" s="3" t="inlineStr">
        <is>
          <t>ZESP01</t>
        </is>
      </c>
      <c r="B313" s="3" t="inlineStr">
        <is>
          <t>Etienne</t>
        </is>
      </c>
      <c r="C313" s="3" t="inlineStr">
        <is>
          <t>Espag</t>
        </is>
      </c>
      <c r="D313" s="3" t="inlineStr">
        <is>
          <t>Heron View</t>
        </is>
      </c>
      <c r="E313" s="3" t="inlineStr">
        <is>
          <t>HVI201</t>
        </is>
      </c>
      <c r="F313" s="3" t="b">
        <v>0</v>
      </c>
      <c r="G313" s="3" t="b">
        <v>0</v>
      </c>
      <c r="H313" s="3" t="inlineStr">
        <is>
          <t>I</t>
        </is>
      </c>
      <c r="I313" s="4" t="n">
        <v>45086</v>
      </c>
      <c r="J313" s="4" t="n">
        <v>45252</v>
      </c>
      <c r="K313" s="4" t="n">
        <v>45516</v>
      </c>
      <c r="L313" s="3" t="n">
        <v>2</v>
      </c>
      <c r="M313" s="3" t="n">
        <v>700000</v>
      </c>
      <c r="N313" s="3" t="n">
        <v>16</v>
      </c>
      <c r="O313" s="3" t="b">
        <v>0</v>
      </c>
      <c r="P313" s="3" t="b">
        <v>0</v>
      </c>
      <c r="Q313" s="3" t="n">
        <v>35019.17808219185</v>
      </c>
      <c r="R313" s="3" t="n">
        <v>81008.21917808219</v>
      </c>
      <c r="S313" s="3" t="n">
        <v>116027.397260274</v>
      </c>
      <c r="T313" s="5">
        <f>IF(J313&lt;&gt;"",M313*N313/365/100*('Cashflow Projection'!$B$2-Investors!J313),0)</f>
        <v/>
      </c>
    </row>
    <row r="314">
      <c r="A314" s="3" t="inlineStr">
        <is>
          <t>ZKRO01</t>
        </is>
      </c>
      <c r="B314" s="3" t="inlineStr">
        <is>
          <t>Frans</t>
        </is>
      </c>
      <c r="C314" s="3" t="inlineStr">
        <is>
          <t>van der Merwe</t>
        </is>
      </c>
      <c r="D314" s="3" t="inlineStr">
        <is>
          <t>Heron View</t>
        </is>
      </c>
      <c r="E314" s="3" t="inlineStr">
        <is>
          <t>HVI201</t>
        </is>
      </c>
      <c r="F314" s="3" t="b">
        <v>0</v>
      </c>
      <c r="G314" s="3" t="b">
        <v>0</v>
      </c>
      <c r="H314" s="3" t="inlineStr">
        <is>
          <t>I</t>
        </is>
      </c>
      <c r="I314" s="4" t="n">
        <v>45141</v>
      </c>
      <c r="J314" s="4" t="n">
        <v>45273</v>
      </c>
      <c r="K314" s="4" t="n">
        <v>45516</v>
      </c>
      <c r="L314" s="3" t="n">
        <v>5</v>
      </c>
      <c r="M314" s="3" t="n">
        <v>300000</v>
      </c>
      <c r="N314" s="3" t="n">
        <v>18</v>
      </c>
      <c r="O314" s="3" t="b">
        <v>0</v>
      </c>
      <c r="P314" s="3" t="b">
        <v>0</v>
      </c>
      <c r="Q314" s="3" t="n">
        <v>11934.24657534246</v>
      </c>
      <c r="R314" s="3" t="n">
        <v>35950.68493150685</v>
      </c>
      <c r="S314" s="3" t="n">
        <v>47884.93150684931</v>
      </c>
      <c r="T314" s="5">
        <f>IF(J314&lt;&gt;"",M314*N314/365/100*('Cashflow Projection'!$B$2-Investors!J314),0)</f>
        <v/>
      </c>
    </row>
    <row r="315">
      <c r="A315" s="3" t="inlineStr">
        <is>
          <t>ZKRI02</t>
        </is>
      </c>
      <c r="B315" s="3" t="inlineStr">
        <is>
          <t>Hermanus Johannes</t>
        </is>
      </c>
      <c r="C315" s="3" t="inlineStr">
        <is>
          <t>Kriel</t>
        </is>
      </c>
      <c r="D315" s="3" t="inlineStr">
        <is>
          <t>Heron View</t>
        </is>
      </c>
      <c r="E315" s="3" t="inlineStr">
        <is>
          <t>HVI202</t>
        </is>
      </c>
      <c r="F315" s="3" t="b">
        <v>0</v>
      </c>
      <c r="G315" s="3" t="b">
        <v>0</v>
      </c>
      <c r="H315" s="3" t="inlineStr">
        <is>
          <t>I</t>
        </is>
      </c>
      <c r="I315" s="4" t="n">
        <v>45097</v>
      </c>
      <c r="J315" s="4" t="n">
        <v>45259</v>
      </c>
      <c r="K315" s="4" t="n">
        <v>45516</v>
      </c>
      <c r="L315" s="3" t="n">
        <v>5</v>
      </c>
      <c r="M315" s="3" t="n">
        <v>1100000</v>
      </c>
      <c r="N315" s="3" t="n">
        <v>18</v>
      </c>
      <c r="O315" s="3" t="b">
        <v>0</v>
      </c>
      <c r="P315" s="3" t="b">
        <v>0</v>
      </c>
      <c r="Q315" s="3" t="n">
        <v>53704.10958904109</v>
      </c>
      <c r="R315" s="3" t="n">
        <v>139413.698630137</v>
      </c>
      <c r="S315" s="3" t="n">
        <v>193117.8082191781</v>
      </c>
      <c r="T315" s="5">
        <f>IF(J315&lt;&gt;"",M315*N315/365/100*('Cashflow Projection'!$B$2-Investors!J315),0)</f>
        <v/>
      </c>
    </row>
    <row r="316">
      <c r="A316" s="3" t="inlineStr">
        <is>
          <t>ZKRI02</t>
        </is>
      </c>
      <c r="B316" s="3" t="inlineStr">
        <is>
          <t>Hermanus Johannes</t>
        </is>
      </c>
      <c r="C316" s="3" t="inlineStr">
        <is>
          <t>Kriel</t>
        </is>
      </c>
      <c r="D316" s="3" t="inlineStr">
        <is>
          <t>Heron View</t>
        </is>
      </c>
      <c r="E316" s="3" t="inlineStr">
        <is>
          <t>HVI203</t>
        </is>
      </c>
      <c r="F316" s="3" t="b">
        <v>0</v>
      </c>
      <c r="G316" s="3" t="b">
        <v>0</v>
      </c>
      <c r="H316" s="3" t="inlineStr">
        <is>
          <t>I</t>
        </is>
      </c>
      <c r="I316" s="4" t="n">
        <v>45097</v>
      </c>
      <c r="J316" s="4" t="n">
        <v>45259</v>
      </c>
      <c r="K316" s="4" t="n">
        <v>45516</v>
      </c>
      <c r="L316" s="3" t="n">
        <v>6</v>
      </c>
      <c r="M316" s="3" t="n">
        <v>1100000</v>
      </c>
      <c r="N316" s="3" t="n">
        <v>18</v>
      </c>
      <c r="O316" s="3" t="b">
        <v>0</v>
      </c>
      <c r="P316" s="3" t="b">
        <v>0</v>
      </c>
      <c r="Q316" s="3" t="n">
        <v>53704.10958904109</v>
      </c>
      <c r="R316" s="3" t="n">
        <v>139413.698630137</v>
      </c>
      <c r="S316" s="3" t="n">
        <v>193117.8082191781</v>
      </c>
      <c r="T316" s="5">
        <f>IF(J316&lt;&gt;"",M316*N316/365/100*('Cashflow Projection'!$B$2-Investors!J316),0)</f>
        <v/>
      </c>
    </row>
    <row r="317">
      <c r="A317" s="3" t="inlineStr">
        <is>
          <t>ZMYB01</t>
        </is>
      </c>
      <c r="B317" s="3" t="inlineStr">
        <is>
          <t>Hermanus Carel</t>
        </is>
      </c>
      <c r="C317" s="3" t="inlineStr">
        <is>
          <t>Myburgh</t>
        </is>
      </c>
      <c r="D317" s="3" t="inlineStr">
        <is>
          <t>Heron View</t>
        </is>
      </c>
      <c r="E317" s="3" t="inlineStr">
        <is>
          <t>HVI204</t>
        </is>
      </c>
      <c r="F317" s="3" t="b">
        <v>0</v>
      </c>
      <c r="G317" s="3" t="b">
        <v>0</v>
      </c>
      <c r="H317" s="3" t="inlineStr">
        <is>
          <t>I</t>
        </is>
      </c>
      <c r="I317" s="4" t="n">
        <v>45099</v>
      </c>
      <c r="J317" s="4" t="n">
        <v>45280</v>
      </c>
      <c r="K317" s="4" t="n">
        <v>45516</v>
      </c>
      <c r="L317" s="3" t="n">
        <v>2</v>
      </c>
      <c r="M317" s="3" t="n">
        <v>1100000</v>
      </c>
      <c r="N317" s="3" t="n">
        <v>18</v>
      </c>
      <c r="O317" s="3" t="b">
        <v>0</v>
      </c>
      <c r="P317" s="3" t="b">
        <v>0</v>
      </c>
      <c r="Q317" s="3" t="n">
        <v>60002.73972602739</v>
      </c>
      <c r="R317" s="3" t="n">
        <v>128021.9178082192</v>
      </c>
      <c r="S317" s="3" t="n">
        <v>188024.6575342466</v>
      </c>
      <c r="T317" s="5">
        <f>IF(J317&lt;&gt;"",M317*N317/365/100*('Cashflow Projection'!$B$2-Investors!J317),0)</f>
        <v/>
      </c>
    </row>
    <row r="318">
      <c r="A318" s="3" t="inlineStr">
        <is>
          <t>ZOLI01</t>
        </is>
      </c>
      <c r="B318" s="3" t="inlineStr">
        <is>
          <t>Jan Lukas Cornelus</t>
        </is>
      </c>
      <c r="C318" s="3" t="inlineStr">
        <is>
          <t>Olivier</t>
        </is>
      </c>
      <c r="D318" s="3" t="inlineStr">
        <is>
          <t>Heron View</t>
        </is>
      </c>
      <c r="E318" s="3" t="inlineStr">
        <is>
          <t>HVJ101</t>
        </is>
      </c>
      <c r="F318" s="3" t="b">
        <v>1</v>
      </c>
      <c r="G318" s="3" t="b">
        <v>0</v>
      </c>
      <c r="H318" s="3" t="inlineStr">
        <is>
          <t>J</t>
        </is>
      </c>
      <c r="I318" s="4" t="n">
        <v>44732</v>
      </c>
      <c r="J318" s="4" t="n">
        <v>44779</v>
      </c>
      <c r="K318" s="4" t="n">
        <v>45552</v>
      </c>
      <c r="L318" s="3" t="n">
        <v>2</v>
      </c>
      <c r="M318" s="3" t="n">
        <v>500000</v>
      </c>
      <c r="N318" s="3" t="n">
        <v>18</v>
      </c>
      <c r="O318" s="3" t="b">
        <v>0</v>
      </c>
      <c r="P318" s="3" t="b">
        <v>0</v>
      </c>
      <c r="Q318" s="3" t="n">
        <v>4890.410958904111</v>
      </c>
      <c r="R318" s="3" t="n">
        <v>190602.7397260274</v>
      </c>
      <c r="S318" s="3" t="n">
        <v>195493.1506849315</v>
      </c>
      <c r="T318" s="5">
        <f>IF(J318&lt;&gt;"",M318*N318/365/100*('Cashflow Projection'!$B$2-Investors!J318),0)</f>
        <v/>
      </c>
    </row>
    <row r="319">
      <c r="A319" s="3" t="inlineStr">
        <is>
          <t>ZVAN05</t>
        </is>
      </c>
      <c r="B319" s="3" t="inlineStr">
        <is>
          <t>Hermanus</t>
        </is>
      </c>
      <c r="C319" s="3" t="inlineStr">
        <is>
          <t>van der Sandt</t>
        </is>
      </c>
      <c r="D319" s="3" t="inlineStr">
        <is>
          <t>Heron View</t>
        </is>
      </c>
      <c r="E319" s="3" t="inlineStr">
        <is>
          <t>HVJ101</t>
        </is>
      </c>
      <c r="F319" s="3" t="b">
        <v>1</v>
      </c>
      <c r="G319" s="3" t="b">
        <v>0</v>
      </c>
      <c r="H319" s="3" t="inlineStr">
        <is>
          <t>J</t>
        </is>
      </c>
      <c r="I319" s="4" t="n">
        <v>44719</v>
      </c>
      <c r="J319" s="4" t="n">
        <v>44777</v>
      </c>
      <c r="K319" s="4" t="n">
        <v>45552</v>
      </c>
      <c r="L319" s="3" t="n">
        <v>2</v>
      </c>
      <c r="M319" s="3" t="n">
        <v>525000</v>
      </c>
      <c r="N319" s="3" t="n">
        <v>18</v>
      </c>
      <c r="O319" s="3" t="b">
        <v>0</v>
      </c>
      <c r="P319" s="3" t="b">
        <v>0</v>
      </c>
      <c r="Q319" s="3" t="n">
        <v>6300.000000000001</v>
      </c>
      <c r="R319" s="3" t="n">
        <v>200650.6849315068</v>
      </c>
      <c r="S319" s="3" t="n">
        <v>206950.6849315068</v>
      </c>
      <c r="T319" s="5">
        <f>IF(J319&lt;&gt;"",M319*N319/365/100*('Cashflow Projection'!$B$2-Investors!J319),0)</f>
        <v/>
      </c>
    </row>
    <row r="320">
      <c r="A320" s="3" t="inlineStr">
        <is>
          <t>ZKUS03</t>
        </is>
      </c>
      <c r="B320" s="3" t="inlineStr">
        <is>
          <t>Joanne Tracy</t>
        </is>
      </c>
      <c r="C320" s="3" t="inlineStr">
        <is>
          <t>Kuster</t>
        </is>
      </c>
      <c r="D320" s="3" t="inlineStr">
        <is>
          <t>Heron View</t>
        </is>
      </c>
      <c r="E320" s="3" t="inlineStr">
        <is>
          <t>HVJ102</t>
        </is>
      </c>
      <c r="F320" s="3" t="b">
        <v>0</v>
      </c>
      <c r="G320" s="3" t="b">
        <v>0</v>
      </c>
      <c r="H320" s="3" t="inlineStr">
        <is>
          <t>J</t>
        </is>
      </c>
      <c r="I320" s="4" t="n">
        <v>44719</v>
      </c>
      <c r="J320" s="4" t="n">
        <v>44743</v>
      </c>
      <c r="K320" s="4" t="n">
        <v>45552</v>
      </c>
      <c r="L320" s="3" t="n">
        <v>3</v>
      </c>
      <c r="M320" s="3" t="n">
        <v>164674.38</v>
      </c>
      <c r="N320" s="3" t="n">
        <v>14</v>
      </c>
      <c r="O320" s="3" t="b">
        <v>0</v>
      </c>
      <c r="P320" s="3" t="b">
        <v>0</v>
      </c>
      <c r="Q320" s="3" t="n">
        <v>812.0928328767122</v>
      </c>
      <c r="R320" s="3" t="n">
        <v>51098.68569534247</v>
      </c>
      <c r="S320" s="3" t="n">
        <v>51910.77852821918</v>
      </c>
      <c r="T320" s="5">
        <f>IF(J320&lt;&gt;"",M320*N320/365/100*('Cashflow Projection'!$B$2-Investors!J320),0)</f>
        <v/>
      </c>
    </row>
    <row r="321">
      <c r="A321" s="3" t="inlineStr">
        <is>
          <t>ZMCD02</t>
        </is>
      </c>
      <c r="B321" s="3" t="inlineStr">
        <is>
          <t>Andre (Josias Andreas)</t>
        </is>
      </c>
      <c r="C321" s="3" t="inlineStr">
        <is>
          <t>McDonald</t>
        </is>
      </c>
      <c r="D321" s="3" t="inlineStr">
        <is>
          <t>Heron View</t>
        </is>
      </c>
      <c r="E321" s="3" t="inlineStr">
        <is>
          <t>HVJ102</t>
        </is>
      </c>
      <c r="F321" s="3" t="b">
        <v>0</v>
      </c>
      <c r="G321" s="3" t="b">
        <v>0</v>
      </c>
      <c r="H321" s="3" t="inlineStr">
        <is>
          <t>J</t>
        </is>
      </c>
      <c r="I321" s="4" t="n">
        <v>44719</v>
      </c>
      <c r="J321" s="4" t="n">
        <v>44743</v>
      </c>
      <c r="K321" s="4" t="n">
        <v>45552</v>
      </c>
      <c r="L321" s="3" t="n">
        <v>3</v>
      </c>
      <c r="M321" s="3" t="n">
        <v>100000</v>
      </c>
      <c r="N321" s="3" t="n">
        <v>14</v>
      </c>
      <c r="O321" s="3" t="b">
        <v>0</v>
      </c>
      <c r="P321" s="3" t="b">
        <v>0</v>
      </c>
      <c r="Q321" s="3" t="n">
        <v>493.1506849315066</v>
      </c>
      <c r="R321" s="3" t="n">
        <v>31030.13698630137</v>
      </c>
      <c r="S321" s="3" t="n">
        <v>31523.28767123288</v>
      </c>
      <c r="T321" s="5">
        <f>IF(J321&lt;&gt;"",M321*N321/365/100*('Cashflow Projection'!$B$2-Investors!J321),0)</f>
        <v/>
      </c>
    </row>
    <row r="322">
      <c r="A322" s="3" t="inlineStr">
        <is>
          <t>ZSCH01</t>
        </is>
      </c>
      <c r="B322" s="3" t="inlineStr">
        <is>
          <t>Inge</t>
        </is>
      </c>
      <c r="C322" s="3" t="inlineStr">
        <is>
          <t>Schubert</t>
        </is>
      </c>
      <c r="D322" s="3" t="inlineStr">
        <is>
          <t>Heron View</t>
        </is>
      </c>
      <c r="E322" s="3" t="inlineStr">
        <is>
          <t>HVJ102</t>
        </is>
      </c>
      <c r="F322" s="3" t="b">
        <v>0</v>
      </c>
      <c r="G322" s="3" t="b">
        <v>0</v>
      </c>
      <c r="H322" s="3" t="inlineStr">
        <is>
          <t>J</t>
        </is>
      </c>
      <c r="I322" s="4" t="n">
        <v>44719</v>
      </c>
      <c r="J322" s="4" t="n">
        <v>44757</v>
      </c>
      <c r="K322" s="4" t="n">
        <v>45552</v>
      </c>
      <c r="L322" s="3" t="n">
        <v>14</v>
      </c>
      <c r="M322" s="3" t="n">
        <v>642671.4</v>
      </c>
      <c r="N322" s="3" t="n">
        <v>18</v>
      </c>
      <c r="O322" s="3" t="b">
        <v>0</v>
      </c>
      <c r="P322" s="3" t="b">
        <v>0</v>
      </c>
      <c r="Q322" s="3" t="n">
        <v>5018.119150684931</v>
      </c>
      <c r="R322" s="3" t="n">
        <v>251962.4036712329</v>
      </c>
      <c r="S322" s="3" t="n">
        <v>256980.5228219178</v>
      </c>
      <c r="T322" s="5">
        <f>IF(J322&lt;&gt;"",M322*N322/365/100*('Cashflow Projection'!$B$2-Investors!J322),0)</f>
        <v/>
      </c>
    </row>
    <row r="323">
      <c r="A323" s="3" t="inlineStr">
        <is>
          <t>ZWAL02</t>
        </is>
      </c>
      <c r="B323" s="3" t="inlineStr">
        <is>
          <t>Johann</t>
        </is>
      </c>
      <c r="C323" s="3" t="inlineStr">
        <is>
          <t>Wallander</t>
        </is>
      </c>
      <c r="D323" s="3" t="inlineStr">
        <is>
          <t>Heron View</t>
        </is>
      </c>
      <c r="E323" s="3" t="inlineStr">
        <is>
          <t>HVJ102</t>
        </is>
      </c>
      <c r="F323" s="3" t="b">
        <v>0</v>
      </c>
      <c r="G323" s="3" t="b">
        <v>0</v>
      </c>
      <c r="H323" s="3" t="inlineStr">
        <is>
          <t>J</t>
        </is>
      </c>
      <c r="I323" s="4" t="n">
        <v>44876</v>
      </c>
      <c r="J323" s="4" t="n">
        <v>44903</v>
      </c>
      <c r="K323" s="4" t="n">
        <v>45552</v>
      </c>
      <c r="L323" s="3" t="n">
        <v>3</v>
      </c>
      <c r="M323" s="3" t="n">
        <v>100000</v>
      </c>
      <c r="N323" s="3" t="n">
        <v>14</v>
      </c>
      <c r="O323" s="3" t="b">
        <v>0</v>
      </c>
      <c r="P323" s="3" t="b">
        <v>0</v>
      </c>
      <c r="Q323" s="3" t="n">
        <v>682.1917808219175</v>
      </c>
      <c r="R323" s="3" t="n">
        <v>24893.1506849315</v>
      </c>
      <c r="S323" s="3" t="n">
        <v>25575.34246575342</v>
      </c>
      <c r="T323" s="5">
        <f>IF(J323&lt;&gt;"",M323*N323/365/100*('Cashflow Projection'!$B$2-Investors!J323),0)</f>
        <v/>
      </c>
    </row>
    <row r="324">
      <c r="A324" s="3" t="inlineStr">
        <is>
          <t>ZDIC01</t>
        </is>
      </c>
      <c r="B324" s="3" t="inlineStr">
        <is>
          <t>Grant Allan</t>
        </is>
      </c>
      <c r="C324" s="3" t="inlineStr">
        <is>
          <t>Dickinson</t>
        </is>
      </c>
      <c r="D324" s="3" t="inlineStr">
        <is>
          <t>Heron View</t>
        </is>
      </c>
      <c r="E324" s="3" t="inlineStr">
        <is>
          <t>HVJ103</t>
        </is>
      </c>
      <c r="F324" s="3" t="b">
        <v>0</v>
      </c>
      <c r="G324" s="3" t="b">
        <v>0</v>
      </c>
      <c r="H324" s="3" t="inlineStr">
        <is>
          <t>J</t>
        </is>
      </c>
      <c r="I324" s="4" t="n">
        <v>44732</v>
      </c>
      <c r="J324" s="4" t="n">
        <v>44783</v>
      </c>
      <c r="K324" s="4" t="n">
        <v>45552</v>
      </c>
      <c r="L324" s="3" t="n">
        <v>10</v>
      </c>
      <c r="M324" s="3" t="n">
        <v>500000</v>
      </c>
      <c r="N324" s="3" t="n">
        <v>18</v>
      </c>
      <c r="O324" s="3" t="b">
        <v>0</v>
      </c>
      <c r="P324" s="3" t="b">
        <v>0</v>
      </c>
      <c r="Q324" s="3" t="n">
        <v>5342.465753424658</v>
      </c>
      <c r="R324" s="3" t="n">
        <v>189616.4383561644</v>
      </c>
      <c r="S324" s="3" t="n">
        <v>194958.9041095891</v>
      </c>
      <c r="T324" s="5">
        <f>IF(J324&lt;&gt;"",M324*N324/365/100*('Cashflow Projection'!$B$2-Investors!J324),0)</f>
        <v/>
      </c>
    </row>
    <row r="325">
      <c r="A325" s="3" t="inlineStr">
        <is>
          <t>ZJER01</t>
        </is>
      </c>
      <c r="B325" s="3" t="inlineStr">
        <is>
          <t>Towela Patricia Rosemarie</t>
        </is>
      </c>
      <c r="C325" s="3" t="inlineStr">
        <is>
          <t>Jere</t>
        </is>
      </c>
      <c r="D325" s="3" t="inlineStr">
        <is>
          <t>Heron View</t>
        </is>
      </c>
      <c r="E325" s="3" t="inlineStr">
        <is>
          <t>HVJ103</t>
        </is>
      </c>
      <c r="F325" s="3" t="b">
        <v>0</v>
      </c>
      <c r="G325" s="3" t="b">
        <v>0</v>
      </c>
      <c r="H325" s="3" t="inlineStr">
        <is>
          <t>J</t>
        </is>
      </c>
      <c r="I325" s="4" t="n">
        <v>44761</v>
      </c>
      <c r="J325" s="4" t="n">
        <v>44798</v>
      </c>
      <c r="K325" s="4" t="n">
        <v>45552</v>
      </c>
      <c r="L325" s="3" t="n">
        <v>3</v>
      </c>
      <c r="M325" s="3" t="n">
        <v>100000</v>
      </c>
      <c r="N325" s="3" t="n">
        <v>14</v>
      </c>
      <c r="O325" s="3" t="b">
        <v>0</v>
      </c>
      <c r="P325" s="3" t="b">
        <v>0</v>
      </c>
      <c r="Q325" s="3" t="n">
        <v>811.6438356164379</v>
      </c>
      <c r="R325" s="3" t="n">
        <v>28920.54794520548</v>
      </c>
      <c r="S325" s="3" t="n">
        <v>29732.19178082192</v>
      </c>
      <c r="T325" s="5">
        <f>IF(J325&lt;&gt;"",M325*N325/365/100*('Cashflow Projection'!$B$2-Investors!J325),0)</f>
        <v/>
      </c>
    </row>
    <row r="326">
      <c r="A326" s="3" t="inlineStr">
        <is>
          <t>ZZYL05</t>
        </is>
      </c>
      <c r="B326" s="3" t="inlineStr">
        <is>
          <t>Diana Wendy</t>
        </is>
      </c>
      <c r="C326" s="3" t="inlineStr">
        <is>
          <t>Zylstra</t>
        </is>
      </c>
      <c r="D326" s="3" t="inlineStr">
        <is>
          <t>Heron View</t>
        </is>
      </c>
      <c r="E326" s="3" t="inlineStr">
        <is>
          <t>HVJ103</t>
        </is>
      </c>
      <c r="F326" s="3" t="b">
        <v>0</v>
      </c>
      <c r="G326" s="3" t="b">
        <v>0</v>
      </c>
      <c r="H326" s="3" t="inlineStr">
        <is>
          <t>J</t>
        </is>
      </c>
      <c r="I326" s="4" t="n">
        <v>44741</v>
      </c>
      <c r="J326" s="4" t="n">
        <v>44777</v>
      </c>
      <c r="K326" s="4" t="n">
        <v>45552</v>
      </c>
      <c r="L326" s="3" t="n">
        <v>1</v>
      </c>
      <c r="M326" s="3" t="n">
        <v>400000</v>
      </c>
      <c r="N326" s="3" t="n">
        <v>14</v>
      </c>
      <c r="O326" s="3" t="b">
        <v>0</v>
      </c>
      <c r="P326" s="3" t="b">
        <v>0</v>
      </c>
      <c r="Q326" s="3" t="n">
        <v>2991.780821917806</v>
      </c>
      <c r="R326" s="3" t="n">
        <v>118904.1095890411</v>
      </c>
      <c r="S326" s="3" t="n">
        <v>121895.8904109589</v>
      </c>
      <c r="T326" s="5">
        <f>IF(J326&lt;&gt;"",M326*N326/365/100*('Cashflow Projection'!$B$2-Investors!J326),0)</f>
        <v/>
      </c>
    </row>
    <row r="327">
      <c r="A327" s="3" t="inlineStr">
        <is>
          <t>ZBUM01</t>
        </is>
      </c>
      <c r="B327" s="3" t="inlineStr">
        <is>
          <t>Andre Gottfried</t>
        </is>
      </c>
      <c r="C327" s="3" t="inlineStr">
        <is>
          <t>Brummer</t>
        </is>
      </c>
      <c r="D327" s="3" t="inlineStr">
        <is>
          <t>Heron View</t>
        </is>
      </c>
      <c r="E327" s="3" t="inlineStr">
        <is>
          <t>HVJ201</t>
        </is>
      </c>
      <c r="F327" s="3" t="b">
        <v>0</v>
      </c>
      <c r="G327" s="3" t="b">
        <v>0</v>
      </c>
      <c r="H327" s="3" t="inlineStr">
        <is>
          <t>J</t>
        </is>
      </c>
      <c r="I327" s="4" t="n">
        <v>44742</v>
      </c>
      <c r="J327" s="4" t="n">
        <v>44783</v>
      </c>
      <c r="K327" s="4" t="n">
        <v>45552</v>
      </c>
      <c r="L327" s="3" t="n">
        <v>2</v>
      </c>
      <c r="M327" s="3" t="n">
        <v>500000</v>
      </c>
      <c r="N327" s="3" t="n">
        <v>18</v>
      </c>
      <c r="O327" s="3" t="b">
        <v>0</v>
      </c>
      <c r="P327" s="3" t="b">
        <v>0</v>
      </c>
      <c r="Q327" s="3" t="n">
        <v>4315.068493150684</v>
      </c>
      <c r="R327" s="3" t="n">
        <v>189616.4383561644</v>
      </c>
      <c r="S327" s="3" t="n">
        <v>193931.5068493151</v>
      </c>
      <c r="T327" s="5">
        <f>IF(J327&lt;&gt;"",M327*N327/365/100*('Cashflow Projection'!$B$2-Investors!J327),0)</f>
        <v/>
      </c>
    </row>
    <row r="328">
      <c r="A328" s="3" t="inlineStr">
        <is>
          <t>ZSMI03</t>
        </is>
      </c>
      <c r="B328" s="3" t="inlineStr">
        <is>
          <t>Eugene Patrick</t>
        </is>
      </c>
      <c r="C328" s="3" t="inlineStr">
        <is>
          <t>Smit</t>
        </is>
      </c>
      <c r="D328" s="3" t="inlineStr">
        <is>
          <t>Heron View</t>
        </is>
      </c>
      <c r="E328" s="3" t="inlineStr">
        <is>
          <t>HVJ201</t>
        </is>
      </c>
      <c r="F328" s="3" t="b">
        <v>0</v>
      </c>
      <c r="G328" s="3" t="b">
        <v>0</v>
      </c>
      <c r="H328" s="3" t="inlineStr">
        <is>
          <t>J</t>
        </is>
      </c>
      <c r="I328" s="4" t="n">
        <v>44763</v>
      </c>
      <c r="J328" s="4" t="n">
        <v>44811</v>
      </c>
      <c r="K328" s="4" t="n">
        <v>45552</v>
      </c>
      <c r="L328" s="3" t="n">
        <v>1</v>
      </c>
      <c r="M328" s="3" t="n">
        <v>300000</v>
      </c>
      <c r="N328" s="3" t="n">
        <v>16</v>
      </c>
      <c r="O328" s="3" t="b">
        <v>0</v>
      </c>
      <c r="P328" s="3" t="b">
        <v>0</v>
      </c>
      <c r="Q328" s="3" t="n">
        <v>3193.150684931509</v>
      </c>
      <c r="R328" s="3" t="n">
        <v>97446.57534246576</v>
      </c>
      <c r="S328" s="3" t="n">
        <v>100639.7260273973</v>
      </c>
      <c r="T328" s="5">
        <f>IF(J328&lt;&gt;"",M328*N328/365/100*('Cashflow Projection'!$B$2-Investors!J328),0)</f>
        <v/>
      </c>
    </row>
    <row r="329">
      <c r="A329" s="3" t="inlineStr">
        <is>
          <t>ZZYL02</t>
        </is>
      </c>
      <c r="B329" s="3" t="inlineStr">
        <is>
          <t>Petronella Johanna</t>
        </is>
      </c>
      <c r="C329" s="3" t="inlineStr">
        <is>
          <t>Zylstra</t>
        </is>
      </c>
      <c r="D329" s="3" t="inlineStr">
        <is>
          <t>Heron View</t>
        </is>
      </c>
      <c r="E329" s="3" t="inlineStr">
        <is>
          <t>HVJ201</t>
        </is>
      </c>
      <c r="F329" s="3" t="b">
        <v>0</v>
      </c>
      <c r="G329" s="3" t="b">
        <v>0</v>
      </c>
      <c r="H329" s="3" t="inlineStr">
        <is>
          <t>J</t>
        </is>
      </c>
      <c r="I329" s="4" t="n">
        <v>44732</v>
      </c>
      <c r="J329" s="4" t="n">
        <v>44916</v>
      </c>
      <c r="K329" s="4" t="n">
        <v>45552</v>
      </c>
      <c r="L329" s="3" t="n">
        <v>2</v>
      </c>
      <c r="M329" s="3" t="n">
        <v>200000</v>
      </c>
      <c r="N329" s="3" t="n">
        <v>14</v>
      </c>
      <c r="O329" s="3" t="b">
        <v>0</v>
      </c>
      <c r="P329" s="3" t="b">
        <v>0</v>
      </c>
      <c r="Q329" s="3" t="n">
        <v>8572.602739726028</v>
      </c>
      <c r="R329" s="3" t="n">
        <v>48789.04109589041</v>
      </c>
      <c r="S329" s="3" t="n">
        <v>57361.64383561644</v>
      </c>
      <c r="T329" s="5">
        <f>IF(J329&lt;&gt;"",M329*N329/365/100*('Cashflow Projection'!$B$2-Investors!J329),0)</f>
        <v/>
      </c>
    </row>
    <row r="330">
      <c r="A330" s="3" t="inlineStr">
        <is>
          <t>ZLAB01</t>
        </is>
      </c>
      <c r="B330" s="3" t="inlineStr">
        <is>
          <t>Andre Jan</t>
        </is>
      </c>
      <c r="C330" s="3" t="inlineStr">
        <is>
          <t>Labuschagne</t>
        </is>
      </c>
      <c r="D330" s="3" t="inlineStr">
        <is>
          <t>Heron View</t>
        </is>
      </c>
      <c r="E330" s="3" t="inlineStr">
        <is>
          <t>HVJ202</t>
        </is>
      </c>
      <c r="F330" s="3" t="b">
        <v>0</v>
      </c>
      <c r="G330" s="3" t="b">
        <v>0</v>
      </c>
      <c r="H330" s="3" t="inlineStr">
        <is>
          <t>J</t>
        </is>
      </c>
      <c r="I330" s="4" t="n">
        <v>44763</v>
      </c>
      <c r="J330" s="4" t="n">
        <v>44811</v>
      </c>
      <c r="K330" s="4" t="n">
        <v>45552</v>
      </c>
      <c r="L330" s="3" t="n">
        <v>3</v>
      </c>
      <c r="M330" s="3" t="n">
        <v>1000000</v>
      </c>
      <c r="N330" s="3" t="n">
        <v>18</v>
      </c>
      <c r="O330" s="3" t="b">
        <v>0</v>
      </c>
      <c r="P330" s="3" t="b">
        <v>0</v>
      </c>
      <c r="Q330" s="3" t="n">
        <v>10643.83561643835</v>
      </c>
      <c r="R330" s="3" t="n">
        <v>365424.6575342466</v>
      </c>
      <c r="S330" s="3" t="n">
        <v>376068.4931506849</v>
      </c>
      <c r="T330" s="5">
        <f>IF(J330&lt;&gt;"",M330*N330/365/100*('Cashflow Projection'!$B$2-Investors!J330),0)</f>
        <v/>
      </c>
    </row>
    <row r="331">
      <c r="A331" s="3" t="inlineStr">
        <is>
          <t>ZBUM01</t>
        </is>
      </c>
      <c r="B331" s="3" t="inlineStr">
        <is>
          <t>Andre Gottfried</t>
        </is>
      </c>
      <c r="C331" s="3" t="inlineStr">
        <is>
          <t>Brummer</t>
        </is>
      </c>
      <c r="D331" s="3" t="inlineStr">
        <is>
          <t>Heron View</t>
        </is>
      </c>
      <c r="E331" s="3" t="inlineStr">
        <is>
          <t>HVJ203</t>
        </is>
      </c>
      <c r="F331" s="3" t="b">
        <v>0</v>
      </c>
      <c r="G331" s="3" t="b">
        <v>0</v>
      </c>
      <c r="H331" s="3" t="inlineStr">
        <is>
          <t>J</t>
        </is>
      </c>
      <c r="I331" s="4" t="n">
        <v>44741</v>
      </c>
      <c r="J331" s="4" t="n">
        <v>44791</v>
      </c>
      <c r="K331" s="4" t="n">
        <v>45552</v>
      </c>
      <c r="L331" s="3" t="n">
        <v>1</v>
      </c>
      <c r="M331" s="3" t="n">
        <v>1000000</v>
      </c>
      <c r="N331" s="3" t="n">
        <v>18</v>
      </c>
      <c r="O331" s="3" t="b">
        <v>0</v>
      </c>
      <c r="P331" s="3" t="b">
        <v>0</v>
      </c>
      <c r="Q331" s="3" t="n">
        <v>10643.83561643835</v>
      </c>
      <c r="R331" s="3" t="n">
        <v>375287.6712328767</v>
      </c>
      <c r="S331" s="3" t="n">
        <v>385931.5068493151</v>
      </c>
      <c r="T331" s="5">
        <f>IF(J331&lt;&gt;"",M331*N331/365/100*('Cashflow Projection'!$B$2-Investors!J331),0)</f>
        <v/>
      </c>
    </row>
    <row r="332">
      <c r="A332" s="3" t="inlineStr">
        <is>
          <t>ZBRO01</t>
        </is>
      </c>
      <c r="B332" s="3" t="inlineStr">
        <is>
          <t>Craig Anthony Richard</t>
        </is>
      </c>
      <c r="C332" s="3" t="inlineStr">
        <is>
          <t>Brown</t>
        </is>
      </c>
      <c r="D332" s="3" t="inlineStr">
        <is>
          <t>Heron View</t>
        </is>
      </c>
      <c r="E332" s="3" t="inlineStr">
        <is>
          <t>HVJ301</t>
        </is>
      </c>
      <c r="F332" s="3" t="b">
        <v>0</v>
      </c>
      <c r="G332" s="3" t="b">
        <v>0</v>
      </c>
      <c r="H332" s="3" t="inlineStr">
        <is>
          <t>J</t>
        </is>
      </c>
      <c r="I332" s="4" t="n">
        <v>44845</v>
      </c>
      <c r="J332" s="4" t="n">
        <v>44868</v>
      </c>
      <c r="K332" s="4" t="n">
        <v>45552</v>
      </c>
      <c r="L332" s="3" t="n">
        <v>3</v>
      </c>
      <c r="M332" s="3" t="n">
        <v>127553.41</v>
      </c>
      <c r="N332" s="3" t="n">
        <v>14</v>
      </c>
      <c r="O332" s="3" t="b">
        <v>0</v>
      </c>
      <c r="P332" s="3" t="b">
        <v>0</v>
      </c>
      <c r="Q332" s="3" t="n">
        <v>723.3850923287673</v>
      </c>
      <c r="R332" s="3" t="n">
        <v>33464.42340164383</v>
      </c>
      <c r="S332" s="3" t="n">
        <v>34187.8084939726</v>
      </c>
      <c r="T332" s="5">
        <f>IF(J332&lt;&gt;"",M332*N332/365/100*('Cashflow Projection'!$B$2-Investors!J332),0)</f>
        <v/>
      </c>
    </row>
    <row r="333">
      <c r="A333" s="3" t="inlineStr">
        <is>
          <t>ZMAN02</t>
        </is>
      </c>
      <c r="B333" s="3" t="inlineStr">
        <is>
          <t>Ilse</t>
        </is>
      </c>
      <c r="C333" s="3" t="inlineStr">
        <is>
          <t>Mans (Witberg)</t>
        </is>
      </c>
      <c r="D333" s="3" t="inlineStr">
        <is>
          <t>Heron View</t>
        </is>
      </c>
      <c r="E333" s="3" t="inlineStr">
        <is>
          <t>HVJ301</t>
        </is>
      </c>
      <c r="F333" s="3" t="b">
        <v>0</v>
      </c>
      <c r="G333" s="3" t="b">
        <v>0</v>
      </c>
      <c r="H333" s="3" t="inlineStr">
        <is>
          <t>J</t>
        </is>
      </c>
      <c r="I333" s="4" t="n">
        <v>44763</v>
      </c>
      <c r="J333" s="4" t="n">
        <v>44811</v>
      </c>
      <c r="K333" s="4" t="n">
        <v>45552</v>
      </c>
      <c r="L333" s="3" t="n">
        <v>1</v>
      </c>
      <c r="M333" s="3" t="n">
        <v>550000</v>
      </c>
      <c r="N333" s="3" t="n">
        <v>18</v>
      </c>
      <c r="O333" s="3" t="b">
        <v>0</v>
      </c>
      <c r="P333" s="3" t="b">
        <v>0</v>
      </c>
      <c r="Q333" s="3" t="n">
        <v>5854.109589041095</v>
      </c>
      <c r="R333" s="3" t="n">
        <v>200983.5616438356</v>
      </c>
      <c r="S333" s="3" t="n">
        <v>206837.6712328767</v>
      </c>
      <c r="T333" s="5">
        <f>IF(J333&lt;&gt;"",M333*N333/365/100*('Cashflow Projection'!$B$2-Investors!J333),0)</f>
        <v/>
      </c>
    </row>
    <row r="334">
      <c r="A334" s="3" t="inlineStr">
        <is>
          <t>ZSMI03</t>
        </is>
      </c>
      <c r="B334" s="3" t="inlineStr">
        <is>
          <t>Eugene Patrick</t>
        </is>
      </c>
      <c r="C334" s="3" t="inlineStr">
        <is>
          <t>Smit</t>
        </is>
      </c>
      <c r="D334" s="3" t="inlineStr">
        <is>
          <t>Heron View</t>
        </is>
      </c>
      <c r="E334" s="3" t="inlineStr">
        <is>
          <t>HVJ301</t>
        </is>
      </c>
      <c r="F334" s="3" t="b">
        <v>0</v>
      </c>
      <c r="G334" s="3" t="b">
        <v>0</v>
      </c>
      <c r="H334" s="3" t="inlineStr">
        <is>
          <t>J</t>
        </is>
      </c>
      <c r="I334" s="4" t="n">
        <v>44763</v>
      </c>
      <c r="J334" s="4" t="n">
        <v>44811</v>
      </c>
      <c r="K334" s="4" t="n">
        <v>45552</v>
      </c>
      <c r="L334" s="3" t="n">
        <v>2</v>
      </c>
      <c r="M334" s="3" t="n">
        <v>300000</v>
      </c>
      <c r="N334" s="3" t="n">
        <v>16</v>
      </c>
      <c r="O334" s="3" t="b">
        <v>0</v>
      </c>
      <c r="P334" s="3" t="b">
        <v>0</v>
      </c>
      <c r="Q334" s="3" t="n">
        <v>3193.150684931509</v>
      </c>
      <c r="R334" s="3" t="n">
        <v>97446.57534246576</v>
      </c>
      <c r="S334" s="3" t="n">
        <v>100639.7260273973</v>
      </c>
      <c r="T334" s="5">
        <f>IF(J334&lt;&gt;"",M334*N334/365/100*('Cashflow Projection'!$B$2-Investors!J334),0)</f>
        <v/>
      </c>
    </row>
    <row r="335">
      <c r="A335" s="3" t="inlineStr">
        <is>
          <t>ZMAN02</t>
        </is>
      </c>
      <c r="B335" s="3" t="inlineStr">
        <is>
          <t>Ilse</t>
        </is>
      </c>
      <c r="C335" s="3" t="inlineStr">
        <is>
          <t>Mans (Witberg)</t>
        </is>
      </c>
      <c r="D335" s="3" t="inlineStr">
        <is>
          <t>Heron View</t>
        </is>
      </c>
      <c r="E335" s="3" t="inlineStr">
        <is>
          <t>HVJ302</t>
        </is>
      </c>
      <c r="F335" s="3" t="b">
        <v>0</v>
      </c>
      <c r="G335" s="3" t="b">
        <v>0</v>
      </c>
      <c r="H335" s="3" t="inlineStr">
        <is>
          <t>J</t>
        </is>
      </c>
      <c r="I335" s="4" t="n">
        <v>44763</v>
      </c>
      <c r="J335" s="4" t="n">
        <v>44811</v>
      </c>
      <c r="K335" s="4" t="n">
        <v>45552</v>
      </c>
      <c r="L335" s="3" t="n">
        <v>2</v>
      </c>
      <c r="M335" s="3" t="n">
        <v>500000</v>
      </c>
      <c r="N335" s="3" t="n">
        <v>18</v>
      </c>
      <c r="O335" s="3" t="b">
        <v>0</v>
      </c>
      <c r="P335" s="3" t="b">
        <v>0</v>
      </c>
      <c r="Q335" s="3" t="n">
        <v>5321.917808219173</v>
      </c>
      <c r="R335" s="3" t="n">
        <v>182712.3287671233</v>
      </c>
      <c r="S335" s="3" t="n">
        <v>188034.2465753425</v>
      </c>
      <c r="T335" s="5">
        <f>IF(J335&lt;&gt;"",M335*N335/365/100*('Cashflow Projection'!$B$2-Investors!J335),0)</f>
        <v/>
      </c>
    </row>
    <row r="336">
      <c r="A336" s="3" t="inlineStr">
        <is>
          <t>ZVER04</t>
        </is>
      </c>
      <c r="B336" s="3" t="inlineStr">
        <is>
          <t>Floris Nicolaas</t>
        </is>
      </c>
      <c r="C336" s="3" t="inlineStr">
        <is>
          <t>Vermeulen</t>
        </is>
      </c>
      <c r="D336" s="3" t="inlineStr">
        <is>
          <t>Heron View</t>
        </is>
      </c>
      <c r="E336" s="3" t="inlineStr">
        <is>
          <t>HVJ302</t>
        </is>
      </c>
      <c r="F336" s="3" t="b">
        <v>0</v>
      </c>
      <c r="G336" s="3" t="b">
        <v>0</v>
      </c>
      <c r="H336" s="3" t="inlineStr">
        <is>
          <t>J</t>
        </is>
      </c>
      <c r="I336" s="4" t="n">
        <v>44755</v>
      </c>
      <c r="J336" s="4" t="n">
        <v>44798</v>
      </c>
      <c r="K336" s="4" t="n">
        <v>45552</v>
      </c>
      <c r="L336" s="3" t="n">
        <v>1</v>
      </c>
      <c r="M336" s="3" t="n">
        <v>500000</v>
      </c>
      <c r="N336" s="3" t="n">
        <v>18</v>
      </c>
      <c r="O336" s="3" t="b">
        <v>0</v>
      </c>
      <c r="P336" s="3" t="b">
        <v>0</v>
      </c>
      <c r="Q336" s="3" t="n">
        <v>4674.65753424657</v>
      </c>
      <c r="R336" s="3" t="n">
        <v>185917.8082191781</v>
      </c>
      <c r="S336" s="3" t="n">
        <v>190592.4657534247</v>
      </c>
      <c r="T336" s="5">
        <f>IF(J336&lt;&gt;"",M336*N336/365/100*('Cashflow Projection'!$B$2-Investors!J336),0)</f>
        <v/>
      </c>
    </row>
    <row r="337">
      <c r="A337" s="3" t="inlineStr">
        <is>
          <t>ZVER04</t>
        </is>
      </c>
      <c r="B337" s="3" t="inlineStr">
        <is>
          <t>Floris Nicolaas</t>
        </is>
      </c>
      <c r="C337" s="3" t="inlineStr">
        <is>
          <t>Vermeulen</t>
        </is>
      </c>
      <c r="D337" s="3" t="inlineStr">
        <is>
          <t>Heron View</t>
        </is>
      </c>
      <c r="E337" s="3" t="inlineStr">
        <is>
          <t>HVJ303</t>
        </is>
      </c>
      <c r="F337" s="3" t="b">
        <v>0</v>
      </c>
      <c r="G337" s="3" t="b">
        <v>0</v>
      </c>
      <c r="H337" s="3" t="inlineStr">
        <is>
          <t>J</t>
        </is>
      </c>
      <c r="I337" s="4" t="n">
        <v>44755</v>
      </c>
      <c r="J337" s="4" t="n">
        <v>44798</v>
      </c>
      <c r="K337" s="4" t="n">
        <v>45552</v>
      </c>
      <c r="L337" s="3" t="n">
        <v>2</v>
      </c>
      <c r="M337" s="3" t="n">
        <v>1000000</v>
      </c>
      <c r="N337" s="3" t="n">
        <v>18</v>
      </c>
      <c r="O337" s="3" t="b">
        <v>0</v>
      </c>
      <c r="P337" s="3" t="b">
        <v>0</v>
      </c>
      <c r="Q337" s="3" t="n">
        <v>9349.315068493141</v>
      </c>
      <c r="R337" s="3" t="n">
        <v>371835.6164383562</v>
      </c>
      <c r="S337" s="3" t="n">
        <v>381184.9315068493</v>
      </c>
      <c r="T337" s="5">
        <f>IF(J337&lt;&gt;"",M337*N337/365/100*('Cashflow Projection'!$B$2-Investors!J337),0)</f>
        <v/>
      </c>
    </row>
    <row r="338">
      <c r="A338" s="3" t="inlineStr">
        <is>
          <t>ZFOU02</t>
        </is>
      </c>
      <c r="B338" s="3" t="inlineStr">
        <is>
          <t>Clyde Michael</t>
        </is>
      </c>
      <c r="C338" s="3" t="inlineStr">
        <is>
          <t>Fountain</t>
        </is>
      </c>
      <c r="D338" s="3" t="inlineStr">
        <is>
          <t>Heron View</t>
        </is>
      </c>
      <c r="E338" s="3" t="inlineStr">
        <is>
          <t>HVJ401</t>
        </is>
      </c>
      <c r="F338" s="3" t="b">
        <v>0</v>
      </c>
      <c r="G338" s="3" t="b">
        <v>0</v>
      </c>
      <c r="H338" s="3" t="inlineStr">
        <is>
          <t>J</t>
        </is>
      </c>
      <c r="I338" s="4" t="n">
        <v>44764</v>
      </c>
      <c r="J338" s="4" t="n">
        <v>44811</v>
      </c>
      <c r="K338" s="4" t="n">
        <v>45552</v>
      </c>
      <c r="L338" s="3" t="n">
        <v>1</v>
      </c>
      <c r="M338" s="3" t="n">
        <v>1000000</v>
      </c>
      <c r="N338" s="3" t="n">
        <v>18</v>
      </c>
      <c r="O338" s="3" t="b">
        <v>0</v>
      </c>
      <c r="P338" s="3" t="b">
        <v>0</v>
      </c>
      <c r="Q338" s="3" t="n">
        <v>10438.35616438355</v>
      </c>
      <c r="R338" s="3" t="n">
        <v>365424.6575342466</v>
      </c>
      <c r="S338" s="3" t="n">
        <v>375863.0136986301</v>
      </c>
      <c r="T338" s="5">
        <f>IF(J338&lt;&gt;"",M338*N338/365/100*('Cashflow Projection'!$B$2-Investors!J338),0)</f>
        <v/>
      </c>
    </row>
    <row r="339">
      <c r="A339" s="3" t="inlineStr">
        <is>
          <t>ZVIS02</t>
        </is>
      </c>
      <c r="B339" s="3" t="inlineStr">
        <is>
          <t>Jimke</t>
        </is>
      </c>
      <c r="C339" s="3" t="inlineStr">
        <is>
          <t>Visser</t>
        </is>
      </c>
      <c r="D339" s="3" t="inlineStr">
        <is>
          <t>Heron View</t>
        </is>
      </c>
      <c r="E339" s="3" t="inlineStr">
        <is>
          <t>HVJ402</t>
        </is>
      </c>
      <c r="F339" s="3" t="b">
        <v>0</v>
      </c>
      <c r="G339" s="3" t="b">
        <v>0</v>
      </c>
      <c r="H339" s="3" t="inlineStr">
        <is>
          <t>J</t>
        </is>
      </c>
      <c r="I339" s="4" t="n">
        <v>44761</v>
      </c>
      <c r="J339" s="4" t="n">
        <v>44811</v>
      </c>
      <c r="K339" s="4" t="n">
        <v>45552</v>
      </c>
      <c r="L339" s="3" t="n">
        <v>2</v>
      </c>
      <c r="M339" s="3" t="n">
        <v>1000000</v>
      </c>
      <c r="N339" s="3" t="n">
        <v>18</v>
      </c>
      <c r="O339" s="3" t="b">
        <v>0</v>
      </c>
      <c r="P339" s="3" t="b">
        <v>0</v>
      </c>
      <c r="Q339" s="3" t="n">
        <v>11054.79452054793</v>
      </c>
      <c r="R339" s="3" t="n">
        <v>365424.6575342466</v>
      </c>
      <c r="S339" s="3" t="n">
        <v>376479.4520547945</v>
      </c>
      <c r="T339" s="5">
        <f>IF(J339&lt;&gt;"",M339*N339/365/100*('Cashflow Projection'!$B$2-Investors!J339),0)</f>
        <v/>
      </c>
    </row>
    <row r="340">
      <c r="A340" s="3" t="inlineStr">
        <is>
          <t>ZFOU02</t>
        </is>
      </c>
      <c r="B340" s="3" t="inlineStr">
        <is>
          <t>Clyde Michael</t>
        </is>
      </c>
      <c r="C340" s="3" t="inlineStr">
        <is>
          <t>Fountain</t>
        </is>
      </c>
      <c r="D340" s="3" t="inlineStr">
        <is>
          <t>Heron View</t>
        </is>
      </c>
      <c r="E340" s="3" t="inlineStr">
        <is>
          <t>HVJ403</t>
        </is>
      </c>
      <c r="F340" s="3" t="b">
        <v>0</v>
      </c>
      <c r="G340" s="3" t="b">
        <v>0</v>
      </c>
      <c r="H340" s="3" t="inlineStr">
        <is>
          <t>J</t>
        </is>
      </c>
      <c r="I340" s="4" t="n">
        <v>44764</v>
      </c>
      <c r="J340" s="4" t="n">
        <v>44811</v>
      </c>
      <c r="K340" s="4" t="n">
        <v>45552</v>
      </c>
      <c r="L340" s="3" t="n">
        <v>2</v>
      </c>
      <c r="M340" s="3" t="n">
        <v>500000</v>
      </c>
      <c r="N340" s="3" t="n">
        <v>18</v>
      </c>
      <c r="O340" s="3" t="b">
        <v>0</v>
      </c>
      <c r="P340" s="3" t="b">
        <v>0</v>
      </c>
      <c r="Q340" s="3" t="n">
        <v>5219.178082191776</v>
      </c>
      <c r="R340" s="3" t="n">
        <v>182712.3287671233</v>
      </c>
      <c r="S340" s="3" t="n">
        <v>187931.506849315</v>
      </c>
      <c r="T340" s="5">
        <f>IF(J340&lt;&gt;"",M340*N340/365/100*('Cashflow Projection'!$B$2-Investors!J340),0)</f>
        <v/>
      </c>
    </row>
    <row r="341">
      <c r="A341" s="3" t="inlineStr">
        <is>
          <t>ZVER04</t>
        </is>
      </c>
      <c r="B341" s="3" t="inlineStr">
        <is>
          <t>Floris Nicolaas</t>
        </is>
      </c>
      <c r="C341" s="3" t="inlineStr">
        <is>
          <t>Vermeulen</t>
        </is>
      </c>
      <c r="D341" s="3" t="inlineStr">
        <is>
          <t>Heron View</t>
        </is>
      </c>
      <c r="E341" s="3" t="inlineStr">
        <is>
          <t>HVJ403</t>
        </is>
      </c>
      <c r="F341" s="3" t="b">
        <v>0</v>
      </c>
      <c r="G341" s="3" t="b">
        <v>0</v>
      </c>
      <c r="H341" s="3" t="inlineStr">
        <is>
          <t>J</t>
        </is>
      </c>
      <c r="I341" s="4" t="n">
        <v>44755</v>
      </c>
      <c r="J341" s="4" t="n">
        <v>44798</v>
      </c>
      <c r="K341" s="4" t="n">
        <v>45552</v>
      </c>
      <c r="L341" s="3" t="n">
        <v>3</v>
      </c>
      <c r="M341" s="3" t="n">
        <v>500000</v>
      </c>
      <c r="N341" s="3" t="n">
        <v>18</v>
      </c>
      <c r="O341" s="3" t="b">
        <v>0</v>
      </c>
      <c r="P341" s="3" t="b">
        <v>0</v>
      </c>
      <c r="Q341" s="3" t="n">
        <v>4674.65753424657</v>
      </c>
      <c r="R341" s="3" t="n">
        <v>185917.8082191781</v>
      </c>
      <c r="S341" s="3" t="n">
        <v>190592.4657534247</v>
      </c>
      <c r="T341" s="5">
        <f>IF(J341&lt;&gt;"",M341*N341/365/100*('Cashflow Projection'!$B$2-Investors!J341),0)</f>
        <v/>
      </c>
    </row>
    <row r="342">
      <c r="A342" s="3" t="inlineStr">
        <is>
          <t>ZCRO01</t>
        </is>
      </c>
      <c r="B342" s="3" t="inlineStr">
        <is>
          <t>Marc</t>
        </is>
      </c>
      <c r="C342" s="3" t="inlineStr">
        <is>
          <t>Lunau</t>
        </is>
      </c>
      <c r="D342" s="3" t="inlineStr">
        <is>
          <t>Heron View</t>
        </is>
      </c>
      <c r="E342" s="3" t="inlineStr">
        <is>
          <t>HVK101</t>
        </is>
      </c>
      <c r="F342" s="3" t="b">
        <v>0</v>
      </c>
      <c r="G342" s="3" t="b">
        <v>0</v>
      </c>
      <c r="H342" s="3" t="inlineStr">
        <is>
          <t>K</t>
        </is>
      </c>
      <c r="I342" s="4" t="n">
        <v>44992</v>
      </c>
      <c r="J342" s="4" t="n">
        <v>45107</v>
      </c>
      <c r="K342" s="4" t="n">
        <v>45510</v>
      </c>
      <c r="L342" s="3" t="n">
        <v>14</v>
      </c>
      <c r="M342" s="3" t="n">
        <v>150000</v>
      </c>
      <c r="N342" s="3" t="n">
        <v>18</v>
      </c>
      <c r="O342" s="3" t="b">
        <v>0</v>
      </c>
      <c r="P342" s="3" t="b">
        <v>0</v>
      </c>
      <c r="Q342" s="3" t="n">
        <v>4974.657534246577</v>
      </c>
      <c r="R342" s="3" t="n">
        <v>29810.95890410959</v>
      </c>
      <c r="S342" s="3" t="n">
        <v>34785.61643835617</v>
      </c>
      <c r="T342" s="5">
        <f>IF(J342&lt;&gt;"",M342*N342/365/100*('Cashflow Projection'!$B$2-Investors!J342),0)</f>
        <v/>
      </c>
    </row>
    <row r="343">
      <c r="A343" s="3" t="inlineStr">
        <is>
          <t>ZINT01</t>
        </is>
      </c>
      <c r="B343" s="3" t="inlineStr">
        <is>
          <t>Marc</t>
        </is>
      </c>
      <c r="C343" s="3" t="inlineStr">
        <is>
          <t>Lunau</t>
        </is>
      </c>
      <c r="D343" s="3" t="inlineStr">
        <is>
          <t>Heron View</t>
        </is>
      </c>
      <c r="E343" s="3" t="inlineStr">
        <is>
          <t>HVK101</t>
        </is>
      </c>
      <c r="F343" s="3" t="b">
        <v>0</v>
      </c>
      <c r="G343" s="3" t="b">
        <v>0</v>
      </c>
      <c r="H343" s="3" t="inlineStr">
        <is>
          <t>K</t>
        </is>
      </c>
      <c r="I343" s="4" t="n">
        <v>45002</v>
      </c>
      <c r="J343" s="4" t="n">
        <v>45107</v>
      </c>
      <c r="K343" s="4" t="n">
        <v>45510</v>
      </c>
      <c r="L343" s="3" t="n">
        <v>16</v>
      </c>
      <c r="M343" s="3" t="n">
        <v>100000</v>
      </c>
      <c r="N343" s="3" t="n">
        <v>18</v>
      </c>
      <c r="O343" s="3" t="b">
        <v>0</v>
      </c>
      <c r="P343" s="3" t="b">
        <v>0</v>
      </c>
      <c r="Q343" s="3" t="n">
        <v>3042.465753424652</v>
      </c>
      <c r="R343" s="3" t="n">
        <v>19873.97260273973</v>
      </c>
      <c r="S343" s="3" t="n">
        <v>22916.43835616438</v>
      </c>
      <c r="T343" s="5">
        <f>IF(J343&lt;&gt;"",M343*N343/365/100*('Cashflow Projection'!$B$2-Investors!J343),0)</f>
        <v/>
      </c>
    </row>
    <row r="344">
      <c r="A344" s="3" t="inlineStr">
        <is>
          <t>ZMIN01</t>
        </is>
      </c>
      <c r="B344" s="3" t="inlineStr">
        <is>
          <t>Irene Petronella</t>
        </is>
      </c>
      <c r="C344" s="3" t="inlineStr">
        <is>
          <t>Minnaar</t>
        </is>
      </c>
      <c r="D344" s="3" t="inlineStr">
        <is>
          <t>Heron View</t>
        </is>
      </c>
      <c r="E344" s="3" t="inlineStr">
        <is>
          <t>HVK101</t>
        </is>
      </c>
      <c r="F344" s="3" t="b">
        <v>0</v>
      </c>
      <c r="G344" s="3" t="b">
        <v>0</v>
      </c>
      <c r="H344" s="3" t="inlineStr">
        <is>
          <t>K</t>
        </is>
      </c>
      <c r="I344" s="4" t="n">
        <v>44938</v>
      </c>
      <c r="J344" s="4" t="n">
        <v>45016</v>
      </c>
      <c r="K344" s="4" t="n">
        <v>45510</v>
      </c>
      <c r="L344" s="3" t="n">
        <v>2</v>
      </c>
      <c r="M344" s="3" t="n">
        <v>500000</v>
      </c>
      <c r="N344" s="3" t="n">
        <v>16</v>
      </c>
      <c r="O344" s="3" t="b">
        <v>0</v>
      </c>
      <c r="P344" s="3" t="b">
        <v>0</v>
      </c>
      <c r="Q344" s="3" t="n">
        <v>10619.86301369864</v>
      </c>
      <c r="R344" s="3" t="n">
        <v>108273.9726027397</v>
      </c>
      <c r="S344" s="3" t="n">
        <v>118893.8356164384</v>
      </c>
      <c r="T344" s="5">
        <f>IF(J344&lt;&gt;"",M344*N344/365/100*('Cashflow Projection'!$B$2-Investors!J344),0)</f>
        <v/>
      </c>
    </row>
    <row r="345">
      <c r="A345" s="3" t="inlineStr">
        <is>
          <t>ZRIT01</t>
        </is>
      </c>
      <c r="B345" s="3" t="inlineStr">
        <is>
          <t>Dennis</t>
        </is>
      </c>
      <c r="C345" s="3" t="inlineStr">
        <is>
          <t>Ritter</t>
        </is>
      </c>
      <c r="D345" s="3" t="inlineStr">
        <is>
          <t>Heron View</t>
        </is>
      </c>
      <c r="E345" s="3" t="inlineStr">
        <is>
          <t>HVK101</t>
        </is>
      </c>
      <c r="F345" s="3" t="b">
        <v>0</v>
      </c>
      <c r="G345" s="3" t="b">
        <v>0</v>
      </c>
      <c r="H345" s="3" t="inlineStr">
        <is>
          <t>K</t>
        </is>
      </c>
      <c r="I345" s="4" t="n">
        <v>44873</v>
      </c>
      <c r="J345" s="4" t="n">
        <v>44909</v>
      </c>
      <c r="K345" s="4" t="n">
        <v>45510</v>
      </c>
      <c r="L345" s="3" t="n">
        <v>8</v>
      </c>
      <c r="M345" s="3" t="n">
        <v>288000</v>
      </c>
      <c r="N345" s="3" t="n">
        <v>18</v>
      </c>
      <c r="O345" s="3" t="b">
        <v>0</v>
      </c>
      <c r="P345" s="3" t="b">
        <v>0</v>
      </c>
      <c r="Q345" s="3" t="n">
        <v>2639.342465753426</v>
      </c>
      <c r="R345" s="3" t="n">
        <v>85358.46575342465</v>
      </c>
      <c r="S345" s="3" t="n">
        <v>87997.80821917807</v>
      </c>
      <c r="T345" s="5">
        <f>IF(J345&lt;&gt;"",M345*N345/365/100*('Cashflow Projection'!$B$2-Investors!J345),0)</f>
        <v/>
      </c>
    </row>
    <row r="346">
      <c r="A346" s="3" t="inlineStr">
        <is>
          <t>ZVAN05</t>
        </is>
      </c>
      <c r="B346" s="3" t="inlineStr">
        <is>
          <t>Hermanus</t>
        </is>
      </c>
      <c r="C346" s="3" t="inlineStr">
        <is>
          <t>van der Sandt</t>
        </is>
      </c>
      <c r="D346" s="3" t="inlineStr">
        <is>
          <t>Heron View</t>
        </is>
      </c>
      <c r="E346" s="3" t="inlineStr">
        <is>
          <t>HVK102</t>
        </is>
      </c>
      <c r="F346" s="3" t="b">
        <v>0</v>
      </c>
      <c r="G346" s="3" t="b">
        <v>0</v>
      </c>
      <c r="H346" s="3" t="inlineStr">
        <is>
          <t>K</t>
        </is>
      </c>
      <c r="I346" s="4" t="n">
        <v>44866</v>
      </c>
      <c r="J346" s="4" t="n">
        <v>44909</v>
      </c>
      <c r="K346" s="4" t="n">
        <v>45510</v>
      </c>
      <c r="L346" s="3" t="n">
        <v>5</v>
      </c>
      <c r="M346" s="3" t="n">
        <v>1100000</v>
      </c>
      <c r="N346" s="3" t="n">
        <v>18</v>
      </c>
      <c r="O346" s="3" t="b">
        <v>0</v>
      </c>
      <c r="P346" s="3" t="b">
        <v>0</v>
      </c>
      <c r="Q346" s="3" t="n">
        <v>11979.45205479453</v>
      </c>
      <c r="R346" s="3" t="n">
        <v>326021.9178082192</v>
      </c>
      <c r="S346" s="3" t="n">
        <v>338001.3698630137</v>
      </c>
      <c r="T346" s="5">
        <f>IF(J346&lt;&gt;"",M346*N346/365/100*('Cashflow Projection'!$B$2-Investors!J346),0)</f>
        <v/>
      </c>
    </row>
    <row r="347">
      <c r="A347" s="3" t="inlineStr">
        <is>
          <t>ZCRO01</t>
        </is>
      </c>
      <c r="B347" s="3" t="inlineStr">
        <is>
          <t>Marc</t>
        </is>
      </c>
      <c r="C347" s="3" t="inlineStr">
        <is>
          <t>Lunau</t>
        </is>
      </c>
      <c r="D347" s="3" t="inlineStr">
        <is>
          <t>Heron View</t>
        </is>
      </c>
      <c r="E347" s="3" t="inlineStr">
        <is>
          <t>HVK103</t>
        </is>
      </c>
      <c r="F347" s="3" t="b">
        <v>0</v>
      </c>
      <c r="G347" s="3" t="b">
        <v>0</v>
      </c>
      <c r="H347" s="3" t="inlineStr">
        <is>
          <t>K</t>
        </is>
      </c>
      <c r="I347" s="4" t="n">
        <v>44902</v>
      </c>
      <c r="J347" s="4" t="n">
        <v>44967</v>
      </c>
      <c r="K347" s="4" t="n">
        <v>45510</v>
      </c>
      <c r="L347" s="3" t="n">
        <v>7</v>
      </c>
      <c r="M347" s="3" t="n">
        <v>110000</v>
      </c>
      <c r="N347" s="3" t="n">
        <v>18</v>
      </c>
      <c r="O347" s="3" t="b">
        <v>0</v>
      </c>
      <c r="P347" s="3" t="b">
        <v>0</v>
      </c>
      <c r="Q347" s="3" t="n">
        <v>1917.46575342466</v>
      </c>
      <c r="R347" s="3" t="n">
        <v>29455.89041095891</v>
      </c>
      <c r="S347" s="3" t="n">
        <v>31373.35616438356</v>
      </c>
      <c r="T347" s="5">
        <f>IF(J347&lt;&gt;"",M347*N347/365/100*('Cashflow Projection'!$B$2-Investors!J347),0)</f>
        <v/>
      </c>
    </row>
    <row r="348">
      <c r="A348" s="3" t="inlineStr">
        <is>
          <t>ZDAM01</t>
        </is>
      </c>
      <c r="B348" s="3" t="inlineStr">
        <is>
          <t>Lisbeth</t>
        </is>
      </c>
      <c r="C348" s="3" t="inlineStr">
        <is>
          <t>Damane</t>
        </is>
      </c>
      <c r="D348" s="3" t="inlineStr">
        <is>
          <t>Heron View</t>
        </is>
      </c>
      <c r="E348" s="3" t="inlineStr">
        <is>
          <t>HVK103</t>
        </is>
      </c>
      <c r="F348" s="3" t="b">
        <v>0</v>
      </c>
      <c r="G348" s="3" t="b">
        <v>0</v>
      </c>
      <c r="H348" s="3" t="inlineStr">
        <is>
          <t>K</t>
        </is>
      </c>
      <c r="I348" s="4" t="n">
        <v>44901</v>
      </c>
      <c r="J348" s="4" t="n">
        <v>44916</v>
      </c>
      <c r="K348" s="4" t="n">
        <v>45510</v>
      </c>
      <c r="L348" s="3" t="n">
        <v>3</v>
      </c>
      <c r="M348" s="3" t="n">
        <v>423120.71</v>
      </c>
      <c r="N348" s="3" t="n">
        <v>14</v>
      </c>
      <c r="O348" s="3" t="b">
        <v>0</v>
      </c>
      <c r="P348" s="3" t="b">
        <v>0</v>
      </c>
      <c r="Q348" s="3" t="n">
        <v>1695.380927054795</v>
      </c>
      <c r="R348" s="3" t="n">
        <v>96401.96779068492</v>
      </c>
      <c r="S348" s="3" t="n">
        <v>98097.34871773972</v>
      </c>
      <c r="T348" s="5">
        <f>IF(J348&lt;&gt;"",M348*N348/365/100*('Cashflow Projection'!$B$2-Investors!J348),0)</f>
        <v/>
      </c>
    </row>
    <row r="349">
      <c r="A349" s="3" t="inlineStr">
        <is>
          <t>ZELE01</t>
        </is>
      </c>
      <c r="B349" s="3" t="inlineStr">
        <is>
          <t>Emile Kenneth</t>
        </is>
      </c>
      <c r="C349" s="3" t="inlineStr">
        <is>
          <t>Lew</t>
        </is>
      </c>
      <c r="D349" s="3" t="inlineStr">
        <is>
          <t>Heron View</t>
        </is>
      </c>
      <c r="E349" s="3" t="inlineStr">
        <is>
          <t>HVK103</t>
        </is>
      </c>
      <c r="F349" s="3" t="b">
        <v>0</v>
      </c>
      <c r="G349" s="3" t="b">
        <v>0</v>
      </c>
      <c r="H349" s="3" t="inlineStr">
        <is>
          <t>K</t>
        </is>
      </c>
      <c r="I349" s="4" t="n">
        <v>44901</v>
      </c>
      <c r="J349" s="4" t="n">
        <v>44916</v>
      </c>
      <c r="K349" s="4" t="n">
        <v>45510</v>
      </c>
      <c r="L349" s="3" t="n">
        <v>2</v>
      </c>
      <c r="M349" s="3" t="n">
        <v>200000</v>
      </c>
      <c r="N349" s="3" t="n">
        <v>14</v>
      </c>
      <c r="O349" s="3" t="b">
        <v>0</v>
      </c>
      <c r="P349" s="3" t="b">
        <v>0</v>
      </c>
      <c r="Q349" s="3" t="n">
        <v>801.3698630136985</v>
      </c>
      <c r="R349" s="3" t="n">
        <v>45567.12328767123</v>
      </c>
      <c r="S349" s="3" t="n">
        <v>46368.49315068493</v>
      </c>
      <c r="T349" s="5">
        <f>IF(J349&lt;&gt;"",M349*N349/365/100*('Cashflow Projection'!$B$2-Investors!J349),0)</f>
        <v/>
      </c>
    </row>
    <row r="350">
      <c r="A350" s="3" t="inlineStr">
        <is>
          <t>ZJOH01</t>
        </is>
      </c>
      <c r="B350" s="3" t="inlineStr">
        <is>
          <t>Lisa-Marie Natalie</t>
        </is>
      </c>
      <c r="C350" s="3" t="inlineStr">
        <is>
          <t>Johns</t>
        </is>
      </c>
      <c r="D350" s="3" t="inlineStr">
        <is>
          <t>Heron View</t>
        </is>
      </c>
      <c r="E350" s="3" t="inlineStr">
        <is>
          <t>HVK103</t>
        </is>
      </c>
      <c r="F350" s="3" t="b">
        <v>0</v>
      </c>
      <c r="G350" s="3" t="b">
        <v>0</v>
      </c>
      <c r="H350" s="3" t="inlineStr">
        <is>
          <t>K</t>
        </is>
      </c>
      <c r="I350" s="4" t="n">
        <v>44902</v>
      </c>
      <c r="J350" s="4" t="n">
        <v>44967</v>
      </c>
      <c r="K350" s="4" t="n">
        <v>45510</v>
      </c>
      <c r="L350" s="3" t="n">
        <v>5</v>
      </c>
      <c r="M350" s="3" t="n">
        <v>110000</v>
      </c>
      <c r="N350" s="3" t="n">
        <v>18</v>
      </c>
      <c r="O350" s="3" t="b">
        <v>0</v>
      </c>
      <c r="P350" s="3" t="b">
        <v>0</v>
      </c>
      <c r="Q350" s="3" t="n">
        <v>1917.46575342466</v>
      </c>
      <c r="R350" s="3" t="n">
        <v>29455.89041095891</v>
      </c>
      <c r="S350" s="3" t="n">
        <v>31373.35616438356</v>
      </c>
      <c r="T350" s="5">
        <f>IF(J350&lt;&gt;"",M350*N350/365/100*('Cashflow Projection'!$B$2-Investors!J350),0)</f>
        <v/>
      </c>
    </row>
    <row r="351">
      <c r="A351" s="3" t="inlineStr">
        <is>
          <t>ZRIT01</t>
        </is>
      </c>
      <c r="B351" s="3" t="inlineStr">
        <is>
          <t>Dennis</t>
        </is>
      </c>
      <c r="C351" s="3" t="inlineStr">
        <is>
          <t>Ritter</t>
        </is>
      </c>
      <c r="D351" s="3" t="inlineStr">
        <is>
          <t>Heron View</t>
        </is>
      </c>
      <c r="E351" s="3" t="inlineStr">
        <is>
          <t>HVK103</t>
        </is>
      </c>
      <c r="F351" s="3" t="b">
        <v>0</v>
      </c>
      <c r="G351" s="3" t="b">
        <v>0</v>
      </c>
      <c r="H351" s="3" t="inlineStr">
        <is>
          <t>K</t>
        </is>
      </c>
      <c r="I351" s="4" t="n">
        <v>45028</v>
      </c>
      <c r="J351" s="4" t="n">
        <v>45129</v>
      </c>
      <c r="K351" s="4" t="n">
        <v>45510</v>
      </c>
      <c r="L351" s="3" t="n">
        <v>15</v>
      </c>
      <c r="M351" s="3" t="n">
        <v>248756.16</v>
      </c>
      <c r="N351" s="3" t="n">
        <v>18</v>
      </c>
      <c r="O351" s="3" t="b">
        <v>0</v>
      </c>
      <c r="P351" s="3" t="b">
        <v>0</v>
      </c>
      <c r="Q351" s="3" t="n">
        <v>7404.755283287658</v>
      </c>
      <c r="R351" s="3" t="n">
        <v>46738.8971309589</v>
      </c>
      <c r="S351" s="3" t="n">
        <v>54143.65241424656</v>
      </c>
      <c r="T351" s="5">
        <f>IF(J351&lt;&gt;"",M351*N351/365/100*('Cashflow Projection'!$B$2-Investors!J351),0)</f>
        <v/>
      </c>
    </row>
    <row r="352">
      <c r="A352" s="3" t="inlineStr">
        <is>
          <t>ZINT01</t>
        </is>
      </c>
      <c r="B352" s="3" t="inlineStr">
        <is>
          <t>Marc</t>
        </is>
      </c>
      <c r="C352" s="3" t="inlineStr">
        <is>
          <t>Lunau</t>
        </is>
      </c>
      <c r="D352" s="3" t="inlineStr">
        <is>
          <t>Heron View</t>
        </is>
      </c>
      <c r="E352" s="3" t="inlineStr">
        <is>
          <t>HVK104</t>
        </is>
      </c>
      <c r="F352" s="3" t="b">
        <v>0</v>
      </c>
      <c r="G352" s="3" t="b">
        <v>0</v>
      </c>
      <c r="H352" s="3" t="inlineStr">
        <is>
          <t>K</t>
        </is>
      </c>
      <c r="I352" s="4" t="n">
        <v>44908</v>
      </c>
      <c r="J352" s="4" t="n">
        <v>44980</v>
      </c>
      <c r="K352" s="4" t="n">
        <v>45510</v>
      </c>
      <c r="L352" s="3" t="n">
        <v>10</v>
      </c>
      <c r="M352" s="3" t="n">
        <v>100000</v>
      </c>
      <c r="N352" s="3" t="n">
        <v>18</v>
      </c>
      <c r="O352" s="3" t="b">
        <v>0</v>
      </c>
      <c r="P352" s="3" t="b">
        <v>0</v>
      </c>
      <c r="Q352" s="3" t="n">
        <v>1939.041095890409</v>
      </c>
      <c r="R352" s="3" t="n">
        <v>26136.98630136986</v>
      </c>
      <c r="S352" s="3" t="n">
        <v>28076.02739726027</v>
      </c>
      <c r="T352" s="5">
        <f>IF(J352&lt;&gt;"",M352*N352/365/100*('Cashflow Projection'!$B$2-Investors!J352),0)</f>
        <v/>
      </c>
    </row>
    <row r="353">
      <c r="A353" s="3" t="inlineStr">
        <is>
          <t>ZNIE01</t>
        </is>
      </c>
      <c r="B353" s="3" t="inlineStr">
        <is>
          <t>Grant Richard</t>
        </is>
      </c>
      <c r="C353" s="3" t="inlineStr">
        <is>
          <t>van Niekerk</t>
        </is>
      </c>
      <c r="D353" s="3" t="inlineStr">
        <is>
          <t>Heron View</t>
        </is>
      </c>
      <c r="E353" s="3" t="inlineStr">
        <is>
          <t>HVK104</t>
        </is>
      </c>
      <c r="F353" s="3" t="b">
        <v>0</v>
      </c>
      <c r="G353" s="3" t="b">
        <v>0</v>
      </c>
      <c r="H353" s="3" t="inlineStr">
        <is>
          <t>K</t>
        </is>
      </c>
      <c r="I353" s="4" t="n">
        <v>44959</v>
      </c>
      <c r="J353" s="4" t="n">
        <v>45044</v>
      </c>
      <c r="K353" s="4" t="n">
        <v>45510</v>
      </c>
      <c r="L353" s="3" t="n">
        <v>4</v>
      </c>
      <c r="M353" s="3" t="n">
        <v>1000000</v>
      </c>
      <c r="N353" s="3" t="n">
        <v>18</v>
      </c>
      <c r="O353" s="3" t="b">
        <v>0</v>
      </c>
      <c r="P353" s="3" t="b">
        <v>0</v>
      </c>
      <c r="Q353" s="3" t="n">
        <v>23671.23287671237</v>
      </c>
      <c r="R353" s="3" t="n">
        <v>229808.2191780822</v>
      </c>
      <c r="S353" s="3" t="n">
        <v>253479.4520547946</v>
      </c>
      <c r="T353" s="5">
        <f>IF(J353&lt;&gt;"",M353*N353/365/100*('Cashflow Projection'!$B$2-Investors!J353),0)</f>
        <v/>
      </c>
    </row>
    <row r="354">
      <c r="A354" s="3" t="inlineStr">
        <is>
          <t>ZBOH01</t>
        </is>
      </c>
      <c r="B354" s="3" t="inlineStr">
        <is>
          <t>Werner Hugo Bohme &amp;</t>
        </is>
      </c>
      <c r="C354" s="3" t="inlineStr">
        <is>
          <t>Brenda Bohme</t>
        </is>
      </c>
      <c r="D354" s="3" t="inlineStr">
        <is>
          <t>Heron View</t>
        </is>
      </c>
      <c r="E354" s="3" t="inlineStr">
        <is>
          <t>HVK105</t>
        </is>
      </c>
      <c r="F354" s="3" t="b">
        <v>0</v>
      </c>
      <c r="G354" s="3" t="b">
        <v>0</v>
      </c>
      <c r="H354" s="3" t="inlineStr">
        <is>
          <t>K</t>
        </is>
      </c>
      <c r="I354" s="4" t="n">
        <v>44901</v>
      </c>
      <c r="J354" s="4" t="n">
        <v>44960</v>
      </c>
      <c r="K354" s="4" t="n">
        <v>45510</v>
      </c>
      <c r="L354" s="3" t="n">
        <v>2</v>
      </c>
      <c r="M354" s="3" t="n">
        <v>1000000</v>
      </c>
      <c r="N354" s="3" t="n">
        <v>18</v>
      </c>
      <c r="O354" s="3" t="b">
        <v>0</v>
      </c>
      <c r="P354" s="3" t="b">
        <v>0</v>
      </c>
      <c r="Q354" s="3" t="n">
        <v>15780.82191780822</v>
      </c>
      <c r="R354" s="3" t="n">
        <v>271232.8767123288</v>
      </c>
      <c r="S354" s="3" t="n">
        <v>287013.698630137</v>
      </c>
      <c r="T354" s="5">
        <f>IF(J354&lt;&gt;"",M354*N354/365/100*('Cashflow Projection'!$B$2-Investors!J354),0)</f>
        <v/>
      </c>
    </row>
    <row r="355">
      <c r="A355" s="3" t="inlineStr">
        <is>
          <t>ZCRO01</t>
        </is>
      </c>
      <c r="B355" s="3" t="inlineStr">
        <is>
          <t>Marc</t>
        </is>
      </c>
      <c r="C355" s="3" t="inlineStr">
        <is>
          <t>Lunau</t>
        </is>
      </c>
      <c r="D355" s="3" t="inlineStr">
        <is>
          <t>Heron View</t>
        </is>
      </c>
      <c r="E355" s="3" t="inlineStr">
        <is>
          <t>HVK105</t>
        </is>
      </c>
      <c r="F355" s="3" t="b">
        <v>0</v>
      </c>
      <c r="G355" s="3" t="b">
        <v>0</v>
      </c>
      <c r="H355" s="3" t="inlineStr">
        <is>
          <t>K</t>
        </is>
      </c>
      <c r="I355" s="4" t="n">
        <v>44900</v>
      </c>
      <c r="J355" s="4" t="n">
        <v>44916</v>
      </c>
      <c r="K355" s="4" t="n">
        <v>45510</v>
      </c>
      <c r="L355" s="3" t="n">
        <v>6</v>
      </c>
      <c r="M355" s="3" t="n">
        <v>120000</v>
      </c>
      <c r="N355" s="3" t="n">
        <v>18</v>
      </c>
      <c r="O355" s="3" t="b">
        <v>0</v>
      </c>
      <c r="P355" s="3" t="b">
        <v>0</v>
      </c>
      <c r="Q355" s="3" t="n">
        <v>512.8767123287671</v>
      </c>
      <c r="R355" s="3" t="n">
        <v>35151.78082191781</v>
      </c>
      <c r="S355" s="3" t="n">
        <v>35664.65753424658</v>
      </c>
      <c r="T355" s="5">
        <f>IF(J355&lt;&gt;"",M355*N355/365/100*('Cashflow Projection'!$B$2-Investors!J355),0)</f>
        <v/>
      </c>
    </row>
    <row r="356">
      <c r="A356" s="3" t="inlineStr">
        <is>
          <t>ZZYL03</t>
        </is>
      </c>
      <c r="B356" s="3" t="inlineStr">
        <is>
          <t>Sandra Robyn</t>
        </is>
      </c>
      <c r="C356" s="3" t="inlineStr">
        <is>
          <t>Zylstra</t>
        </is>
      </c>
      <c r="D356" s="3" t="inlineStr">
        <is>
          <t>Heron View</t>
        </is>
      </c>
      <c r="E356" s="3" t="inlineStr">
        <is>
          <t>HVK106</t>
        </is>
      </c>
      <c r="F356" s="3" t="b">
        <v>0</v>
      </c>
      <c r="G356" s="3" t="b">
        <v>0</v>
      </c>
      <c r="H356" s="3" t="inlineStr">
        <is>
          <t>K</t>
        </is>
      </c>
      <c r="I356" s="4" t="n">
        <v>44897</v>
      </c>
      <c r="J356" s="4" t="n">
        <v>44916</v>
      </c>
      <c r="K356" s="4" t="n">
        <v>45510</v>
      </c>
      <c r="L356" s="3" t="n">
        <v>3</v>
      </c>
      <c r="M356" s="3" t="n">
        <v>1107195.21</v>
      </c>
      <c r="N356" s="3" t="n">
        <v>18</v>
      </c>
      <c r="O356" s="3" t="b">
        <v>0</v>
      </c>
      <c r="P356" s="3" t="b">
        <v>0</v>
      </c>
      <c r="Q356" s="3" t="n">
        <v>5619.394867191781</v>
      </c>
      <c r="R356" s="3" t="n">
        <v>324332.3612416438</v>
      </c>
      <c r="S356" s="3" t="n">
        <v>329951.7561088356</v>
      </c>
      <c r="T356" s="5">
        <f>IF(J356&lt;&gt;"",M356*N356/365/100*('Cashflow Projection'!$B$2-Investors!J356),0)</f>
        <v/>
      </c>
    </row>
    <row r="357">
      <c r="A357" s="3" t="inlineStr">
        <is>
          <t>ZVAN05</t>
        </is>
      </c>
      <c r="B357" s="3" t="inlineStr">
        <is>
          <t>Hermanus</t>
        </is>
      </c>
      <c r="C357" s="3" t="inlineStr">
        <is>
          <t>van der Sandt</t>
        </is>
      </c>
      <c r="D357" s="3" t="inlineStr">
        <is>
          <t>Heron View</t>
        </is>
      </c>
      <c r="E357" s="3" t="inlineStr">
        <is>
          <t>HVK201</t>
        </is>
      </c>
      <c r="F357" s="3" t="b">
        <v>0</v>
      </c>
      <c r="G357" s="3" t="b">
        <v>0</v>
      </c>
      <c r="H357" s="3" t="inlineStr">
        <is>
          <t>K</t>
        </is>
      </c>
      <c r="I357" s="4" t="n">
        <v>44866</v>
      </c>
      <c r="J357" s="4" t="n">
        <v>44916</v>
      </c>
      <c r="K357" s="4" t="n">
        <v>45510</v>
      </c>
      <c r="L357" s="3" t="n">
        <v>6</v>
      </c>
      <c r="M357" s="3" t="n">
        <v>1100000</v>
      </c>
      <c r="N357" s="3" t="n">
        <v>18</v>
      </c>
      <c r="O357" s="3" t="b">
        <v>0</v>
      </c>
      <c r="P357" s="3" t="b">
        <v>0</v>
      </c>
      <c r="Q357" s="3" t="n">
        <v>14036.30136986303</v>
      </c>
      <c r="R357" s="3" t="n">
        <v>322224.6575342466</v>
      </c>
      <c r="S357" s="3" t="n">
        <v>336260.9589041097</v>
      </c>
      <c r="T357" s="5">
        <f>IF(J357&lt;&gt;"",M357*N357/365/100*('Cashflow Projection'!$B$2-Investors!J357),0)</f>
        <v/>
      </c>
    </row>
    <row r="358">
      <c r="A358" s="3" t="inlineStr">
        <is>
          <t>ZBLO01</t>
        </is>
      </c>
      <c r="B358" s="3" t="inlineStr">
        <is>
          <t>Robert Errol</t>
        </is>
      </c>
      <c r="C358" s="3" t="inlineStr">
        <is>
          <t>Blows</t>
        </is>
      </c>
      <c r="D358" s="3" t="inlineStr">
        <is>
          <t>Heron View</t>
        </is>
      </c>
      <c r="E358" s="3" t="inlineStr">
        <is>
          <t>HVK202</t>
        </is>
      </c>
      <c r="F358" s="3" t="b">
        <v>0</v>
      </c>
      <c r="G358" s="3" t="b">
        <v>0</v>
      </c>
      <c r="H358" s="3" t="inlineStr">
        <is>
          <t>K</t>
        </is>
      </c>
      <c r="I358" s="4" t="n">
        <v>44895</v>
      </c>
      <c r="J358" s="4" t="n">
        <v>44916</v>
      </c>
      <c r="K358" s="4" t="n">
        <v>45510</v>
      </c>
      <c r="L358" s="3" t="n">
        <v>3</v>
      </c>
      <c r="M358" s="3" t="n">
        <v>100000</v>
      </c>
      <c r="N358" s="3" t="n">
        <v>14</v>
      </c>
      <c r="O358" s="3" t="b">
        <v>0</v>
      </c>
      <c r="P358" s="3" t="b">
        <v>0</v>
      </c>
      <c r="Q358" s="3" t="n">
        <v>560.9589041095888</v>
      </c>
      <c r="R358" s="3" t="n">
        <v>22783.56164383562</v>
      </c>
      <c r="S358" s="3" t="n">
        <v>23344.52054794521</v>
      </c>
      <c r="T358" s="5">
        <f>IF(J358&lt;&gt;"",M358*N358/365/100*('Cashflow Projection'!$B$2-Investors!J358),0)</f>
        <v/>
      </c>
    </row>
    <row r="359">
      <c r="A359" s="3" t="inlineStr">
        <is>
          <t>ZLAB02</t>
        </is>
      </c>
      <c r="B359" s="3" t="inlineStr">
        <is>
          <t>Jandre</t>
        </is>
      </c>
      <c r="C359" s="3" t="inlineStr">
        <is>
          <t>Labuschagne</t>
        </is>
      </c>
      <c r="D359" s="3" t="inlineStr">
        <is>
          <t>Heron View</t>
        </is>
      </c>
      <c r="E359" s="3" t="inlineStr">
        <is>
          <t>HVK202</t>
        </is>
      </c>
      <c r="F359" s="3" t="b">
        <v>0</v>
      </c>
      <c r="G359" s="3" t="b">
        <v>0</v>
      </c>
      <c r="H359" s="3" t="inlineStr">
        <is>
          <t>K</t>
        </is>
      </c>
      <c r="I359" s="4" t="n">
        <v>44895</v>
      </c>
      <c r="J359" s="4" t="n">
        <v>44916</v>
      </c>
      <c r="K359" s="4" t="n">
        <v>45510</v>
      </c>
      <c r="L359" s="3" t="n">
        <v>2</v>
      </c>
      <c r="M359" s="3" t="n">
        <v>112707.53</v>
      </c>
      <c r="N359" s="3" t="n">
        <v>14</v>
      </c>
      <c r="O359" s="3" t="b">
        <v>0</v>
      </c>
      <c r="P359" s="3" t="b">
        <v>0</v>
      </c>
      <c r="Q359" s="3" t="n">
        <v>632.2429251369863</v>
      </c>
      <c r="R359" s="3" t="n">
        <v>25678.78957479452</v>
      </c>
      <c r="S359" s="3" t="n">
        <v>26311.03249993151</v>
      </c>
      <c r="T359" s="5">
        <f>IF(J359&lt;&gt;"",M359*N359/365/100*('Cashflow Projection'!$B$2-Investors!J359),0)</f>
        <v/>
      </c>
    </row>
    <row r="360">
      <c r="A360" s="3" t="inlineStr">
        <is>
          <t>ZRAN01</t>
        </is>
      </c>
      <c r="B360" s="3" t="inlineStr">
        <is>
          <t>Ross Partick Gemill</t>
        </is>
      </c>
      <c r="C360" s="3" t="inlineStr">
        <is>
          <t>Rankin</t>
        </is>
      </c>
      <c r="D360" s="3" t="inlineStr">
        <is>
          <t>Heron View</t>
        </is>
      </c>
      <c r="E360" s="3" t="inlineStr">
        <is>
          <t>HVK202</t>
        </is>
      </c>
      <c r="F360" s="3" t="b">
        <v>0</v>
      </c>
      <c r="G360" s="3" t="b">
        <v>0</v>
      </c>
      <c r="H360" s="3" t="inlineStr">
        <is>
          <t>K</t>
        </is>
      </c>
      <c r="I360" s="4" t="n">
        <v>44902</v>
      </c>
      <c r="J360" s="4" t="n">
        <v>44967</v>
      </c>
      <c r="K360" s="4" t="n">
        <v>45510</v>
      </c>
      <c r="L360" s="3" t="n">
        <v>23</v>
      </c>
      <c r="M360" s="3" t="n">
        <v>126300</v>
      </c>
      <c r="N360" s="3" t="n">
        <v>18</v>
      </c>
      <c r="O360" s="3" t="b">
        <v>0</v>
      </c>
      <c r="P360" s="3" t="b">
        <v>0</v>
      </c>
      <c r="Q360" s="3" t="n">
        <v>2201.599315068491</v>
      </c>
      <c r="R360" s="3" t="n">
        <v>33820.71780821918</v>
      </c>
      <c r="S360" s="3" t="n">
        <v>36022.31712328767</v>
      </c>
      <c r="T360" s="5">
        <f>IF(J360&lt;&gt;"",M360*N360/365/100*('Cashflow Projection'!$B$2-Investors!J360),0)</f>
        <v/>
      </c>
    </row>
    <row r="361">
      <c r="A361" s="3" t="inlineStr">
        <is>
          <t>ZVDM01</t>
        </is>
      </c>
      <c r="B361" s="3" t="inlineStr">
        <is>
          <t>Paula</t>
        </is>
      </c>
      <c r="C361" s="3" t="inlineStr">
        <is>
          <t>van der Mescht</t>
        </is>
      </c>
      <c r="D361" s="3" t="inlineStr">
        <is>
          <t>Heron View</t>
        </is>
      </c>
      <c r="E361" s="3" t="inlineStr">
        <is>
          <t>HVK202</t>
        </is>
      </c>
      <c r="F361" s="3" t="b">
        <v>0</v>
      </c>
      <c r="G361" s="3" t="b">
        <v>0</v>
      </c>
      <c r="H361" s="3" t="inlineStr">
        <is>
          <t>K</t>
        </is>
      </c>
      <c r="I361" s="4" t="n">
        <v>44903</v>
      </c>
      <c r="J361" s="4" t="n">
        <v>44986</v>
      </c>
      <c r="K361" s="4" t="n">
        <v>45510</v>
      </c>
      <c r="L361" s="3" t="n">
        <v>5</v>
      </c>
      <c r="M361" s="3" t="n">
        <v>65218.15</v>
      </c>
      <c r="N361" s="3" t="n">
        <v>14</v>
      </c>
      <c r="O361" s="3" t="b">
        <v>0</v>
      </c>
      <c r="P361" s="3" t="b">
        <v>0</v>
      </c>
      <c r="Q361" s="3" t="n">
        <v>1458.921081506851</v>
      </c>
      <c r="R361" s="3" t="n">
        <v>13107.95475068493</v>
      </c>
      <c r="S361" s="3" t="n">
        <v>14566.87583219178</v>
      </c>
      <c r="T361" s="5">
        <f>IF(J361&lt;&gt;"",M361*N361/365/100*('Cashflow Projection'!$B$2-Investors!J361),0)</f>
        <v/>
      </c>
    </row>
    <row r="362">
      <c r="A362" s="3" t="inlineStr">
        <is>
          <t>ZZYL03</t>
        </is>
      </c>
      <c r="B362" s="3" t="inlineStr">
        <is>
          <t>Sandra Robyn</t>
        </is>
      </c>
      <c r="C362" s="3" t="inlineStr">
        <is>
          <t>Zylstra</t>
        </is>
      </c>
      <c r="D362" s="3" t="inlineStr">
        <is>
          <t>Heron View</t>
        </is>
      </c>
      <c r="E362" s="3" t="inlineStr">
        <is>
          <t>HVK202</t>
        </is>
      </c>
      <c r="F362" s="3" t="b">
        <v>0</v>
      </c>
      <c r="G362" s="3" t="b">
        <v>0</v>
      </c>
      <c r="H362" s="3" t="inlineStr">
        <is>
          <t>K</t>
        </is>
      </c>
      <c r="I362" s="4" t="n">
        <v>44915</v>
      </c>
      <c r="J362" s="4" t="n">
        <v>45016</v>
      </c>
      <c r="K362" s="4" t="n">
        <v>45510</v>
      </c>
      <c r="L362" s="3" t="n">
        <v>4</v>
      </c>
      <c r="M362" s="3" t="n">
        <v>608441.78</v>
      </c>
      <c r="N362" s="3" t="n">
        <v>18</v>
      </c>
      <c r="O362" s="3" t="b">
        <v>0</v>
      </c>
      <c r="P362" s="3" t="b">
        <v>0</v>
      </c>
      <c r="Q362" s="3" t="n">
        <v>16661.30298931506</v>
      </c>
      <c r="R362" s="3" t="n">
        <v>148226.419390685</v>
      </c>
      <c r="S362" s="3" t="n">
        <v>164887.72238</v>
      </c>
      <c r="T362" s="5">
        <f>IF(J362&lt;&gt;"",M362*N362/365/100*('Cashflow Projection'!$B$2-Investors!J362),0)</f>
        <v/>
      </c>
    </row>
    <row r="363">
      <c r="A363" s="3" t="inlineStr">
        <is>
          <t>ZASD01</t>
        </is>
      </c>
      <c r="B363" s="3" t="inlineStr">
        <is>
          <t>Stuart Charles</t>
        </is>
      </c>
      <c r="C363" s="3" t="inlineStr">
        <is>
          <t>Bendall</t>
        </is>
      </c>
      <c r="D363" s="3" t="inlineStr">
        <is>
          <t>Heron View</t>
        </is>
      </c>
      <c r="E363" s="3" t="inlineStr">
        <is>
          <t>HVK203</t>
        </is>
      </c>
      <c r="F363" s="3" t="b">
        <v>0</v>
      </c>
      <c r="G363" s="3" t="b">
        <v>0</v>
      </c>
      <c r="H363" s="3" t="inlineStr">
        <is>
          <t>K</t>
        </is>
      </c>
      <c r="I363" s="4" t="n">
        <v>44897</v>
      </c>
      <c r="J363" s="4" t="n">
        <v>44916</v>
      </c>
      <c r="K363" s="4" t="n">
        <v>45510</v>
      </c>
      <c r="L363" s="3" t="n">
        <v>2</v>
      </c>
      <c r="M363" s="3" t="n">
        <v>510000</v>
      </c>
      <c r="N363" s="3" t="n">
        <v>16</v>
      </c>
      <c r="O363" s="3" t="b">
        <v>0</v>
      </c>
      <c r="P363" s="3" t="b">
        <v>0</v>
      </c>
      <c r="Q363" s="3" t="n">
        <v>2588.424657534246</v>
      </c>
      <c r="R363" s="3" t="n">
        <v>132795.6164383562</v>
      </c>
      <c r="S363" s="3" t="n">
        <v>135384.0410958904</v>
      </c>
      <c r="T363" s="5">
        <f>IF(J363&lt;&gt;"",M363*N363/365/100*('Cashflow Projection'!$B$2-Investors!J363),0)</f>
        <v/>
      </c>
    </row>
    <row r="364">
      <c r="A364" s="3" t="inlineStr">
        <is>
          <t>ZLOU01</t>
        </is>
      </c>
      <c r="B364" s="3" t="inlineStr">
        <is>
          <t>Ricardo Brandon</t>
        </is>
      </c>
      <c r="C364" s="3" t="inlineStr">
        <is>
          <t>Louw</t>
        </is>
      </c>
      <c r="D364" s="3" t="inlineStr">
        <is>
          <t>Heron View</t>
        </is>
      </c>
      <c r="E364" s="3" t="inlineStr">
        <is>
          <t>HVK203</t>
        </is>
      </c>
      <c r="F364" s="3" t="b">
        <v>0</v>
      </c>
      <c r="G364" s="3" t="b">
        <v>0</v>
      </c>
      <c r="H364" s="3" t="inlineStr">
        <is>
          <t>K</t>
        </is>
      </c>
      <c r="I364" s="4" t="n">
        <v>44952</v>
      </c>
      <c r="J364" s="4" t="n">
        <v>45044</v>
      </c>
      <c r="K364" s="4" t="n">
        <v>45510</v>
      </c>
      <c r="L364" s="3" t="n">
        <v>2</v>
      </c>
      <c r="M364" s="3" t="n">
        <v>500000</v>
      </c>
      <c r="N364" s="3" t="n">
        <v>16</v>
      </c>
      <c r="O364" s="3" t="b">
        <v>0</v>
      </c>
      <c r="P364" s="3" t="b">
        <v>0</v>
      </c>
      <c r="Q364" s="3" t="n">
        <v>12777.397260274</v>
      </c>
      <c r="R364" s="3" t="n">
        <v>102136.9863013699</v>
      </c>
      <c r="S364" s="3" t="n">
        <v>114914.3835616439</v>
      </c>
      <c r="T364" s="5">
        <f>IF(J364&lt;&gt;"",M364*N364/365/100*('Cashflow Projection'!$B$2-Investors!J364),0)</f>
        <v/>
      </c>
    </row>
    <row r="365">
      <c r="A365" s="3" t="inlineStr">
        <is>
          <t>ZSPE01</t>
        </is>
      </c>
      <c r="B365" s="3" t="inlineStr">
        <is>
          <t>Mosiuoa Samuel</t>
        </is>
      </c>
      <c r="C365" s="3" t="inlineStr">
        <is>
          <t>Speelman</t>
        </is>
      </c>
      <c r="D365" s="3" t="inlineStr">
        <is>
          <t>Heron View</t>
        </is>
      </c>
      <c r="E365" s="3" t="inlineStr">
        <is>
          <t>HVK203</t>
        </is>
      </c>
      <c r="F365" s="3" t="b">
        <v>0</v>
      </c>
      <c r="G365" s="3" t="b">
        <v>0</v>
      </c>
      <c r="H365" s="3" t="inlineStr">
        <is>
          <t>K</t>
        </is>
      </c>
      <c r="I365" s="4" t="n">
        <v>44952</v>
      </c>
      <c r="J365" s="4" t="n">
        <v>45016</v>
      </c>
      <c r="K365" s="4" t="n">
        <v>45510</v>
      </c>
      <c r="L365" s="3" t="n">
        <v>4</v>
      </c>
      <c r="M365" s="3" t="n">
        <v>90419.06</v>
      </c>
      <c r="N365" s="3" t="n">
        <v>14</v>
      </c>
      <c r="O365" s="3" t="b">
        <v>0</v>
      </c>
      <c r="P365" s="3" t="b">
        <v>0</v>
      </c>
      <c r="Q365" s="3" t="n">
        <v>1582.333550000002</v>
      </c>
      <c r="R365" s="3" t="n">
        <v>17132.55394410959</v>
      </c>
      <c r="S365" s="3" t="n">
        <v>18714.88749410959</v>
      </c>
      <c r="T365" s="5">
        <f>IF(J365&lt;&gt;"",M365*N365/365/100*('Cashflow Projection'!$B$2-Investors!J365),0)</f>
        <v/>
      </c>
    </row>
    <row r="366">
      <c r="A366" s="3" t="inlineStr">
        <is>
          <t>ZCAM01</t>
        </is>
      </c>
      <c r="B366" s="3" t="inlineStr">
        <is>
          <t>Jeremy &amp; Rosaline</t>
        </is>
      </c>
      <c r="C366" s="3" t="inlineStr">
        <is>
          <t>Campbell</t>
        </is>
      </c>
      <c r="D366" s="3" t="inlineStr">
        <is>
          <t>Heron View</t>
        </is>
      </c>
      <c r="E366" s="3" t="inlineStr">
        <is>
          <t>HVK204</t>
        </is>
      </c>
      <c r="F366" s="3" t="b">
        <v>0</v>
      </c>
      <c r="G366" s="3" t="b">
        <v>0</v>
      </c>
      <c r="H366" s="3" t="inlineStr">
        <is>
          <t>K</t>
        </is>
      </c>
      <c r="I366" s="4" t="n">
        <v>44950</v>
      </c>
      <c r="J366" s="4" t="n">
        <v>45016</v>
      </c>
      <c r="K366" s="4" t="n">
        <v>45510</v>
      </c>
      <c r="L366" s="3" t="n">
        <v>3</v>
      </c>
      <c r="M366" s="3" t="n">
        <v>400000</v>
      </c>
      <c r="N366" s="3" t="n">
        <v>14</v>
      </c>
      <c r="O366" s="3" t="b">
        <v>0</v>
      </c>
      <c r="P366" s="3" t="b">
        <v>0</v>
      </c>
      <c r="Q366" s="3" t="n">
        <v>7213.698630136977</v>
      </c>
      <c r="R366" s="3" t="n">
        <v>75791.7808219178</v>
      </c>
      <c r="S366" s="3" t="n">
        <v>83005.47945205477</v>
      </c>
      <c r="T366" s="5">
        <f>IF(J366&lt;&gt;"",M366*N366/365/100*('Cashflow Projection'!$B$2-Investors!J366),0)</f>
        <v/>
      </c>
    </row>
    <row r="367">
      <c r="A367" s="3" t="inlineStr">
        <is>
          <t>ZFEM01</t>
        </is>
      </c>
      <c r="B367" s="3" t="inlineStr">
        <is>
          <t>Francina Elisabeth</t>
        </is>
      </c>
      <c r="C367" s="3" t="inlineStr">
        <is>
          <t>Morkel</t>
        </is>
      </c>
      <c r="D367" s="3" t="inlineStr">
        <is>
          <t>Heron View</t>
        </is>
      </c>
      <c r="E367" s="3" t="inlineStr">
        <is>
          <t>HVK204</t>
        </is>
      </c>
      <c r="F367" s="3" t="b">
        <v>0</v>
      </c>
      <c r="G367" s="3" t="b">
        <v>0</v>
      </c>
      <c r="H367" s="3" t="inlineStr">
        <is>
          <t>K</t>
        </is>
      </c>
      <c r="I367" s="4" t="n">
        <v>44901</v>
      </c>
      <c r="J367" s="4" t="n">
        <v>44916</v>
      </c>
      <c r="K367" s="4" t="n">
        <v>45510</v>
      </c>
      <c r="L367" s="3" t="n">
        <v>4</v>
      </c>
      <c r="M367" s="3" t="n">
        <v>124948.63</v>
      </c>
      <c r="N367" s="3" t="n">
        <v>14</v>
      </c>
      <c r="O367" s="3" t="b">
        <v>0</v>
      </c>
      <c r="P367" s="3" t="b">
        <v>0</v>
      </c>
      <c r="Q367" s="3" t="n">
        <v>500.6503325342467</v>
      </c>
      <c r="R367" s="3" t="n">
        <v>28467.74813917808</v>
      </c>
      <c r="S367" s="3" t="n">
        <v>28968.39847171233</v>
      </c>
      <c r="T367" s="5">
        <f>IF(J367&lt;&gt;"",M367*N367/365/100*('Cashflow Projection'!$B$2-Investors!J367),0)</f>
        <v/>
      </c>
    </row>
    <row r="368">
      <c r="A368" s="3" t="inlineStr">
        <is>
          <t>ZKRO03</t>
        </is>
      </c>
      <c r="B368" s="3" t="inlineStr">
        <is>
          <t>Jacqueline</t>
        </is>
      </c>
      <c r="C368" s="3" t="inlineStr">
        <is>
          <t>Krohn</t>
        </is>
      </c>
      <c r="D368" s="3" t="inlineStr">
        <is>
          <t>Heron View</t>
        </is>
      </c>
      <c r="E368" s="3" t="inlineStr">
        <is>
          <t>HVK204</t>
        </is>
      </c>
      <c r="F368" s="3" t="b">
        <v>0</v>
      </c>
      <c r="G368" s="3" t="b">
        <v>0</v>
      </c>
      <c r="H368" s="3" t="inlineStr">
        <is>
          <t>K</t>
        </is>
      </c>
      <c r="I368" s="4" t="n">
        <v>44903</v>
      </c>
      <c r="J368" s="4" t="n">
        <v>44980</v>
      </c>
      <c r="K368" s="4" t="n">
        <v>45510</v>
      </c>
      <c r="L368" s="3" t="n">
        <v>2</v>
      </c>
      <c r="M368" s="3" t="n">
        <v>600000</v>
      </c>
      <c r="N368" s="3" t="n">
        <v>16</v>
      </c>
      <c r="O368" s="3" t="b">
        <v>0</v>
      </c>
      <c r="P368" s="3" t="b">
        <v>0</v>
      </c>
      <c r="Q368" s="3" t="n">
        <v>12435.61643835615</v>
      </c>
      <c r="R368" s="3" t="n">
        <v>139397.2602739726</v>
      </c>
      <c r="S368" s="3" t="n">
        <v>151832.8767123288</v>
      </c>
      <c r="T368" s="5">
        <f>IF(J368&lt;&gt;"",M368*N368/365/100*('Cashflow Projection'!$B$2-Investors!J368),0)</f>
        <v/>
      </c>
    </row>
    <row r="369">
      <c r="A369" s="3" t="inlineStr">
        <is>
          <t>ZVDW01</t>
        </is>
      </c>
      <c r="B369" s="3" t="inlineStr">
        <is>
          <t>Philip</t>
        </is>
      </c>
      <c r="C369" s="3" t="inlineStr">
        <is>
          <t xml:space="preserve">van der Walt </t>
        </is>
      </c>
      <c r="D369" s="3" t="inlineStr">
        <is>
          <t>Heron View</t>
        </is>
      </c>
      <c r="E369" s="3" t="inlineStr">
        <is>
          <t>HVK205</t>
        </is>
      </c>
      <c r="F369" s="3" t="b">
        <v>0</v>
      </c>
      <c r="G369" s="3" t="b">
        <v>0</v>
      </c>
      <c r="H369" s="3" t="inlineStr">
        <is>
          <t>K</t>
        </is>
      </c>
      <c r="I369" s="4" t="n">
        <v>44937</v>
      </c>
      <c r="J369" s="4" t="n">
        <v>45016</v>
      </c>
      <c r="K369" s="4" t="n">
        <v>45510</v>
      </c>
      <c r="L369" s="3" t="n">
        <v>2</v>
      </c>
      <c r="M369" s="3" t="n">
        <v>1000500</v>
      </c>
      <c r="N369" s="3" t="n">
        <v>18</v>
      </c>
      <c r="O369" s="3" t="b">
        <v>0</v>
      </c>
      <c r="P369" s="3" t="b">
        <v>0</v>
      </c>
      <c r="Q369" s="3" t="n">
        <v>21517.602739726</v>
      </c>
      <c r="R369" s="3" t="n">
        <v>243738.2465753425</v>
      </c>
      <c r="S369" s="3" t="n">
        <v>265255.8493150685</v>
      </c>
      <c r="T369" s="5">
        <f>IF(J369&lt;&gt;"",M369*N369/365/100*('Cashflow Projection'!$B$2-Investors!J369),0)</f>
        <v/>
      </c>
    </row>
    <row r="370">
      <c r="A370" s="3" t="inlineStr">
        <is>
          <t>ZZYL02</t>
        </is>
      </c>
      <c r="B370" s="3" t="inlineStr">
        <is>
          <t>Petronella Johanna</t>
        </is>
      </c>
      <c r="C370" s="3" t="inlineStr">
        <is>
          <t>Zylstra</t>
        </is>
      </c>
      <c r="D370" s="3" t="inlineStr">
        <is>
          <t>Heron View</t>
        </is>
      </c>
      <c r="E370" s="3" t="inlineStr">
        <is>
          <t>HVK205</t>
        </is>
      </c>
      <c r="F370" s="3" t="b">
        <v>0</v>
      </c>
      <c r="G370" s="3" t="b">
        <v>0</v>
      </c>
      <c r="H370" s="3" t="inlineStr">
        <is>
          <t>K</t>
        </is>
      </c>
      <c r="I370" s="4" t="n">
        <v>44895</v>
      </c>
      <c r="J370" s="4" t="n">
        <v>44916</v>
      </c>
      <c r="K370" s="4" t="n">
        <v>45510</v>
      </c>
      <c r="L370" s="3" t="n">
        <v>3</v>
      </c>
      <c r="M370" s="3" t="n">
        <v>123613.01</v>
      </c>
      <c r="N370" s="3" t="n">
        <v>14</v>
      </c>
      <c r="O370" s="3" t="b">
        <v>0</v>
      </c>
      <c r="P370" s="3" t="b">
        <v>0</v>
      </c>
      <c r="Q370" s="3" t="n">
        <v>693.418186232877</v>
      </c>
      <c r="R370" s="3" t="n">
        <v>28163.44633315068</v>
      </c>
      <c r="S370" s="3" t="n">
        <v>28856.86451938356</v>
      </c>
      <c r="T370" s="5">
        <f>IF(J370&lt;&gt;"",M370*N370/365/100*('Cashflow Projection'!$B$2-Investors!J370),0)</f>
        <v/>
      </c>
    </row>
    <row r="371">
      <c r="A371" s="3" t="inlineStr">
        <is>
          <t>ZCOL01</t>
        </is>
      </c>
      <c r="B371" s="3" t="inlineStr">
        <is>
          <t>Christine</t>
        </is>
      </c>
      <c r="C371" s="3" t="inlineStr">
        <is>
          <t>Collins</t>
        </is>
      </c>
      <c r="D371" s="3" t="inlineStr">
        <is>
          <t>Heron View</t>
        </is>
      </c>
      <c r="E371" s="3" t="inlineStr">
        <is>
          <t>HVK206</t>
        </is>
      </c>
      <c r="F371" s="3" t="b">
        <v>0</v>
      </c>
      <c r="G371" s="3" t="b">
        <v>0</v>
      </c>
      <c r="H371" s="3" t="inlineStr">
        <is>
          <t>K</t>
        </is>
      </c>
      <c r="I371" s="4" t="n">
        <v>44914</v>
      </c>
      <c r="J371" s="4" t="n">
        <v>45008</v>
      </c>
      <c r="K371" s="4" t="n">
        <v>45510</v>
      </c>
      <c r="L371" s="3" t="n">
        <v>4</v>
      </c>
      <c r="M371" s="3" t="n">
        <v>130133.7</v>
      </c>
      <c r="N371" s="3" t="n">
        <v>14</v>
      </c>
      <c r="O371" s="3" t="b">
        <v>0</v>
      </c>
      <c r="P371" s="3" t="b">
        <v>0</v>
      </c>
      <c r="Q371" s="3" t="n">
        <v>3313.061389726032</v>
      </c>
      <c r="R371" s="3" t="n">
        <v>25056.9765369863</v>
      </c>
      <c r="S371" s="3" t="n">
        <v>28370.03792671234</v>
      </c>
      <c r="T371" s="5">
        <f>IF(J371&lt;&gt;"",M371*N371/365/100*('Cashflow Projection'!$B$2-Investors!J371),0)</f>
        <v/>
      </c>
    </row>
    <row r="372">
      <c r="A372" s="3" t="inlineStr">
        <is>
          <t>ZDIC01</t>
        </is>
      </c>
      <c r="B372" s="3" t="inlineStr">
        <is>
          <t>Grant Allan</t>
        </is>
      </c>
      <c r="C372" s="3" t="inlineStr">
        <is>
          <t>Dickinson</t>
        </is>
      </c>
      <c r="D372" s="3" t="inlineStr">
        <is>
          <t>Heron View</t>
        </is>
      </c>
      <c r="E372" s="3" t="inlineStr">
        <is>
          <t>HVK206</t>
        </is>
      </c>
      <c r="F372" s="3" t="b">
        <v>0</v>
      </c>
      <c r="G372" s="3" t="b">
        <v>0</v>
      </c>
      <c r="H372" s="3" t="inlineStr">
        <is>
          <t>K</t>
        </is>
      </c>
      <c r="I372" s="4" t="n">
        <v>44952</v>
      </c>
      <c r="J372" s="4" t="n">
        <v>45044</v>
      </c>
      <c r="K372" s="4" t="n">
        <v>45510</v>
      </c>
      <c r="L372" s="3" t="n">
        <v>11</v>
      </c>
      <c r="M372" s="3" t="n">
        <v>767449.3199999999</v>
      </c>
      <c r="N372" s="3" t="n">
        <v>18</v>
      </c>
      <c r="O372" s="3" t="b">
        <v>0</v>
      </c>
      <c r="P372" s="3" t="b">
        <v>0</v>
      </c>
      <c r="Q372" s="3" t="n">
        <v>19612.00967753426</v>
      </c>
      <c r="R372" s="3" t="n">
        <v>176366.1615386301</v>
      </c>
      <c r="S372" s="3" t="n">
        <v>195978.1712161644</v>
      </c>
      <c r="T372" s="5">
        <f>IF(J372&lt;&gt;"",M372*N372/365/100*('Cashflow Projection'!$B$2-Investors!J372),0)</f>
        <v/>
      </c>
    </row>
    <row r="373">
      <c r="A373" s="3" t="inlineStr">
        <is>
          <t>ZFOU01</t>
        </is>
      </c>
      <c r="B373" s="3" t="inlineStr">
        <is>
          <t>Hester Magrietha</t>
        </is>
      </c>
      <c r="C373" s="3" t="inlineStr">
        <is>
          <t>Fourie</t>
        </is>
      </c>
      <c r="D373" s="3" t="inlineStr">
        <is>
          <t>Heron View</t>
        </is>
      </c>
      <c r="E373" s="3" t="inlineStr">
        <is>
          <t>HVK206</t>
        </is>
      </c>
      <c r="F373" s="3" t="b">
        <v>0</v>
      </c>
      <c r="G373" s="3" t="b">
        <v>0</v>
      </c>
      <c r="H373" s="3" t="inlineStr">
        <is>
          <t>K</t>
        </is>
      </c>
      <c r="I373" s="4" t="n">
        <v>44944</v>
      </c>
      <c r="J373" s="4" t="n">
        <v>45016</v>
      </c>
      <c r="K373" s="4" t="n">
        <v>45510</v>
      </c>
      <c r="L373" s="3" t="n">
        <v>2</v>
      </c>
      <c r="M373" s="3" t="n">
        <v>100000</v>
      </c>
      <c r="N373" s="3" t="n">
        <v>14</v>
      </c>
      <c r="O373" s="3" t="b">
        <v>0</v>
      </c>
      <c r="P373" s="3" t="b">
        <v>0</v>
      </c>
      <c r="Q373" s="3" t="n">
        <v>1963.698630136983</v>
      </c>
      <c r="R373" s="3" t="n">
        <v>18947.94520547945</v>
      </c>
      <c r="S373" s="3" t="n">
        <v>20911.64383561643</v>
      </c>
      <c r="T373" s="5">
        <f>IF(J373&lt;&gt;"",M373*N373/365/100*('Cashflow Projection'!$B$2-Investors!J373),0)</f>
        <v/>
      </c>
    </row>
    <row r="374">
      <c r="A374" s="3" t="inlineStr">
        <is>
          <t>ZGOV01</t>
        </is>
      </c>
      <c r="B374" s="3" t="inlineStr">
        <is>
          <t>Preshnee</t>
        </is>
      </c>
      <c r="C374" s="3" t="inlineStr">
        <is>
          <t>Govender</t>
        </is>
      </c>
      <c r="D374" s="3" t="inlineStr">
        <is>
          <t>Heron View</t>
        </is>
      </c>
      <c r="E374" s="3" t="inlineStr">
        <is>
          <t>HVK206</t>
        </is>
      </c>
      <c r="F374" s="3" t="b">
        <v>0</v>
      </c>
      <c r="G374" s="3" t="b">
        <v>0</v>
      </c>
      <c r="H374" s="3" t="inlineStr">
        <is>
          <t>K</t>
        </is>
      </c>
      <c r="I374" s="4" t="n">
        <v>44903</v>
      </c>
      <c r="J374" s="4" t="n">
        <v>44967</v>
      </c>
      <c r="K374" s="4" t="n">
        <v>45510</v>
      </c>
      <c r="L374" s="3" t="n">
        <v>2</v>
      </c>
      <c r="M374" s="3" t="n">
        <v>122921.23</v>
      </c>
      <c r="N374" s="3" t="n">
        <v>14</v>
      </c>
      <c r="O374" s="3" t="b">
        <v>0</v>
      </c>
      <c r="P374" s="3" t="b">
        <v>0</v>
      </c>
      <c r="Q374" s="3" t="n">
        <v>2109.867139589041</v>
      </c>
      <c r="R374" s="3" t="n">
        <v>25601.29288931507</v>
      </c>
      <c r="S374" s="3" t="n">
        <v>27711.16002890411</v>
      </c>
      <c r="T374" s="5">
        <f>IF(J374&lt;&gt;"",M374*N374/365/100*('Cashflow Projection'!$B$2-Investors!J374),0)</f>
        <v/>
      </c>
    </row>
    <row r="375">
      <c r="A375" s="3" t="inlineStr">
        <is>
          <t>ZBAR01</t>
        </is>
      </c>
      <c r="B375" s="3" t="inlineStr">
        <is>
          <t>Stuart Christopher</t>
        </is>
      </c>
      <c r="C375" s="3" t="inlineStr">
        <is>
          <t>Barr</t>
        </is>
      </c>
      <c r="D375" s="3" t="inlineStr">
        <is>
          <t>Heron View</t>
        </is>
      </c>
      <c r="E375" s="3" t="inlineStr">
        <is>
          <t>HVK301</t>
        </is>
      </c>
      <c r="F375" s="3" t="b">
        <v>0</v>
      </c>
      <c r="G375" s="3" t="b">
        <v>0</v>
      </c>
      <c r="H375" s="3" t="inlineStr">
        <is>
          <t>K</t>
        </is>
      </c>
      <c r="I375" s="4" t="n">
        <v>44908</v>
      </c>
      <c r="J375" s="4" t="n">
        <v>44986</v>
      </c>
      <c r="K375" s="4" t="n">
        <v>45510</v>
      </c>
      <c r="L375" s="3" t="n">
        <v>2</v>
      </c>
      <c r="M375" s="3" t="n">
        <v>251198.63</v>
      </c>
      <c r="N375" s="3" t="n">
        <v>14</v>
      </c>
      <c r="O375" s="3" t="b">
        <v>0</v>
      </c>
      <c r="P375" s="3" t="b">
        <v>0</v>
      </c>
      <c r="Q375" s="3" t="n">
        <v>5283.773922808226</v>
      </c>
      <c r="R375" s="3" t="n">
        <v>50487.48355287671</v>
      </c>
      <c r="S375" s="3" t="n">
        <v>55771.25747568494</v>
      </c>
      <c r="T375" s="5">
        <f>IF(J375&lt;&gt;"",M375*N375/365/100*('Cashflow Projection'!$B$2-Investors!J375),0)</f>
        <v/>
      </c>
    </row>
    <row r="376">
      <c r="A376" s="3" t="inlineStr">
        <is>
          <t>ZDAV01</t>
        </is>
      </c>
      <c r="B376" s="3" t="inlineStr">
        <is>
          <t>Heather Mary Lyn</t>
        </is>
      </c>
      <c r="C376" s="3" t="inlineStr">
        <is>
          <t>Davies</t>
        </is>
      </c>
      <c r="D376" s="3" t="inlineStr">
        <is>
          <t>Heron View</t>
        </is>
      </c>
      <c r="E376" s="3" t="inlineStr">
        <is>
          <t>HVK301</t>
        </is>
      </c>
      <c r="F376" s="3" t="b">
        <v>0</v>
      </c>
      <c r="G376" s="3" t="b">
        <v>0</v>
      </c>
      <c r="H376" s="3" t="inlineStr">
        <is>
          <t>K</t>
        </is>
      </c>
      <c r="I376" s="4" t="n">
        <v>44903</v>
      </c>
      <c r="J376" s="4" t="n">
        <v>44967</v>
      </c>
      <c r="K376" s="4" t="n">
        <v>45510</v>
      </c>
      <c r="L376" s="3" t="n">
        <v>5</v>
      </c>
      <c r="M376" s="3" t="n">
        <v>250000</v>
      </c>
      <c r="N376" s="3" t="n">
        <v>16</v>
      </c>
      <c r="O376" s="3" t="b">
        <v>0</v>
      </c>
      <c r="P376" s="3" t="b">
        <v>0</v>
      </c>
      <c r="Q376" s="3" t="n">
        <v>4291.09589041096</v>
      </c>
      <c r="R376" s="3" t="n">
        <v>59506.8493150685</v>
      </c>
      <c r="S376" s="3" t="n">
        <v>63797.94520547945</v>
      </c>
      <c r="T376" s="5">
        <f>IF(J376&lt;&gt;"",M376*N376/365/100*('Cashflow Projection'!$B$2-Investors!J376),0)</f>
        <v/>
      </c>
    </row>
    <row r="377">
      <c r="A377" s="3" t="inlineStr">
        <is>
          <t>ZHIL01</t>
        </is>
      </c>
      <c r="B377" s="3" t="inlineStr">
        <is>
          <t>Trevor David</t>
        </is>
      </c>
      <c r="C377" s="3" t="inlineStr">
        <is>
          <t>Hill</t>
        </is>
      </c>
      <c r="D377" s="3" t="inlineStr">
        <is>
          <t>Heron View</t>
        </is>
      </c>
      <c r="E377" s="3" t="inlineStr">
        <is>
          <t>HVK301</t>
        </is>
      </c>
      <c r="F377" s="3" t="b">
        <v>0</v>
      </c>
      <c r="G377" s="3" t="b">
        <v>0</v>
      </c>
      <c r="H377" s="3" t="inlineStr">
        <is>
          <t>K</t>
        </is>
      </c>
      <c r="I377" s="4" t="n">
        <v>44895</v>
      </c>
      <c r="J377" s="4" t="n">
        <v>44916</v>
      </c>
      <c r="K377" s="4" t="n">
        <v>45510</v>
      </c>
      <c r="L377" s="3" t="n">
        <v>2</v>
      </c>
      <c r="M377" s="3" t="n">
        <v>123390.41</v>
      </c>
      <c r="N377" s="3" t="n">
        <v>14</v>
      </c>
      <c r="O377" s="3" t="b">
        <v>0</v>
      </c>
      <c r="P377" s="3" t="b">
        <v>0</v>
      </c>
      <c r="Q377" s="3" t="n">
        <v>692.1694917123287</v>
      </c>
      <c r="R377" s="3" t="n">
        <v>28112.73012493151</v>
      </c>
      <c r="S377" s="3" t="n">
        <v>28804.89961664383</v>
      </c>
      <c r="T377" s="5">
        <f>IF(J377&lt;&gt;"",M377*N377/365/100*('Cashflow Projection'!$B$2-Investors!J377),0)</f>
        <v/>
      </c>
    </row>
    <row r="378">
      <c r="A378" s="3" t="inlineStr">
        <is>
          <t>ZJBM01</t>
        </is>
      </c>
      <c r="B378" s="3" t="inlineStr">
        <is>
          <t>Jacobus Bruwer</t>
        </is>
      </c>
      <c r="C378" s="3" t="inlineStr">
        <is>
          <t>Morkel</t>
        </is>
      </c>
      <c r="D378" s="3" t="inlineStr">
        <is>
          <t>Heron View</t>
        </is>
      </c>
      <c r="E378" s="3" t="inlineStr">
        <is>
          <t>HVK301</t>
        </is>
      </c>
      <c r="F378" s="3" t="b">
        <v>0</v>
      </c>
      <c r="G378" s="3" t="b">
        <v>0</v>
      </c>
      <c r="H378" s="3" t="inlineStr">
        <is>
          <t>K</t>
        </is>
      </c>
      <c r="I378" s="4" t="n">
        <v>44901</v>
      </c>
      <c r="J378" s="4" t="n">
        <v>44916</v>
      </c>
      <c r="K378" s="4" t="n">
        <v>45510</v>
      </c>
      <c r="L378" s="3" t="n">
        <v>2</v>
      </c>
      <c r="M378" s="3" t="n">
        <v>124948.63</v>
      </c>
      <c r="N378" s="3" t="n">
        <v>14</v>
      </c>
      <c r="O378" s="3" t="b">
        <v>0</v>
      </c>
      <c r="P378" s="3" t="b">
        <v>0</v>
      </c>
      <c r="Q378" s="3" t="n">
        <v>500.6503325342467</v>
      </c>
      <c r="R378" s="3" t="n">
        <v>28467.74813917808</v>
      </c>
      <c r="S378" s="3" t="n">
        <v>28968.39847171233</v>
      </c>
      <c r="T378" s="5">
        <f>IF(J378&lt;&gt;"",M378*N378/365/100*('Cashflow Projection'!$B$2-Investors!J378),0)</f>
        <v/>
      </c>
    </row>
    <row r="379">
      <c r="A379" s="3" t="inlineStr">
        <is>
          <t>ZVAN05</t>
        </is>
      </c>
      <c r="B379" s="3" t="inlineStr">
        <is>
          <t>Hermanus</t>
        </is>
      </c>
      <c r="C379" s="3" t="inlineStr">
        <is>
          <t>van der Sandt</t>
        </is>
      </c>
      <c r="D379" s="3" t="inlineStr">
        <is>
          <t>Heron View</t>
        </is>
      </c>
      <c r="E379" s="3" t="inlineStr">
        <is>
          <t>HVK301</t>
        </is>
      </c>
      <c r="F379" s="3" t="b">
        <v>0</v>
      </c>
      <c r="G379" s="3" t="b">
        <v>0</v>
      </c>
      <c r="H379" s="3" t="inlineStr">
        <is>
          <t>K</t>
        </is>
      </c>
      <c r="I379" s="4" t="n">
        <v>44866</v>
      </c>
      <c r="J379" s="4" t="n">
        <v>44909</v>
      </c>
      <c r="K379" s="4" t="n">
        <v>45510</v>
      </c>
      <c r="L379" s="3" t="n">
        <v>7</v>
      </c>
      <c r="M379" s="3" t="n">
        <v>350000</v>
      </c>
      <c r="N379" s="3" t="n">
        <v>18</v>
      </c>
      <c r="O379" s="3" t="b">
        <v>0</v>
      </c>
      <c r="P379" s="3" t="b">
        <v>0</v>
      </c>
      <c r="Q379" s="3" t="n">
        <v>3811.64383561644</v>
      </c>
      <c r="R379" s="3" t="n">
        <v>103734.2465753425</v>
      </c>
      <c r="S379" s="3" t="n">
        <v>107545.8904109589</v>
      </c>
      <c r="T379" s="5">
        <f>IF(J379&lt;&gt;"",M379*N379/365/100*('Cashflow Projection'!$B$2-Investors!J379),0)</f>
        <v/>
      </c>
    </row>
    <row r="380">
      <c r="A380" s="3" t="inlineStr">
        <is>
          <t>ZBEL01</t>
        </is>
      </c>
      <c r="B380" s="3" t="inlineStr">
        <is>
          <t>Helen Constance</t>
        </is>
      </c>
      <c r="C380" s="3" t="inlineStr">
        <is>
          <t>Belford</t>
        </is>
      </c>
      <c r="D380" s="3" t="inlineStr">
        <is>
          <t>Heron View</t>
        </is>
      </c>
      <c r="E380" s="3" t="inlineStr">
        <is>
          <t>HVK302</t>
        </is>
      </c>
      <c r="F380" s="3" t="b">
        <v>0</v>
      </c>
      <c r="G380" s="3" t="b">
        <v>0</v>
      </c>
      <c r="H380" s="3" t="inlineStr">
        <is>
          <t>K</t>
        </is>
      </c>
      <c r="I380" s="4" t="n">
        <v>44903</v>
      </c>
      <c r="J380" s="4" t="n">
        <v>44986</v>
      </c>
      <c r="K380" s="4" t="n">
        <v>45510</v>
      </c>
      <c r="L380" s="3" t="n">
        <v>5</v>
      </c>
      <c r="M380" s="3" t="n">
        <v>369059.18</v>
      </c>
      <c r="N380" s="3" t="n">
        <v>16</v>
      </c>
      <c r="O380" s="3" t="b">
        <v>0</v>
      </c>
      <c r="P380" s="3" t="b">
        <v>0</v>
      </c>
      <c r="Q380" s="3" t="n">
        <v>8255.803300547957</v>
      </c>
      <c r="R380" s="3" t="n">
        <v>84772.38808547946</v>
      </c>
      <c r="S380" s="3" t="n">
        <v>93028.19138602741</v>
      </c>
      <c r="T380" s="5">
        <f>IF(J380&lt;&gt;"",M380*N380/365/100*('Cashflow Projection'!$B$2-Investors!J380),0)</f>
        <v/>
      </c>
    </row>
    <row r="381">
      <c r="A381" s="3" t="inlineStr">
        <is>
          <t>ZCRO01</t>
        </is>
      </c>
      <c r="B381" s="3" t="inlineStr">
        <is>
          <t>Marc</t>
        </is>
      </c>
      <c r="C381" s="3" t="inlineStr">
        <is>
          <t>Lunau</t>
        </is>
      </c>
      <c r="D381" s="3" t="inlineStr">
        <is>
          <t>Heron View</t>
        </is>
      </c>
      <c r="E381" s="3" t="inlineStr">
        <is>
          <t>HVK302</t>
        </is>
      </c>
      <c r="F381" s="3" t="b">
        <v>0</v>
      </c>
      <c r="G381" s="3" t="b">
        <v>0</v>
      </c>
      <c r="H381" s="3" t="inlineStr">
        <is>
          <t>K</t>
        </is>
      </c>
      <c r="I381" s="4" t="n">
        <v>44909</v>
      </c>
      <c r="J381" s="4" t="n">
        <v>44995</v>
      </c>
      <c r="K381" s="4" t="n">
        <v>45510</v>
      </c>
      <c r="L381" s="3" t="n">
        <v>8</v>
      </c>
      <c r="M381" s="3" t="n">
        <v>110000</v>
      </c>
      <c r="N381" s="3" t="n">
        <v>18</v>
      </c>
      <c r="O381" s="3" t="b">
        <v>0</v>
      </c>
      <c r="P381" s="3" t="b">
        <v>0</v>
      </c>
      <c r="Q381" s="3" t="n">
        <v>2555.616438356164</v>
      </c>
      <c r="R381" s="3" t="n">
        <v>27936.98630136986</v>
      </c>
      <c r="S381" s="3" t="n">
        <v>30492.60273972603</v>
      </c>
      <c r="T381" s="5">
        <f>IF(J381&lt;&gt;"",M381*N381/365/100*('Cashflow Projection'!$B$2-Investors!J381),0)</f>
        <v/>
      </c>
    </row>
    <row r="382">
      <c r="A382" s="3" t="inlineStr">
        <is>
          <t>ZJOH01</t>
        </is>
      </c>
      <c r="B382" s="3" t="inlineStr">
        <is>
          <t>Lisa-Marie Natalie</t>
        </is>
      </c>
      <c r="C382" s="3" t="inlineStr">
        <is>
          <t>Johns</t>
        </is>
      </c>
      <c r="D382" s="3" t="inlineStr">
        <is>
          <t>Heron View</t>
        </is>
      </c>
      <c r="E382" s="3" t="inlineStr">
        <is>
          <t>HVK302</t>
        </is>
      </c>
      <c r="F382" s="3" t="b">
        <v>0</v>
      </c>
      <c r="G382" s="3" t="b">
        <v>0</v>
      </c>
      <c r="H382" s="3" t="inlineStr">
        <is>
          <t>K</t>
        </is>
      </c>
      <c r="I382" s="4" t="n">
        <v>44909</v>
      </c>
      <c r="J382" s="4" t="n">
        <v>44995</v>
      </c>
      <c r="K382" s="4" t="n">
        <v>45510</v>
      </c>
      <c r="L382" s="3" t="n">
        <v>6</v>
      </c>
      <c r="M382" s="3" t="n">
        <v>110000</v>
      </c>
      <c r="N382" s="3" t="n">
        <v>18</v>
      </c>
      <c r="O382" s="3" t="b">
        <v>0</v>
      </c>
      <c r="P382" s="3" t="b">
        <v>0</v>
      </c>
      <c r="Q382" s="3" t="n">
        <v>2555.616438356164</v>
      </c>
      <c r="R382" s="3" t="n">
        <v>27936.98630136986</v>
      </c>
      <c r="S382" s="3" t="n">
        <v>30492.60273972603</v>
      </c>
      <c r="T382" s="5">
        <f>IF(J382&lt;&gt;"",M382*N382/365/100*('Cashflow Projection'!$B$2-Investors!J382),0)</f>
        <v/>
      </c>
    </row>
    <row r="383">
      <c r="A383" s="3" t="inlineStr">
        <is>
          <t>ZLEW01</t>
        </is>
      </c>
      <c r="B383" s="3" t="inlineStr">
        <is>
          <t>Martina Christina</t>
        </is>
      </c>
      <c r="C383" s="3" t="inlineStr">
        <is>
          <t>Lewis</t>
        </is>
      </c>
      <c r="D383" s="3" t="inlineStr">
        <is>
          <t>Heron View</t>
        </is>
      </c>
      <c r="E383" s="3" t="inlineStr">
        <is>
          <t>HVK302</t>
        </is>
      </c>
      <c r="F383" s="3" t="b">
        <v>0</v>
      </c>
      <c r="G383" s="3" t="b">
        <v>0</v>
      </c>
      <c r="H383" s="3" t="inlineStr">
        <is>
          <t>K</t>
        </is>
      </c>
      <c r="I383" s="4" t="n">
        <v>44909</v>
      </c>
      <c r="J383" s="4" t="n">
        <v>44980</v>
      </c>
      <c r="K383" s="4" t="n">
        <v>45510</v>
      </c>
      <c r="L383" s="3" t="n">
        <v>9</v>
      </c>
      <c r="M383" s="3" t="n">
        <v>400000</v>
      </c>
      <c r="N383" s="3" t="n">
        <v>18</v>
      </c>
      <c r="O383" s="3" t="b">
        <v>0</v>
      </c>
      <c r="P383" s="3" t="b">
        <v>0</v>
      </c>
      <c r="Q383" s="3" t="n">
        <v>7649.315068493143</v>
      </c>
      <c r="R383" s="3" t="n">
        <v>104547.9452054795</v>
      </c>
      <c r="S383" s="3" t="n">
        <v>112197.2602739726</v>
      </c>
      <c r="T383" s="5">
        <f>IF(J383&lt;&gt;"",M383*N383/365/100*('Cashflow Projection'!$B$2-Investors!J383),0)</f>
        <v/>
      </c>
    </row>
    <row r="384">
      <c r="A384" s="3" t="inlineStr">
        <is>
          <t>ZMAR01</t>
        </is>
      </c>
      <c r="B384" s="3" t="inlineStr">
        <is>
          <t>Beverley-Ann Kinsla</t>
        </is>
      </c>
      <c r="C384" s="3" t="inlineStr">
        <is>
          <t>Martin</t>
        </is>
      </c>
      <c r="D384" s="3" t="inlineStr">
        <is>
          <t>Heron View</t>
        </is>
      </c>
      <c r="E384" s="3" t="inlineStr">
        <is>
          <t>HVK302</t>
        </is>
      </c>
      <c r="F384" s="3" t="b">
        <v>0</v>
      </c>
      <c r="G384" s="3" t="b">
        <v>0</v>
      </c>
      <c r="H384" s="3" t="inlineStr">
        <is>
          <t>K</t>
        </is>
      </c>
      <c r="I384" s="4" t="n">
        <v>44903</v>
      </c>
      <c r="J384" s="4" t="n">
        <v>44980</v>
      </c>
      <c r="K384" s="4" t="n">
        <v>45510</v>
      </c>
      <c r="L384" s="3" t="n">
        <v>3</v>
      </c>
      <c r="M384" s="3" t="n">
        <v>100000</v>
      </c>
      <c r="N384" s="3" t="n">
        <v>14</v>
      </c>
      <c r="O384" s="3" t="b">
        <v>0</v>
      </c>
      <c r="P384" s="3" t="b">
        <v>0</v>
      </c>
      <c r="Q384" s="3" t="n">
        <v>2072.602739726026</v>
      </c>
      <c r="R384" s="3" t="n">
        <v>20328.76712328767</v>
      </c>
      <c r="S384" s="3" t="n">
        <v>22401.3698630137</v>
      </c>
      <c r="T384" s="5">
        <f>IF(J384&lt;&gt;"",M384*N384/365/100*('Cashflow Projection'!$B$2-Investors!J384),0)</f>
        <v/>
      </c>
    </row>
    <row r="385">
      <c r="A385" s="3" t="inlineStr">
        <is>
          <t>ZCRO01</t>
        </is>
      </c>
      <c r="B385" s="3" t="inlineStr">
        <is>
          <t>Marc</t>
        </is>
      </c>
      <c r="C385" s="3" t="inlineStr">
        <is>
          <t>Lunau</t>
        </is>
      </c>
      <c r="D385" s="3" t="inlineStr">
        <is>
          <t>Heron View</t>
        </is>
      </c>
      <c r="E385" s="3" t="inlineStr">
        <is>
          <t>HVK303</t>
        </is>
      </c>
      <c r="F385" s="3" t="b">
        <v>0</v>
      </c>
      <c r="G385" s="3" t="b">
        <v>0</v>
      </c>
      <c r="H385" s="3" t="inlineStr">
        <is>
          <t>K</t>
        </is>
      </c>
      <c r="I385" s="4" t="n">
        <v>44909</v>
      </c>
      <c r="J385" s="4" t="n">
        <v>44995</v>
      </c>
      <c r="K385" s="4" t="n">
        <v>45510</v>
      </c>
      <c r="L385" s="3" t="n">
        <v>9</v>
      </c>
      <c r="M385" s="3" t="n">
        <v>120000</v>
      </c>
      <c r="N385" s="3" t="n">
        <v>18</v>
      </c>
      <c r="O385" s="3" t="b">
        <v>0</v>
      </c>
      <c r="P385" s="3" t="b">
        <v>0</v>
      </c>
      <c r="Q385" s="3" t="n">
        <v>2787.945205479453</v>
      </c>
      <c r="R385" s="3" t="n">
        <v>30476.71232876712</v>
      </c>
      <c r="S385" s="3" t="n">
        <v>33264.65753424658</v>
      </c>
      <c r="T385" s="5">
        <f>IF(J385&lt;&gt;"",M385*N385/365/100*('Cashflow Projection'!$B$2-Investors!J385),0)</f>
        <v/>
      </c>
    </row>
    <row r="386">
      <c r="A386" s="3" t="inlineStr">
        <is>
          <t>ZDAD01</t>
        </is>
      </c>
      <c r="B386" s="3" t="inlineStr">
        <is>
          <t>Feroz</t>
        </is>
      </c>
      <c r="C386" s="3" t="inlineStr">
        <is>
          <t>Dadoo</t>
        </is>
      </c>
      <c r="D386" s="3" t="inlineStr">
        <is>
          <t>Heron View</t>
        </is>
      </c>
      <c r="E386" s="3" t="inlineStr">
        <is>
          <t>HVK303</t>
        </is>
      </c>
      <c r="F386" s="3" t="b">
        <v>0</v>
      </c>
      <c r="G386" s="3" t="b">
        <v>0</v>
      </c>
      <c r="H386" s="3" t="inlineStr">
        <is>
          <t>K</t>
        </is>
      </c>
      <c r="I386" s="4" t="n">
        <v>44944</v>
      </c>
      <c r="J386" s="4" t="n">
        <v>45016</v>
      </c>
      <c r="K386" s="4" t="n">
        <v>45510</v>
      </c>
      <c r="L386" s="3" t="n">
        <v>3</v>
      </c>
      <c r="M386" s="3" t="n">
        <v>637482.88</v>
      </c>
      <c r="N386" s="3" t="n">
        <v>18</v>
      </c>
      <c r="O386" s="3" t="b">
        <v>0</v>
      </c>
      <c r="P386" s="3" t="b">
        <v>0</v>
      </c>
      <c r="Q386" s="3" t="n">
        <v>12518.2425819178</v>
      </c>
      <c r="R386" s="3" t="n">
        <v>155301.3087386301</v>
      </c>
      <c r="S386" s="3" t="n">
        <v>167819.5513205479</v>
      </c>
      <c r="T386" s="5">
        <f>IF(J386&lt;&gt;"",M386*N386/365/100*('Cashflow Projection'!$B$2-Investors!J386),0)</f>
        <v/>
      </c>
    </row>
    <row r="387">
      <c r="A387" s="3" t="inlineStr">
        <is>
          <t>ZHUN01</t>
        </is>
      </c>
      <c r="B387" s="3" t="inlineStr">
        <is>
          <t>Lance</t>
        </is>
      </c>
      <c r="C387" s="3" t="inlineStr">
        <is>
          <t>Hunter</t>
        </is>
      </c>
      <c r="D387" s="3" t="inlineStr">
        <is>
          <t>Heron View</t>
        </is>
      </c>
      <c r="E387" s="3" t="inlineStr">
        <is>
          <t>HVK303</t>
        </is>
      </c>
      <c r="F387" s="3" t="b">
        <v>0</v>
      </c>
      <c r="G387" s="3" t="b">
        <v>0</v>
      </c>
      <c r="H387" s="3" t="inlineStr">
        <is>
          <t>K</t>
        </is>
      </c>
      <c r="I387" s="4" t="n">
        <v>44908</v>
      </c>
      <c r="J387" s="4" t="n">
        <v>44980</v>
      </c>
      <c r="K387" s="4" t="n">
        <v>45510</v>
      </c>
      <c r="L387" s="3" t="n">
        <v>4</v>
      </c>
      <c r="M387" s="3" t="n">
        <v>150000</v>
      </c>
      <c r="N387" s="3" t="n">
        <v>14</v>
      </c>
      <c r="O387" s="3" t="b">
        <v>0</v>
      </c>
      <c r="P387" s="3" t="b">
        <v>0</v>
      </c>
      <c r="Q387" s="3" t="n">
        <v>2908.561643835614</v>
      </c>
      <c r="R387" s="3" t="n">
        <v>30493.1506849315</v>
      </c>
      <c r="S387" s="3" t="n">
        <v>33401.71232876712</v>
      </c>
      <c r="T387" s="5">
        <f>IF(J387&lt;&gt;"",M387*N387/365/100*('Cashflow Projection'!$B$2-Investors!J387),0)</f>
        <v/>
      </c>
    </row>
    <row r="388">
      <c r="A388" s="3" t="inlineStr">
        <is>
          <t>ZINT01</t>
        </is>
      </c>
      <c r="B388" s="3" t="inlineStr">
        <is>
          <t>Marc</t>
        </is>
      </c>
      <c r="C388" s="3" t="inlineStr">
        <is>
          <t>Lunau</t>
        </is>
      </c>
      <c r="D388" s="3" t="inlineStr">
        <is>
          <t>Heron View</t>
        </is>
      </c>
      <c r="E388" s="3" t="inlineStr">
        <is>
          <t>HVK303</t>
        </is>
      </c>
      <c r="F388" s="3" t="b">
        <v>0</v>
      </c>
      <c r="G388" s="3" t="b">
        <v>0</v>
      </c>
      <c r="H388" s="3" t="inlineStr">
        <is>
          <t>K</t>
        </is>
      </c>
      <c r="I388" s="4" t="n">
        <v>44909</v>
      </c>
      <c r="J388" s="4" t="n">
        <v>45008</v>
      </c>
      <c r="K388" s="4" t="n">
        <v>45510</v>
      </c>
      <c r="L388" s="3" t="n">
        <v>11</v>
      </c>
      <c r="M388" s="3" t="n">
        <v>100000</v>
      </c>
      <c r="N388" s="3" t="n">
        <v>18</v>
      </c>
      <c r="O388" s="3" t="b">
        <v>0</v>
      </c>
      <c r="P388" s="3" t="b">
        <v>0</v>
      </c>
      <c r="Q388" s="3" t="n">
        <v>2679.452054794521</v>
      </c>
      <c r="R388" s="3" t="n">
        <v>24756.16438356164</v>
      </c>
      <c r="S388" s="3" t="n">
        <v>27435.61643835616</v>
      </c>
      <c r="T388" s="5">
        <f>IF(J388&lt;&gt;"",M388*N388/365/100*('Cashflow Projection'!$B$2-Investors!J388),0)</f>
        <v/>
      </c>
    </row>
    <row r="389">
      <c r="A389" s="3" t="inlineStr">
        <is>
          <t>ZMEH01</t>
        </is>
      </c>
      <c r="B389" s="3" t="inlineStr">
        <is>
          <t>Ralph Graham</t>
        </is>
      </c>
      <c r="C389" s="3" t="inlineStr">
        <is>
          <t>Mehl</t>
        </is>
      </c>
      <c r="D389" s="3" t="inlineStr">
        <is>
          <t>Heron View</t>
        </is>
      </c>
      <c r="E389" s="3" t="inlineStr">
        <is>
          <t>HVK303</t>
        </is>
      </c>
      <c r="F389" s="3" t="b">
        <v>0</v>
      </c>
      <c r="G389" s="3" t="b">
        <v>0</v>
      </c>
      <c r="H389" s="3" t="inlineStr">
        <is>
          <t>K</t>
        </is>
      </c>
      <c r="I389" s="4" t="n">
        <v>44943</v>
      </c>
      <c r="J389" s="4" t="n">
        <v>45016</v>
      </c>
      <c r="K389" s="4" t="n">
        <v>45510</v>
      </c>
      <c r="L389" s="3" t="n">
        <v>2</v>
      </c>
      <c r="M389" s="3" t="n">
        <v>115557.53</v>
      </c>
      <c r="N389" s="3" t="n">
        <v>14</v>
      </c>
      <c r="O389" s="3" t="b">
        <v>0</v>
      </c>
      <c r="P389" s="3" t="b">
        <v>0</v>
      </c>
      <c r="Q389" s="3" t="n">
        <v>2300.069740958906</v>
      </c>
      <c r="R389" s="3" t="n">
        <v>21895.77746520548</v>
      </c>
      <c r="S389" s="3" t="n">
        <v>24195.84720616438</v>
      </c>
      <c r="T389" s="5">
        <f>IF(J389&lt;&gt;"",M389*N389/365/100*('Cashflow Projection'!$B$2-Investors!J389),0)</f>
        <v/>
      </c>
    </row>
    <row r="390">
      <c r="A390" s="3" t="inlineStr">
        <is>
          <t>ZMCD01</t>
        </is>
      </c>
      <c r="B390" s="3" t="inlineStr">
        <is>
          <t>Veronica Agnes</t>
        </is>
      </c>
      <c r="C390" s="3" t="inlineStr">
        <is>
          <t>McDonald</t>
        </is>
      </c>
      <c r="D390" s="3" t="inlineStr">
        <is>
          <t>Heron View</t>
        </is>
      </c>
      <c r="E390" s="3" t="inlineStr">
        <is>
          <t>HVK304</t>
        </is>
      </c>
      <c r="F390" s="3" t="b">
        <v>0</v>
      </c>
      <c r="G390" s="3" t="b">
        <v>0</v>
      </c>
      <c r="H390" s="3" t="inlineStr">
        <is>
          <t>K</t>
        </is>
      </c>
      <c r="I390" s="4" t="n">
        <v>44908</v>
      </c>
      <c r="J390" s="4" t="n">
        <v>44980</v>
      </c>
      <c r="K390" s="4" t="n">
        <v>45510</v>
      </c>
      <c r="L390" s="3" t="n">
        <v>7</v>
      </c>
      <c r="M390" s="3" t="n">
        <v>450000</v>
      </c>
      <c r="N390" s="3" t="n">
        <v>14</v>
      </c>
      <c r="O390" s="3" t="b">
        <v>0</v>
      </c>
      <c r="P390" s="3" t="b">
        <v>0</v>
      </c>
      <c r="Q390" s="3" t="n">
        <v>8725.684931506852</v>
      </c>
      <c r="R390" s="3" t="n">
        <v>91479.45205479453</v>
      </c>
      <c r="S390" s="3" t="n">
        <v>100205.1369863014</v>
      </c>
      <c r="T390" s="5">
        <f>IF(J390&lt;&gt;"",M390*N390/365/100*('Cashflow Projection'!$B$2-Investors!J390),0)</f>
        <v/>
      </c>
    </row>
    <row r="391">
      <c r="A391" s="3" t="inlineStr">
        <is>
          <t>ZSCH02</t>
        </is>
      </c>
      <c r="B391" s="3" t="inlineStr">
        <is>
          <t>Zeldre</t>
        </is>
      </c>
      <c r="C391" s="3" t="inlineStr">
        <is>
          <t>van Schalkwyk</t>
        </is>
      </c>
      <c r="D391" s="3" t="inlineStr">
        <is>
          <t>Heron View</t>
        </is>
      </c>
      <c r="E391" s="3" t="inlineStr">
        <is>
          <t>HVK304</t>
        </is>
      </c>
      <c r="F391" s="3" t="b">
        <v>0</v>
      </c>
      <c r="G391" s="3" t="b">
        <v>0</v>
      </c>
      <c r="H391" s="3" t="inlineStr">
        <is>
          <t>K</t>
        </is>
      </c>
      <c r="I391" s="4" t="n">
        <v>44903</v>
      </c>
      <c r="J391" s="4" t="n">
        <v>44995</v>
      </c>
      <c r="K391" s="4" t="n">
        <v>45510</v>
      </c>
      <c r="L391" s="3" t="n">
        <v>2</v>
      </c>
      <c r="M391" s="3" t="n">
        <v>648863.01</v>
      </c>
      <c r="N391" s="3" t="n">
        <v>18</v>
      </c>
      <c r="O391" s="3" t="b">
        <v>0</v>
      </c>
      <c r="P391" s="3" t="b">
        <v>0</v>
      </c>
      <c r="Q391" s="3" t="n">
        <v>16114.91283739726</v>
      </c>
      <c r="R391" s="3" t="n">
        <v>164793.4274712329</v>
      </c>
      <c r="S391" s="3" t="n">
        <v>180908.3403086301</v>
      </c>
      <c r="T391" s="5">
        <f>IF(J391&lt;&gt;"",M391*N391/365/100*('Cashflow Projection'!$B$2-Investors!J391),0)</f>
        <v/>
      </c>
    </row>
    <row r="392">
      <c r="A392" s="3" t="inlineStr">
        <is>
          <t>ZRAN01</t>
        </is>
      </c>
      <c r="B392" s="3" t="inlineStr">
        <is>
          <t>Ross Partick Gemill</t>
        </is>
      </c>
      <c r="C392" s="3" t="inlineStr">
        <is>
          <t>Rankin</t>
        </is>
      </c>
      <c r="D392" s="3" t="inlineStr">
        <is>
          <t>Heron View</t>
        </is>
      </c>
      <c r="E392" s="3" t="inlineStr">
        <is>
          <t>HVK305</t>
        </is>
      </c>
      <c r="F392" s="3" t="b">
        <v>0</v>
      </c>
      <c r="G392" s="3" t="b">
        <v>0</v>
      </c>
      <c r="H392" s="3" t="inlineStr">
        <is>
          <t>K</t>
        </is>
      </c>
      <c r="I392" s="4" t="n">
        <v>44950</v>
      </c>
      <c r="J392" s="4" t="n">
        <v>45044</v>
      </c>
      <c r="K392" s="4" t="n">
        <v>45510</v>
      </c>
      <c r="L392" s="3" t="n">
        <v>25</v>
      </c>
      <c r="M392" s="3" t="n">
        <v>178013.84</v>
      </c>
      <c r="N392" s="3" t="n">
        <v>18</v>
      </c>
      <c r="O392" s="3" t="b">
        <v>0</v>
      </c>
      <c r="P392" s="3" t="b">
        <v>0</v>
      </c>
      <c r="Q392" s="3" t="n">
        <v>4644.210387397259</v>
      </c>
      <c r="R392" s="3" t="n">
        <v>40909.04355945205</v>
      </c>
      <c r="S392" s="3" t="n">
        <v>45553.25394684931</v>
      </c>
      <c r="T392" s="5">
        <f>IF(J392&lt;&gt;"",M392*N392/365/100*('Cashflow Projection'!$B$2-Investors!J392),0)</f>
        <v/>
      </c>
    </row>
    <row r="393">
      <c r="A393" s="3" t="inlineStr">
        <is>
          <t>ZSCH01</t>
        </is>
      </c>
      <c r="B393" s="3" t="inlineStr">
        <is>
          <t>Inge</t>
        </is>
      </c>
      <c r="C393" s="3" t="inlineStr">
        <is>
          <t>Schubert</t>
        </is>
      </c>
      <c r="D393" s="3" t="inlineStr">
        <is>
          <t>Heron View</t>
        </is>
      </c>
      <c r="E393" s="3" t="inlineStr">
        <is>
          <t>HVK305</t>
        </is>
      </c>
      <c r="F393" s="3" t="b">
        <v>0</v>
      </c>
      <c r="G393" s="3" t="b">
        <v>0</v>
      </c>
      <c r="H393" s="3" t="inlineStr">
        <is>
          <t>K</t>
        </is>
      </c>
      <c r="I393" s="4" t="n">
        <v>44918</v>
      </c>
      <c r="J393" s="4" t="n">
        <v>45016</v>
      </c>
      <c r="K393" s="4" t="n">
        <v>45510</v>
      </c>
      <c r="L393" s="3" t="n">
        <v>16</v>
      </c>
      <c r="M393" s="3" t="n">
        <v>806083.85</v>
      </c>
      <c r="N393" s="3" t="n">
        <v>18</v>
      </c>
      <c r="O393" s="3" t="b">
        <v>0</v>
      </c>
      <c r="P393" s="3" t="b">
        <v>0</v>
      </c>
      <c r="Q393" s="3" t="n">
        <v>21427.47549212326</v>
      </c>
      <c r="R393" s="3" t="n">
        <v>196375.2765534247</v>
      </c>
      <c r="S393" s="3" t="n">
        <v>217802.7520455479</v>
      </c>
      <c r="T393" s="5">
        <f>IF(J393&lt;&gt;"",M393*N393/365/100*('Cashflow Projection'!$B$2-Investors!J393),0)</f>
        <v/>
      </c>
    </row>
    <row r="394">
      <c r="A394" s="3" t="inlineStr">
        <is>
          <t>ZTSH01</t>
        </is>
      </c>
      <c r="B394" s="3" t="inlineStr">
        <is>
          <t>Thandeka Patience</t>
        </is>
      </c>
      <c r="C394" s="3" t="inlineStr">
        <is>
          <t>Tshabalala</t>
        </is>
      </c>
      <c r="D394" s="3" t="inlineStr">
        <is>
          <t>Heron View</t>
        </is>
      </c>
      <c r="E394" s="3" t="inlineStr">
        <is>
          <t>HVK305</t>
        </is>
      </c>
      <c r="F394" s="3" t="b">
        <v>0</v>
      </c>
      <c r="G394" s="3" t="b">
        <v>0</v>
      </c>
      <c r="H394" s="3" t="inlineStr">
        <is>
          <t>K</t>
        </is>
      </c>
      <c r="I394" s="4" t="n">
        <v>44944</v>
      </c>
      <c r="J394" s="4" t="n">
        <v>45016</v>
      </c>
      <c r="K394" s="4" t="n">
        <v>45510</v>
      </c>
      <c r="L394" s="3" t="n">
        <v>2</v>
      </c>
      <c r="M394" s="3" t="n">
        <v>123565.07</v>
      </c>
      <c r="N394" s="3" t="n">
        <v>14</v>
      </c>
      <c r="O394" s="3" t="b">
        <v>0</v>
      </c>
      <c r="P394" s="3" t="b">
        <v>0</v>
      </c>
      <c r="Q394" s="3" t="n">
        <v>2426.445586917807</v>
      </c>
      <c r="R394" s="3" t="n">
        <v>23413.04175671233</v>
      </c>
      <c r="S394" s="3" t="n">
        <v>25839.48734363014</v>
      </c>
      <c r="T394" s="5">
        <f>IF(J394&lt;&gt;"",M394*N394/365/100*('Cashflow Projection'!$B$2-Investors!J394),0)</f>
        <v/>
      </c>
    </row>
    <row r="395">
      <c r="A395" s="3" t="inlineStr">
        <is>
          <t>ZBUF01</t>
        </is>
      </c>
      <c r="B395" s="3" t="inlineStr">
        <is>
          <t>Tabitha Dorcas</t>
        </is>
      </c>
      <c r="C395" s="3" t="inlineStr">
        <is>
          <t>Buffet</t>
        </is>
      </c>
      <c r="D395" s="3" t="inlineStr">
        <is>
          <t>Heron View</t>
        </is>
      </c>
      <c r="E395" s="3" t="inlineStr">
        <is>
          <t>HVK306</t>
        </is>
      </c>
      <c r="F395" s="3" t="b">
        <v>0</v>
      </c>
      <c r="G395" s="3" t="b">
        <v>0</v>
      </c>
      <c r="H395" s="3" t="inlineStr">
        <is>
          <t>K</t>
        </is>
      </c>
      <c r="I395" s="4" t="n">
        <v>44901</v>
      </c>
      <c r="J395" s="4" t="n">
        <v>44980</v>
      </c>
      <c r="K395" s="4" t="n">
        <v>45510</v>
      </c>
      <c r="L395" s="3" t="n">
        <v>1</v>
      </c>
      <c r="M395" s="3" t="n">
        <v>1000000</v>
      </c>
      <c r="N395" s="3" t="n">
        <v>18</v>
      </c>
      <c r="O395" s="3" t="b">
        <v>0</v>
      </c>
      <c r="P395" s="3" t="b">
        <v>0</v>
      </c>
      <c r="Q395" s="3" t="n">
        <v>21260.27397260275</v>
      </c>
      <c r="R395" s="3" t="n">
        <v>261369.8630136986</v>
      </c>
      <c r="S395" s="3" t="n">
        <v>282630.1369863014</v>
      </c>
      <c r="T395" s="5">
        <f>IF(J395&lt;&gt;"",M395*N395/365/100*('Cashflow Projection'!$B$2-Investors!J395),0)</f>
        <v/>
      </c>
    </row>
    <row r="396">
      <c r="A396" s="3" t="inlineStr">
        <is>
          <t>ZRIT01</t>
        </is>
      </c>
      <c r="B396" s="3" t="inlineStr">
        <is>
          <t>Dennis</t>
        </is>
      </c>
      <c r="C396" s="3" t="inlineStr">
        <is>
          <t>Ritter</t>
        </is>
      </c>
      <c r="D396" s="3" t="inlineStr">
        <is>
          <t>Heron View</t>
        </is>
      </c>
      <c r="E396" s="3" t="inlineStr">
        <is>
          <t>HVK306</t>
        </is>
      </c>
      <c r="F396" s="3" t="b">
        <v>0</v>
      </c>
      <c r="G396" s="3" t="b">
        <v>0</v>
      </c>
      <c r="H396" s="3" t="inlineStr">
        <is>
          <t>K</t>
        </is>
      </c>
      <c r="I396" s="4" t="n">
        <v>44963</v>
      </c>
      <c r="J396" s="4" t="n">
        <v>45072</v>
      </c>
      <c r="K396" s="4" t="n">
        <v>45510</v>
      </c>
      <c r="L396" s="3" t="n">
        <v>11</v>
      </c>
      <c r="M396" s="3" t="n">
        <v>100000</v>
      </c>
      <c r="N396" s="3" t="n">
        <v>18</v>
      </c>
      <c r="O396" s="3" t="b">
        <v>0</v>
      </c>
      <c r="P396" s="3" t="b">
        <v>0</v>
      </c>
      <c r="Q396" s="3" t="n">
        <v>3063.013698630143</v>
      </c>
      <c r="R396" s="3" t="n">
        <v>21600</v>
      </c>
      <c r="S396" s="3" t="n">
        <v>24663.01369863014</v>
      </c>
      <c r="T396" s="5">
        <f>IF(J396&lt;&gt;"",M396*N396/365/100*('Cashflow Projection'!$B$2-Investors!J396),0)</f>
        <v/>
      </c>
    </row>
    <row r="397">
      <c r="A397" s="3" t="inlineStr">
        <is>
          <t>ZRAN01</t>
        </is>
      </c>
      <c r="B397" s="3" t="inlineStr">
        <is>
          <t>Ross Partick Gemill</t>
        </is>
      </c>
      <c r="C397" s="3" t="inlineStr">
        <is>
          <t>Rankin</t>
        </is>
      </c>
      <c r="D397" s="3" t="inlineStr">
        <is>
          <t>Heron View</t>
        </is>
      </c>
      <c r="E397" s="3" t="inlineStr">
        <is>
          <t>HVK401</t>
        </is>
      </c>
      <c r="F397" s="3" t="b">
        <v>0</v>
      </c>
      <c r="G397" s="3" t="b">
        <v>0</v>
      </c>
      <c r="H397" s="3" t="inlineStr">
        <is>
          <t>K</t>
        </is>
      </c>
      <c r="I397" s="4" t="n">
        <v>44943</v>
      </c>
      <c r="J397" s="4" t="n">
        <v>45016</v>
      </c>
      <c r="K397" s="4" t="n">
        <v>45510</v>
      </c>
      <c r="L397" s="3" t="n">
        <v>24</v>
      </c>
      <c r="M397" s="3" t="n">
        <v>114452.74</v>
      </c>
      <c r="N397" s="3" t="n">
        <v>18</v>
      </c>
      <c r="O397" s="3" t="b">
        <v>0</v>
      </c>
      <c r="P397" s="3" t="b">
        <v>0</v>
      </c>
      <c r="Q397" s="3" t="n">
        <v>2278.079879726029</v>
      </c>
      <c r="R397" s="3" t="n">
        <v>27882.56887890411</v>
      </c>
      <c r="S397" s="3" t="n">
        <v>30160.64875863014</v>
      </c>
      <c r="T397" s="5">
        <f>IF(J397&lt;&gt;"",M397*N397/365/100*('Cashflow Projection'!$B$2-Investors!J397),0)</f>
        <v/>
      </c>
    </row>
    <row r="398">
      <c r="A398" s="3" t="inlineStr">
        <is>
          <t>ZVAN13</t>
        </is>
      </c>
      <c r="B398" s="3" t="inlineStr">
        <is>
          <t>Gian</t>
        </is>
      </c>
      <c r="C398" s="3" t="inlineStr">
        <is>
          <t>van der Spuy</t>
        </is>
      </c>
      <c r="D398" s="3" t="inlineStr">
        <is>
          <t>Heron View</t>
        </is>
      </c>
      <c r="E398" s="3" t="inlineStr">
        <is>
          <t>HVK401</t>
        </is>
      </c>
      <c r="F398" s="3" t="b">
        <v>0</v>
      </c>
      <c r="G398" s="3" t="b">
        <v>0</v>
      </c>
      <c r="H398" s="3" t="inlineStr">
        <is>
          <t>K</t>
        </is>
      </c>
      <c r="I398" s="4" t="n">
        <v>44938</v>
      </c>
      <c r="J398" s="4" t="n">
        <v>44980</v>
      </c>
      <c r="K398" s="4" t="n">
        <v>45510</v>
      </c>
      <c r="L398" s="3" t="n">
        <v>1</v>
      </c>
      <c r="M398" s="3" t="n">
        <v>1000000</v>
      </c>
      <c r="N398" s="3" t="n">
        <v>18</v>
      </c>
      <c r="O398" s="3" t="b">
        <v>0</v>
      </c>
      <c r="P398" s="3" t="b">
        <v>0</v>
      </c>
      <c r="Q398" s="3" t="n">
        <v>11376.71232876713</v>
      </c>
      <c r="R398" s="3" t="n">
        <v>261369.8630136986</v>
      </c>
      <c r="S398" s="3" t="n">
        <v>272746.5753424658</v>
      </c>
      <c r="T398" s="5">
        <f>IF(J398&lt;&gt;"",M398*N398/365/100*('Cashflow Projection'!$B$2-Investors!J398),0)</f>
        <v/>
      </c>
    </row>
    <row r="399">
      <c r="A399" s="3" t="inlineStr">
        <is>
          <t>ZVAN02</t>
        </is>
      </c>
      <c r="B399" s="3" t="inlineStr">
        <is>
          <t>Agatha Dorothea</t>
        </is>
      </c>
      <c r="C399" s="3" t="inlineStr">
        <is>
          <t>van Schalkwyk</t>
        </is>
      </c>
      <c r="D399" s="3" t="inlineStr">
        <is>
          <t>Heron View</t>
        </is>
      </c>
      <c r="E399" s="3" t="inlineStr">
        <is>
          <t>HVK402</t>
        </is>
      </c>
      <c r="F399" s="3" t="b">
        <v>0</v>
      </c>
      <c r="G399" s="3" t="b">
        <v>0</v>
      </c>
      <c r="H399" s="3" t="inlineStr">
        <is>
          <t>K</t>
        </is>
      </c>
      <c r="I399" s="4" t="n">
        <v>44903</v>
      </c>
      <c r="J399" s="4" t="n">
        <v>44995</v>
      </c>
      <c r="K399" s="4" t="n">
        <v>45510</v>
      </c>
      <c r="L399" s="3" t="n">
        <v>2</v>
      </c>
      <c r="M399" s="3" t="n">
        <v>123099.32</v>
      </c>
      <c r="N399" s="3" t="n">
        <v>14</v>
      </c>
      <c r="O399" s="3" t="b">
        <v>0</v>
      </c>
      <c r="P399" s="3" t="b">
        <v>0</v>
      </c>
      <c r="Q399" s="3" t="n">
        <v>3057.247495342462</v>
      </c>
      <c r="R399" s="3" t="n">
        <v>24316.33143013699</v>
      </c>
      <c r="S399" s="3" t="n">
        <v>27373.57892547945</v>
      </c>
      <c r="T399" s="5">
        <f>IF(J399&lt;&gt;"",M399*N399/365/100*('Cashflow Projection'!$B$2-Investors!J399),0)</f>
        <v/>
      </c>
    </row>
    <row r="400">
      <c r="A400" s="3" t="inlineStr">
        <is>
          <t>ZVAN14</t>
        </is>
      </c>
      <c r="B400" s="3" t="inlineStr">
        <is>
          <t>Dorothy Anne</t>
        </is>
      </c>
      <c r="C400" s="3" t="inlineStr">
        <is>
          <t>van der Spuy</t>
        </is>
      </c>
      <c r="D400" s="3" t="inlineStr">
        <is>
          <t>Heron View</t>
        </is>
      </c>
      <c r="E400" s="3" t="inlineStr">
        <is>
          <t>HVK402</t>
        </is>
      </c>
      <c r="F400" s="3" t="b">
        <v>0</v>
      </c>
      <c r="G400" s="3" t="b">
        <v>0</v>
      </c>
      <c r="H400" s="3" t="inlineStr">
        <is>
          <t>K</t>
        </is>
      </c>
      <c r="I400" s="4" t="n">
        <v>44942</v>
      </c>
      <c r="J400" s="4" t="n">
        <v>45016</v>
      </c>
      <c r="K400" s="4" t="n">
        <v>45510</v>
      </c>
      <c r="L400" s="3" t="n">
        <v>1</v>
      </c>
      <c r="M400" s="3" t="n">
        <v>1000000</v>
      </c>
      <c r="N400" s="3" t="n">
        <v>18</v>
      </c>
      <c r="O400" s="3" t="b">
        <v>0</v>
      </c>
      <c r="P400" s="3" t="b">
        <v>0</v>
      </c>
      <c r="Q400" s="3" t="n">
        <v>20171.23287671235</v>
      </c>
      <c r="R400" s="3" t="n">
        <v>243616.4383561644</v>
      </c>
      <c r="S400" s="3" t="n">
        <v>263787.6712328768</v>
      </c>
      <c r="T400" s="5">
        <f>IF(J400&lt;&gt;"",M400*N400/365/100*('Cashflow Projection'!$B$2-Investors!J400),0)</f>
        <v/>
      </c>
    </row>
    <row r="401">
      <c r="A401" s="3" t="inlineStr">
        <is>
          <t>ZALM01</t>
        </is>
      </c>
      <c r="B401" s="3" t="inlineStr">
        <is>
          <t>Marc</t>
        </is>
      </c>
      <c r="C401" s="3" t="inlineStr">
        <is>
          <t>Lunau</t>
        </is>
      </c>
      <c r="D401" s="3" t="inlineStr">
        <is>
          <t>Heron View</t>
        </is>
      </c>
      <c r="E401" s="3" t="inlineStr">
        <is>
          <t>HVK403</t>
        </is>
      </c>
      <c r="F401" s="3" t="b">
        <v>0</v>
      </c>
      <c r="G401" s="3" t="b">
        <v>0</v>
      </c>
      <c r="H401" s="3" t="inlineStr">
        <is>
          <t>K</t>
        </is>
      </c>
      <c r="I401" s="4" t="n">
        <v>45002</v>
      </c>
      <c r="J401" s="4" t="n">
        <v>45107</v>
      </c>
      <c r="K401" s="4" t="n">
        <v>45510</v>
      </c>
      <c r="L401" s="3" t="n">
        <v>9</v>
      </c>
      <c r="M401" s="3" t="n">
        <v>150000</v>
      </c>
      <c r="N401" s="3" t="n">
        <v>18</v>
      </c>
      <c r="O401" s="3" t="b">
        <v>0</v>
      </c>
      <c r="P401" s="3" t="b">
        <v>0</v>
      </c>
      <c r="Q401" s="3" t="n">
        <v>4563.698630136991</v>
      </c>
      <c r="R401" s="3" t="n">
        <v>29810.95890410959</v>
      </c>
      <c r="S401" s="3" t="n">
        <v>34374.65753424658</v>
      </c>
      <c r="T401" s="5">
        <f>IF(J401&lt;&gt;"",M401*N401/365/100*('Cashflow Projection'!$B$2-Investors!J401),0)</f>
        <v/>
      </c>
    </row>
    <row r="402">
      <c r="A402" s="3" t="inlineStr">
        <is>
          <t>ZGRA01</t>
        </is>
      </c>
      <c r="B402" s="3" t="inlineStr">
        <is>
          <t>Pieter</t>
        </is>
      </c>
      <c r="C402" s="3" t="inlineStr">
        <is>
          <t>Grabe</t>
        </is>
      </c>
      <c r="D402" s="3" t="inlineStr">
        <is>
          <t>Heron View</t>
        </is>
      </c>
      <c r="E402" s="3" t="inlineStr">
        <is>
          <t>HVK403</t>
        </is>
      </c>
      <c r="F402" s="3" t="b">
        <v>0</v>
      </c>
      <c r="G402" s="3" t="b">
        <v>0</v>
      </c>
      <c r="H402" s="3" t="inlineStr">
        <is>
          <t>K</t>
        </is>
      </c>
      <c r="I402" s="4" t="n">
        <v>44942</v>
      </c>
      <c r="J402" s="4" t="n">
        <v>45016</v>
      </c>
      <c r="K402" s="4" t="n">
        <v>45510</v>
      </c>
      <c r="L402" s="3" t="n">
        <v>1</v>
      </c>
      <c r="M402" s="3" t="n">
        <v>100000</v>
      </c>
      <c r="N402" s="3" t="n">
        <v>14</v>
      </c>
      <c r="O402" s="3" t="b">
        <v>0</v>
      </c>
      <c r="P402" s="3" t="b">
        <v>0</v>
      </c>
      <c r="Q402" s="3" t="n">
        <v>2017.12328767123</v>
      </c>
      <c r="R402" s="3" t="n">
        <v>18947.94520547945</v>
      </c>
      <c r="S402" s="3" t="n">
        <v>20965.06849315068</v>
      </c>
      <c r="T402" s="5">
        <f>IF(J402&lt;&gt;"",M402*N402/365/100*('Cashflow Projection'!$B$2-Investors!J402),0)</f>
        <v/>
      </c>
    </row>
    <row r="403">
      <c r="A403" s="3" t="inlineStr">
        <is>
          <t>ZHAN06</t>
        </is>
      </c>
      <c r="B403" s="3" t="inlineStr">
        <is>
          <t>Derick</t>
        </is>
      </c>
      <c r="C403" s="3" t="inlineStr">
        <is>
          <t>Hanekom</t>
        </is>
      </c>
      <c r="D403" s="3" t="inlineStr">
        <is>
          <t>Heron View</t>
        </is>
      </c>
      <c r="E403" s="3" t="inlineStr">
        <is>
          <t>HVK403</t>
        </is>
      </c>
      <c r="F403" s="3" t="b">
        <v>0</v>
      </c>
      <c r="G403" s="3" t="b">
        <v>0</v>
      </c>
      <c r="H403" s="3" t="inlineStr">
        <is>
          <t>K</t>
        </is>
      </c>
      <c r="I403" s="4" t="n">
        <v>44937</v>
      </c>
      <c r="J403" s="4" t="n">
        <v>45016</v>
      </c>
      <c r="K403" s="4" t="n">
        <v>45510</v>
      </c>
      <c r="L403" s="3" t="n">
        <v>1</v>
      </c>
      <c r="M403" s="3" t="n">
        <v>200000</v>
      </c>
      <c r="N403" s="3" t="n">
        <v>14</v>
      </c>
      <c r="O403" s="3" t="b">
        <v>0</v>
      </c>
      <c r="P403" s="3" t="b">
        <v>0</v>
      </c>
      <c r="Q403" s="3" t="n">
        <v>4301.369863013692</v>
      </c>
      <c r="R403" s="3" t="n">
        <v>37895.8904109589</v>
      </c>
      <c r="S403" s="3" t="n">
        <v>42197.26027397259</v>
      </c>
      <c r="T403" s="5">
        <f>IF(J403&lt;&gt;"",M403*N403/365/100*('Cashflow Projection'!$B$2-Investors!J403),0)</f>
        <v/>
      </c>
    </row>
    <row r="404">
      <c r="A404" s="3" t="inlineStr">
        <is>
          <t>ZINT01</t>
        </is>
      </c>
      <c r="B404" s="3" t="inlineStr">
        <is>
          <t>Marc</t>
        </is>
      </c>
      <c r="C404" s="3" t="inlineStr">
        <is>
          <t>Lunau</t>
        </is>
      </c>
      <c r="D404" s="3" t="inlineStr">
        <is>
          <t>Heron View</t>
        </is>
      </c>
      <c r="E404" s="3" t="inlineStr">
        <is>
          <t>HVK403</t>
        </is>
      </c>
      <c r="F404" s="3" t="b">
        <v>0</v>
      </c>
      <c r="G404" s="3" t="b">
        <v>0</v>
      </c>
      <c r="H404" s="3" t="inlineStr">
        <is>
          <t>K</t>
        </is>
      </c>
      <c r="I404" s="4" t="n">
        <v>44914</v>
      </c>
      <c r="J404" s="4" t="n">
        <v>45008</v>
      </c>
      <c r="K404" s="4" t="n">
        <v>45510</v>
      </c>
      <c r="L404" s="3" t="n">
        <v>12</v>
      </c>
      <c r="M404" s="3" t="n">
        <v>100000</v>
      </c>
      <c r="N404" s="3" t="n">
        <v>18</v>
      </c>
      <c r="O404" s="3" t="b">
        <v>0</v>
      </c>
      <c r="P404" s="3" t="b">
        <v>0</v>
      </c>
      <c r="Q404" s="3" t="n">
        <v>2545.890410958903</v>
      </c>
      <c r="R404" s="3" t="n">
        <v>24756.16438356164</v>
      </c>
      <c r="S404" s="3" t="n">
        <v>27302.05479452054</v>
      </c>
      <c r="T404" s="5">
        <f>IF(J404&lt;&gt;"",M404*N404/365/100*('Cashflow Projection'!$B$2-Investors!J404),0)</f>
        <v/>
      </c>
    </row>
    <row r="405">
      <c r="A405" s="3" t="inlineStr">
        <is>
          <t>ZKRO01</t>
        </is>
      </c>
      <c r="B405" s="3" t="inlineStr">
        <is>
          <t>Frans</t>
        </is>
      </c>
      <c r="C405" s="3" t="inlineStr">
        <is>
          <t>van der Merwe</t>
        </is>
      </c>
      <c r="D405" s="3" t="inlineStr">
        <is>
          <t>Heron View</t>
        </is>
      </c>
      <c r="E405" s="3" t="inlineStr">
        <is>
          <t>HVK403</t>
        </is>
      </c>
      <c r="F405" s="3" t="b">
        <v>0</v>
      </c>
      <c r="G405" s="3" t="b">
        <v>0</v>
      </c>
      <c r="H405" s="3" t="inlineStr">
        <is>
          <t>K</t>
        </is>
      </c>
      <c r="I405" s="4" t="n">
        <v>44964</v>
      </c>
      <c r="J405" s="4" t="n">
        <v>45072</v>
      </c>
      <c r="K405" s="4" t="n">
        <v>45510</v>
      </c>
      <c r="L405" s="3" t="n">
        <v>4</v>
      </c>
      <c r="M405" s="3" t="n">
        <v>189647.26</v>
      </c>
      <c r="N405" s="3" t="n">
        <v>16</v>
      </c>
      <c r="O405" s="3" t="b">
        <v>0</v>
      </c>
      <c r="P405" s="3" t="b">
        <v>0</v>
      </c>
      <c r="Q405" s="3" t="n">
        <v>5756.963399452047</v>
      </c>
      <c r="R405" s="3" t="n">
        <v>36412.27392</v>
      </c>
      <c r="S405" s="3" t="n">
        <v>42169.23731945205</v>
      </c>
      <c r="T405" s="5">
        <f>IF(J405&lt;&gt;"",M405*N405/365/100*('Cashflow Projection'!$B$2-Investors!J405),0)</f>
        <v/>
      </c>
    </row>
    <row r="406">
      <c r="A406" s="3" t="inlineStr">
        <is>
          <t>ZLUN01</t>
        </is>
      </c>
      <c r="B406" s="3" t="inlineStr">
        <is>
          <t>Marc</t>
        </is>
      </c>
      <c r="C406" s="3" t="inlineStr">
        <is>
          <t>Lunau</t>
        </is>
      </c>
      <c r="D406" s="3" t="inlineStr">
        <is>
          <t>Heron View</t>
        </is>
      </c>
      <c r="E406" s="3" t="inlineStr">
        <is>
          <t>HVK403</t>
        </is>
      </c>
      <c r="F406" s="3" t="b">
        <v>0</v>
      </c>
      <c r="G406" s="3" t="b">
        <v>0</v>
      </c>
      <c r="H406" s="3" t="inlineStr">
        <is>
          <t>K</t>
        </is>
      </c>
      <c r="I406" s="4" t="n">
        <v>45000</v>
      </c>
      <c r="J406" s="4" t="n">
        <v>45107</v>
      </c>
      <c r="K406" s="4" t="n">
        <v>45510</v>
      </c>
      <c r="L406" s="3" t="n">
        <v>7</v>
      </c>
      <c r="M406" s="3" t="n">
        <v>150000</v>
      </c>
      <c r="N406" s="3" t="n">
        <v>18</v>
      </c>
      <c r="O406" s="3" t="b">
        <v>0</v>
      </c>
      <c r="P406" s="3" t="b">
        <v>0</v>
      </c>
      <c r="Q406" s="3" t="n">
        <v>4645.890410958908</v>
      </c>
      <c r="R406" s="3" t="n">
        <v>29810.95890410959</v>
      </c>
      <c r="S406" s="3" t="n">
        <v>34456.8493150685</v>
      </c>
      <c r="T406" s="5">
        <f>IF(J406&lt;&gt;"",M406*N406/365/100*('Cashflow Projection'!$B$2-Investors!J406),0)</f>
        <v/>
      </c>
    </row>
    <row r="407">
      <c r="A407" s="3" t="inlineStr">
        <is>
          <t>ZMCK01</t>
        </is>
      </c>
      <c r="B407" s="3" t="inlineStr">
        <is>
          <t>Caitlin</t>
        </is>
      </c>
      <c r="C407" s="3" t="inlineStr">
        <is>
          <t>MacKenzie-Jones</t>
        </is>
      </c>
      <c r="D407" s="3" t="inlineStr">
        <is>
          <t>Heron View</t>
        </is>
      </c>
      <c r="E407" s="3" t="inlineStr">
        <is>
          <t>HVK403</t>
        </is>
      </c>
      <c r="F407" s="3" t="b">
        <v>0</v>
      </c>
      <c r="G407" s="3" t="b">
        <v>0</v>
      </c>
      <c r="H407" s="3" t="inlineStr">
        <is>
          <t>K</t>
        </is>
      </c>
      <c r="I407" s="4" t="n">
        <v>44959</v>
      </c>
      <c r="J407" s="4" t="n">
        <v>45072</v>
      </c>
      <c r="K407" s="4" t="n">
        <v>45510</v>
      </c>
      <c r="L407" s="3" t="n">
        <v>4</v>
      </c>
      <c r="M407" s="3" t="n">
        <v>100000</v>
      </c>
      <c r="N407" s="3" t="n">
        <v>18</v>
      </c>
      <c r="O407" s="3" t="b">
        <v>0</v>
      </c>
      <c r="P407" s="3" t="b">
        <v>0</v>
      </c>
      <c r="Q407" s="3" t="n">
        <v>3172.602739726034</v>
      </c>
      <c r="R407" s="3" t="n">
        <v>21600</v>
      </c>
      <c r="S407" s="3" t="n">
        <v>24772.60273972603</v>
      </c>
      <c r="T407" s="5">
        <f>IF(J407&lt;&gt;"",M407*N407/365/100*('Cashflow Projection'!$B$2-Investors!J407),0)</f>
        <v/>
      </c>
    </row>
    <row r="408">
      <c r="A408" s="3" t="inlineStr">
        <is>
          <t>ZTHA01</t>
        </is>
      </c>
      <c r="B408" s="3" t="inlineStr">
        <is>
          <t>Gerald Adriaan Odendal</t>
        </is>
      </c>
      <c r="C408" s="3" t="inlineStr">
        <is>
          <t>Matthee</t>
        </is>
      </c>
      <c r="D408" s="3" t="inlineStr">
        <is>
          <t>Heron View</t>
        </is>
      </c>
      <c r="E408" s="3" t="inlineStr">
        <is>
          <t>HVK403</t>
        </is>
      </c>
      <c r="F408" s="3" t="b">
        <v>0</v>
      </c>
      <c r="G408" s="3" t="b">
        <v>0</v>
      </c>
      <c r="H408" s="3" t="inlineStr">
        <is>
          <t>K</t>
        </is>
      </c>
      <c r="I408" s="4" t="n">
        <v>44917</v>
      </c>
      <c r="J408" s="4" t="n">
        <v>45008</v>
      </c>
      <c r="K408" s="4" t="n">
        <v>45510</v>
      </c>
      <c r="L408" s="3" t="n">
        <v>3</v>
      </c>
      <c r="M408" s="3" t="n">
        <v>124599.32</v>
      </c>
      <c r="N408" s="3" t="n">
        <v>16</v>
      </c>
      <c r="O408" s="3" t="b">
        <v>0</v>
      </c>
      <c r="P408" s="3" t="b">
        <v>0</v>
      </c>
      <c r="Q408" s="3" t="n">
        <v>3072.312000000007</v>
      </c>
      <c r="R408" s="3" t="n">
        <v>27418.67776</v>
      </c>
      <c r="S408" s="3" t="n">
        <v>30490.98976000001</v>
      </c>
      <c r="T408" s="5">
        <f>IF(J408&lt;&gt;"",M408*N408/365/100*('Cashflow Projection'!$B$2-Investors!J408),0)</f>
        <v/>
      </c>
    </row>
    <row r="409">
      <c r="A409" s="3" t="inlineStr">
        <is>
          <t>ZMCK01</t>
        </is>
      </c>
      <c r="B409" s="3" t="inlineStr">
        <is>
          <t>Caitlin</t>
        </is>
      </c>
      <c r="C409" s="3" t="inlineStr">
        <is>
          <t>MacKenzie-Jones</t>
        </is>
      </c>
      <c r="D409" s="3" t="inlineStr">
        <is>
          <t>Heron View</t>
        </is>
      </c>
      <c r="E409" s="3" t="inlineStr">
        <is>
          <t>HVK404</t>
        </is>
      </c>
      <c r="F409" s="3" t="b">
        <v>0</v>
      </c>
      <c r="G409" s="3" t="b">
        <v>0</v>
      </c>
      <c r="H409" s="3" t="inlineStr">
        <is>
          <t>K</t>
        </is>
      </c>
      <c r="I409" s="4" t="n">
        <v>44959</v>
      </c>
      <c r="J409" s="4" t="n">
        <v>45072</v>
      </c>
      <c r="K409" s="4" t="n">
        <v>45510</v>
      </c>
      <c r="L409" s="3" t="n">
        <v>5</v>
      </c>
      <c r="M409" s="3" t="n">
        <v>1100000</v>
      </c>
      <c r="N409" s="3" t="n">
        <v>18</v>
      </c>
      <c r="O409" s="3" t="b">
        <v>0</v>
      </c>
      <c r="P409" s="3" t="b">
        <v>0</v>
      </c>
      <c r="Q409" s="3" t="n">
        <v>34898.63013698635</v>
      </c>
      <c r="R409" s="3" t="n">
        <v>237600</v>
      </c>
      <c r="S409" s="3" t="n">
        <v>272498.6301369864</v>
      </c>
      <c r="T409" s="5">
        <f>IF(J409&lt;&gt;"",M409*N409/365/100*('Cashflow Projection'!$B$2-Investors!J409),0)</f>
        <v/>
      </c>
    </row>
    <row r="410">
      <c r="A410" s="3" t="inlineStr">
        <is>
          <t>ZVAN15</t>
        </is>
      </c>
      <c r="B410" s="3" t="inlineStr">
        <is>
          <t>Clifford Roy</t>
        </is>
      </c>
      <c r="C410" s="3" t="inlineStr">
        <is>
          <t>van Vuren</t>
        </is>
      </c>
      <c r="D410" s="3" t="inlineStr">
        <is>
          <t>Heron View</t>
        </is>
      </c>
      <c r="E410" s="3" t="inlineStr">
        <is>
          <t>HVK405</t>
        </is>
      </c>
      <c r="F410" s="3" t="b">
        <v>0</v>
      </c>
      <c r="G410" s="3" t="b">
        <v>0</v>
      </c>
      <c r="H410" s="3" t="inlineStr">
        <is>
          <t>K</t>
        </is>
      </c>
      <c r="I410" s="4" t="n">
        <v>44967</v>
      </c>
      <c r="J410" s="4" t="n">
        <v>45072</v>
      </c>
      <c r="K410" s="4" t="n">
        <v>45510</v>
      </c>
      <c r="L410" s="3" t="n">
        <v>1</v>
      </c>
      <c r="M410" s="3" t="n">
        <v>1000000</v>
      </c>
      <c r="N410" s="3" t="n">
        <v>18</v>
      </c>
      <c r="O410" s="3" t="b">
        <v>0</v>
      </c>
      <c r="P410" s="3" t="b">
        <v>0</v>
      </c>
      <c r="Q410" s="3" t="n">
        <v>29534.24657534252</v>
      </c>
      <c r="R410" s="3" t="n">
        <v>216000</v>
      </c>
      <c r="S410" s="3" t="n">
        <v>245534.2465753425</v>
      </c>
      <c r="T410" s="5">
        <f>IF(J410&lt;&gt;"",M410*N410/365/100*('Cashflow Projection'!$B$2-Investors!J410),0)</f>
        <v/>
      </c>
    </row>
    <row r="411">
      <c r="A411" s="3" t="inlineStr">
        <is>
          <t>ZVER02</t>
        </is>
      </c>
      <c r="B411" s="3" t="inlineStr">
        <is>
          <t>Jean-Jacques EP</t>
        </is>
      </c>
      <c r="C411" s="3" t="inlineStr">
        <is>
          <t>Verhaeghe</t>
        </is>
      </c>
      <c r="D411" s="3" t="inlineStr">
        <is>
          <t>Heron View</t>
        </is>
      </c>
      <c r="E411" s="3" t="inlineStr">
        <is>
          <t>HVK405</t>
        </is>
      </c>
      <c r="F411" s="3" t="b">
        <v>0</v>
      </c>
      <c r="G411" s="3" t="b">
        <v>0</v>
      </c>
      <c r="H411" s="3" t="inlineStr">
        <is>
          <t>K</t>
        </is>
      </c>
      <c r="I411" s="4" t="n">
        <v>44964</v>
      </c>
      <c r="J411" s="4" t="n">
        <v>45072</v>
      </c>
      <c r="K411" s="4" t="n">
        <v>45510</v>
      </c>
      <c r="L411" s="3" t="n">
        <v>5</v>
      </c>
      <c r="M411" s="3" t="n">
        <v>117916.44</v>
      </c>
      <c r="N411" s="3" t="n">
        <v>14</v>
      </c>
      <c r="O411" s="3" t="b">
        <v>0</v>
      </c>
      <c r="P411" s="3" t="b">
        <v>0</v>
      </c>
      <c r="Q411" s="3" t="n">
        <v>3579.490836164389</v>
      </c>
      <c r="R411" s="3" t="n">
        <v>19809.96192000001</v>
      </c>
      <c r="S411" s="3" t="n">
        <v>23389.4527561644</v>
      </c>
      <c r="T411" s="5">
        <f>IF(J411&lt;&gt;"",M411*N411/365/100*('Cashflow Projection'!$B$2-Investors!J411),0)</f>
        <v/>
      </c>
    </row>
    <row r="412">
      <c r="A412" s="3" t="inlineStr">
        <is>
          <t>ZVAN13</t>
        </is>
      </c>
      <c r="B412" s="3" t="inlineStr">
        <is>
          <t>Gian</t>
        </is>
      </c>
      <c r="C412" s="3" t="inlineStr">
        <is>
          <t>van der Spuy</t>
        </is>
      </c>
      <c r="D412" s="3" t="inlineStr">
        <is>
          <t>Heron View</t>
        </is>
      </c>
      <c r="E412" s="3" t="inlineStr">
        <is>
          <t>HVK406</t>
        </is>
      </c>
      <c r="F412" s="3" t="b">
        <v>0</v>
      </c>
      <c r="G412" s="3" t="b">
        <v>0</v>
      </c>
      <c r="H412" s="3" t="inlineStr">
        <is>
          <t>K</t>
        </is>
      </c>
      <c r="I412" s="4" t="n">
        <v>44938</v>
      </c>
      <c r="J412" s="4" t="n">
        <v>45016</v>
      </c>
      <c r="K412" s="4" t="n">
        <v>45510</v>
      </c>
      <c r="L412" s="3" t="n">
        <v>2</v>
      </c>
      <c r="M412" s="3" t="n">
        <v>500000</v>
      </c>
      <c r="N412" s="3" t="n">
        <v>18</v>
      </c>
      <c r="O412" s="3" t="b">
        <v>0</v>
      </c>
      <c r="P412" s="3" t="b">
        <v>0</v>
      </c>
      <c r="Q412" s="3" t="n">
        <v>10619.86301369864</v>
      </c>
      <c r="R412" s="3" t="n">
        <v>121808.2191780822</v>
      </c>
      <c r="S412" s="3" t="n">
        <v>132428.0821917808</v>
      </c>
      <c r="T412" s="5">
        <f>IF(J412&lt;&gt;"",M412*N412/365/100*('Cashflow Projection'!$B$2-Investors!J412),0)</f>
        <v/>
      </c>
    </row>
    <row r="413">
      <c r="A413" s="3" t="inlineStr">
        <is>
          <t>ZVAN14</t>
        </is>
      </c>
      <c r="B413" s="3" t="inlineStr">
        <is>
          <t>Dorothy Anne</t>
        </is>
      </c>
      <c r="C413" s="3" t="inlineStr">
        <is>
          <t>van der Spuy</t>
        </is>
      </c>
      <c r="D413" s="3" t="inlineStr">
        <is>
          <t>Heron View</t>
        </is>
      </c>
      <c r="E413" s="3" t="inlineStr">
        <is>
          <t>HVK406</t>
        </is>
      </c>
      <c r="F413" s="3" t="b">
        <v>0</v>
      </c>
      <c r="G413" s="3" t="b">
        <v>0</v>
      </c>
      <c r="H413" s="3" t="inlineStr">
        <is>
          <t>K</t>
        </is>
      </c>
      <c r="I413" s="4" t="n">
        <v>44942</v>
      </c>
      <c r="J413" s="4" t="n">
        <v>45016</v>
      </c>
      <c r="K413" s="4" t="n">
        <v>45510</v>
      </c>
      <c r="L413" s="3" t="n">
        <v>2</v>
      </c>
      <c r="M413" s="3" t="n">
        <v>500000</v>
      </c>
      <c r="N413" s="3" t="n">
        <v>18</v>
      </c>
      <c r="O413" s="3" t="b">
        <v>0</v>
      </c>
      <c r="P413" s="3" t="b">
        <v>0</v>
      </c>
      <c r="Q413" s="3" t="n">
        <v>10085.61643835618</v>
      </c>
      <c r="R413" s="3" t="n">
        <v>121808.2191780822</v>
      </c>
      <c r="S413" s="3" t="n">
        <v>131893.8356164384</v>
      </c>
      <c r="T413" s="5">
        <f>IF(J413&lt;&gt;"",M413*N413/365/100*('Cashflow Projection'!$B$2-Investors!J413),0)</f>
        <v/>
      </c>
    </row>
    <row r="414">
      <c r="A414" s="3" t="inlineStr">
        <is>
          <t>ZVOL01</t>
        </is>
      </c>
      <c r="B414" s="3" t="inlineStr">
        <is>
          <t>Gideon Cornelius</t>
        </is>
      </c>
      <c r="C414" s="3" t="inlineStr">
        <is>
          <t>Volschenk</t>
        </is>
      </c>
      <c r="D414" s="3" t="inlineStr">
        <is>
          <t>Heron View</t>
        </is>
      </c>
      <c r="E414" s="3" t="inlineStr">
        <is>
          <t>HVK406</t>
        </is>
      </c>
      <c r="F414" s="3" t="b">
        <v>0</v>
      </c>
      <c r="G414" s="3" t="b">
        <v>0</v>
      </c>
      <c r="H414" s="3" t="inlineStr">
        <is>
          <t>K</t>
        </is>
      </c>
      <c r="I414" s="4" t="n">
        <v>44942</v>
      </c>
      <c r="J414" s="4" t="n">
        <v>45016</v>
      </c>
      <c r="K414" s="4" t="n">
        <v>45510</v>
      </c>
      <c r="L414" s="3" t="n">
        <v>5</v>
      </c>
      <c r="M414" s="3" t="n">
        <v>114058.91</v>
      </c>
      <c r="N414" s="3" t="n">
        <v>14</v>
      </c>
      <c r="O414" s="3" t="b">
        <v>0</v>
      </c>
      <c r="P414" s="3" t="b">
        <v>0</v>
      </c>
      <c r="Q414" s="3" t="n">
        <v>2300.708835273974</v>
      </c>
      <c r="R414" s="3" t="n">
        <v>21611.81976876712</v>
      </c>
      <c r="S414" s="3" t="n">
        <v>23912.5286040411</v>
      </c>
      <c r="T414" s="5">
        <f>IF(J414&lt;&gt;"",M414*N414/365/100*('Cashflow Projection'!$B$2-Investors!J414),0)</f>
        <v/>
      </c>
    </row>
    <row r="415">
      <c r="A415" s="3" t="inlineStr">
        <is>
          <t>ZMYB01</t>
        </is>
      </c>
      <c r="B415" s="3" t="inlineStr">
        <is>
          <t>Hermanus Carel</t>
        </is>
      </c>
      <c r="C415" s="3" t="inlineStr">
        <is>
          <t>Myburgh</t>
        </is>
      </c>
      <c r="D415" s="3" t="inlineStr">
        <is>
          <t>Heron View</t>
        </is>
      </c>
      <c r="E415" s="3" t="inlineStr">
        <is>
          <t>HVL101</t>
        </is>
      </c>
      <c r="F415" s="3" t="b">
        <v>0</v>
      </c>
      <c r="G415" s="3" t="b">
        <v>0</v>
      </c>
      <c r="H415" s="3" t="inlineStr">
        <is>
          <t>L</t>
        </is>
      </c>
      <c r="I415" s="4" t="n">
        <v>45099</v>
      </c>
      <c r="J415" s="4" t="n">
        <v>45280</v>
      </c>
      <c r="K415" s="4" t="n">
        <v>45524</v>
      </c>
      <c r="L415" s="3" t="n">
        <v>3</v>
      </c>
      <c r="M415" s="3" t="n">
        <v>1100000</v>
      </c>
      <c r="N415" s="3" t="n">
        <v>18</v>
      </c>
      <c r="O415" s="3" t="b">
        <v>0</v>
      </c>
      <c r="P415" s="3" t="b">
        <v>0</v>
      </c>
      <c r="Q415" s="3" t="n">
        <v>60002.73972602739</v>
      </c>
      <c r="R415" s="3" t="n">
        <v>132361.6438356164</v>
      </c>
      <c r="S415" s="3" t="n">
        <v>192364.3835616438</v>
      </c>
      <c r="T415" s="5">
        <f>IF(J415&lt;&gt;"",M415*N415/365/100*('Cashflow Projection'!$B$2-Investors!J415),0)</f>
        <v/>
      </c>
    </row>
    <row r="416">
      <c r="A416" s="3" t="inlineStr">
        <is>
          <t>ZMYB01</t>
        </is>
      </c>
      <c r="B416" s="3" t="inlineStr">
        <is>
          <t>Hermanus Carel</t>
        </is>
      </c>
      <c r="C416" s="3" t="inlineStr">
        <is>
          <t>Myburgh</t>
        </is>
      </c>
      <c r="D416" s="3" t="inlineStr">
        <is>
          <t>Heron View</t>
        </is>
      </c>
      <c r="E416" s="3" t="inlineStr">
        <is>
          <t>HVL102</t>
        </is>
      </c>
      <c r="F416" s="3" t="b">
        <v>0</v>
      </c>
      <c r="G416" s="3" t="b">
        <v>0</v>
      </c>
      <c r="H416" s="3" t="inlineStr">
        <is>
          <t>L</t>
        </is>
      </c>
      <c r="I416" s="4" t="n">
        <v>45099</v>
      </c>
      <c r="J416" s="4" t="n">
        <v>45280</v>
      </c>
      <c r="K416" s="4" t="n">
        <v>45524</v>
      </c>
      <c r="L416" s="3" t="n">
        <v>4</v>
      </c>
      <c r="M416" s="3" t="n">
        <v>700000</v>
      </c>
      <c r="N416" s="3" t="n">
        <v>18</v>
      </c>
      <c r="O416" s="3" t="b">
        <v>0</v>
      </c>
      <c r="P416" s="3" t="b">
        <v>0</v>
      </c>
      <c r="Q416" s="3" t="n">
        <v>38183.5616438357</v>
      </c>
      <c r="R416" s="3" t="n">
        <v>84230.13698630138</v>
      </c>
      <c r="S416" s="3" t="n">
        <v>122413.6986301371</v>
      </c>
      <c r="T416" s="5">
        <f>IF(J416&lt;&gt;"",M416*N416/365/100*('Cashflow Projection'!$B$2-Investors!J416),0)</f>
        <v/>
      </c>
    </row>
    <row r="417">
      <c r="A417" s="3" t="inlineStr">
        <is>
          <t>ZTUR01</t>
        </is>
      </c>
      <c r="B417" s="3" t="inlineStr">
        <is>
          <t>Janne Petteri</t>
        </is>
      </c>
      <c r="C417" s="3" t="inlineStr">
        <is>
          <t>Turunen</t>
        </is>
      </c>
      <c r="D417" s="3" t="inlineStr">
        <is>
          <t>Heron View</t>
        </is>
      </c>
      <c r="E417" s="3" t="inlineStr">
        <is>
          <t>HVL102</t>
        </is>
      </c>
      <c r="F417" s="3" t="b">
        <v>0</v>
      </c>
      <c r="G417" s="3" t="b">
        <v>0</v>
      </c>
      <c r="H417" s="3" t="inlineStr">
        <is>
          <t>L</t>
        </is>
      </c>
      <c r="I417" s="4" t="n">
        <v>45125</v>
      </c>
      <c r="J417" s="4" t="n">
        <v>45259</v>
      </c>
      <c r="K417" s="4" t="n">
        <v>45524</v>
      </c>
      <c r="L417" s="3" t="n">
        <v>1</v>
      </c>
      <c r="M417" s="3" t="n">
        <v>100000</v>
      </c>
      <c r="N417" s="3" t="n">
        <v>14</v>
      </c>
      <c r="O417" s="3" t="b">
        <v>0</v>
      </c>
      <c r="P417" s="3" t="b">
        <v>0</v>
      </c>
      <c r="Q417" s="3" t="n">
        <v>4038.356164383553</v>
      </c>
      <c r="R417" s="3" t="n">
        <v>10164.38356164384</v>
      </c>
      <c r="S417" s="3" t="n">
        <v>14202.73972602739</v>
      </c>
      <c r="T417" s="5">
        <f>IF(J417&lt;&gt;"",M417*N417/365/100*('Cashflow Projection'!$B$2-Investors!J417),0)</f>
        <v/>
      </c>
    </row>
    <row r="418">
      <c r="A418" s="3" t="inlineStr">
        <is>
          <t>ZVOL01</t>
        </is>
      </c>
      <c r="B418" s="3" t="inlineStr">
        <is>
          <t>Gideon Cornelius</t>
        </is>
      </c>
      <c r="C418" s="3" t="inlineStr">
        <is>
          <t>Volschenk</t>
        </is>
      </c>
      <c r="D418" s="3" t="inlineStr">
        <is>
          <t>Heron View</t>
        </is>
      </c>
      <c r="E418" s="3" t="inlineStr">
        <is>
          <t>HVL102</t>
        </is>
      </c>
      <c r="F418" s="3" t="b">
        <v>0</v>
      </c>
      <c r="G418" s="3" t="b">
        <v>0</v>
      </c>
      <c r="H418" s="3" t="inlineStr">
        <is>
          <t>L</t>
        </is>
      </c>
      <c r="I418" s="4" t="n">
        <v>45112</v>
      </c>
      <c r="J418" s="4" t="n">
        <v>45259</v>
      </c>
      <c r="K418" s="4" t="n">
        <v>45524</v>
      </c>
      <c r="L418" s="3" t="n">
        <v>6</v>
      </c>
      <c r="M418" s="3" t="n">
        <v>250000</v>
      </c>
      <c r="N418" s="3" t="n">
        <v>16</v>
      </c>
      <c r="O418" s="3" t="b">
        <v>0</v>
      </c>
      <c r="P418" s="3" t="b">
        <v>0</v>
      </c>
      <c r="Q418" s="3" t="n">
        <v>11075.34246575342</v>
      </c>
      <c r="R418" s="3" t="n">
        <v>29041.09589041096</v>
      </c>
      <c r="S418" s="3" t="n">
        <v>40116.43835616438</v>
      </c>
      <c r="T418" s="5">
        <f>IF(J418&lt;&gt;"",M418*N418/365/100*('Cashflow Projection'!$B$2-Investors!J418),0)</f>
        <v/>
      </c>
    </row>
    <row r="419">
      <c r="A419" s="3" t="inlineStr">
        <is>
          <t>ZCRO02</t>
        </is>
      </c>
      <c r="B419" s="3" t="inlineStr">
        <is>
          <t>Gregory Murray</t>
        </is>
      </c>
      <c r="C419" s="3" t="inlineStr">
        <is>
          <t>Crouse</t>
        </is>
      </c>
      <c r="D419" s="3" t="inlineStr">
        <is>
          <t>Heron View</t>
        </is>
      </c>
      <c r="E419" s="3" t="inlineStr">
        <is>
          <t>HVL103</t>
        </is>
      </c>
      <c r="F419" s="3" t="b">
        <v>0</v>
      </c>
      <c r="G419" s="3" t="b">
        <v>0</v>
      </c>
      <c r="H419" s="3" t="inlineStr">
        <is>
          <t>L</t>
        </is>
      </c>
      <c r="I419" s="4" t="n">
        <v>45099</v>
      </c>
      <c r="J419" s="4" t="n">
        <v>45273</v>
      </c>
      <c r="K419" s="4" t="n">
        <v>45524</v>
      </c>
      <c r="L419" s="3" t="n">
        <v>2</v>
      </c>
      <c r="M419" s="3" t="n">
        <v>1000004.32</v>
      </c>
      <c r="N419" s="3" t="n">
        <v>18</v>
      </c>
      <c r="O419" s="3" t="b">
        <v>0</v>
      </c>
      <c r="P419" s="3" t="b">
        <v>0</v>
      </c>
      <c r="Q419" s="3" t="n">
        <v>52438.58269808234</v>
      </c>
      <c r="R419" s="3" t="n">
        <v>123781.3566509589</v>
      </c>
      <c r="S419" s="3" t="n">
        <v>176219.9393490412</v>
      </c>
      <c r="T419" s="5">
        <f>IF(J419&lt;&gt;"",M419*N419/365/100*('Cashflow Projection'!$B$2-Investors!J419),0)</f>
        <v/>
      </c>
    </row>
    <row r="420">
      <c r="A420" s="3" t="inlineStr">
        <is>
          <t>ZSIP01</t>
        </is>
      </c>
      <c r="B420" s="3" t="inlineStr">
        <is>
          <t>Elaine Christilene</t>
        </is>
      </c>
      <c r="C420" s="3" t="inlineStr">
        <is>
          <t>Sipongo</t>
        </is>
      </c>
      <c r="D420" s="3" t="inlineStr">
        <is>
          <t>Heron View</t>
        </is>
      </c>
      <c r="E420" s="3" t="inlineStr">
        <is>
          <t>HVL103</t>
        </is>
      </c>
      <c r="F420" s="3" t="b">
        <v>0</v>
      </c>
      <c r="G420" s="3" t="b">
        <v>0</v>
      </c>
      <c r="H420" s="3" t="inlineStr">
        <is>
          <t>L</t>
        </is>
      </c>
      <c r="I420" s="4" t="n">
        <v>45125</v>
      </c>
      <c r="J420" s="4" t="n">
        <v>45259</v>
      </c>
      <c r="K420" s="4" t="n">
        <v>45524</v>
      </c>
      <c r="L420" s="3" t="n">
        <v>1</v>
      </c>
      <c r="M420" s="3" t="n">
        <v>100000</v>
      </c>
      <c r="N420" s="3" t="n">
        <v>14</v>
      </c>
      <c r="O420" s="3" t="b">
        <v>0</v>
      </c>
      <c r="P420" s="3" t="b">
        <v>0</v>
      </c>
      <c r="Q420" s="3" t="n">
        <v>4038.356164383553</v>
      </c>
      <c r="R420" s="3" t="n">
        <v>10164.38356164384</v>
      </c>
      <c r="S420" s="3" t="n">
        <v>14202.73972602739</v>
      </c>
      <c r="T420" s="5">
        <f>IF(J420&lt;&gt;"",M420*N420/365/100*('Cashflow Projection'!$B$2-Investors!J420),0)</f>
        <v/>
      </c>
    </row>
    <row r="421">
      <c r="A421" s="3" t="inlineStr">
        <is>
          <t>ZMYB01</t>
        </is>
      </c>
      <c r="B421" s="3" t="inlineStr">
        <is>
          <t>Hermanus Carel</t>
        </is>
      </c>
      <c r="C421" s="3" t="inlineStr">
        <is>
          <t>Myburgh</t>
        </is>
      </c>
      <c r="D421" s="3" t="inlineStr">
        <is>
          <t>Heron View</t>
        </is>
      </c>
      <c r="E421" s="3" t="inlineStr">
        <is>
          <t>HVL104</t>
        </is>
      </c>
      <c r="F421" s="3" t="b">
        <v>0</v>
      </c>
      <c r="G421" s="3" t="b">
        <v>0</v>
      </c>
      <c r="H421" s="3" t="inlineStr">
        <is>
          <t>L</t>
        </is>
      </c>
      <c r="I421" s="4" t="n">
        <v>45099</v>
      </c>
      <c r="J421" s="4" t="n">
        <v>45280</v>
      </c>
      <c r="K421" s="4" t="n">
        <v>45524</v>
      </c>
      <c r="L421" s="3" t="n">
        <v>5</v>
      </c>
      <c r="M421" s="3" t="n">
        <v>1100000</v>
      </c>
      <c r="N421" s="3" t="n">
        <v>18</v>
      </c>
      <c r="O421" s="3" t="b">
        <v>0</v>
      </c>
      <c r="P421" s="3" t="b">
        <v>0</v>
      </c>
      <c r="Q421" s="3" t="n">
        <v>60002.73972602739</v>
      </c>
      <c r="R421" s="3" t="n">
        <v>132361.6438356164</v>
      </c>
      <c r="S421" s="3" t="n">
        <v>192364.3835616438</v>
      </c>
      <c r="T421" s="5">
        <f>IF(J421&lt;&gt;"",M421*N421/365/100*('Cashflow Projection'!$B$2-Investors!J421),0)</f>
        <v/>
      </c>
    </row>
    <row r="422">
      <c r="A422" s="3" t="inlineStr">
        <is>
          <t>ZHAL03</t>
        </is>
      </c>
      <c r="B422" s="3" t="inlineStr">
        <is>
          <t>Graeme Haffenden</t>
        </is>
      </c>
      <c r="C422" s="3" t="inlineStr">
        <is>
          <t>Hall</t>
        </is>
      </c>
      <c r="D422" s="3" t="inlineStr">
        <is>
          <t>Heron View</t>
        </is>
      </c>
      <c r="E422" s="3" t="inlineStr">
        <is>
          <t>HVL201</t>
        </is>
      </c>
      <c r="F422" s="3" t="b">
        <v>0</v>
      </c>
      <c r="G422" s="3" t="b">
        <v>0</v>
      </c>
      <c r="H422" s="3" t="inlineStr">
        <is>
          <t>L</t>
        </is>
      </c>
      <c r="I422" s="4" t="n">
        <v>45279</v>
      </c>
      <c r="J422" s="4" t="n">
        <v>45363</v>
      </c>
      <c r="K422" s="4" t="n">
        <v>45524</v>
      </c>
      <c r="L422" s="3" t="n">
        <v>2</v>
      </c>
      <c r="M422" s="3" t="n">
        <v>604260.27</v>
      </c>
      <c r="N422" s="3" t="n">
        <v>16</v>
      </c>
      <c r="O422" s="3" t="b">
        <v>0</v>
      </c>
      <c r="P422" s="3" t="b">
        <v>0</v>
      </c>
      <c r="Q422" s="3" t="n">
        <v>15296.89012273971</v>
      </c>
      <c r="R422" s="3" t="n">
        <v>42645.87549369864</v>
      </c>
      <c r="S422" s="3" t="n">
        <v>57942.76561643835</v>
      </c>
      <c r="T422" s="5">
        <f>IF(J422&lt;&gt;"",M422*N422/365/100*('Cashflow Projection'!$B$2-Investors!J422),0)</f>
        <v/>
      </c>
    </row>
    <row r="423">
      <c r="A423" s="3" t="inlineStr">
        <is>
          <t>ZHEN01</t>
        </is>
      </c>
      <c r="B423" s="3" t="inlineStr">
        <is>
          <t>Theodore Shane</t>
        </is>
      </c>
      <c r="C423" s="3" t="inlineStr">
        <is>
          <t>Hendricks</t>
        </is>
      </c>
      <c r="D423" s="3" t="inlineStr">
        <is>
          <t>Heron View</t>
        </is>
      </c>
      <c r="E423" s="3" t="inlineStr">
        <is>
          <t>HVL201</t>
        </is>
      </c>
      <c r="F423" s="3" t="b">
        <v>0</v>
      </c>
      <c r="G423" s="3" t="b">
        <v>0</v>
      </c>
      <c r="H423" s="3" t="inlineStr">
        <is>
          <t>L</t>
        </is>
      </c>
      <c r="I423" s="4" t="n">
        <v>45097</v>
      </c>
      <c r="J423" s="4" t="n">
        <v>45259</v>
      </c>
      <c r="K423" s="4" t="n">
        <v>45524</v>
      </c>
      <c r="L423" s="3" t="n">
        <v>4</v>
      </c>
      <c r="M423" s="3" t="n">
        <v>400000</v>
      </c>
      <c r="N423" s="3" t="n">
        <v>16</v>
      </c>
      <c r="O423" s="3" t="b">
        <v>0</v>
      </c>
      <c r="P423" s="3" t="b">
        <v>0</v>
      </c>
      <c r="Q423" s="3" t="n">
        <v>19528.76712328762</v>
      </c>
      <c r="R423" s="3" t="n">
        <v>46465.75342465753</v>
      </c>
      <c r="S423" s="3" t="n">
        <v>65994.52054794514</v>
      </c>
      <c r="T423" s="5">
        <f>IF(J423&lt;&gt;"",M423*N423/365/100*('Cashflow Projection'!$B$2-Investors!J423),0)</f>
        <v/>
      </c>
    </row>
    <row r="424">
      <c r="A424" s="3" t="inlineStr">
        <is>
          <t>ZINT01</t>
        </is>
      </c>
      <c r="B424" s="3" t="inlineStr">
        <is>
          <t>Marc</t>
        </is>
      </c>
      <c r="C424" s="3" t="inlineStr">
        <is>
          <t>Lunau</t>
        </is>
      </c>
      <c r="D424" s="3" t="inlineStr">
        <is>
          <t>Heron View</t>
        </is>
      </c>
      <c r="E424" s="3" t="inlineStr">
        <is>
          <t>HVL201</t>
        </is>
      </c>
      <c r="F424" s="3" t="b">
        <v>0</v>
      </c>
      <c r="G424" s="3" t="b">
        <v>0</v>
      </c>
      <c r="H424" s="3" t="inlineStr">
        <is>
          <t>L</t>
        </is>
      </c>
      <c r="I424" s="4" t="n">
        <v>45279</v>
      </c>
      <c r="J424" s="4" t="n">
        <v>45371</v>
      </c>
      <c r="K424" s="4" t="n">
        <v>45524</v>
      </c>
      <c r="L424" s="3" t="n">
        <v>18</v>
      </c>
      <c r="M424" s="3" t="n">
        <v>100000</v>
      </c>
      <c r="N424" s="3" t="n">
        <v>18</v>
      </c>
      <c r="O424" s="3" t="b">
        <v>0</v>
      </c>
      <c r="P424" s="3" t="b">
        <v>0</v>
      </c>
      <c r="Q424" s="3" t="n">
        <v>2772.602739726026</v>
      </c>
      <c r="R424" s="3" t="n">
        <v>7545.205479452055</v>
      </c>
      <c r="S424" s="3" t="n">
        <v>10317.80821917808</v>
      </c>
      <c r="T424" s="5">
        <f>IF(J424&lt;&gt;"",M424*N424/365/100*('Cashflow Projection'!$B$2-Investors!J424),0)</f>
        <v/>
      </c>
    </row>
    <row r="425">
      <c r="A425" s="3" t="inlineStr">
        <is>
          <t>ZKUS03</t>
        </is>
      </c>
      <c r="B425" s="3" t="inlineStr">
        <is>
          <t>Joanne Tracy</t>
        </is>
      </c>
      <c r="C425" s="3" t="inlineStr">
        <is>
          <t>Kuster</t>
        </is>
      </c>
      <c r="D425" s="3" t="inlineStr">
        <is>
          <t>Heron View</t>
        </is>
      </c>
      <c r="E425" s="3" t="inlineStr">
        <is>
          <t>HVL201</t>
        </is>
      </c>
      <c r="F425" s="3" t="b">
        <v>0</v>
      </c>
      <c r="G425" s="3" t="b">
        <v>0</v>
      </c>
      <c r="H425" s="3" t="inlineStr">
        <is>
          <t>L</t>
        </is>
      </c>
      <c r="I425" s="4" t="n">
        <v>45183</v>
      </c>
      <c r="J425" s="4" t="n">
        <v>45273</v>
      </c>
      <c r="K425" s="4" t="n">
        <v>45524</v>
      </c>
      <c r="L425" s="3" t="n">
        <v>5</v>
      </c>
      <c r="M425" s="3" t="n">
        <v>100000</v>
      </c>
      <c r="N425" s="3" t="n">
        <v>14</v>
      </c>
      <c r="O425" s="3" t="b">
        <v>0</v>
      </c>
      <c r="P425" s="3" t="b">
        <v>0</v>
      </c>
      <c r="Q425" s="3" t="n">
        <v>2712.328767123287</v>
      </c>
      <c r="R425" s="3" t="n">
        <v>9627.397260273972</v>
      </c>
      <c r="S425" s="3" t="n">
        <v>12339.72602739726</v>
      </c>
      <c r="T425" s="5">
        <f>IF(J425&lt;&gt;"",M425*N425/365/100*('Cashflow Projection'!$B$2-Investors!J425),0)</f>
        <v/>
      </c>
    </row>
    <row r="426">
      <c r="A426" s="3" t="inlineStr">
        <is>
          <t>ZDEL01</t>
        </is>
      </c>
      <c r="B426" s="3" t="inlineStr">
        <is>
          <t>Pieter</t>
        </is>
      </c>
      <c r="C426" s="3" t="inlineStr">
        <is>
          <t>Jansen van Vuuren</t>
        </is>
      </c>
      <c r="D426" s="3" t="inlineStr">
        <is>
          <t>Heron View</t>
        </is>
      </c>
      <c r="E426" s="3" t="inlineStr">
        <is>
          <t>HVL202</t>
        </is>
      </c>
      <c r="F426" s="3" t="b">
        <v>0</v>
      </c>
      <c r="G426" s="3" t="b">
        <v>0</v>
      </c>
      <c r="H426" s="3" t="inlineStr">
        <is>
          <t>L</t>
        </is>
      </c>
      <c r="I426" s="4" t="n">
        <v>45145</v>
      </c>
      <c r="J426" s="4" t="n">
        <v>45321</v>
      </c>
      <c r="K426" s="4" t="n">
        <v>45524</v>
      </c>
      <c r="L426" s="3" t="n">
        <v>12</v>
      </c>
      <c r="M426" s="3" t="n">
        <v>1200000</v>
      </c>
      <c r="N426" s="3" t="n">
        <v>18</v>
      </c>
      <c r="O426" s="3" t="b">
        <v>0</v>
      </c>
      <c r="P426" s="3" t="b">
        <v>0</v>
      </c>
      <c r="Q426" s="3" t="n">
        <v>63649.31506849304</v>
      </c>
      <c r="R426" s="3" t="n">
        <v>120131.5068493151</v>
      </c>
      <c r="S426" s="3" t="n">
        <v>183780.8219178081</v>
      </c>
      <c r="T426" s="5">
        <f>IF(J426&lt;&gt;"",M426*N426/365/100*('Cashflow Projection'!$B$2-Investors!J426),0)</f>
        <v/>
      </c>
    </row>
    <row r="427">
      <c r="A427" s="3" t="inlineStr">
        <is>
          <t>ZBUM01</t>
        </is>
      </c>
      <c r="B427" s="3" t="inlineStr">
        <is>
          <t>Andre Gottfried</t>
        </is>
      </c>
      <c r="C427" s="3" t="inlineStr">
        <is>
          <t>Brummer</t>
        </is>
      </c>
      <c r="D427" s="3" t="inlineStr">
        <is>
          <t>Heron View</t>
        </is>
      </c>
      <c r="E427" s="3" t="inlineStr">
        <is>
          <t>HVL203</t>
        </is>
      </c>
      <c r="F427" s="3" t="b">
        <v>0</v>
      </c>
      <c r="G427" s="3" t="b">
        <v>0</v>
      </c>
      <c r="H427" s="3" t="inlineStr">
        <is>
          <t>L</t>
        </is>
      </c>
      <c r="I427" s="4" t="n">
        <v>45149</v>
      </c>
      <c r="J427" s="4" t="n">
        <v>45273</v>
      </c>
      <c r="K427" s="4" t="n">
        <v>45524</v>
      </c>
      <c r="L427" s="3" t="n">
        <v>3</v>
      </c>
      <c r="M427" s="3" t="n">
        <v>150000</v>
      </c>
      <c r="N427" s="3" t="n">
        <v>18</v>
      </c>
      <c r="O427" s="3" t="b">
        <v>0</v>
      </c>
      <c r="P427" s="3" t="b">
        <v>0</v>
      </c>
      <c r="Q427" s="3" t="n">
        <v>5605.479452054794</v>
      </c>
      <c r="R427" s="3" t="n">
        <v>18567.12328767123</v>
      </c>
      <c r="S427" s="3" t="n">
        <v>24172.60273972603</v>
      </c>
      <c r="T427" s="5">
        <f>IF(J427&lt;&gt;"",M427*N427/365/100*('Cashflow Projection'!$B$2-Investors!J427),0)</f>
        <v/>
      </c>
    </row>
    <row r="428">
      <c r="A428" s="3" t="inlineStr">
        <is>
          <t>ZDEL01</t>
        </is>
      </c>
      <c r="B428" s="3" t="inlineStr">
        <is>
          <t>Pieter</t>
        </is>
      </c>
      <c r="C428" s="3" t="inlineStr">
        <is>
          <t>Jansen van Vuuren</t>
        </is>
      </c>
      <c r="D428" s="3" t="inlineStr">
        <is>
          <t>Heron View</t>
        </is>
      </c>
      <c r="E428" s="3" t="inlineStr">
        <is>
          <t>HVL203</t>
        </is>
      </c>
      <c r="F428" s="3" t="b">
        <v>0</v>
      </c>
      <c r="G428" s="3" t="b">
        <v>0</v>
      </c>
      <c r="H428" s="3" t="inlineStr">
        <is>
          <t>L</t>
        </is>
      </c>
      <c r="I428" s="4" t="n">
        <v>45173</v>
      </c>
      <c r="J428" s="4" t="n">
        <v>45273</v>
      </c>
      <c r="K428" s="4" t="n">
        <v>45524</v>
      </c>
      <c r="L428" s="3" t="n">
        <v>13</v>
      </c>
      <c r="M428" s="3" t="n">
        <v>180000</v>
      </c>
      <c r="N428" s="3" t="n">
        <v>18</v>
      </c>
      <c r="O428" s="3" t="b">
        <v>0</v>
      </c>
      <c r="P428" s="3" t="b">
        <v>0</v>
      </c>
      <c r="Q428" s="3" t="n">
        <v>5424.657534246579</v>
      </c>
      <c r="R428" s="3" t="n">
        <v>22280.54794520548</v>
      </c>
      <c r="S428" s="3" t="n">
        <v>27705.20547945206</v>
      </c>
      <c r="T428" s="5">
        <f>IF(J428&lt;&gt;"",M428*N428/365/100*('Cashflow Projection'!$B$2-Investors!J428),0)</f>
        <v/>
      </c>
    </row>
    <row r="429">
      <c r="A429" s="3" t="inlineStr">
        <is>
          <t>ZERA02</t>
        </is>
      </c>
      <c r="B429" s="3" t="inlineStr">
        <is>
          <t>Chantal Celeste Jafthaleen</t>
        </is>
      </c>
      <c r="C429" s="3" t="inlineStr">
        <is>
          <t>Erasmus</t>
        </is>
      </c>
      <c r="D429" s="3" t="inlineStr">
        <is>
          <t>Heron View</t>
        </is>
      </c>
      <c r="E429" s="3" t="inlineStr">
        <is>
          <t>HVL203</t>
        </is>
      </c>
      <c r="F429" s="3" t="b">
        <v>0</v>
      </c>
      <c r="G429" s="3" t="b">
        <v>0</v>
      </c>
      <c r="H429" s="3" t="inlineStr">
        <is>
          <t>L</t>
        </is>
      </c>
      <c r="I429" s="4" t="n">
        <v>45160</v>
      </c>
      <c r="J429" s="4" t="n">
        <v>45273</v>
      </c>
      <c r="K429" s="4" t="n">
        <v>45524</v>
      </c>
      <c r="L429" s="3" t="n">
        <v>3</v>
      </c>
      <c r="M429" s="3" t="n">
        <v>300000</v>
      </c>
      <c r="N429" s="3" t="n">
        <v>14</v>
      </c>
      <c r="O429" s="3" t="b">
        <v>0</v>
      </c>
      <c r="P429" s="3" t="b">
        <v>0</v>
      </c>
      <c r="Q429" s="3" t="n">
        <v>10216.43835616439</v>
      </c>
      <c r="R429" s="3" t="n">
        <v>28882.19178082192</v>
      </c>
      <c r="S429" s="3" t="n">
        <v>39098.63013698631</v>
      </c>
      <c r="T429" s="5">
        <f>IF(J429&lt;&gt;"",M429*N429/365/100*('Cashflow Projection'!$B$2-Investors!J429),0)</f>
        <v/>
      </c>
    </row>
    <row r="430">
      <c r="A430" s="3" t="inlineStr">
        <is>
          <t>ZHEN01</t>
        </is>
      </c>
      <c r="B430" s="3" t="inlineStr">
        <is>
          <t>Theodore Shane</t>
        </is>
      </c>
      <c r="C430" s="3" t="inlineStr">
        <is>
          <t>Hendricks</t>
        </is>
      </c>
      <c r="D430" s="3" t="inlineStr">
        <is>
          <t>Heron View</t>
        </is>
      </c>
      <c r="E430" s="3" t="inlineStr">
        <is>
          <t>HVL203</t>
        </is>
      </c>
      <c r="F430" s="3" t="b">
        <v>0</v>
      </c>
      <c r="G430" s="3" t="b">
        <v>0</v>
      </c>
      <c r="H430" s="3" t="inlineStr">
        <is>
          <t>L</t>
        </is>
      </c>
      <c r="I430" s="4" t="n">
        <v>45279</v>
      </c>
      <c r="J430" s="4" t="n">
        <v>45363</v>
      </c>
      <c r="K430" s="4" t="n">
        <v>45524</v>
      </c>
      <c r="L430" s="3" t="n">
        <v>5</v>
      </c>
      <c r="M430" s="3" t="n">
        <v>121489.04</v>
      </c>
      <c r="N430" s="3" t="n">
        <v>16</v>
      </c>
      <c r="O430" s="3" t="b">
        <v>0</v>
      </c>
      <c r="P430" s="3" t="b">
        <v>0</v>
      </c>
      <c r="Q430" s="3" t="n">
        <v>3075.503368767123</v>
      </c>
      <c r="R430" s="3" t="n">
        <v>8574.130603835616</v>
      </c>
      <c r="S430" s="3" t="n">
        <v>11649.63397260274</v>
      </c>
      <c r="T430" s="5">
        <f>IF(J430&lt;&gt;"",M430*N430/365/100*('Cashflow Projection'!$B$2-Investors!J430),0)</f>
        <v/>
      </c>
    </row>
    <row r="431">
      <c r="A431" s="3" t="inlineStr">
        <is>
          <t>ZHUT01</t>
        </is>
      </c>
      <c r="B431" s="3" t="inlineStr">
        <is>
          <t>Tracy Jane</t>
        </is>
      </c>
      <c r="C431" s="3" t="inlineStr">
        <is>
          <t>Hutchings</t>
        </is>
      </c>
      <c r="D431" s="3" t="inlineStr">
        <is>
          <t>Heron View</t>
        </is>
      </c>
      <c r="E431" s="3" t="inlineStr">
        <is>
          <t>HVL203</t>
        </is>
      </c>
      <c r="F431" s="3" t="b">
        <v>0</v>
      </c>
      <c r="G431" s="3" t="b">
        <v>0</v>
      </c>
      <c r="H431" s="3" t="inlineStr">
        <is>
          <t>L</t>
        </is>
      </c>
      <c r="I431" s="4" t="n">
        <v>45279</v>
      </c>
      <c r="J431" s="4" t="n">
        <v>45371</v>
      </c>
      <c r="K431" s="4" t="n">
        <v>45524</v>
      </c>
      <c r="L431" s="3" t="n">
        <v>9</v>
      </c>
      <c r="M431" s="3" t="n">
        <v>311181.51</v>
      </c>
      <c r="N431" s="3" t="n">
        <v>16</v>
      </c>
      <c r="O431" s="3" t="b">
        <v>0</v>
      </c>
      <c r="P431" s="3" t="b">
        <v>0</v>
      </c>
      <c r="Q431" s="3" t="n">
        <v>8627.827071780814</v>
      </c>
      <c r="R431" s="3" t="n">
        <v>20870.4749720548</v>
      </c>
      <c r="S431" s="3" t="n">
        <v>29498.30204383561</v>
      </c>
      <c r="T431" s="5">
        <f>IF(J431&lt;&gt;"",M431*N431/365/100*('Cashflow Projection'!$B$2-Investors!J431),0)</f>
        <v/>
      </c>
    </row>
    <row r="432">
      <c r="A432" s="3" t="inlineStr">
        <is>
          <t>ZROD01</t>
        </is>
      </c>
      <c r="B432" s="3" t="inlineStr">
        <is>
          <t>Vuyisile Eustace</t>
        </is>
      </c>
      <c r="C432" s="3" t="inlineStr">
        <is>
          <t>Rodolo</t>
        </is>
      </c>
      <c r="D432" s="3" t="inlineStr">
        <is>
          <t>Heron View</t>
        </is>
      </c>
      <c r="E432" s="3" t="inlineStr">
        <is>
          <t>HVL203</t>
        </is>
      </c>
      <c r="F432" s="3" t="b">
        <v>0</v>
      </c>
      <c r="G432" s="3" t="b">
        <v>0</v>
      </c>
      <c r="H432" s="3" t="inlineStr">
        <is>
          <t>L</t>
        </is>
      </c>
      <c r="I432" s="4" t="n">
        <v>45279</v>
      </c>
      <c r="J432" s="4" t="n">
        <v>45363</v>
      </c>
      <c r="K432" s="4" t="n">
        <v>45524</v>
      </c>
      <c r="L432" s="3" t="n">
        <v>3</v>
      </c>
      <c r="M432" s="3" t="n">
        <v>139986.32</v>
      </c>
      <c r="N432" s="3" t="n">
        <v>14</v>
      </c>
      <c r="O432" s="3" t="b">
        <v>0</v>
      </c>
      <c r="P432" s="3" t="b">
        <v>0</v>
      </c>
      <c r="Q432" s="3" t="n">
        <v>3543.763278904109</v>
      </c>
      <c r="R432" s="3" t="n">
        <v>8644.63466520548</v>
      </c>
      <c r="S432" s="3" t="n">
        <v>12188.39794410959</v>
      </c>
      <c r="T432" s="5">
        <f>IF(J432&lt;&gt;"",M432*N432/365/100*('Cashflow Projection'!$B$2-Investors!J432),0)</f>
        <v/>
      </c>
    </row>
    <row r="433">
      <c r="A433" s="3" t="inlineStr">
        <is>
          <t>ZHEI01</t>
        </is>
      </c>
      <c r="B433" s="3" t="inlineStr">
        <is>
          <t>Dieter Raimund</t>
        </is>
      </c>
      <c r="C433" s="3" t="inlineStr">
        <is>
          <t>Heinze</t>
        </is>
      </c>
      <c r="D433" s="3" t="inlineStr">
        <is>
          <t>Heron View</t>
        </is>
      </c>
      <c r="E433" s="3" t="inlineStr">
        <is>
          <t>HVL204</t>
        </is>
      </c>
      <c r="F433" s="3" t="b">
        <v>0</v>
      </c>
      <c r="G433" s="3" t="b">
        <v>0</v>
      </c>
      <c r="H433" s="3" t="inlineStr">
        <is>
          <t>L</t>
        </is>
      </c>
      <c r="I433" s="4" t="n">
        <v>45279</v>
      </c>
      <c r="J433" s="4" t="n">
        <v>45371</v>
      </c>
      <c r="K433" s="4" t="n">
        <v>45524</v>
      </c>
      <c r="L433" s="3" t="n">
        <v>12</v>
      </c>
      <c r="M433" s="3" t="n">
        <v>984516</v>
      </c>
      <c r="N433" s="3" t="n">
        <v>18</v>
      </c>
      <c r="O433" s="3" t="b">
        <v>0</v>
      </c>
      <c r="P433" s="3" t="b">
        <v>0</v>
      </c>
      <c r="Q433" s="3" t="n">
        <v>27296.71758904107</v>
      </c>
      <c r="R433" s="3" t="n">
        <v>74283.7551780822</v>
      </c>
      <c r="S433" s="3" t="n">
        <v>101580.4727671233</v>
      </c>
      <c r="T433" s="5">
        <f>IF(J433&lt;&gt;"",M433*N433/365/100*('Cashflow Projection'!$B$2-Investors!J433),0)</f>
        <v/>
      </c>
    </row>
    <row r="434">
      <c r="A434" s="3" t="inlineStr">
        <is>
          <t>ZINT01</t>
        </is>
      </c>
      <c r="B434" s="3" t="inlineStr">
        <is>
          <t>Marc</t>
        </is>
      </c>
      <c r="C434" s="3" t="inlineStr">
        <is>
          <t>Lunau</t>
        </is>
      </c>
      <c r="D434" s="3" t="inlineStr">
        <is>
          <t>Heron View</t>
        </is>
      </c>
      <c r="E434" s="3" t="inlineStr">
        <is>
          <t>HVL204</t>
        </is>
      </c>
      <c r="F434" s="3" t="b">
        <v>0</v>
      </c>
      <c r="G434" s="3" t="b">
        <v>0</v>
      </c>
      <c r="H434" s="3" t="inlineStr">
        <is>
          <t>L</t>
        </is>
      </c>
      <c r="I434" s="4" t="n">
        <v>45159</v>
      </c>
      <c r="J434" s="4" t="n">
        <v>45161</v>
      </c>
      <c r="K434" s="4" t="n">
        <v>45524</v>
      </c>
      <c r="L434" s="3" t="n">
        <v>17</v>
      </c>
      <c r="M434" s="3" t="n">
        <v>106997.26</v>
      </c>
      <c r="N434" s="3" t="n">
        <v>18</v>
      </c>
      <c r="O434" s="3" t="b">
        <v>0</v>
      </c>
      <c r="P434" s="3" t="b">
        <v>0</v>
      </c>
      <c r="Q434" s="3" t="n">
        <v>64.49149917808219</v>
      </c>
      <c r="R434" s="3" t="n">
        <v>19153.97525589041</v>
      </c>
      <c r="S434" s="3" t="n">
        <v>19218.46675506849</v>
      </c>
      <c r="T434" s="5">
        <f>IF(J434&lt;&gt;"",M434*N434/365/100*('Cashflow Projection'!$B$2-Investors!J434),0)</f>
        <v/>
      </c>
    </row>
    <row r="435">
      <c r="A435" s="3" t="inlineStr">
        <is>
          <t>ZNIE02</t>
        </is>
      </c>
      <c r="B435" s="3" t="inlineStr">
        <is>
          <t>Linda Kathleen</t>
        </is>
      </c>
      <c r="C435" s="3" t="inlineStr">
        <is>
          <t>van Niekerk</t>
        </is>
      </c>
      <c r="D435" s="3" t="inlineStr">
        <is>
          <t>Heron View</t>
        </is>
      </c>
      <c r="E435" s="3" t="inlineStr">
        <is>
          <t>HVL204</t>
        </is>
      </c>
      <c r="F435" s="3" t="b">
        <v>0</v>
      </c>
      <c r="G435" s="3" t="b">
        <v>0</v>
      </c>
      <c r="H435" s="3" t="inlineStr">
        <is>
          <t>L</t>
        </is>
      </c>
      <c r="I435" s="4" t="n">
        <v>45160</v>
      </c>
      <c r="J435" s="4" t="n">
        <v>45273</v>
      </c>
      <c r="K435" s="4" t="n">
        <v>45524</v>
      </c>
      <c r="L435" s="3" t="n">
        <v>3</v>
      </c>
      <c r="M435" s="3" t="n">
        <v>100000</v>
      </c>
      <c r="N435" s="3" t="n">
        <v>14</v>
      </c>
      <c r="O435" s="3" t="b">
        <v>0</v>
      </c>
      <c r="P435" s="3" t="b">
        <v>0</v>
      </c>
      <c r="Q435" s="3" t="n">
        <v>3405.479452054789</v>
      </c>
      <c r="R435" s="3" t="n">
        <v>9627.397260273972</v>
      </c>
      <c r="S435" s="3" t="n">
        <v>13032.87671232876</v>
      </c>
      <c r="T435" s="5">
        <f>IF(J435&lt;&gt;"",M435*N435/365/100*('Cashflow Projection'!$B$2-Investors!J435),0)</f>
        <v/>
      </c>
    </row>
    <row r="436">
      <c r="A436" s="3" t="inlineStr">
        <is>
          <t>ZAFR01</t>
        </is>
      </c>
      <c r="B436" s="3" t="inlineStr">
        <is>
          <t>John Robert</t>
        </is>
      </c>
      <c r="C436" s="3" t="inlineStr">
        <is>
          <t>Zylstra</t>
        </is>
      </c>
      <c r="D436" s="3" t="inlineStr">
        <is>
          <t>Heron View</t>
        </is>
      </c>
      <c r="E436" s="3" t="inlineStr">
        <is>
          <t>HVM101</t>
        </is>
      </c>
      <c r="F436" s="3" t="b">
        <v>0</v>
      </c>
      <c r="G436" s="3" t="b">
        <v>0</v>
      </c>
      <c r="H436" s="3" t="inlineStr">
        <is>
          <t>M</t>
        </is>
      </c>
      <c r="I436" s="4" t="n">
        <v>45020</v>
      </c>
      <c r="J436" s="4" t="n">
        <v>45129</v>
      </c>
      <c r="K436" s="4" t="n">
        <v>45450</v>
      </c>
      <c r="L436" s="3" t="n">
        <v>4</v>
      </c>
      <c r="M436" s="3" t="n">
        <v>300931.51</v>
      </c>
      <c r="N436" s="3" t="n">
        <v>18</v>
      </c>
      <c r="O436" s="3" t="b">
        <v>0</v>
      </c>
      <c r="P436" s="3" t="b">
        <v>0</v>
      </c>
      <c r="Q436" s="3" t="n">
        <v>9650.420067260278</v>
      </c>
      <c r="R436" s="3" t="n">
        <v>47637.8702679452</v>
      </c>
      <c r="S436" s="3" t="n">
        <v>57288.29033520547</v>
      </c>
      <c r="T436" s="5">
        <f>IF(J436&lt;&gt;"",M436*N436/365/100*('Cashflow Projection'!$B$2-Investors!J436),0)</f>
        <v/>
      </c>
    </row>
    <row r="437">
      <c r="A437" s="3" t="inlineStr">
        <is>
          <t>ZKOO01</t>
        </is>
      </c>
      <c r="B437" s="3" t="inlineStr">
        <is>
          <t>Jayprakash Brijbukhandas</t>
        </is>
      </c>
      <c r="C437" s="3" t="inlineStr">
        <is>
          <t>Koovarjee</t>
        </is>
      </c>
      <c r="D437" s="3" t="inlineStr">
        <is>
          <t>Heron View</t>
        </is>
      </c>
      <c r="E437" s="3" t="inlineStr">
        <is>
          <t>HVM101</t>
        </is>
      </c>
      <c r="F437" s="3" t="b">
        <v>0</v>
      </c>
      <c r="G437" s="3" t="b">
        <v>0</v>
      </c>
      <c r="H437" s="3" t="inlineStr">
        <is>
          <t>M</t>
        </is>
      </c>
      <c r="I437" s="4" t="n">
        <v>45019</v>
      </c>
      <c r="J437" s="4" t="n">
        <v>45161</v>
      </c>
      <c r="K437" s="4" t="n">
        <v>45450</v>
      </c>
      <c r="L437" s="3" t="n">
        <v>3</v>
      </c>
      <c r="M437" s="3" t="n">
        <v>500000</v>
      </c>
      <c r="N437" s="3" t="n">
        <v>16</v>
      </c>
      <c r="O437" s="3" t="b">
        <v>0</v>
      </c>
      <c r="P437" s="3" t="b">
        <v>0</v>
      </c>
      <c r="Q437" s="3" t="n">
        <v>20999.99999999997</v>
      </c>
      <c r="R437" s="3" t="n">
        <v>63342.46575342466</v>
      </c>
      <c r="S437" s="3" t="n">
        <v>84342.46575342464</v>
      </c>
      <c r="T437" s="5">
        <f>IF(J437&lt;&gt;"",M437*N437/365/100*('Cashflow Projection'!$B$2-Investors!J437),0)</f>
        <v/>
      </c>
    </row>
    <row r="438">
      <c r="A438" s="3" t="inlineStr">
        <is>
          <t>ZRIT01</t>
        </is>
      </c>
      <c r="B438" s="3" t="inlineStr">
        <is>
          <t>Dennis</t>
        </is>
      </c>
      <c r="C438" s="3" t="inlineStr">
        <is>
          <t>Ritter</t>
        </is>
      </c>
      <c r="D438" s="3" t="inlineStr">
        <is>
          <t>Heron View</t>
        </is>
      </c>
      <c r="E438" s="3" t="inlineStr">
        <is>
          <t>HVM101</t>
        </is>
      </c>
      <c r="F438" s="3" t="b">
        <v>0</v>
      </c>
      <c r="G438" s="3" t="b">
        <v>0</v>
      </c>
      <c r="H438" s="3" t="inlineStr">
        <is>
          <t>M</t>
        </is>
      </c>
      <c r="I438" s="4" t="n">
        <v>45013</v>
      </c>
      <c r="J438" s="4" t="n">
        <v>45161</v>
      </c>
      <c r="K438" s="4" t="n">
        <v>45450</v>
      </c>
      <c r="L438" s="3" t="n">
        <v>12</v>
      </c>
      <c r="M438" s="3" t="n">
        <v>300000</v>
      </c>
      <c r="N438" s="3" t="n">
        <v>18</v>
      </c>
      <c r="O438" s="3" t="b">
        <v>0</v>
      </c>
      <c r="P438" s="3" t="b">
        <v>0</v>
      </c>
      <c r="Q438" s="3" t="n">
        <v>13105.47945205478</v>
      </c>
      <c r="R438" s="3" t="n">
        <v>42756.16438356164</v>
      </c>
      <c r="S438" s="3" t="n">
        <v>55861.64383561643</v>
      </c>
      <c r="T438" s="5">
        <f>IF(J438&lt;&gt;"",M438*N438/365/100*('Cashflow Projection'!$B$2-Investors!J438),0)</f>
        <v/>
      </c>
    </row>
    <row r="439">
      <c r="A439" s="3" t="inlineStr">
        <is>
          <t>ZNUN01</t>
        </is>
      </c>
      <c r="B439" s="3" t="inlineStr">
        <is>
          <t>Francisco Antonio</t>
        </is>
      </c>
      <c r="C439" s="3" t="inlineStr">
        <is>
          <t>Nunes</t>
        </is>
      </c>
      <c r="D439" s="3" t="inlineStr">
        <is>
          <t>Heron View</t>
        </is>
      </c>
      <c r="E439" s="3" t="inlineStr">
        <is>
          <t>HVM102</t>
        </is>
      </c>
      <c r="F439" s="3" t="b">
        <v>0</v>
      </c>
      <c r="G439" s="3" t="b">
        <v>0</v>
      </c>
      <c r="H439" s="3" t="inlineStr">
        <is>
          <t>M</t>
        </is>
      </c>
      <c r="I439" s="4" t="n">
        <v>45030</v>
      </c>
      <c r="J439" s="4" t="n">
        <v>45129</v>
      </c>
      <c r="K439" s="4" t="n">
        <v>45450</v>
      </c>
      <c r="L439" s="3" t="n">
        <v>9</v>
      </c>
      <c r="M439" s="3" t="n">
        <v>304366.44</v>
      </c>
      <c r="N439" s="3" t="n">
        <v>18</v>
      </c>
      <c r="O439" s="3" t="b">
        <v>0</v>
      </c>
      <c r="P439" s="3" t="b">
        <v>0</v>
      </c>
      <c r="Q439" s="3" t="n">
        <v>8884.998406027393</v>
      </c>
      <c r="R439" s="3" t="n">
        <v>48181.62439232877</v>
      </c>
      <c r="S439" s="3" t="n">
        <v>57066.62279835616</v>
      </c>
      <c r="T439" s="5">
        <f>IF(J439&lt;&gt;"",M439*N439/365/100*('Cashflow Projection'!$B$2-Investors!J439),0)</f>
        <v/>
      </c>
    </row>
    <row r="440">
      <c r="A440" s="3" t="inlineStr">
        <is>
          <t>ZRIT01</t>
        </is>
      </c>
      <c r="B440" s="3" t="inlineStr">
        <is>
          <t>Dennis</t>
        </is>
      </c>
      <c r="C440" s="3" t="inlineStr">
        <is>
          <t>Ritter</t>
        </is>
      </c>
      <c r="D440" s="3" t="inlineStr">
        <is>
          <t>Heron View</t>
        </is>
      </c>
      <c r="E440" s="3" t="inlineStr">
        <is>
          <t>HVM102</t>
        </is>
      </c>
      <c r="F440" s="3" t="b">
        <v>0</v>
      </c>
      <c r="G440" s="3" t="b">
        <v>0</v>
      </c>
      <c r="H440" s="3" t="inlineStr">
        <is>
          <t>M</t>
        </is>
      </c>
      <c r="I440" s="4" t="n">
        <v>45013</v>
      </c>
      <c r="J440" s="4" t="n">
        <v>45161</v>
      </c>
      <c r="K440" s="4" t="n">
        <v>45450</v>
      </c>
      <c r="L440" s="3" t="n">
        <v>13</v>
      </c>
      <c r="M440" s="3" t="n">
        <v>300000</v>
      </c>
      <c r="N440" s="3" t="n">
        <v>18</v>
      </c>
      <c r="O440" s="3" t="b">
        <v>0</v>
      </c>
      <c r="P440" s="3" t="b">
        <v>0</v>
      </c>
      <c r="Q440" s="3" t="n">
        <v>13105.47945205478</v>
      </c>
      <c r="R440" s="3" t="n">
        <v>42756.16438356164</v>
      </c>
      <c r="S440" s="3" t="n">
        <v>55861.64383561643</v>
      </c>
      <c r="T440" s="5">
        <f>IF(J440&lt;&gt;"",M440*N440/365/100*('Cashflow Projection'!$B$2-Investors!J440),0)</f>
        <v/>
      </c>
    </row>
    <row r="441">
      <c r="A441" s="3" t="inlineStr">
        <is>
          <t>ZSCH04</t>
        </is>
      </c>
      <c r="B441" s="3" t="inlineStr">
        <is>
          <t>Christiaan</t>
        </is>
      </c>
      <c r="C441" s="3" t="inlineStr">
        <is>
          <t>Schroder</t>
        </is>
      </c>
      <c r="D441" s="3" t="inlineStr">
        <is>
          <t>Heron View</t>
        </is>
      </c>
      <c r="E441" s="3" t="inlineStr">
        <is>
          <t>HVM102</t>
        </is>
      </c>
      <c r="F441" s="3" t="b">
        <v>0</v>
      </c>
      <c r="G441" s="3" t="b">
        <v>0</v>
      </c>
      <c r="H441" s="3" t="inlineStr">
        <is>
          <t>M</t>
        </is>
      </c>
      <c r="I441" s="4" t="n">
        <v>45030</v>
      </c>
      <c r="J441" s="4" t="n">
        <v>45129</v>
      </c>
      <c r="K441" s="4" t="n">
        <v>45450</v>
      </c>
      <c r="L441" s="3" t="n">
        <v>2</v>
      </c>
      <c r="M441" s="3" t="n">
        <v>500000</v>
      </c>
      <c r="N441" s="3" t="n">
        <v>18</v>
      </c>
      <c r="O441" s="3" t="b">
        <v>0</v>
      </c>
      <c r="P441" s="3" t="b">
        <v>0</v>
      </c>
      <c r="Q441" s="3" t="n">
        <v>14595.89041095886</v>
      </c>
      <c r="R441" s="3" t="n">
        <v>79150.68493150685</v>
      </c>
      <c r="S441" s="3" t="n">
        <v>93746.57534246572</v>
      </c>
      <c r="T441" s="5">
        <f>IF(J441&lt;&gt;"",M441*N441/365/100*('Cashflow Projection'!$B$2-Investors!J441),0)</f>
        <v/>
      </c>
    </row>
    <row r="442">
      <c r="A442" s="3" t="inlineStr">
        <is>
          <t>ZRIT01</t>
        </is>
      </c>
      <c r="B442" s="3" t="inlineStr">
        <is>
          <t>Dennis</t>
        </is>
      </c>
      <c r="C442" s="3" t="inlineStr">
        <is>
          <t>Ritter</t>
        </is>
      </c>
      <c r="D442" s="3" t="inlineStr">
        <is>
          <t>Heron View</t>
        </is>
      </c>
      <c r="E442" s="3" t="inlineStr">
        <is>
          <t>HVM103</t>
        </is>
      </c>
      <c r="F442" s="3" t="b">
        <v>0</v>
      </c>
      <c r="G442" s="3" t="b">
        <v>0</v>
      </c>
      <c r="H442" s="3" t="inlineStr">
        <is>
          <t>M</t>
        </is>
      </c>
      <c r="I442" s="4" t="n">
        <v>45013</v>
      </c>
      <c r="J442" s="4" t="n">
        <v>45161</v>
      </c>
      <c r="K442" s="4" t="n">
        <v>45450</v>
      </c>
      <c r="L442" s="3" t="n">
        <v>14</v>
      </c>
      <c r="M442" s="3" t="n">
        <v>300000</v>
      </c>
      <c r="N442" s="3" t="n">
        <v>18</v>
      </c>
      <c r="O442" s="3" t="b">
        <v>0</v>
      </c>
      <c r="P442" s="3" t="b">
        <v>0</v>
      </c>
      <c r="Q442" s="3" t="n">
        <v>13105.47945205478</v>
      </c>
      <c r="R442" s="3" t="n">
        <v>42756.16438356164</v>
      </c>
      <c r="S442" s="3" t="n">
        <v>55861.64383561643</v>
      </c>
      <c r="T442" s="5">
        <f>IF(J442&lt;&gt;"",M442*N442/365/100*('Cashflow Projection'!$B$2-Investors!J442),0)</f>
        <v/>
      </c>
    </row>
    <row r="443">
      <c r="A443" s="3" t="inlineStr">
        <is>
          <t>ZROU01</t>
        </is>
      </c>
      <c r="B443" s="3" t="inlineStr">
        <is>
          <t>Laura</t>
        </is>
      </c>
      <c r="C443" s="3" t="inlineStr">
        <is>
          <t>Roux</t>
        </is>
      </c>
      <c r="D443" s="3" t="inlineStr">
        <is>
          <t>Heron View</t>
        </is>
      </c>
      <c r="E443" s="3" t="inlineStr">
        <is>
          <t>HVM103</t>
        </is>
      </c>
      <c r="F443" s="3" t="b">
        <v>0</v>
      </c>
      <c r="G443" s="3" t="b">
        <v>0</v>
      </c>
      <c r="H443" s="3" t="inlineStr">
        <is>
          <t>M</t>
        </is>
      </c>
      <c r="I443" s="4" t="n">
        <v>45030</v>
      </c>
      <c r="J443" s="4" t="n">
        <v>45129</v>
      </c>
      <c r="K443" s="4" t="n">
        <v>45450</v>
      </c>
      <c r="L443" s="3" t="n">
        <v>2</v>
      </c>
      <c r="M443" s="3" t="n">
        <v>234453.42</v>
      </c>
      <c r="N443" s="3" t="n">
        <v>14</v>
      </c>
      <c r="O443" s="3" t="b">
        <v>0</v>
      </c>
      <c r="P443" s="3" t="b">
        <v>0</v>
      </c>
      <c r="Q443" s="3" t="n">
        <v>6844.112849589033</v>
      </c>
      <c r="R443" s="3" t="n">
        <v>28866.67587616439</v>
      </c>
      <c r="S443" s="3" t="n">
        <v>35710.78872575342</v>
      </c>
      <c r="T443" s="5">
        <f>IF(J443&lt;&gt;"",M443*N443/365/100*('Cashflow Projection'!$B$2-Investors!J443),0)</f>
        <v/>
      </c>
    </row>
    <row r="444">
      <c r="A444" s="3" t="inlineStr">
        <is>
          <t>ZSCH04</t>
        </is>
      </c>
      <c r="B444" s="3" t="inlineStr">
        <is>
          <t>Christiaan</t>
        </is>
      </c>
      <c r="C444" s="3" t="inlineStr">
        <is>
          <t>Schroder</t>
        </is>
      </c>
      <c r="D444" s="3" t="inlineStr">
        <is>
          <t>Heron View</t>
        </is>
      </c>
      <c r="E444" s="3" t="inlineStr">
        <is>
          <t>HVM103</t>
        </is>
      </c>
      <c r="F444" s="3" t="b">
        <v>0</v>
      </c>
      <c r="G444" s="3" t="b">
        <v>0</v>
      </c>
      <c r="H444" s="3" t="inlineStr">
        <is>
          <t>M</t>
        </is>
      </c>
      <c r="I444" s="4" t="n">
        <v>45030</v>
      </c>
      <c r="J444" s="4" t="n">
        <v>45161</v>
      </c>
      <c r="K444" s="4" t="n">
        <v>45450</v>
      </c>
      <c r="L444" s="3" t="n">
        <v>3</v>
      </c>
      <c r="M444" s="3" t="n">
        <v>500000</v>
      </c>
      <c r="N444" s="3" t="n">
        <v>18</v>
      </c>
      <c r="O444" s="3" t="b">
        <v>0</v>
      </c>
      <c r="P444" s="3" t="b">
        <v>0</v>
      </c>
      <c r="Q444" s="3" t="n">
        <v>19417.80821917805</v>
      </c>
      <c r="R444" s="3" t="n">
        <v>71260.27397260275</v>
      </c>
      <c r="S444" s="3" t="n">
        <v>90678.08219178081</v>
      </c>
      <c r="T444" s="5">
        <f>IF(J444&lt;&gt;"",M444*N444/365/100*('Cashflow Projection'!$B$2-Investors!J444),0)</f>
        <v/>
      </c>
    </row>
    <row r="445">
      <c r="A445" s="3" t="inlineStr">
        <is>
          <t>ZDEB01</t>
        </is>
      </c>
      <c r="B445" s="3" t="inlineStr">
        <is>
          <t>William Henry</t>
        </is>
      </c>
      <c r="C445" s="3" t="inlineStr">
        <is>
          <t>De Beer</t>
        </is>
      </c>
      <c r="D445" s="3" t="inlineStr">
        <is>
          <t>Heron View</t>
        </is>
      </c>
      <c r="E445" s="3" t="inlineStr">
        <is>
          <t>HVM104</t>
        </is>
      </c>
      <c r="F445" s="3" t="b">
        <v>0</v>
      </c>
      <c r="G445" s="3" t="b">
        <v>0</v>
      </c>
      <c r="H445" s="3" t="inlineStr">
        <is>
          <t>M</t>
        </is>
      </c>
      <c r="I445" s="4" t="n">
        <v>45001</v>
      </c>
      <c r="J445" s="4" t="n">
        <v>45107</v>
      </c>
      <c r="K445" s="4" t="n">
        <v>45450</v>
      </c>
      <c r="L445" s="3" t="n">
        <v>8</v>
      </c>
      <c r="M445" s="3" t="n">
        <v>1100000</v>
      </c>
      <c r="N445" s="3" t="n">
        <v>18</v>
      </c>
      <c r="O445" s="3" t="b">
        <v>0</v>
      </c>
      <c r="P445" s="3" t="b">
        <v>0</v>
      </c>
      <c r="Q445" s="3" t="n">
        <v>33768.49315068498</v>
      </c>
      <c r="R445" s="3" t="n">
        <v>186065.7534246575</v>
      </c>
      <c r="S445" s="3" t="n">
        <v>219834.2465753425</v>
      </c>
      <c r="T445" s="5">
        <f>IF(J445&lt;&gt;"",M445*N445/365/100*('Cashflow Projection'!$B$2-Investors!J445),0)</f>
        <v/>
      </c>
    </row>
    <row r="446">
      <c r="A446" s="3" t="inlineStr">
        <is>
          <t>ZGOF01</t>
        </is>
      </c>
      <c r="B446" s="3" t="inlineStr">
        <is>
          <t>Angela</t>
        </is>
      </c>
      <c r="C446" s="3" t="inlineStr">
        <is>
          <t>Goff</t>
        </is>
      </c>
      <c r="D446" s="3" t="inlineStr">
        <is>
          <t>Heron View</t>
        </is>
      </c>
      <c r="E446" s="3" t="inlineStr">
        <is>
          <t>HVM201</t>
        </is>
      </c>
      <c r="F446" s="3" t="b">
        <v>0</v>
      </c>
      <c r="G446" s="3" t="b">
        <v>0</v>
      </c>
      <c r="H446" s="3" t="inlineStr">
        <is>
          <t>M</t>
        </is>
      </c>
      <c r="I446" s="4" t="n">
        <v>45019</v>
      </c>
      <c r="J446" s="4" t="n">
        <v>45129</v>
      </c>
      <c r="K446" s="4" t="n">
        <v>45450</v>
      </c>
      <c r="L446" s="3" t="n">
        <v>2</v>
      </c>
      <c r="M446" s="3" t="n">
        <v>1100000</v>
      </c>
      <c r="N446" s="3" t="n">
        <v>18</v>
      </c>
      <c r="O446" s="3" t="b">
        <v>0</v>
      </c>
      <c r="P446" s="3" t="b">
        <v>0</v>
      </c>
      <c r="Q446" s="3" t="n">
        <v>35591.78082191783</v>
      </c>
      <c r="R446" s="3" t="n">
        <v>174131.5068493151</v>
      </c>
      <c r="S446" s="3" t="n">
        <v>209723.2876712329</v>
      </c>
      <c r="T446" s="5">
        <f>IF(J446&lt;&gt;"",M446*N446/365/100*('Cashflow Projection'!$B$2-Investors!J446),0)</f>
        <v/>
      </c>
    </row>
    <row r="447">
      <c r="A447" s="3" t="inlineStr">
        <is>
          <t>ZAFR01</t>
        </is>
      </c>
      <c r="B447" s="3" t="inlineStr">
        <is>
          <t>John Robert</t>
        </is>
      </c>
      <c r="C447" s="3" t="inlineStr">
        <is>
          <t>Zylstra</t>
        </is>
      </c>
      <c r="D447" s="3" t="inlineStr">
        <is>
          <t>Heron View</t>
        </is>
      </c>
      <c r="E447" s="3" t="inlineStr">
        <is>
          <t>HVM202</t>
        </is>
      </c>
      <c r="F447" s="3" t="b">
        <v>0</v>
      </c>
      <c r="G447" s="3" t="b">
        <v>0</v>
      </c>
      <c r="H447" s="3" t="inlineStr">
        <is>
          <t>M</t>
        </is>
      </c>
      <c r="I447" s="4" t="n">
        <v>45020</v>
      </c>
      <c r="J447" s="4" t="n">
        <v>45129</v>
      </c>
      <c r="K447" s="4" t="n">
        <v>45450</v>
      </c>
      <c r="L447" s="3" t="n">
        <v>5</v>
      </c>
      <c r="M447" s="3" t="n">
        <v>1100000</v>
      </c>
      <c r="N447" s="3" t="n">
        <v>18</v>
      </c>
      <c r="O447" s="3" t="b">
        <v>0</v>
      </c>
      <c r="P447" s="3" t="b">
        <v>0</v>
      </c>
      <c r="Q447" s="3" t="n">
        <v>35275.34246575345</v>
      </c>
      <c r="R447" s="3" t="n">
        <v>174131.5068493151</v>
      </c>
      <c r="S447" s="3" t="n">
        <v>209406.8493150685</v>
      </c>
      <c r="T447" s="5">
        <f>IF(J447&lt;&gt;"",M447*N447/365/100*('Cashflow Projection'!$B$2-Investors!J447),0)</f>
        <v/>
      </c>
    </row>
    <row r="448">
      <c r="A448" s="3" t="inlineStr">
        <is>
          <t>ZPED01</t>
        </is>
      </c>
      <c r="B448" s="3" t="inlineStr">
        <is>
          <t>Wendy</t>
        </is>
      </c>
      <c r="C448" s="3" t="inlineStr">
        <is>
          <t>Pedersen</t>
        </is>
      </c>
      <c r="D448" s="3" t="inlineStr">
        <is>
          <t>Heron View</t>
        </is>
      </c>
      <c r="E448" s="3" t="inlineStr">
        <is>
          <t>HVM203</t>
        </is>
      </c>
      <c r="F448" s="3" t="b">
        <v>0</v>
      </c>
      <c r="G448" s="3" t="b">
        <v>0</v>
      </c>
      <c r="H448" s="3" t="inlineStr">
        <is>
          <t>M</t>
        </is>
      </c>
      <c r="I448" s="4" t="n">
        <v>45027</v>
      </c>
      <c r="J448" s="4" t="n">
        <v>45129</v>
      </c>
      <c r="K448" s="4" t="n">
        <v>45450</v>
      </c>
      <c r="L448" s="3" t="n">
        <v>4</v>
      </c>
      <c r="M448" s="3" t="n">
        <v>1100000</v>
      </c>
      <c r="N448" s="3" t="n">
        <v>18</v>
      </c>
      <c r="O448" s="3" t="b">
        <v>0</v>
      </c>
      <c r="P448" s="3" t="b">
        <v>0</v>
      </c>
      <c r="Q448" s="3" t="n">
        <v>33060.27397260276</v>
      </c>
      <c r="R448" s="3" t="n">
        <v>174131.5068493151</v>
      </c>
      <c r="S448" s="3" t="n">
        <v>207191.7808219178</v>
      </c>
      <c r="T448" s="5">
        <f>IF(J448&lt;&gt;"",M448*N448/365/100*('Cashflow Projection'!$B$2-Investors!J448),0)</f>
        <v/>
      </c>
    </row>
    <row r="449">
      <c r="A449" s="3" t="inlineStr">
        <is>
          <t>ZDAD01</t>
        </is>
      </c>
      <c r="B449" s="3" t="inlineStr">
        <is>
          <t>Feroz</t>
        </is>
      </c>
      <c r="C449" s="3" t="inlineStr">
        <is>
          <t>Dadoo</t>
        </is>
      </c>
      <c r="D449" s="3" t="inlineStr">
        <is>
          <t>Heron View</t>
        </is>
      </c>
      <c r="E449" s="3" t="inlineStr">
        <is>
          <t>HVM204</t>
        </is>
      </c>
      <c r="F449" s="3" t="b">
        <v>0</v>
      </c>
      <c r="G449" s="3" t="b">
        <v>0</v>
      </c>
      <c r="H449" s="3" t="inlineStr">
        <is>
          <t>M</t>
        </is>
      </c>
      <c r="I449" s="4" t="n">
        <v>45042</v>
      </c>
      <c r="J449" s="4" t="n">
        <v>45129</v>
      </c>
      <c r="K449" s="4" t="n">
        <v>45450</v>
      </c>
      <c r="L449" s="3" t="n">
        <v>5</v>
      </c>
      <c r="M449" s="3" t="n">
        <v>200000</v>
      </c>
      <c r="N449" s="3" t="n">
        <v>18</v>
      </c>
      <c r="O449" s="3" t="b">
        <v>0</v>
      </c>
      <c r="P449" s="3" t="b">
        <v>0</v>
      </c>
      <c r="Q449" s="3" t="n">
        <v>5147.945205479448</v>
      </c>
      <c r="R449" s="3" t="n">
        <v>31660.27397260274</v>
      </c>
      <c r="S449" s="3" t="n">
        <v>36808.21917808219</v>
      </c>
      <c r="T449" s="5">
        <f>IF(J449&lt;&gt;"",M449*N449/365/100*('Cashflow Projection'!$B$2-Investors!J449),0)</f>
        <v/>
      </c>
    </row>
    <row r="450">
      <c r="A450" s="3" t="inlineStr">
        <is>
          <t>ZKRI03</t>
        </is>
      </c>
      <c r="B450" s="3" t="inlineStr">
        <is>
          <t>Helena Jacoba</t>
        </is>
      </c>
      <c r="C450" s="3" t="inlineStr">
        <is>
          <t>Kriel</t>
        </is>
      </c>
      <c r="D450" s="3" t="inlineStr">
        <is>
          <t>Heron View</t>
        </is>
      </c>
      <c r="E450" s="3" t="inlineStr">
        <is>
          <t>HVM204</t>
        </is>
      </c>
      <c r="F450" s="3" t="b">
        <v>0</v>
      </c>
      <c r="G450" s="3" t="b">
        <v>0</v>
      </c>
      <c r="H450" s="3" t="inlineStr">
        <is>
          <t>M</t>
        </is>
      </c>
      <c r="I450" s="4" t="n">
        <v>45033</v>
      </c>
      <c r="J450" s="4" t="n">
        <v>45168</v>
      </c>
      <c r="K450" s="4" t="n">
        <v>45450</v>
      </c>
      <c r="L450" s="3" t="n">
        <v>2</v>
      </c>
      <c r="M450" s="3" t="n">
        <v>900000</v>
      </c>
      <c r="N450" s="3" t="n">
        <v>16</v>
      </c>
      <c r="O450" s="3" t="b">
        <v>0</v>
      </c>
      <c r="P450" s="3" t="b">
        <v>0</v>
      </c>
      <c r="Q450" s="3" t="n">
        <v>36073.97260273969</v>
      </c>
      <c r="R450" s="3" t="n">
        <v>111254.7945205479</v>
      </c>
      <c r="S450" s="3" t="n">
        <v>147328.7671232876</v>
      </c>
      <c r="T450" s="5">
        <f>IF(J450&lt;&gt;"",M450*N450/365/100*('Cashflow Projection'!$B$2-Investors!J450),0)</f>
        <v/>
      </c>
    </row>
    <row r="451">
      <c r="A451" s="3" t="inlineStr">
        <is>
          <t>ZFER01</t>
        </is>
      </c>
      <c r="B451" s="3" t="inlineStr">
        <is>
          <t>Leon</t>
        </is>
      </c>
      <c r="C451" s="3" t="inlineStr">
        <is>
          <t>Ferreira</t>
        </is>
      </c>
      <c r="D451" s="3" t="inlineStr">
        <is>
          <t>Heron View</t>
        </is>
      </c>
      <c r="E451" s="3" t="inlineStr">
        <is>
          <t>HVN101</t>
        </is>
      </c>
      <c r="F451" s="3" t="b">
        <v>1</v>
      </c>
      <c r="G451" s="3" t="b">
        <v>1</v>
      </c>
      <c r="H451" s="3" t="inlineStr">
        <is>
          <t>N</t>
        </is>
      </c>
      <c r="I451" s="4" t="n">
        <v>44739</v>
      </c>
      <c r="J451" s="4" t="n">
        <v>44783</v>
      </c>
      <c r="K451" s="4" t="n">
        <v>45310</v>
      </c>
      <c r="L451" s="3" t="n">
        <v>1</v>
      </c>
      <c r="M451" s="3" t="n">
        <v>100000</v>
      </c>
      <c r="N451" s="3" t="n">
        <v>14</v>
      </c>
      <c r="O451" s="3" t="b">
        <v>0</v>
      </c>
      <c r="P451" s="3" t="b">
        <v>0</v>
      </c>
      <c r="Q451" s="3" t="n">
        <v>924.6575342465748</v>
      </c>
      <c r="R451" s="3" t="n">
        <v>20213.69863013698</v>
      </c>
      <c r="S451" s="3" t="n">
        <v>21138.35616438356</v>
      </c>
      <c r="T451" s="5">
        <f>IF(J451&lt;&gt;"",M451*N451/365/100*('Cashflow Projection'!$B$2-Investors!J451),0)</f>
        <v/>
      </c>
    </row>
    <row r="452">
      <c r="A452" s="3" t="inlineStr">
        <is>
          <t>ZMAQ01</t>
        </is>
      </c>
      <c r="B452" s="3" t="inlineStr">
        <is>
          <t>Stanley Tamsanqa</t>
        </is>
      </c>
      <c r="C452" s="3" t="inlineStr">
        <is>
          <t>Maqubela</t>
        </is>
      </c>
      <c r="D452" s="3" t="inlineStr">
        <is>
          <t>Heron View</t>
        </is>
      </c>
      <c r="E452" s="3" t="inlineStr">
        <is>
          <t>HVN101</t>
        </is>
      </c>
      <c r="F452" s="3" t="b">
        <v>1</v>
      </c>
      <c r="G452" s="3" t="b">
        <v>1</v>
      </c>
      <c r="H452" s="3" t="inlineStr">
        <is>
          <t>N</t>
        </is>
      </c>
      <c r="I452" s="4" t="n">
        <v>44757</v>
      </c>
      <c r="J452" s="4" t="n">
        <v>44783</v>
      </c>
      <c r="K452" s="4" t="n">
        <v>45310</v>
      </c>
      <c r="L452" s="3" t="n">
        <v>1</v>
      </c>
      <c r="M452" s="3" t="n">
        <v>100000</v>
      </c>
      <c r="N452" s="3" t="n">
        <v>14</v>
      </c>
      <c r="O452" s="3" t="b">
        <v>0</v>
      </c>
      <c r="P452" s="3" t="b">
        <v>0</v>
      </c>
      <c r="Q452" s="3" t="n">
        <v>554.7945205479449</v>
      </c>
      <c r="R452" s="3" t="n">
        <v>20213.69863013698</v>
      </c>
      <c r="S452" s="3" t="n">
        <v>20768.49315068493</v>
      </c>
      <c r="T452" s="5">
        <f>IF(J452&lt;&gt;"",M452*N452/365/100*('Cashflow Projection'!$B$2-Investors!J452),0)</f>
        <v/>
      </c>
    </row>
    <row r="453">
      <c r="A453" s="3" t="inlineStr">
        <is>
          <t>ZMAT01</t>
        </is>
      </c>
      <c r="B453" s="3" t="inlineStr">
        <is>
          <t>Natalie</t>
        </is>
      </c>
      <c r="C453" s="3" t="inlineStr">
        <is>
          <t>Matthews</t>
        </is>
      </c>
      <c r="D453" s="3" t="inlineStr">
        <is>
          <t>Heron View</t>
        </is>
      </c>
      <c r="E453" s="3" t="inlineStr">
        <is>
          <t>HVN101</t>
        </is>
      </c>
      <c r="F453" s="3" t="b">
        <v>1</v>
      </c>
      <c r="G453" s="3" t="b">
        <v>1</v>
      </c>
      <c r="H453" s="3" t="inlineStr">
        <is>
          <t>N</t>
        </is>
      </c>
      <c r="I453" s="4" t="n">
        <v>44699</v>
      </c>
      <c r="J453" s="4" t="n">
        <v>44777</v>
      </c>
      <c r="K453" s="4" t="n">
        <v>45310</v>
      </c>
      <c r="L453" s="3" t="n">
        <v>5</v>
      </c>
      <c r="M453" s="3" t="n">
        <v>187141.65</v>
      </c>
      <c r="N453" s="3" t="n">
        <v>14</v>
      </c>
      <c r="O453" s="3" t="b">
        <v>0</v>
      </c>
      <c r="P453" s="3" t="b">
        <v>0</v>
      </c>
      <c r="Q453" s="3" t="n">
        <v>2981.448478767124</v>
      </c>
      <c r="R453" s="3" t="n">
        <v>38258.93129589041</v>
      </c>
      <c r="S453" s="3" t="n">
        <v>41240.37977465754</v>
      </c>
      <c r="T453" s="5">
        <f>IF(J453&lt;&gt;"",M453*N453/365/100*('Cashflow Projection'!$B$2-Investors!J453),0)</f>
        <v/>
      </c>
    </row>
    <row r="454">
      <c r="A454" s="3" t="inlineStr">
        <is>
          <t>ZVAN03</t>
        </is>
      </c>
      <c r="B454" s="3" t="inlineStr">
        <is>
          <t>Johan George</t>
        </is>
      </c>
      <c r="C454" s="3" t="inlineStr">
        <is>
          <t>van der Westhuizen</t>
        </is>
      </c>
      <c r="D454" s="3" t="inlineStr">
        <is>
          <t>Heron View</t>
        </is>
      </c>
      <c r="E454" s="3" t="inlineStr">
        <is>
          <t>HVN101</t>
        </is>
      </c>
      <c r="F454" s="3" t="b">
        <v>1</v>
      </c>
      <c r="G454" s="3" t="b">
        <v>1</v>
      </c>
      <c r="H454" s="3" t="inlineStr">
        <is>
          <t>N</t>
        </is>
      </c>
      <c r="I454" s="4" t="n">
        <v>44708</v>
      </c>
      <c r="J454" s="4" t="n">
        <v>44743</v>
      </c>
      <c r="K454" s="4" t="n">
        <v>45310</v>
      </c>
      <c r="L454" s="3" t="n">
        <v>2</v>
      </c>
      <c r="M454" s="3" t="n">
        <v>300000</v>
      </c>
      <c r="N454" s="3" t="n">
        <v>18</v>
      </c>
      <c r="O454" s="3" t="b">
        <v>0</v>
      </c>
      <c r="P454" s="3" t="b">
        <v>0</v>
      </c>
      <c r="Q454" s="3" t="n">
        <v>2141.095890410958</v>
      </c>
      <c r="R454" s="3" t="n">
        <v>83884.93150684932</v>
      </c>
      <c r="S454" s="3" t="n">
        <v>86026.02739726027</v>
      </c>
      <c r="T454" s="5">
        <f>IF(J454&lt;&gt;"",M454*N454/365/100*('Cashflow Projection'!$B$2-Investors!J454),0)</f>
        <v/>
      </c>
    </row>
    <row r="455">
      <c r="A455" s="3" t="inlineStr">
        <is>
          <t>ZZYL01</t>
        </is>
      </c>
      <c r="B455" s="3" t="inlineStr">
        <is>
          <t>John Robert</t>
        </is>
      </c>
      <c r="C455" s="3" t="inlineStr">
        <is>
          <t>Zylstra</t>
        </is>
      </c>
      <c r="D455" s="3" t="inlineStr">
        <is>
          <t>Heron View</t>
        </is>
      </c>
      <c r="E455" s="3" t="inlineStr">
        <is>
          <t>HVN101</t>
        </is>
      </c>
      <c r="F455" s="3" t="b">
        <v>1</v>
      </c>
      <c r="G455" s="3" t="b">
        <v>1</v>
      </c>
      <c r="H455" s="3" t="inlineStr">
        <is>
          <t>N</t>
        </is>
      </c>
      <c r="I455" s="4" t="n">
        <v>44726</v>
      </c>
      <c r="J455" s="4" t="n">
        <v>44763</v>
      </c>
      <c r="K455" s="4" t="n">
        <v>45310</v>
      </c>
      <c r="L455" s="3" t="n">
        <v>4</v>
      </c>
      <c r="M455" s="3" t="n">
        <v>281440.66</v>
      </c>
      <c r="N455" s="3" t="n">
        <v>18</v>
      </c>
      <c r="O455" s="3" t="b">
        <v>0</v>
      </c>
      <c r="P455" s="3" t="b">
        <v>0</v>
      </c>
      <c r="Q455" s="3" t="n">
        <v>2139.72008630137</v>
      </c>
      <c r="R455" s="3" t="n">
        <v>75919.58187287672</v>
      </c>
      <c r="S455" s="3" t="n">
        <v>78059.30195917809</v>
      </c>
      <c r="T455" s="5">
        <f>IF(J455&lt;&gt;"",M455*N455/365/100*('Cashflow Projection'!$B$2-Investors!J455),0)</f>
        <v/>
      </c>
    </row>
    <row r="456">
      <c r="A456" s="3" t="inlineStr">
        <is>
          <t>ZZYL01</t>
        </is>
      </c>
      <c r="B456" s="3" t="inlineStr">
        <is>
          <t>John Robert</t>
        </is>
      </c>
      <c r="C456" s="3" t="inlineStr">
        <is>
          <t>Zylstra</t>
        </is>
      </c>
      <c r="D456" s="3" t="inlineStr">
        <is>
          <t>Heron View</t>
        </is>
      </c>
      <c r="E456" s="3" t="inlineStr">
        <is>
          <t>HVN102</t>
        </is>
      </c>
      <c r="F456" s="3" t="b">
        <v>1</v>
      </c>
      <c r="G456" s="3" t="b">
        <v>0</v>
      </c>
      <c r="H456" s="3" t="inlineStr">
        <is>
          <t>N</t>
        </is>
      </c>
      <c r="I456" s="4" t="n">
        <v>44726</v>
      </c>
      <c r="J456" s="4" t="n">
        <v>44770</v>
      </c>
      <c r="K456" s="4" t="n">
        <v>45428</v>
      </c>
      <c r="L456" s="3" t="n">
        <v>5</v>
      </c>
      <c r="M456" s="3" t="n">
        <v>1000000</v>
      </c>
      <c r="N456" s="3" t="n">
        <v>18</v>
      </c>
      <c r="O456" s="3" t="b">
        <v>0</v>
      </c>
      <c r="P456" s="3" t="b">
        <v>0</v>
      </c>
      <c r="Q456" s="3" t="n">
        <v>9041.095890410965</v>
      </c>
      <c r="R456" s="3" t="n">
        <v>324493.1506849315</v>
      </c>
      <c r="S456" s="3" t="n">
        <v>333534.2465753425</v>
      </c>
      <c r="T456" s="5">
        <f>IF(J456&lt;&gt;"",M456*N456/365/100*('Cashflow Projection'!$B$2-Investors!J456),0)</f>
        <v/>
      </c>
    </row>
    <row r="457">
      <c r="A457" s="3" t="inlineStr">
        <is>
          <t>ZLER01</t>
        </is>
      </c>
      <c r="B457" s="3" t="inlineStr">
        <is>
          <t>Lydia</t>
        </is>
      </c>
      <c r="C457" s="3" t="inlineStr">
        <is>
          <t>Kloppers</t>
        </is>
      </c>
      <c r="D457" s="3" t="inlineStr">
        <is>
          <t>Heron View</t>
        </is>
      </c>
      <c r="E457" s="3" t="inlineStr">
        <is>
          <t>HVN103</t>
        </is>
      </c>
      <c r="F457" s="3" t="b">
        <v>1</v>
      </c>
      <c r="G457" s="3" t="b">
        <v>1</v>
      </c>
      <c r="H457" s="3" t="inlineStr">
        <is>
          <t>N</t>
        </is>
      </c>
      <c r="I457" s="4" t="n">
        <v>44719</v>
      </c>
      <c r="J457" s="4" t="n">
        <v>44763</v>
      </c>
      <c r="K457" s="4" t="n">
        <v>45308</v>
      </c>
      <c r="L457" s="3" t="n">
        <v>1</v>
      </c>
      <c r="M457" s="3" t="n">
        <v>250000</v>
      </c>
      <c r="N457" s="3" t="n">
        <v>18</v>
      </c>
      <c r="O457" s="3" t="b">
        <v>0</v>
      </c>
      <c r="P457" s="3" t="b">
        <v>0</v>
      </c>
      <c r="Q457" s="3" t="n">
        <v>2260.273972602741</v>
      </c>
      <c r="R457" s="3" t="n">
        <v>67191.78082191781</v>
      </c>
      <c r="S457" s="3" t="n">
        <v>69452.05479452055</v>
      </c>
      <c r="T457" s="5">
        <f>IF(J457&lt;&gt;"",M457*N457/365/100*('Cashflow Projection'!$B$2-Investors!J457),0)</f>
        <v/>
      </c>
    </row>
    <row r="458">
      <c r="A458" s="3" t="inlineStr">
        <is>
          <t>ZWAT01</t>
        </is>
      </c>
      <c r="B458" s="3" t="inlineStr">
        <is>
          <t>Peter Gregory</t>
        </is>
      </c>
      <c r="C458" s="3" t="inlineStr">
        <is>
          <t>Watts</t>
        </is>
      </c>
      <c r="D458" s="3" t="inlineStr">
        <is>
          <t>Heron View</t>
        </is>
      </c>
      <c r="E458" s="3" t="inlineStr">
        <is>
          <t>HVN103</t>
        </is>
      </c>
      <c r="F458" s="3" t="b">
        <v>1</v>
      </c>
      <c r="G458" s="3" t="b">
        <v>1</v>
      </c>
      <c r="H458" s="3" t="inlineStr">
        <is>
          <t>N</t>
        </is>
      </c>
      <c r="I458" s="4" t="n">
        <v>44706</v>
      </c>
      <c r="J458" s="4" t="n">
        <v>44743</v>
      </c>
      <c r="K458" s="4" t="n">
        <v>45272</v>
      </c>
      <c r="L458" s="3" t="n">
        <v>12</v>
      </c>
      <c r="M458" s="3" t="n">
        <v>700980.33</v>
      </c>
      <c r="N458" s="3" t="n">
        <v>18</v>
      </c>
      <c r="O458" s="3" t="b">
        <v>1</v>
      </c>
      <c r="P458" s="3" t="b">
        <v>0</v>
      </c>
      <c r="Q458" s="3" t="n">
        <v>5271.756180410958</v>
      </c>
      <c r="R458" s="3" t="n">
        <v>182869.4438975342</v>
      </c>
      <c r="S458" s="3" t="n">
        <v>188141.2000779452</v>
      </c>
      <c r="T458" s="5">
        <f>IF(J458&lt;&gt;"",M458*N458/365/100*('Cashflow Projection'!$B$2-Investors!J458),0)</f>
        <v/>
      </c>
    </row>
    <row r="459">
      <c r="A459" s="3" t="inlineStr">
        <is>
          <t>ZDEL01</t>
        </is>
      </c>
      <c r="B459" s="3" t="inlineStr">
        <is>
          <t>Pieter</t>
        </is>
      </c>
      <c r="C459" s="3" t="inlineStr">
        <is>
          <t>Jansen van Vuuren</t>
        </is>
      </c>
      <c r="D459" s="3" t="inlineStr">
        <is>
          <t>Heron View</t>
        </is>
      </c>
      <c r="E459" s="3" t="inlineStr">
        <is>
          <t>HVN104</t>
        </is>
      </c>
      <c r="F459" s="3" t="b">
        <v>1</v>
      </c>
      <c r="G459" s="3" t="b">
        <v>1</v>
      </c>
      <c r="H459" s="3" t="inlineStr">
        <is>
          <t>N</t>
        </is>
      </c>
      <c r="I459" s="4" t="n">
        <v>44713</v>
      </c>
      <c r="J459" s="4" t="n">
        <v>44743</v>
      </c>
      <c r="K459" s="4" t="n">
        <v>45369</v>
      </c>
      <c r="L459" s="3" t="n">
        <v>4</v>
      </c>
      <c r="M459" s="3" t="n">
        <v>500000</v>
      </c>
      <c r="N459" s="3" t="n">
        <v>18</v>
      </c>
      <c r="O459" s="3" t="b">
        <v>0</v>
      </c>
      <c r="P459" s="3" t="b">
        <v>0</v>
      </c>
      <c r="Q459" s="3" t="n">
        <v>3082.191780821919</v>
      </c>
      <c r="R459" s="3" t="n">
        <v>154356.1643835616</v>
      </c>
      <c r="S459" s="3" t="n">
        <v>157438.3561643836</v>
      </c>
      <c r="T459" s="5">
        <f>IF(J459&lt;&gt;"",M459*N459/365/100*('Cashflow Projection'!$B$2-Investors!J459),0)</f>
        <v/>
      </c>
    </row>
    <row r="460">
      <c r="A460" s="3" t="inlineStr">
        <is>
          <t>ZLEB01</t>
        </is>
      </c>
      <c r="B460" s="3" t="inlineStr">
        <is>
          <t>Hopolang</t>
        </is>
      </c>
      <c r="C460" s="3" t="inlineStr">
        <is>
          <t>Lebusa</t>
        </is>
      </c>
      <c r="D460" s="3" t="inlineStr">
        <is>
          <t>Heron View</t>
        </is>
      </c>
      <c r="E460" s="3" t="inlineStr">
        <is>
          <t>HVN104</t>
        </is>
      </c>
      <c r="F460" s="3" t="b">
        <v>1</v>
      </c>
      <c r="G460" s="3" t="b">
        <v>1</v>
      </c>
      <c r="H460" s="3" t="inlineStr">
        <is>
          <t>N</t>
        </is>
      </c>
      <c r="I460" s="4" t="n">
        <v>44706</v>
      </c>
      <c r="J460" s="4" t="n">
        <v>44743</v>
      </c>
      <c r="K460" s="4" t="n">
        <v>45369</v>
      </c>
      <c r="L460" s="3" t="n">
        <v>12</v>
      </c>
      <c r="M460" s="3" t="n">
        <v>500000</v>
      </c>
      <c r="N460" s="3" t="n">
        <v>18</v>
      </c>
      <c r="O460" s="3" t="b">
        <v>0</v>
      </c>
      <c r="P460" s="3" t="b">
        <v>0</v>
      </c>
      <c r="Q460" s="3" t="n">
        <v>3760.273972602742</v>
      </c>
      <c r="R460" s="3" t="n">
        <v>154356.1643835616</v>
      </c>
      <c r="S460" s="3" t="n">
        <v>158116.4383561644</v>
      </c>
      <c r="T460" s="5">
        <f>IF(J460&lt;&gt;"",M460*N460/365/100*('Cashflow Projection'!$B$2-Investors!J460),0)</f>
        <v/>
      </c>
    </row>
    <row r="461">
      <c r="A461" s="3" t="inlineStr">
        <is>
          <t>ZDEL01</t>
        </is>
      </c>
      <c r="B461" s="3" t="inlineStr">
        <is>
          <t>Pieter</t>
        </is>
      </c>
      <c r="C461" s="3" t="inlineStr">
        <is>
          <t>Jansen van Vuuren</t>
        </is>
      </c>
      <c r="D461" s="3" t="inlineStr">
        <is>
          <t>Heron View</t>
        </is>
      </c>
      <c r="E461" s="3" t="inlineStr">
        <is>
          <t>HVN201</t>
        </is>
      </c>
      <c r="F461" s="3" t="b">
        <v>1</v>
      </c>
      <c r="G461" s="3" t="b">
        <v>1</v>
      </c>
      <c r="H461" s="3" t="inlineStr">
        <is>
          <t>N</t>
        </is>
      </c>
      <c r="I461" s="4" t="n">
        <v>44713</v>
      </c>
      <c r="J461" s="4" t="n">
        <v>44743</v>
      </c>
      <c r="K461" s="4" t="n">
        <v>45308</v>
      </c>
      <c r="L461" s="3" t="n">
        <v>5</v>
      </c>
      <c r="M461" s="3" t="n">
        <v>1000000</v>
      </c>
      <c r="N461" s="3" t="n">
        <v>18</v>
      </c>
      <c r="O461" s="3" t="b">
        <v>0</v>
      </c>
      <c r="P461" s="3" t="b">
        <v>0</v>
      </c>
      <c r="Q461" s="3" t="n">
        <v>6164.383561643837</v>
      </c>
      <c r="R461" s="3" t="n">
        <v>278630.1369863014</v>
      </c>
      <c r="S461" s="3" t="n">
        <v>284794.5205479452</v>
      </c>
      <c r="T461" s="5">
        <f>IF(J461&lt;&gt;"",M461*N461/365/100*('Cashflow Projection'!$B$2-Investors!J461),0)</f>
        <v/>
      </c>
    </row>
    <row r="462">
      <c r="A462" s="3" t="inlineStr">
        <is>
          <t>ZERF01</t>
        </is>
      </c>
      <c r="B462" s="3" t="inlineStr">
        <is>
          <t>Hermanus Gerhardus (Gerhard)</t>
        </is>
      </c>
      <c r="C462" s="3" t="inlineStr">
        <is>
          <t>Jansen van Vuuren</t>
        </is>
      </c>
      <c r="D462" s="3" t="inlineStr">
        <is>
          <t>Heron View</t>
        </is>
      </c>
      <c r="E462" s="3" t="inlineStr">
        <is>
          <t>HVN202</t>
        </is>
      </c>
      <c r="F462" s="3" t="b">
        <v>1</v>
      </c>
      <c r="G462" s="3" t="b">
        <v>1</v>
      </c>
      <c r="H462" s="3" t="inlineStr">
        <is>
          <t>N</t>
        </is>
      </c>
      <c r="I462" s="4" t="n">
        <v>44727</v>
      </c>
      <c r="J462" s="4" t="n">
        <v>44770</v>
      </c>
      <c r="K462" s="4" t="n">
        <v>45327</v>
      </c>
      <c r="L462" s="3" t="n">
        <v>1</v>
      </c>
      <c r="M462" s="3" t="n">
        <v>1000000</v>
      </c>
      <c r="N462" s="3" t="n">
        <v>18</v>
      </c>
      <c r="O462" s="3" t="b">
        <v>0</v>
      </c>
      <c r="P462" s="3" t="b">
        <v>0</v>
      </c>
      <c r="Q462" s="3" t="n">
        <v>8835.61643835617</v>
      </c>
      <c r="R462" s="3" t="n">
        <v>274684.9315068493</v>
      </c>
      <c r="S462" s="3" t="n">
        <v>283520.5479452055</v>
      </c>
      <c r="T462" s="5">
        <f>IF(J462&lt;&gt;"",M462*N462/365/100*('Cashflow Projection'!$B$2-Investors!J462),0)</f>
        <v/>
      </c>
    </row>
    <row r="463">
      <c r="A463" s="3" t="inlineStr">
        <is>
          <t>ZDEL01</t>
        </is>
      </c>
      <c r="B463" s="3" t="inlineStr">
        <is>
          <t>Pieter</t>
        </is>
      </c>
      <c r="C463" s="3" t="inlineStr">
        <is>
          <t>Jansen van Vuuren</t>
        </is>
      </c>
      <c r="D463" s="3" t="inlineStr">
        <is>
          <t>Heron View</t>
        </is>
      </c>
      <c r="E463" s="3" t="inlineStr">
        <is>
          <t>HVN203</t>
        </is>
      </c>
      <c r="F463" s="3" t="b">
        <v>1</v>
      </c>
      <c r="G463" s="3" t="b">
        <v>1</v>
      </c>
      <c r="H463" s="3" t="inlineStr">
        <is>
          <t>N</t>
        </is>
      </c>
      <c r="I463" s="4" t="n">
        <v>44713</v>
      </c>
      <c r="J463" s="4" t="n">
        <v>44743</v>
      </c>
      <c r="K463" s="4" t="n">
        <v>45323</v>
      </c>
      <c r="L463" s="3" t="n">
        <v>6</v>
      </c>
      <c r="M463" s="3" t="n">
        <v>250000</v>
      </c>
      <c r="N463" s="3" t="n">
        <v>18</v>
      </c>
      <c r="O463" s="3" t="b">
        <v>1</v>
      </c>
      <c r="P463" s="3" t="b">
        <v>0</v>
      </c>
      <c r="Q463" s="3" t="n">
        <v>1541.095890410959</v>
      </c>
      <c r="R463" s="3" t="n">
        <v>71506.8493150685</v>
      </c>
      <c r="S463" s="3" t="n">
        <v>73047.94520547945</v>
      </c>
      <c r="T463" s="5">
        <f>IF(J463&lt;&gt;"",M463*N463/365/100*('Cashflow Projection'!$B$2-Investors!J463),0)</f>
        <v/>
      </c>
    </row>
    <row r="464">
      <c r="A464" s="3" t="inlineStr">
        <is>
          <t>ZLER01</t>
        </is>
      </c>
      <c r="B464" s="3" t="inlineStr">
        <is>
          <t>Lydia</t>
        </is>
      </c>
      <c r="C464" s="3" t="inlineStr">
        <is>
          <t>Kloppers</t>
        </is>
      </c>
      <c r="D464" s="3" t="inlineStr">
        <is>
          <t>Heron View</t>
        </is>
      </c>
      <c r="E464" s="3" t="inlineStr">
        <is>
          <t>HVN203</t>
        </is>
      </c>
      <c r="F464" s="3" t="b">
        <v>1</v>
      </c>
      <c r="G464" s="3" t="b">
        <v>1</v>
      </c>
      <c r="H464" s="3" t="inlineStr">
        <is>
          <t>N</t>
        </is>
      </c>
      <c r="I464" s="4" t="n">
        <v>44719</v>
      </c>
      <c r="J464" s="4" t="n">
        <v>44757</v>
      </c>
      <c r="K464" s="4" t="n">
        <v>45336</v>
      </c>
      <c r="L464" s="3" t="n">
        <v>2</v>
      </c>
      <c r="M464" s="3" t="n">
        <v>750000</v>
      </c>
      <c r="N464" s="3" t="n">
        <v>18</v>
      </c>
      <c r="O464" s="3" t="b">
        <v>0</v>
      </c>
      <c r="P464" s="3" t="b">
        <v>0</v>
      </c>
      <c r="Q464" s="3" t="n">
        <v>5856.164383561649</v>
      </c>
      <c r="R464" s="3" t="n">
        <v>214150.6849315068</v>
      </c>
      <c r="S464" s="3" t="n">
        <v>220006.8493150685</v>
      </c>
      <c r="T464" s="5">
        <f>IF(J464&lt;&gt;"",M464*N464/365/100*('Cashflow Projection'!$B$2-Investors!J464),0)</f>
        <v/>
      </c>
    </row>
    <row r="465">
      <c r="A465" s="3" t="inlineStr">
        <is>
          <t>ZVAL03</t>
        </is>
      </c>
      <c r="B465" s="3" t="inlineStr">
        <is>
          <t>Marinda</t>
        </is>
      </c>
      <c r="C465" s="3" t="inlineStr">
        <is>
          <t>Valentin</t>
        </is>
      </c>
      <c r="D465" s="3" t="inlineStr">
        <is>
          <t>Heron View</t>
        </is>
      </c>
      <c r="E465" s="3" t="inlineStr">
        <is>
          <t>HVN204</t>
        </is>
      </c>
      <c r="F465" s="3" t="b">
        <v>1</v>
      </c>
      <c r="G465" s="3" t="b">
        <v>1</v>
      </c>
      <c r="H465" s="3" t="inlineStr">
        <is>
          <t>N</t>
        </is>
      </c>
      <c r="I465" s="4" t="n">
        <v>44719</v>
      </c>
      <c r="J465" s="4" t="n">
        <v>44763</v>
      </c>
      <c r="K465" s="4" t="n">
        <v>45314</v>
      </c>
      <c r="L465" s="3" t="n">
        <v>1</v>
      </c>
      <c r="M465" s="3" t="n">
        <v>1000000</v>
      </c>
      <c r="N465" s="3" t="n">
        <v>18</v>
      </c>
      <c r="O465" s="3" t="b">
        <v>0</v>
      </c>
      <c r="P465" s="3" t="b">
        <v>0</v>
      </c>
      <c r="Q465" s="3" t="n">
        <v>9041.095890410965</v>
      </c>
      <c r="R465" s="3" t="n">
        <v>271726.0273972603</v>
      </c>
      <c r="S465" s="3" t="n">
        <v>280767.1232876712</v>
      </c>
      <c r="T465" s="5">
        <f>IF(J465&lt;&gt;"",M465*N465/365/100*('Cashflow Projection'!$B$2-Investors!J465),0)</f>
        <v/>
      </c>
    </row>
    <row r="466">
      <c r="A466" s="3" t="inlineStr">
        <is>
          <t>ZDEL01</t>
        </is>
      </c>
      <c r="B466" s="3" t="inlineStr">
        <is>
          <t>Pieter</t>
        </is>
      </c>
      <c r="C466" s="3" t="inlineStr">
        <is>
          <t>Jansen van Vuuren</t>
        </is>
      </c>
      <c r="D466" s="3" t="inlineStr">
        <is>
          <t>Heron View</t>
        </is>
      </c>
      <c r="E466" s="3" t="inlineStr">
        <is>
          <t>HVN301</t>
        </is>
      </c>
      <c r="F466" s="3" t="b">
        <v>1</v>
      </c>
      <c r="G466" s="3" t="b">
        <v>0</v>
      </c>
      <c r="H466" s="3" t="inlineStr">
        <is>
          <t>N</t>
        </is>
      </c>
      <c r="I466" s="4" t="n">
        <v>44713</v>
      </c>
      <c r="J466" s="4" t="n">
        <v>44743</v>
      </c>
      <c r="K466" s="4" t="n">
        <v>45449</v>
      </c>
      <c r="L466" s="3" t="n">
        <v>7</v>
      </c>
      <c r="M466" s="3" t="n">
        <v>1000000</v>
      </c>
      <c r="N466" s="3" t="n">
        <v>18</v>
      </c>
      <c r="O466" s="3" t="b">
        <v>0</v>
      </c>
      <c r="P466" s="3" t="b">
        <v>0</v>
      </c>
      <c r="Q466" s="3" t="n">
        <v>6164.383561643837</v>
      </c>
      <c r="R466" s="3" t="n">
        <v>348164.3835616438</v>
      </c>
      <c r="S466" s="3" t="n">
        <v>354328.7671232877</v>
      </c>
      <c r="T466" s="5">
        <f>IF(J466&lt;&gt;"",M466*N466/365/100*('Cashflow Projection'!$B$2-Investors!J466),0)</f>
        <v/>
      </c>
    </row>
    <row r="467">
      <c r="A467" s="3" t="inlineStr">
        <is>
          <t>ZAMP01</t>
        </is>
      </c>
      <c r="B467" s="3" t="inlineStr">
        <is>
          <t>Andre</t>
        </is>
      </c>
      <c r="C467" s="3" t="inlineStr">
        <is>
          <t>De Villiers</t>
        </is>
      </c>
      <c r="D467" s="3" t="inlineStr">
        <is>
          <t>Heron View</t>
        </is>
      </c>
      <c r="E467" s="3" t="inlineStr">
        <is>
          <t>HVN302</t>
        </is>
      </c>
      <c r="F467" s="3" t="b">
        <v>0</v>
      </c>
      <c r="G467" s="3" t="b">
        <v>0</v>
      </c>
      <c r="H467" s="3" t="inlineStr">
        <is>
          <t>N</t>
        </is>
      </c>
      <c r="I467" s="4" t="n">
        <v>44719</v>
      </c>
      <c r="J467" s="4" t="n">
        <v>44763</v>
      </c>
      <c r="K467" s="4" t="n">
        <v>45464</v>
      </c>
      <c r="L467" s="3" t="n">
        <v>1</v>
      </c>
      <c r="M467" s="3" t="n">
        <v>1000000</v>
      </c>
      <c r="N467" s="3" t="n">
        <v>18</v>
      </c>
      <c r="O467" s="3" t="b">
        <v>0</v>
      </c>
      <c r="P467" s="3" t="b">
        <v>0</v>
      </c>
      <c r="Q467" s="3" t="n">
        <v>9041.095890410965</v>
      </c>
      <c r="R467" s="3" t="n">
        <v>345698.6301369863</v>
      </c>
      <c r="S467" s="3" t="n">
        <v>354739.7260273973</v>
      </c>
      <c r="T467" s="5">
        <f>IF(J467&lt;&gt;"",M467*N467/365/100*('Cashflow Projection'!$B$2-Investors!J467),0)</f>
        <v/>
      </c>
    </row>
    <row r="468">
      <c r="A468" s="3" t="inlineStr">
        <is>
          <t>ZERF01</t>
        </is>
      </c>
      <c r="B468" s="3" t="inlineStr">
        <is>
          <t>Hermanus Gerhardus (Gerhard)</t>
        </is>
      </c>
      <c r="C468" s="3" t="inlineStr">
        <is>
          <t>Jansen van Vuuren</t>
        </is>
      </c>
      <c r="D468" s="3" t="inlineStr">
        <is>
          <t>Heron View</t>
        </is>
      </c>
      <c r="E468" s="3" t="inlineStr">
        <is>
          <t>HVN303</t>
        </is>
      </c>
      <c r="F468" s="3" t="b">
        <v>0</v>
      </c>
      <c r="G468" s="3" t="b">
        <v>0</v>
      </c>
      <c r="H468" s="3" t="inlineStr">
        <is>
          <t>N</t>
        </is>
      </c>
      <c r="I468" s="4" t="n">
        <v>44727</v>
      </c>
      <c r="J468" s="4" t="n">
        <v>44777</v>
      </c>
      <c r="K468" s="4" t="n">
        <v>45498</v>
      </c>
      <c r="L468" s="3" t="n">
        <v>2</v>
      </c>
      <c r="M468" s="3" t="n">
        <v>1000000</v>
      </c>
      <c r="N468" s="3" t="n">
        <v>18</v>
      </c>
      <c r="O468" s="3" t="b">
        <v>0</v>
      </c>
      <c r="P468" s="3" t="b">
        <v>0</v>
      </c>
      <c r="Q468" s="3" t="n">
        <v>10356.16438356165</v>
      </c>
      <c r="R468" s="3" t="n">
        <v>355561.6438356165</v>
      </c>
      <c r="S468" s="3" t="n">
        <v>365917.8082191781</v>
      </c>
      <c r="T468" s="5">
        <f>IF(J468&lt;&gt;"",M468*N468/365/100*('Cashflow Projection'!$B$2-Investors!J468),0)</f>
        <v/>
      </c>
    </row>
    <row r="469">
      <c r="A469" s="3" t="inlineStr">
        <is>
          <t>ZBLO01</t>
        </is>
      </c>
      <c r="B469" s="3" t="inlineStr">
        <is>
          <t>Robert Errol</t>
        </is>
      </c>
      <c r="C469" s="3" t="inlineStr">
        <is>
          <t>Blows</t>
        </is>
      </c>
      <c r="D469" s="3" t="inlineStr">
        <is>
          <t>Heron View</t>
        </is>
      </c>
      <c r="E469" s="3" t="inlineStr">
        <is>
          <t>HVN304</t>
        </is>
      </c>
      <c r="F469" s="3" t="b">
        <v>0</v>
      </c>
      <c r="G469" s="3" t="b">
        <v>0</v>
      </c>
      <c r="H469" s="3" t="inlineStr">
        <is>
          <t>N</t>
        </is>
      </c>
      <c r="I469" s="4" t="n">
        <v>44946</v>
      </c>
      <c r="J469" s="4" t="n">
        <v>45016</v>
      </c>
      <c r="K469" s="4" t="n">
        <v>45498</v>
      </c>
      <c r="L469" s="3" t="n">
        <v>4</v>
      </c>
      <c r="M469" s="3" t="n">
        <v>100000</v>
      </c>
      <c r="N469" s="3" t="n">
        <v>14</v>
      </c>
      <c r="O469" s="3" t="b">
        <v>0</v>
      </c>
      <c r="P469" s="3" t="b">
        <v>0</v>
      </c>
      <c r="Q469" s="3" t="n">
        <v>1910.273972602737</v>
      </c>
      <c r="R469" s="3" t="n">
        <v>18487.67123287671</v>
      </c>
      <c r="S469" s="3" t="n">
        <v>20397.94520547945</v>
      </c>
      <c r="T469" s="5">
        <f>IF(J469&lt;&gt;"",M469*N469/365/100*('Cashflow Projection'!$B$2-Investors!J469),0)</f>
        <v/>
      </c>
    </row>
    <row r="470">
      <c r="A470" s="3" t="inlineStr">
        <is>
          <t>ZDEL01</t>
        </is>
      </c>
      <c r="B470" s="3" t="inlineStr">
        <is>
          <t>Pieter</t>
        </is>
      </c>
      <c r="C470" s="3" t="inlineStr">
        <is>
          <t>Jansen van Vuuren</t>
        </is>
      </c>
      <c r="D470" s="3" t="inlineStr">
        <is>
          <t>Heron View</t>
        </is>
      </c>
      <c r="E470" s="3" t="inlineStr">
        <is>
          <t>HVN304</t>
        </is>
      </c>
      <c r="F470" s="3" t="b">
        <v>0</v>
      </c>
      <c r="G470" s="3" t="b">
        <v>0</v>
      </c>
      <c r="H470" s="3" t="inlineStr">
        <is>
          <t>N</t>
        </is>
      </c>
      <c r="I470" s="4" t="n">
        <v>44713</v>
      </c>
      <c r="J470" s="4" t="n">
        <v>44743</v>
      </c>
      <c r="K470" s="4" t="n">
        <v>45498</v>
      </c>
      <c r="L470" s="3" t="n">
        <v>8</v>
      </c>
      <c r="M470" s="3" t="n">
        <v>265000</v>
      </c>
      <c r="N470" s="3" t="n">
        <v>18</v>
      </c>
      <c r="O470" s="3" t="b">
        <v>0</v>
      </c>
      <c r="P470" s="3" t="b">
        <v>0</v>
      </c>
      <c r="Q470" s="3" t="n">
        <v>1633.561643835617</v>
      </c>
      <c r="R470" s="3" t="n">
        <v>98667.12328767125</v>
      </c>
      <c r="S470" s="3" t="n">
        <v>100300.6849315069</v>
      </c>
      <c r="T470" s="5">
        <f>IF(J470&lt;&gt;"",M470*N470/365/100*('Cashflow Projection'!$B$2-Investors!J470),0)</f>
        <v/>
      </c>
    </row>
    <row r="471">
      <c r="A471" s="3" t="inlineStr">
        <is>
          <t>ZMAD01</t>
        </is>
      </c>
      <c r="B471" s="3" t="inlineStr">
        <is>
          <t>Esther</t>
        </is>
      </c>
      <c r="C471" s="3" t="inlineStr">
        <is>
          <t>Maduna</t>
        </is>
      </c>
      <c r="D471" s="3" t="inlineStr">
        <is>
          <t>Heron View</t>
        </is>
      </c>
      <c r="E471" s="3" t="inlineStr">
        <is>
          <t>HVN304</t>
        </is>
      </c>
      <c r="F471" s="3" t="b">
        <v>0</v>
      </c>
      <c r="G471" s="3" t="b">
        <v>0</v>
      </c>
      <c r="H471" s="3" t="inlineStr">
        <is>
          <t>N</t>
        </is>
      </c>
      <c r="I471" s="4" t="n">
        <v>44713</v>
      </c>
      <c r="J471" s="4" t="n">
        <v>44743</v>
      </c>
      <c r="K471" s="4" t="n">
        <v>45498</v>
      </c>
      <c r="L471" s="3" t="n">
        <v>2</v>
      </c>
      <c r="M471" s="3" t="n">
        <v>147910.96</v>
      </c>
      <c r="N471" s="3" t="n">
        <v>14</v>
      </c>
      <c r="O471" s="3" t="b">
        <v>0</v>
      </c>
      <c r="P471" s="3" t="b">
        <v>0</v>
      </c>
      <c r="Q471" s="3" t="n">
        <v>911.7798904109592</v>
      </c>
      <c r="R471" s="3" t="n">
        <v>42833.39307397261</v>
      </c>
      <c r="S471" s="3" t="n">
        <v>43745.17296438356</v>
      </c>
      <c r="T471" s="5">
        <f>IF(J471&lt;&gt;"",M471*N471/365/100*('Cashflow Projection'!$B$2-Investors!J471),0)</f>
        <v/>
      </c>
    </row>
    <row r="472">
      <c r="A472" s="3" t="inlineStr">
        <is>
          <t>ZSCH01</t>
        </is>
      </c>
      <c r="B472" s="3" t="inlineStr">
        <is>
          <t>Inge</t>
        </is>
      </c>
      <c r="C472" s="3" t="inlineStr">
        <is>
          <t>Schubert</t>
        </is>
      </c>
      <c r="D472" s="3" t="inlineStr">
        <is>
          <t>Heron View</t>
        </is>
      </c>
      <c r="E472" s="3" t="inlineStr">
        <is>
          <t>HVN304</t>
        </is>
      </c>
      <c r="F472" s="3" t="b">
        <v>0</v>
      </c>
      <c r="G472" s="3" t="b">
        <v>0</v>
      </c>
      <c r="H472" s="3" t="inlineStr">
        <is>
          <t>N</t>
        </is>
      </c>
      <c r="I472" s="4" t="n">
        <v>44719</v>
      </c>
      <c r="J472" s="4" t="n">
        <v>44763</v>
      </c>
      <c r="K472" s="4" t="n">
        <v>45498</v>
      </c>
      <c r="L472" s="3" t="n">
        <v>15</v>
      </c>
      <c r="M472" s="3" t="n">
        <v>400000</v>
      </c>
      <c r="N472" s="3" t="n">
        <v>18</v>
      </c>
      <c r="O472" s="3" t="b">
        <v>0</v>
      </c>
      <c r="P472" s="3" t="b">
        <v>0</v>
      </c>
      <c r="Q472" s="3" t="n">
        <v>3616.438356164381</v>
      </c>
      <c r="R472" s="3" t="n">
        <v>144986.301369863</v>
      </c>
      <c r="S472" s="3" t="n">
        <v>148602.7397260274</v>
      </c>
      <c r="T472" s="5">
        <f>IF(J472&lt;&gt;"",M472*N472/365/100*('Cashflow Projection'!$B$2-Investors!J472),0)</f>
        <v/>
      </c>
    </row>
    <row r="473">
      <c r="A473" s="3" t="inlineStr">
        <is>
          <t>ZVDM01</t>
        </is>
      </c>
      <c r="B473" s="3" t="inlineStr">
        <is>
          <t>Paula</t>
        </is>
      </c>
      <c r="C473" s="3" t="inlineStr">
        <is>
          <t>van der Mescht</t>
        </is>
      </c>
      <c r="D473" s="3" t="inlineStr">
        <is>
          <t>Heron View</t>
        </is>
      </c>
      <c r="E473" s="3" t="inlineStr">
        <is>
          <t>HVN304</t>
        </is>
      </c>
      <c r="F473" s="3" t="b">
        <v>0</v>
      </c>
      <c r="G473" s="3" t="b">
        <v>0</v>
      </c>
      <c r="H473" s="3" t="inlineStr">
        <is>
          <t>N</t>
        </is>
      </c>
      <c r="I473" s="4" t="n">
        <v>44719</v>
      </c>
      <c r="J473" s="4" t="n">
        <v>44743</v>
      </c>
      <c r="K473" s="4" t="n">
        <v>45498</v>
      </c>
      <c r="L473" s="3" t="n">
        <v>4</v>
      </c>
      <c r="M473" s="3" t="n">
        <v>100000</v>
      </c>
      <c r="N473" s="3" t="n">
        <v>14</v>
      </c>
      <c r="O473" s="3" t="b">
        <v>0</v>
      </c>
      <c r="P473" s="3" t="b">
        <v>0</v>
      </c>
      <c r="Q473" s="3" t="n">
        <v>493.1506849315066</v>
      </c>
      <c r="R473" s="3" t="n">
        <v>28958.90410958904</v>
      </c>
      <c r="S473" s="3" t="n">
        <v>29452.05479452055</v>
      </c>
      <c r="T473" s="5">
        <f>IF(J473&lt;&gt;"",M473*N473/365/100*('Cashflow Projection'!$B$2-Investors!J473),0)</f>
        <v/>
      </c>
    </row>
    <row r="474">
      <c r="A474" s="3" t="inlineStr">
        <is>
          <t>ZALM01</t>
        </is>
      </c>
      <c r="B474" s="3" t="inlineStr">
        <is>
          <t>Marc</t>
        </is>
      </c>
      <c r="C474" s="3" t="inlineStr">
        <is>
          <t>Lunau</t>
        </is>
      </c>
      <c r="D474" s="3" t="inlineStr">
        <is>
          <t>Heron View</t>
        </is>
      </c>
      <c r="E474" s="3" t="inlineStr">
        <is>
          <t>HVO101</t>
        </is>
      </c>
      <c r="F474" s="3" t="b">
        <v>1</v>
      </c>
      <c r="G474" s="3" t="b">
        <v>0</v>
      </c>
      <c r="H474" s="3" t="inlineStr">
        <is>
          <t>O</t>
        </is>
      </c>
      <c r="I474" s="4" t="n">
        <v>44908</v>
      </c>
      <c r="J474" s="4" t="n">
        <v>44980</v>
      </c>
      <c r="K474" s="4" t="n">
        <v>45518</v>
      </c>
      <c r="L474" s="3" t="n">
        <v>7</v>
      </c>
      <c r="M474" s="3" t="n">
        <v>100000</v>
      </c>
      <c r="N474" s="3" t="n">
        <v>18</v>
      </c>
      <c r="O474" s="3" t="b">
        <v>0</v>
      </c>
      <c r="P474" s="3" t="b">
        <v>0</v>
      </c>
      <c r="Q474" s="3" t="n">
        <v>1939.041095890409</v>
      </c>
      <c r="R474" s="3" t="n">
        <v>26531.50684931507</v>
      </c>
      <c r="S474" s="3" t="n">
        <v>28470.54794520548</v>
      </c>
      <c r="T474" s="5">
        <f>IF(J474&lt;&gt;"",M474*N474/365/100*('Cashflow Projection'!$B$2-Investors!J474),0)</f>
        <v/>
      </c>
    </row>
    <row r="475">
      <c r="A475" s="3" t="inlineStr">
        <is>
          <t>ZCRO01</t>
        </is>
      </c>
      <c r="B475" s="3" t="inlineStr">
        <is>
          <t>Marc</t>
        </is>
      </c>
      <c r="C475" s="3" t="inlineStr">
        <is>
          <t>Lunau</t>
        </is>
      </c>
      <c r="D475" s="3" t="inlineStr">
        <is>
          <t>Heron View</t>
        </is>
      </c>
      <c r="E475" s="3" t="inlineStr">
        <is>
          <t>HVO101</t>
        </is>
      </c>
      <c r="F475" s="3" t="b">
        <v>1</v>
      </c>
      <c r="G475" s="3" t="b">
        <v>0</v>
      </c>
      <c r="H475" s="3" t="inlineStr">
        <is>
          <t>O</t>
        </is>
      </c>
      <c r="I475" s="4" t="n">
        <v>44978</v>
      </c>
      <c r="J475" s="4" t="n">
        <v>45072</v>
      </c>
      <c r="K475" s="4" t="n">
        <v>45518</v>
      </c>
      <c r="L475" s="3" t="n">
        <v>12</v>
      </c>
      <c r="M475" s="3" t="n">
        <v>120000</v>
      </c>
      <c r="N475" s="3" t="n">
        <v>18</v>
      </c>
      <c r="O475" s="3" t="b">
        <v>0</v>
      </c>
      <c r="P475" s="3" t="b">
        <v>0</v>
      </c>
      <c r="Q475" s="3" t="n">
        <v>3182.46575342466</v>
      </c>
      <c r="R475" s="3" t="n">
        <v>26393.42465753425</v>
      </c>
      <c r="S475" s="3" t="n">
        <v>29575.89041095891</v>
      </c>
      <c r="T475" s="5">
        <f>IF(J475&lt;&gt;"",M475*N475/365/100*('Cashflow Projection'!$B$2-Investors!J475),0)</f>
        <v/>
      </c>
    </row>
    <row r="476">
      <c r="A476" s="3" t="inlineStr">
        <is>
          <t>ZINT01</t>
        </is>
      </c>
      <c r="B476" s="3" t="inlineStr">
        <is>
          <t>Marc</t>
        </is>
      </c>
      <c r="C476" s="3" t="inlineStr">
        <is>
          <t>Lunau</t>
        </is>
      </c>
      <c r="D476" s="3" t="inlineStr">
        <is>
          <t>Heron View</t>
        </is>
      </c>
      <c r="E476" s="3" t="inlineStr">
        <is>
          <t>HVO101</t>
        </is>
      </c>
      <c r="F476" s="3" t="b">
        <v>1</v>
      </c>
      <c r="G476" s="3" t="b">
        <v>0</v>
      </c>
      <c r="H476" s="3" t="inlineStr">
        <is>
          <t>O</t>
        </is>
      </c>
      <c r="I476" s="4" t="n">
        <v>44964</v>
      </c>
      <c r="J476" s="4" t="n">
        <v>45072</v>
      </c>
      <c r="K476" s="4" t="n">
        <v>45518</v>
      </c>
      <c r="L476" s="3" t="n">
        <v>13</v>
      </c>
      <c r="M476" s="3" t="n">
        <v>100000</v>
      </c>
      <c r="N476" s="3" t="n">
        <v>18</v>
      </c>
      <c r="O476" s="3" t="b">
        <v>0</v>
      </c>
      <c r="P476" s="3" t="b">
        <v>0</v>
      </c>
      <c r="Q476" s="3" t="n">
        <v>3035.61643835617</v>
      </c>
      <c r="R476" s="3" t="n">
        <v>21994.52054794521</v>
      </c>
      <c r="S476" s="3" t="n">
        <v>25030.13698630138</v>
      </c>
      <c r="T476" s="5">
        <f>IF(J476&lt;&gt;"",M476*N476/365/100*('Cashflow Projection'!$B$2-Investors!J476),0)</f>
        <v/>
      </c>
    </row>
    <row r="477">
      <c r="A477" s="3" t="inlineStr">
        <is>
          <t>ZJOH01</t>
        </is>
      </c>
      <c r="B477" s="3" t="inlineStr">
        <is>
          <t>Lisa-Marie Natalie</t>
        </is>
      </c>
      <c r="C477" s="3" t="inlineStr">
        <is>
          <t>Johns</t>
        </is>
      </c>
      <c r="D477" s="3" t="inlineStr">
        <is>
          <t>Heron View</t>
        </is>
      </c>
      <c r="E477" s="3" t="inlineStr">
        <is>
          <t>HVO101</t>
        </is>
      </c>
      <c r="F477" s="3" t="b">
        <v>1</v>
      </c>
      <c r="G477" s="3" t="b">
        <v>0</v>
      </c>
      <c r="H477" s="3" t="inlineStr">
        <is>
          <t>O</t>
        </is>
      </c>
      <c r="I477" s="4" t="n">
        <v>44960</v>
      </c>
      <c r="J477" s="4" t="n">
        <v>45072</v>
      </c>
      <c r="K477" s="4" t="n">
        <v>45518</v>
      </c>
      <c r="L477" s="3" t="n">
        <v>7</v>
      </c>
      <c r="M477" s="3" t="n">
        <v>110000</v>
      </c>
      <c r="N477" s="3" t="n">
        <v>18</v>
      </c>
      <c r="O477" s="3" t="b">
        <v>0</v>
      </c>
      <c r="P477" s="3" t="b">
        <v>0</v>
      </c>
      <c r="Q477" s="3" t="n">
        <v>3459.72602739727</v>
      </c>
      <c r="R477" s="3" t="n">
        <v>24193.97260273973</v>
      </c>
      <c r="S477" s="3" t="n">
        <v>27653.698630137</v>
      </c>
      <c r="T477" s="5">
        <f>IF(J477&lt;&gt;"",M477*N477/365/100*('Cashflow Projection'!$B$2-Investors!J477),0)</f>
        <v/>
      </c>
    </row>
    <row r="478">
      <c r="A478" s="3" t="inlineStr">
        <is>
          <t>ZVOR01</t>
        </is>
      </c>
      <c r="B478" s="3" t="inlineStr">
        <is>
          <t xml:space="preserve">Sophia Maria Catharina </t>
        </is>
      </c>
      <c r="C478" s="3" t="inlineStr">
        <is>
          <t>Vorster</t>
        </is>
      </c>
      <c r="D478" s="3" t="inlineStr">
        <is>
          <t>Heron View</t>
        </is>
      </c>
      <c r="E478" s="3" t="inlineStr">
        <is>
          <t>HVO101</t>
        </is>
      </c>
      <c r="F478" s="3" t="b">
        <v>1</v>
      </c>
      <c r="G478" s="3" t="b">
        <v>0</v>
      </c>
      <c r="H478" s="3" t="inlineStr">
        <is>
          <t>O</t>
        </is>
      </c>
      <c r="I478" s="4" t="n">
        <v>45030</v>
      </c>
      <c r="J478" s="4" t="n">
        <v>45129</v>
      </c>
      <c r="K478" s="4" t="n">
        <v>45518</v>
      </c>
      <c r="L478" s="3" t="n">
        <v>5</v>
      </c>
      <c r="M478" s="3" t="n">
        <v>238516.44</v>
      </c>
      <c r="N478" s="3" t="n">
        <v>14</v>
      </c>
      <c r="O478" s="3" t="b">
        <v>0</v>
      </c>
      <c r="P478" s="3" t="b">
        <v>0</v>
      </c>
      <c r="Q478" s="3" t="n">
        <v>6962.719638904126</v>
      </c>
      <c r="R478" s="3" t="n">
        <v>35587.95978739726</v>
      </c>
      <c r="S478" s="3" t="n">
        <v>42550.67942630139</v>
      </c>
      <c r="T478" s="5">
        <f>IF(J478&lt;&gt;"",M478*N478/365/100*('Cashflow Projection'!$B$2-Investors!J478),0)</f>
        <v/>
      </c>
    </row>
    <row r="479">
      <c r="A479" s="3" t="inlineStr">
        <is>
          <t>ZWAT01</t>
        </is>
      </c>
      <c r="B479" s="3" t="inlineStr">
        <is>
          <t>Peter Gregory</t>
        </is>
      </c>
      <c r="C479" s="3" t="inlineStr">
        <is>
          <t>Watts</t>
        </is>
      </c>
      <c r="D479" s="3" t="inlineStr">
        <is>
          <t>Heron View</t>
        </is>
      </c>
      <c r="E479" s="3" t="inlineStr">
        <is>
          <t>HVO101</t>
        </is>
      </c>
      <c r="F479" s="3" t="b">
        <v>1</v>
      </c>
      <c r="G479" s="3" t="b">
        <v>0</v>
      </c>
      <c r="H479" s="3" t="inlineStr">
        <is>
          <t>O</t>
        </is>
      </c>
      <c r="I479" s="4" t="n">
        <v>44943</v>
      </c>
      <c r="J479" s="4" t="n">
        <v>45044</v>
      </c>
      <c r="K479" s="4" t="n">
        <v>45518</v>
      </c>
      <c r="L479" s="3" t="n">
        <v>13</v>
      </c>
      <c r="M479" s="3" t="n">
        <v>435021.99</v>
      </c>
      <c r="N479" s="3" t="n">
        <v>18</v>
      </c>
      <c r="O479" s="3" t="b">
        <v>0</v>
      </c>
      <c r="P479" s="3" t="b">
        <v>0</v>
      </c>
      <c r="Q479" s="3" t="n">
        <v>12162.73810397262</v>
      </c>
      <c r="R479" s="3" t="n">
        <v>101687.8799638356</v>
      </c>
      <c r="S479" s="3" t="n">
        <v>113850.6180678082</v>
      </c>
      <c r="T479" s="5">
        <f>IF(J479&lt;&gt;"",M479*N479/365/100*('Cashflow Projection'!$B$2-Investors!J479),0)</f>
        <v/>
      </c>
    </row>
    <row r="480">
      <c r="A480" s="3" t="inlineStr">
        <is>
          <t>ZALM01</t>
        </is>
      </c>
      <c r="B480" s="3" t="inlineStr">
        <is>
          <t>Marc</t>
        </is>
      </c>
      <c r="C480" s="3" t="inlineStr">
        <is>
          <t>Lunau</t>
        </is>
      </c>
      <c r="D480" s="3" t="inlineStr">
        <is>
          <t>Heron View</t>
        </is>
      </c>
      <c r="E480" s="3" t="inlineStr">
        <is>
          <t>HVO102</t>
        </is>
      </c>
      <c r="F480" s="3" t="b">
        <v>1</v>
      </c>
      <c r="G480" s="3" t="b">
        <v>0</v>
      </c>
      <c r="H480" s="3" t="inlineStr">
        <is>
          <t>O</t>
        </is>
      </c>
      <c r="I480" s="4" t="n">
        <v>44908</v>
      </c>
      <c r="J480" s="4" t="n">
        <v>44980</v>
      </c>
      <c r="K480" s="4" t="n">
        <v>45518</v>
      </c>
      <c r="L480" s="3" t="n">
        <v>8</v>
      </c>
      <c r="M480" s="3" t="n">
        <v>100000</v>
      </c>
      <c r="N480" s="3" t="n">
        <v>18</v>
      </c>
      <c r="O480" s="3" t="b">
        <v>0</v>
      </c>
      <c r="P480" s="3" t="b">
        <v>0</v>
      </c>
      <c r="Q480" s="3" t="n">
        <v>1939.041095890409</v>
      </c>
      <c r="R480" s="3" t="n">
        <v>26531.50684931507</v>
      </c>
      <c r="S480" s="3" t="n">
        <v>28470.54794520548</v>
      </c>
      <c r="T480" s="5">
        <f>IF(J480&lt;&gt;"",M480*N480/365/100*('Cashflow Projection'!$B$2-Investors!J480),0)</f>
        <v/>
      </c>
    </row>
    <row r="481">
      <c r="A481" s="3" t="inlineStr">
        <is>
          <t>ZKFT01</t>
        </is>
      </c>
      <c r="B481" s="3" t="inlineStr">
        <is>
          <t>Koovarjee Family Trust</t>
        </is>
      </c>
      <c r="C481" s="3" t="inlineStr">
        <is>
          <t>Koovarjee</t>
        </is>
      </c>
      <c r="D481" s="3" t="inlineStr">
        <is>
          <t>Heron View</t>
        </is>
      </c>
      <c r="E481" s="3" t="inlineStr">
        <is>
          <t>HVO102</t>
        </is>
      </c>
      <c r="F481" s="3" t="b">
        <v>1</v>
      </c>
      <c r="G481" s="3" t="b">
        <v>0</v>
      </c>
      <c r="H481" s="3" t="inlineStr">
        <is>
          <t>O</t>
        </is>
      </c>
      <c r="I481" s="4" t="n">
        <v>44943</v>
      </c>
      <c r="J481" s="4" t="n">
        <v>45016</v>
      </c>
      <c r="K481" s="4" t="n">
        <v>45518</v>
      </c>
      <c r="L481" s="3" t="n">
        <v>2</v>
      </c>
      <c r="M481" s="3" t="n">
        <v>250000</v>
      </c>
      <c r="N481" s="3" t="n">
        <v>14</v>
      </c>
      <c r="O481" s="3" t="b">
        <v>0</v>
      </c>
      <c r="P481" s="3" t="b">
        <v>0</v>
      </c>
      <c r="Q481" s="3" t="n">
        <v>4976.027397260279</v>
      </c>
      <c r="R481" s="3" t="n">
        <v>48136.98630136986</v>
      </c>
      <c r="S481" s="3" t="n">
        <v>53113.01369863014</v>
      </c>
      <c r="T481" s="5">
        <f>IF(J481&lt;&gt;"",M481*N481/365/100*('Cashflow Projection'!$B$2-Investors!J481),0)</f>
        <v/>
      </c>
    </row>
    <row r="482">
      <c r="A482" s="3" t="inlineStr">
        <is>
          <t>ZPED01</t>
        </is>
      </c>
      <c r="B482" s="3" t="inlineStr">
        <is>
          <t>Wendy</t>
        </is>
      </c>
      <c r="C482" s="3" t="inlineStr">
        <is>
          <t>Pedersen</t>
        </is>
      </c>
      <c r="D482" s="3" t="inlineStr">
        <is>
          <t>Heron View</t>
        </is>
      </c>
      <c r="E482" s="3" t="inlineStr">
        <is>
          <t>HVO102</t>
        </is>
      </c>
      <c r="F482" s="3" t="b">
        <v>1</v>
      </c>
      <c r="G482" s="3" t="b">
        <v>0</v>
      </c>
      <c r="H482" s="3" t="inlineStr">
        <is>
          <t>O</t>
        </is>
      </c>
      <c r="I482" s="4" t="n">
        <v>44964</v>
      </c>
      <c r="J482" s="4" t="n">
        <v>45072</v>
      </c>
      <c r="K482" s="4" t="n">
        <v>45518</v>
      </c>
      <c r="L482" s="3" t="n">
        <v>3</v>
      </c>
      <c r="M482" s="3" t="n">
        <v>131234.94</v>
      </c>
      <c r="N482" s="3" t="n">
        <v>18</v>
      </c>
      <c r="O482" s="3" t="b">
        <v>0</v>
      </c>
      <c r="P482" s="3" t="b">
        <v>0</v>
      </c>
      <c r="Q482" s="3" t="n">
        <v>3983.789411506857</v>
      </c>
      <c r="R482" s="3" t="n">
        <v>28864.49584438356</v>
      </c>
      <c r="S482" s="3" t="n">
        <v>32848.28525589042</v>
      </c>
      <c r="T482" s="5">
        <f>IF(J482&lt;&gt;"",M482*N482/365/100*('Cashflow Projection'!$B$2-Investors!J482),0)</f>
        <v/>
      </c>
    </row>
    <row r="483">
      <c r="A483" s="3" t="inlineStr">
        <is>
          <t>ZRIB01</t>
        </is>
      </c>
      <c r="B483" s="3" t="inlineStr">
        <is>
          <t>Paulo Sergio Da Silva</t>
        </is>
      </c>
      <c r="C483" s="3" t="inlineStr">
        <is>
          <t>Ribeiro</t>
        </is>
      </c>
      <c r="D483" s="3" t="inlineStr">
        <is>
          <t>Heron View</t>
        </is>
      </c>
      <c r="E483" s="3" t="inlineStr">
        <is>
          <t>HVO102</t>
        </is>
      </c>
      <c r="F483" s="3" t="b">
        <v>1</v>
      </c>
      <c r="G483" s="3" t="b">
        <v>0</v>
      </c>
      <c r="H483" s="3" t="inlineStr">
        <is>
          <t>O</t>
        </is>
      </c>
      <c r="I483" s="4" t="n">
        <v>44916</v>
      </c>
      <c r="J483" s="4" t="n">
        <v>45008</v>
      </c>
      <c r="K483" s="4" t="n">
        <v>45518</v>
      </c>
      <c r="L483" s="3" t="n">
        <v>2</v>
      </c>
      <c r="M483" s="3" t="n">
        <v>186816.78</v>
      </c>
      <c r="N483" s="3" t="n">
        <v>14</v>
      </c>
      <c r="O483" s="3" t="b">
        <v>0</v>
      </c>
      <c r="P483" s="3" t="b">
        <v>0</v>
      </c>
      <c r="Q483" s="3" t="n">
        <v>4656.344263150683</v>
      </c>
      <c r="R483" s="3" t="n">
        <v>36544.43312876712</v>
      </c>
      <c r="S483" s="3" t="n">
        <v>41200.77739191781</v>
      </c>
      <c r="T483" s="5">
        <f>IF(J483&lt;&gt;"",M483*N483/365/100*('Cashflow Projection'!$B$2-Investors!J483),0)</f>
        <v/>
      </c>
    </row>
    <row r="484">
      <c r="A484" s="3" t="inlineStr">
        <is>
          <t>ZRIT01</t>
        </is>
      </c>
      <c r="B484" s="3" t="inlineStr">
        <is>
          <t>Dennis</t>
        </is>
      </c>
      <c r="C484" s="3" t="inlineStr">
        <is>
          <t>Ritter</t>
        </is>
      </c>
      <c r="D484" s="3" t="inlineStr">
        <is>
          <t>Heron View</t>
        </is>
      </c>
      <c r="E484" s="3" t="inlineStr">
        <is>
          <t>HVO102</t>
        </is>
      </c>
      <c r="F484" s="3" t="b">
        <v>1</v>
      </c>
      <c r="G484" s="3" t="b">
        <v>0</v>
      </c>
      <c r="H484" s="3" t="inlineStr">
        <is>
          <t>O</t>
        </is>
      </c>
      <c r="I484" s="4" t="n">
        <v>44944</v>
      </c>
      <c r="J484" s="4" t="n">
        <v>45016</v>
      </c>
      <c r="K484" s="4" t="n">
        <v>45518</v>
      </c>
      <c r="L484" s="3" t="n">
        <v>9</v>
      </c>
      <c r="M484" s="3" t="n">
        <v>429243.84</v>
      </c>
      <c r="N484" s="3" t="n">
        <v>18</v>
      </c>
      <c r="O484" s="3" t="b">
        <v>0</v>
      </c>
      <c r="P484" s="3" t="b">
        <v>0</v>
      </c>
      <c r="Q484" s="3" t="n">
        <v>8429.055406027388</v>
      </c>
      <c r="R484" s="3" t="n">
        <v>106264.3106367123</v>
      </c>
      <c r="S484" s="3" t="n">
        <v>114693.3660427397</v>
      </c>
      <c r="T484" s="5">
        <f>IF(J484&lt;&gt;"",M484*N484/365/100*('Cashflow Projection'!$B$2-Investors!J484),0)</f>
        <v/>
      </c>
    </row>
    <row r="485">
      <c r="A485" s="3" t="inlineStr">
        <is>
          <t>ZMOO02</t>
        </is>
      </c>
      <c r="B485" s="3" t="inlineStr">
        <is>
          <t>Chreeson Loganathan</t>
        </is>
      </c>
      <c r="C485" s="3" t="inlineStr">
        <is>
          <t>Moodley</t>
        </is>
      </c>
      <c r="D485" s="3" t="inlineStr">
        <is>
          <t>Heron View</t>
        </is>
      </c>
      <c r="E485" s="3" t="inlineStr">
        <is>
          <t>HVO103</t>
        </is>
      </c>
      <c r="F485" s="3" t="b">
        <v>0</v>
      </c>
      <c r="G485" s="3" t="b">
        <v>0</v>
      </c>
      <c r="H485" s="3" t="inlineStr">
        <is>
          <t>O</t>
        </is>
      </c>
      <c r="I485" s="4" t="n">
        <v>44950</v>
      </c>
      <c r="J485" s="4" t="n">
        <v>45016</v>
      </c>
      <c r="K485" s="4" t="n">
        <v>45518</v>
      </c>
      <c r="L485" s="3" t="n">
        <v>3</v>
      </c>
      <c r="M485" s="3" t="n">
        <v>602626.71</v>
      </c>
      <c r="N485" s="3" t="n">
        <v>18</v>
      </c>
      <c r="O485" s="3" t="b">
        <v>0</v>
      </c>
      <c r="P485" s="3" t="b">
        <v>0</v>
      </c>
      <c r="Q485" s="3" t="n">
        <v>10867.91868102739</v>
      </c>
      <c r="R485" s="3" t="n">
        <v>149187.2589468493</v>
      </c>
      <c r="S485" s="3" t="n">
        <v>160055.1776278767</v>
      </c>
      <c r="T485" s="5">
        <f>IF(J485&lt;&gt;"",M485*N485/365/100*('Cashflow Projection'!$B$2-Investors!J485),0)</f>
        <v/>
      </c>
    </row>
    <row r="486">
      <c r="A486" s="3" t="inlineStr">
        <is>
          <t>ZNUN01</t>
        </is>
      </c>
      <c r="B486" s="3" t="inlineStr">
        <is>
          <t>Francisco Antonio</t>
        </is>
      </c>
      <c r="C486" s="3" t="inlineStr">
        <is>
          <t>Nunes</t>
        </is>
      </c>
      <c r="D486" s="3" t="inlineStr">
        <is>
          <t>Heron View</t>
        </is>
      </c>
      <c r="E486" s="3" t="inlineStr">
        <is>
          <t>HVO103</t>
        </is>
      </c>
      <c r="F486" s="3" t="b">
        <v>0</v>
      </c>
      <c r="G486" s="3" t="b">
        <v>0</v>
      </c>
      <c r="H486" s="3" t="inlineStr">
        <is>
          <t>O</t>
        </is>
      </c>
      <c r="I486" s="4" t="n">
        <v>44950</v>
      </c>
      <c r="J486" s="4" t="n">
        <v>45044</v>
      </c>
      <c r="K486" s="4" t="n">
        <v>45518</v>
      </c>
      <c r="L486" s="3" t="n">
        <v>8</v>
      </c>
      <c r="M486" s="3" t="n">
        <v>278815.07</v>
      </c>
      <c r="N486" s="3" t="n">
        <v>18</v>
      </c>
      <c r="O486" s="3" t="b">
        <v>0</v>
      </c>
      <c r="P486" s="3" t="b">
        <v>0</v>
      </c>
      <c r="Q486" s="3" t="n">
        <v>7274.017819383572</v>
      </c>
      <c r="R486" s="3" t="n">
        <v>65173.97745863014</v>
      </c>
      <c r="S486" s="3" t="n">
        <v>72447.99527801371</v>
      </c>
      <c r="T486" s="5">
        <f>IF(J486&lt;&gt;"",M486*N486/365/100*('Cashflow Projection'!$B$2-Investors!J486),0)</f>
        <v/>
      </c>
    </row>
    <row r="487">
      <c r="A487" s="3" t="inlineStr">
        <is>
          <t>ZRIT01</t>
        </is>
      </c>
      <c r="B487" s="3" t="inlineStr">
        <is>
          <t>Dennis</t>
        </is>
      </c>
      <c r="C487" s="3" t="inlineStr">
        <is>
          <t>Ritter</t>
        </is>
      </c>
      <c r="D487" s="3" t="inlineStr">
        <is>
          <t>Heron View</t>
        </is>
      </c>
      <c r="E487" s="3" t="inlineStr">
        <is>
          <t>HVO103</t>
        </is>
      </c>
      <c r="F487" s="3" t="b">
        <v>0</v>
      </c>
      <c r="G487" s="3" t="b">
        <v>0</v>
      </c>
      <c r="H487" s="3" t="inlineStr">
        <is>
          <t>O</t>
        </is>
      </c>
      <c r="I487" s="4" t="n">
        <v>44946</v>
      </c>
      <c r="J487" s="4" t="n">
        <v>45016</v>
      </c>
      <c r="K487" s="4" t="n">
        <v>45518</v>
      </c>
      <c r="L487" s="3" t="n">
        <v>10</v>
      </c>
      <c r="M487" s="3" t="n">
        <v>237315.07</v>
      </c>
      <c r="N487" s="3" t="n">
        <v>18</v>
      </c>
      <c r="O487" s="3" t="b">
        <v>0</v>
      </c>
      <c r="P487" s="3" t="b">
        <v>0</v>
      </c>
      <c r="Q487" s="3" t="n">
        <v>4533.368015273972</v>
      </c>
      <c r="R487" s="3" t="n">
        <v>58750.10883616439</v>
      </c>
      <c r="S487" s="3" t="n">
        <v>63283.47685143835</v>
      </c>
      <c r="T487" s="5">
        <f>IF(J487&lt;&gt;"",M487*N487/365/100*('Cashflow Projection'!$B$2-Investors!J487),0)</f>
        <v/>
      </c>
    </row>
    <row r="488">
      <c r="A488" s="3" t="inlineStr">
        <is>
          <t>ZLEW01</t>
        </is>
      </c>
      <c r="B488" s="3" t="inlineStr">
        <is>
          <t>Martina Christina</t>
        </is>
      </c>
      <c r="C488" s="3" t="inlineStr">
        <is>
          <t>Lewis</t>
        </is>
      </c>
      <c r="D488" s="3" t="inlineStr">
        <is>
          <t>Heron View</t>
        </is>
      </c>
      <c r="E488" s="3" t="inlineStr">
        <is>
          <t>HVO104</t>
        </is>
      </c>
      <c r="F488" s="3" t="b">
        <v>1</v>
      </c>
      <c r="G488" s="3" t="b">
        <v>0</v>
      </c>
      <c r="H488" s="3" t="inlineStr">
        <is>
          <t>O</t>
        </is>
      </c>
      <c r="I488" s="4" t="n">
        <v>44916</v>
      </c>
      <c r="J488" s="4" t="n">
        <v>45016</v>
      </c>
      <c r="K488" s="4" t="n">
        <v>45518</v>
      </c>
      <c r="L488" s="3" t="n">
        <v>10</v>
      </c>
      <c r="M488" s="3" t="n">
        <v>1108630.14</v>
      </c>
      <c r="N488" s="3" t="n">
        <v>18</v>
      </c>
      <c r="O488" s="3" t="b">
        <v>0</v>
      </c>
      <c r="P488" s="3" t="b">
        <v>0</v>
      </c>
      <c r="Q488" s="3" t="n">
        <v>30062.10085109586</v>
      </c>
      <c r="R488" s="3" t="n">
        <v>274454.2998641096</v>
      </c>
      <c r="S488" s="3" t="n">
        <v>304516.4007152055</v>
      </c>
      <c r="T488" s="5">
        <f>IF(J488&lt;&gt;"",M488*N488/365/100*('Cashflow Projection'!$B$2-Investors!J488),0)</f>
        <v/>
      </c>
    </row>
    <row r="489">
      <c r="A489" s="3" t="inlineStr">
        <is>
          <t>ZDEL01</t>
        </is>
      </c>
      <c r="B489" s="3" t="inlineStr">
        <is>
          <t>Pieter</t>
        </is>
      </c>
      <c r="C489" s="3" t="inlineStr">
        <is>
          <t>Jansen van Vuuren</t>
        </is>
      </c>
      <c r="D489" s="3" t="inlineStr">
        <is>
          <t>Heron View</t>
        </is>
      </c>
      <c r="E489" s="3" t="inlineStr">
        <is>
          <t>HVO105</t>
        </is>
      </c>
      <c r="F489" s="3" t="b">
        <v>1</v>
      </c>
      <c r="G489" s="3" t="b">
        <v>0</v>
      </c>
      <c r="H489" s="3" t="inlineStr">
        <is>
          <t>O</t>
        </is>
      </c>
      <c r="I489" s="4" t="n">
        <v>44950</v>
      </c>
      <c r="J489" s="4" t="n">
        <v>45016</v>
      </c>
      <c r="K489" s="4" t="n">
        <v>45518</v>
      </c>
      <c r="L489" s="3" t="n">
        <v>9</v>
      </c>
      <c r="M489" s="3" t="n">
        <v>291044.52</v>
      </c>
      <c r="N489" s="3" t="n">
        <v>18</v>
      </c>
      <c r="O489" s="3" t="b">
        <v>0</v>
      </c>
      <c r="P489" s="3" t="b">
        <v>0</v>
      </c>
      <c r="Q489" s="3" t="n">
        <v>5248.768638082198</v>
      </c>
      <c r="R489" s="3" t="n">
        <v>72051.45980054795</v>
      </c>
      <c r="S489" s="3" t="n">
        <v>77300.22843863015</v>
      </c>
      <c r="T489" s="5">
        <f>IF(J489&lt;&gt;"",M489*N489/365/100*('Cashflow Projection'!$B$2-Investors!J489),0)</f>
        <v/>
      </c>
    </row>
    <row r="490">
      <c r="A490" s="3" t="inlineStr">
        <is>
          <t>ZDIC01</t>
        </is>
      </c>
      <c r="B490" s="3" t="inlineStr">
        <is>
          <t>Grant Allan</t>
        </is>
      </c>
      <c r="C490" s="3" t="inlineStr">
        <is>
          <t>Dickinson</t>
        </is>
      </c>
      <c r="D490" s="3" t="inlineStr">
        <is>
          <t>Heron View</t>
        </is>
      </c>
      <c r="E490" s="3" t="inlineStr">
        <is>
          <t>HVO105</t>
        </is>
      </c>
      <c r="F490" s="3" t="b">
        <v>1</v>
      </c>
      <c r="G490" s="3" t="b">
        <v>0</v>
      </c>
      <c r="H490" s="3" t="inlineStr">
        <is>
          <t>O</t>
        </is>
      </c>
      <c r="I490" s="4" t="n">
        <v>44952</v>
      </c>
      <c r="J490" s="4" t="n">
        <v>45044</v>
      </c>
      <c r="K490" s="4" t="n">
        <v>45518</v>
      </c>
      <c r="L490" s="3" t="n">
        <v>12</v>
      </c>
      <c r="M490" s="3" t="n">
        <v>566390.41</v>
      </c>
      <c r="N490" s="3" t="n">
        <v>18</v>
      </c>
      <c r="O490" s="3" t="b">
        <v>0</v>
      </c>
      <c r="P490" s="3" t="b">
        <v>0</v>
      </c>
      <c r="Q490" s="3" t="n">
        <v>14473.99054595888</v>
      </c>
      <c r="R490" s="3" t="n">
        <v>132395.698030685</v>
      </c>
      <c r="S490" s="3" t="n">
        <v>146869.6885766438</v>
      </c>
      <c r="T490" s="5">
        <f>IF(J490&lt;&gt;"",M490*N490/365/100*('Cashflow Projection'!$B$2-Investors!J490),0)</f>
        <v/>
      </c>
    </row>
    <row r="491">
      <c r="A491" s="3" t="inlineStr">
        <is>
          <t>ZHUT01</t>
        </is>
      </c>
      <c r="B491" s="3" t="inlineStr">
        <is>
          <t>Tracy Jane</t>
        </is>
      </c>
      <c r="C491" s="3" t="inlineStr">
        <is>
          <t>Hutchings</t>
        </is>
      </c>
      <c r="D491" s="3" t="inlineStr">
        <is>
          <t>Heron View</t>
        </is>
      </c>
      <c r="E491" s="3" t="inlineStr">
        <is>
          <t>HVO105</t>
        </is>
      </c>
      <c r="F491" s="3" t="b">
        <v>1</v>
      </c>
      <c r="G491" s="3" t="b">
        <v>0</v>
      </c>
      <c r="H491" s="3" t="inlineStr">
        <is>
          <t>O</t>
        </is>
      </c>
      <c r="I491" s="4" t="n">
        <v>44914</v>
      </c>
      <c r="J491" s="4" t="n">
        <v>45008</v>
      </c>
      <c r="K491" s="4" t="n">
        <v>45518</v>
      </c>
      <c r="L491" s="3" t="n">
        <v>8</v>
      </c>
      <c r="M491" s="3" t="n">
        <v>250000</v>
      </c>
      <c r="N491" s="3" t="n">
        <v>16</v>
      </c>
      <c r="O491" s="3" t="b">
        <v>0</v>
      </c>
      <c r="P491" s="3" t="b">
        <v>0</v>
      </c>
      <c r="Q491" s="3" t="n">
        <v>6364.726027397265</v>
      </c>
      <c r="R491" s="3" t="n">
        <v>55890.41095890411</v>
      </c>
      <c r="S491" s="3" t="n">
        <v>62255.13698630138</v>
      </c>
      <c r="T491" s="5">
        <f>IF(J491&lt;&gt;"",M491*N491/365/100*('Cashflow Projection'!$B$2-Investors!J491),0)</f>
        <v/>
      </c>
    </row>
    <row r="492">
      <c r="A492" s="3" t="inlineStr">
        <is>
          <t>ZCRO01</t>
        </is>
      </c>
      <c r="B492" s="3" t="inlineStr">
        <is>
          <t>Marc</t>
        </is>
      </c>
      <c r="C492" s="3" t="inlineStr">
        <is>
          <t>Lunau</t>
        </is>
      </c>
      <c r="D492" s="3" t="inlineStr">
        <is>
          <t>Heron View</t>
        </is>
      </c>
      <c r="E492" s="3" t="inlineStr">
        <is>
          <t>HVO201</t>
        </is>
      </c>
      <c r="F492" s="3" t="b">
        <v>1</v>
      </c>
      <c r="G492" s="3" t="b">
        <v>0</v>
      </c>
      <c r="H492" s="3" t="inlineStr">
        <is>
          <t>O</t>
        </is>
      </c>
      <c r="I492" s="4" t="n">
        <v>44938</v>
      </c>
      <c r="J492" s="4" t="n">
        <v>45044</v>
      </c>
      <c r="K492" s="4" t="n">
        <v>45518</v>
      </c>
      <c r="L492" s="3" t="n">
        <v>10</v>
      </c>
      <c r="M492" s="3" t="n">
        <v>100000</v>
      </c>
      <c r="N492" s="3" t="n">
        <v>18</v>
      </c>
      <c r="O492" s="3" t="b">
        <v>0</v>
      </c>
      <c r="P492" s="3" t="b">
        <v>0</v>
      </c>
      <c r="Q492" s="3" t="n">
        <v>2929.452054794523</v>
      </c>
      <c r="R492" s="3" t="n">
        <v>23375.34246575342</v>
      </c>
      <c r="S492" s="3" t="n">
        <v>26304.79452054795</v>
      </c>
      <c r="T492" s="5">
        <f>IF(J492&lt;&gt;"",M492*N492/365/100*('Cashflow Projection'!$B$2-Investors!J492),0)</f>
        <v/>
      </c>
    </row>
    <row r="493">
      <c r="A493" s="3" t="inlineStr">
        <is>
          <t>ZJOH01</t>
        </is>
      </c>
      <c r="B493" s="3" t="inlineStr">
        <is>
          <t>Lisa-Marie Natalie</t>
        </is>
      </c>
      <c r="C493" s="3" t="inlineStr">
        <is>
          <t>Johns</t>
        </is>
      </c>
      <c r="D493" s="3" t="inlineStr">
        <is>
          <t>Heron View</t>
        </is>
      </c>
      <c r="E493" s="3" t="inlineStr">
        <is>
          <t>HVO201</t>
        </is>
      </c>
      <c r="F493" s="3" t="b">
        <v>1</v>
      </c>
      <c r="G493" s="3" t="b">
        <v>0</v>
      </c>
      <c r="H493" s="3" t="inlineStr">
        <is>
          <t>O</t>
        </is>
      </c>
      <c r="I493" s="4" t="n">
        <v>44960</v>
      </c>
      <c r="J493" s="4" t="n">
        <v>45072</v>
      </c>
      <c r="K493" s="4" t="n">
        <v>45518</v>
      </c>
      <c r="L493" s="3" t="n">
        <v>8</v>
      </c>
      <c r="M493" s="3" t="n">
        <v>110000</v>
      </c>
      <c r="N493" s="3" t="n">
        <v>18</v>
      </c>
      <c r="O493" s="3" t="b">
        <v>0</v>
      </c>
      <c r="P493" s="3" t="b">
        <v>0</v>
      </c>
      <c r="Q493" s="3" t="n">
        <v>3459.72602739727</v>
      </c>
      <c r="R493" s="3" t="n">
        <v>24193.97260273973</v>
      </c>
      <c r="S493" s="3" t="n">
        <v>27653.698630137</v>
      </c>
      <c r="T493" s="5">
        <f>IF(J493&lt;&gt;"",M493*N493/365/100*('Cashflow Projection'!$B$2-Investors!J493),0)</f>
        <v/>
      </c>
    </row>
    <row r="494">
      <c r="A494" s="3" t="inlineStr">
        <is>
          <t>ZMAT01</t>
        </is>
      </c>
      <c r="B494" s="3" t="inlineStr">
        <is>
          <t>Natalie</t>
        </is>
      </c>
      <c r="C494" s="3" t="inlineStr">
        <is>
          <t>Matthews</t>
        </is>
      </c>
      <c r="D494" s="3" t="inlineStr">
        <is>
          <t>Heron View</t>
        </is>
      </c>
      <c r="E494" s="3" t="inlineStr">
        <is>
          <t>HVO201</t>
        </is>
      </c>
      <c r="F494" s="3" t="b">
        <v>1</v>
      </c>
      <c r="G494" s="3" t="b">
        <v>0</v>
      </c>
      <c r="H494" s="3" t="inlineStr">
        <is>
          <t>O</t>
        </is>
      </c>
      <c r="I494" s="4" t="n">
        <v>44958</v>
      </c>
      <c r="J494" s="4" t="n">
        <v>45072</v>
      </c>
      <c r="K494" s="4" t="n">
        <v>45518</v>
      </c>
      <c r="L494" s="3" t="n">
        <v>6</v>
      </c>
      <c r="M494" s="3" t="n">
        <v>256652.05</v>
      </c>
      <c r="N494" s="3" t="n">
        <v>14</v>
      </c>
      <c r="O494" s="3" t="b">
        <v>0</v>
      </c>
      <c r="P494" s="3" t="b">
        <v>0</v>
      </c>
      <c r="Q494" s="3" t="n">
        <v>8212.865600000019</v>
      </c>
      <c r="R494" s="3" t="n">
        <v>43905.07945753424</v>
      </c>
      <c r="S494" s="3" t="n">
        <v>52117.94505753426</v>
      </c>
      <c r="T494" s="5">
        <f>IF(J494&lt;&gt;"",M494*N494/365/100*('Cashflow Projection'!$B$2-Investors!J494),0)</f>
        <v/>
      </c>
    </row>
    <row r="495">
      <c r="A495" s="3" t="inlineStr">
        <is>
          <t>ZTHA01</t>
        </is>
      </c>
      <c r="B495" s="3" t="inlineStr">
        <is>
          <t>Gerald Adriaan Odendal</t>
        </is>
      </c>
      <c r="C495" s="3" t="inlineStr">
        <is>
          <t>Matthee</t>
        </is>
      </c>
      <c r="D495" s="3" t="inlineStr">
        <is>
          <t>Heron View</t>
        </is>
      </c>
      <c r="E495" s="3" t="inlineStr">
        <is>
          <t>HVO201</t>
        </is>
      </c>
      <c r="F495" s="3" t="b">
        <v>1</v>
      </c>
      <c r="G495" s="3" t="b">
        <v>0</v>
      </c>
      <c r="H495" s="3" t="inlineStr">
        <is>
          <t>O</t>
        </is>
      </c>
      <c r="I495" s="4" t="n">
        <v>44942</v>
      </c>
      <c r="J495" s="4" t="n">
        <v>45016</v>
      </c>
      <c r="K495" s="4" t="n">
        <v>45518</v>
      </c>
      <c r="L495" s="3" t="n">
        <v>4</v>
      </c>
      <c r="M495" s="3" t="n">
        <v>229795.89</v>
      </c>
      <c r="N495" s="3" t="n">
        <v>16</v>
      </c>
      <c r="O495" s="3" t="b">
        <v>0</v>
      </c>
      <c r="P495" s="3" t="b">
        <v>0</v>
      </c>
      <c r="Q495" s="3" t="n">
        <v>4635.266411301377</v>
      </c>
      <c r="R495" s="3" t="n">
        <v>50567.68735561644</v>
      </c>
      <c r="S495" s="3" t="n">
        <v>55202.95376691781</v>
      </c>
      <c r="T495" s="5">
        <f>IF(J495&lt;&gt;"",M495*N495/365/100*('Cashflow Projection'!$B$2-Investors!J495),0)</f>
        <v/>
      </c>
    </row>
    <row r="496">
      <c r="A496" s="3" t="inlineStr">
        <is>
          <t>ZVAN05</t>
        </is>
      </c>
      <c r="B496" s="3" t="inlineStr">
        <is>
          <t>Hermanus</t>
        </is>
      </c>
      <c r="C496" s="3" t="inlineStr">
        <is>
          <t>van der Sandt</t>
        </is>
      </c>
      <c r="D496" s="3" t="inlineStr">
        <is>
          <t>Heron View</t>
        </is>
      </c>
      <c r="E496" s="3" t="inlineStr">
        <is>
          <t>HVO201</t>
        </is>
      </c>
      <c r="F496" s="3" t="b">
        <v>1</v>
      </c>
      <c r="G496" s="3" t="b">
        <v>0</v>
      </c>
      <c r="H496" s="3" t="inlineStr">
        <is>
          <t>O</t>
        </is>
      </c>
      <c r="I496" s="4" t="n">
        <v>44992</v>
      </c>
      <c r="J496" s="4" t="n">
        <v>45107</v>
      </c>
      <c r="K496" s="4" t="n">
        <v>45518</v>
      </c>
      <c r="L496" s="3" t="n">
        <v>8</v>
      </c>
      <c r="M496" s="3" t="n">
        <v>350000</v>
      </c>
      <c r="N496" s="3" t="n">
        <v>18</v>
      </c>
      <c r="O496" s="3" t="b">
        <v>0</v>
      </c>
      <c r="P496" s="3" t="b">
        <v>0</v>
      </c>
      <c r="Q496" s="3" t="n">
        <v>11607.53424657535</v>
      </c>
      <c r="R496" s="3" t="n">
        <v>70939.72602739726</v>
      </c>
      <c r="S496" s="3" t="n">
        <v>82547.26027397261</v>
      </c>
      <c r="T496" s="5">
        <f>IF(J496&lt;&gt;"",M496*N496/365/100*('Cashflow Projection'!$B$2-Investors!J496),0)</f>
        <v/>
      </c>
    </row>
    <row r="497">
      <c r="A497" s="3" t="inlineStr">
        <is>
          <t>ZDEL01</t>
        </is>
      </c>
      <c r="B497" s="3" t="inlineStr">
        <is>
          <t>Pieter</t>
        </is>
      </c>
      <c r="C497" s="3" t="inlineStr">
        <is>
          <t>Jansen van Vuuren</t>
        </is>
      </c>
      <c r="D497" s="3" t="inlineStr">
        <is>
          <t>Heron View</t>
        </is>
      </c>
      <c r="E497" s="3" t="inlineStr">
        <is>
          <t>HVO202</t>
        </is>
      </c>
      <c r="F497" s="3" t="b">
        <v>0</v>
      </c>
      <c r="G497" s="3" t="b">
        <v>0</v>
      </c>
      <c r="H497" s="3" t="inlineStr">
        <is>
          <t>O</t>
        </is>
      </c>
      <c r="I497" s="4" t="n">
        <v>44952</v>
      </c>
      <c r="J497" s="4" t="n">
        <v>45044</v>
      </c>
      <c r="K497" s="4" t="n">
        <v>45518</v>
      </c>
      <c r="L497" s="3" t="n">
        <v>10</v>
      </c>
      <c r="M497" s="3" t="n">
        <v>170585.96</v>
      </c>
      <c r="N497" s="3" t="n">
        <v>18</v>
      </c>
      <c r="O497" s="3" t="b">
        <v>0</v>
      </c>
      <c r="P497" s="3" t="b">
        <v>0</v>
      </c>
      <c r="Q497" s="3" t="n">
        <v>4359.289155890412</v>
      </c>
      <c r="R497" s="3" t="n">
        <v>39875.05234849315</v>
      </c>
      <c r="S497" s="3" t="n">
        <v>44234.34150438356</v>
      </c>
      <c r="T497" s="5">
        <f>IF(J497&lt;&gt;"",M497*N497/365/100*('Cashflow Projection'!$B$2-Investors!J497),0)</f>
        <v/>
      </c>
    </row>
    <row r="498">
      <c r="A498" s="3" t="inlineStr">
        <is>
          <t>ZHEI01</t>
        </is>
      </c>
      <c r="B498" s="3" t="inlineStr">
        <is>
          <t>Dieter Raimund</t>
        </is>
      </c>
      <c r="C498" s="3" t="inlineStr">
        <is>
          <t>Heinze</t>
        </is>
      </c>
      <c r="D498" s="3" t="inlineStr">
        <is>
          <t>Heron View</t>
        </is>
      </c>
      <c r="E498" s="3" t="inlineStr">
        <is>
          <t>HVO202</t>
        </is>
      </c>
      <c r="F498" s="3" t="b">
        <v>0</v>
      </c>
      <c r="G498" s="3" t="b">
        <v>0</v>
      </c>
      <c r="H498" s="3" t="inlineStr">
        <is>
          <t>O</t>
        </is>
      </c>
      <c r="I498" s="4" t="n">
        <v>44960</v>
      </c>
      <c r="J498" s="4" t="n">
        <v>45072</v>
      </c>
      <c r="K498" s="4" t="n">
        <v>45518</v>
      </c>
      <c r="L498" s="3" t="n">
        <v>11</v>
      </c>
      <c r="M498" s="3" t="n">
        <v>258587.14</v>
      </c>
      <c r="N498" s="3" t="n">
        <v>18</v>
      </c>
      <c r="O498" s="3" t="b">
        <v>0</v>
      </c>
      <c r="P498" s="3" t="b">
        <v>0</v>
      </c>
      <c r="Q498" s="3" t="n">
        <v>8133.096896438373</v>
      </c>
      <c r="R498" s="3" t="n">
        <v>56875.00164164384</v>
      </c>
      <c r="S498" s="3" t="n">
        <v>65008.09853808222</v>
      </c>
      <c r="T498" s="5">
        <f>IF(J498&lt;&gt;"",M498*N498/365/100*('Cashflow Projection'!$B$2-Investors!J498),0)</f>
        <v/>
      </c>
    </row>
    <row r="499">
      <c r="A499" s="3" t="inlineStr">
        <is>
          <t>ZLOU03</t>
        </is>
      </c>
      <c r="B499" s="3" t="inlineStr">
        <is>
          <t>Peter Arnold</t>
        </is>
      </c>
      <c r="C499" s="3" t="inlineStr">
        <is>
          <t>Louwrens</t>
        </is>
      </c>
      <c r="D499" s="3" t="inlineStr">
        <is>
          <t>Heron View</t>
        </is>
      </c>
      <c r="E499" s="3" t="inlineStr">
        <is>
          <t>HVO202</t>
        </is>
      </c>
      <c r="F499" s="3" t="b">
        <v>0</v>
      </c>
      <c r="G499" s="3" t="b">
        <v>0</v>
      </c>
      <c r="H499" s="3" t="inlineStr">
        <is>
          <t>O</t>
        </is>
      </c>
      <c r="I499" s="4" t="n">
        <v>44952</v>
      </c>
      <c r="J499" s="4" t="n">
        <v>45044</v>
      </c>
      <c r="K499" s="4" t="n">
        <v>45518</v>
      </c>
      <c r="L499" s="3" t="n">
        <v>2</v>
      </c>
      <c r="M499" s="3" t="n">
        <v>500000</v>
      </c>
      <c r="N499" s="3" t="n">
        <v>16</v>
      </c>
      <c r="O499" s="3" t="b">
        <v>0</v>
      </c>
      <c r="P499" s="3" t="b">
        <v>0</v>
      </c>
      <c r="Q499" s="3" t="n">
        <v>12777.397260274</v>
      </c>
      <c r="R499" s="3" t="n">
        <v>103890.4109589041</v>
      </c>
      <c r="S499" s="3" t="n">
        <v>116667.8082191781</v>
      </c>
      <c r="T499" s="5">
        <f>IF(J499&lt;&gt;"",M499*N499/365/100*('Cashflow Projection'!$B$2-Investors!J499),0)</f>
        <v/>
      </c>
    </row>
    <row r="500">
      <c r="A500" s="3" t="inlineStr">
        <is>
          <t>ZWAL01</t>
        </is>
      </c>
      <c r="B500" s="3" t="inlineStr">
        <is>
          <t>Benedict Joseph</t>
        </is>
      </c>
      <c r="C500" s="3" t="inlineStr">
        <is>
          <t>Walters</t>
        </is>
      </c>
      <c r="D500" s="3" t="inlineStr">
        <is>
          <t>Heron View</t>
        </is>
      </c>
      <c r="E500" s="3" t="inlineStr">
        <is>
          <t>HVO202</t>
        </is>
      </c>
      <c r="F500" s="3" t="b">
        <v>0</v>
      </c>
      <c r="G500" s="3" t="b">
        <v>0</v>
      </c>
      <c r="H500" s="3" t="inlineStr">
        <is>
          <t>O</t>
        </is>
      </c>
      <c r="I500" s="4" t="n">
        <v>44946</v>
      </c>
      <c r="J500" s="4" t="n">
        <v>45016</v>
      </c>
      <c r="K500" s="4" t="n">
        <v>45518</v>
      </c>
      <c r="L500" s="3" t="n">
        <v>2</v>
      </c>
      <c r="M500" s="3" t="n">
        <v>187515.41</v>
      </c>
      <c r="N500" s="3" t="n">
        <v>14</v>
      </c>
      <c r="O500" s="3" t="b">
        <v>0</v>
      </c>
      <c r="P500" s="3" t="b">
        <v>0</v>
      </c>
      <c r="Q500" s="3" t="n">
        <v>3582.058071849312</v>
      </c>
      <c r="R500" s="3" t="n">
        <v>36105.70688986302</v>
      </c>
      <c r="S500" s="3" t="n">
        <v>39687.76496171234</v>
      </c>
      <c r="T500" s="5">
        <f>IF(J500&lt;&gt;"",M500*N500/365/100*('Cashflow Projection'!$B$2-Investors!J500),0)</f>
        <v/>
      </c>
    </row>
    <row r="501">
      <c r="A501" s="3" t="inlineStr">
        <is>
          <t>ZCRO01</t>
        </is>
      </c>
      <c r="B501" s="3" t="inlineStr">
        <is>
          <t>Marc</t>
        </is>
      </c>
      <c r="C501" s="3" t="inlineStr">
        <is>
          <t>Lunau</t>
        </is>
      </c>
      <c r="D501" s="3" t="inlineStr">
        <is>
          <t>Heron View</t>
        </is>
      </c>
      <c r="E501" s="3" t="inlineStr">
        <is>
          <t>HVO203</t>
        </is>
      </c>
      <c r="F501" s="3" t="b">
        <v>0</v>
      </c>
      <c r="G501" s="3" t="b">
        <v>0</v>
      </c>
      <c r="H501" s="3" t="inlineStr">
        <is>
          <t>O</t>
        </is>
      </c>
      <c r="I501" s="4" t="n">
        <v>44965</v>
      </c>
      <c r="J501" s="4" t="n">
        <v>45072</v>
      </c>
      <c r="K501" s="4" t="n">
        <v>45518</v>
      </c>
      <c r="L501" s="3" t="n">
        <v>11</v>
      </c>
      <c r="M501" s="3" t="n">
        <v>110000</v>
      </c>
      <c r="N501" s="3" t="n">
        <v>18</v>
      </c>
      <c r="O501" s="3" t="b">
        <v>0</v>
      </c>
      <c r="P501" s="3" t="b">
        <v>0</v>
      </c>
      <c r="Q501" s="3" t="n">
        <v>3309.041095890419</v>
      </c>
      <c r="R501" s="3" t="n">
        <v>24193.97260273973</v>
      </c>
      <c r="S501" s="3" t="n">
        <v>27503.01369863014</v>
      </c>
      <c r="T501" s="5">
        <f>IF(J501&lt;&gt;"",M501*N501/365/100*('Cashflow Projection'!$B$2-Investors!J501),0)</f>
        <v/>
      </c>
    </row>
    <row r="502">
      <c r="A502" s="3" t="inlineStr">
        <is>
          <t>ZKRU01</t>
        </is>
      </c>
      <c r="B502" s="3" t="inlineStr">
        <is>
          <t>Jurgen</t>
        </is>
      </c>
      <c r="C502" s="3" t="inlineStr">
        <is>
          <t>Kruger</t>
        </is>
      </c>
      <c r="D502" s="3" t="inlineStr">
        <is>
          <t>Heron View</t>
        </is>
      </c>
      <c r="E502" s="3" t="inlineStr">
        <is>
          <t>HVO203</t>
        </is>
      </c>
      <c r="F502" s="3" t="b">
        <v>0</v>
      </c>
      <c r="G502" s="3" t="b">
        <v>0</v>
      </c>
      <c r="H502" s="3" t="inlineStr">
        <is>
          <t>O</t>
        </is>
      </c>
      <c r="I502" s="4" t="n">
        <v>44964</v>
      </c>
      <c r="J502" s="4" t="n">
        <v>45072</v>
      </c>
      <c r="K502" s="4" t="n">
        <v>45518</v>
      </c>
      <c r="L502" s="3" t="n">
        <v>7</v>
      </c>
      <c r="M502" s="3" t="n">
        <v>819398.7</v>
      </c>
      <c r="N502" s="3" t="n">
        <v>18</v>
      </c>
      <c r="O502" s="3" t="b">
        <v>0</v>
      </c>
      <c r="P502" s="3" t="b">
        <v>0</v>
      </c>
      <c r="Q502" s="3" t="n">
        <v>24873.80163287676</v>
      </c>
      <c r="R502" s="3" t="n">
        <v>180222.8154410959</v>
      </c>
      <c r="S502" s="3" t="n">
        <v>205096.6170739727</v>
      </c>
      <c r="T502" s="5">
        <f>IF(J502&lt;&gt;"",M502*N502/365/100*('Cashflow Projection'!$B$2-Investors!J502),0)</f>
        <v/>
      </c>
    </row>
    <row r="503">
      <c r="A503" s="3" t="inlineStr">
        <is>
          <t>ZVAL01</t>
        </is>
      </c>
      <c r="B503" s="3" t="inlineStr">
        <is>
          <t>Manoj</t>
        </is>
      </c>
      <c r="C503" s="3" t="inlineStr">
        <is>
          <t>Vallabh</t>
        </is>
      </c>
      <c r="D503" s="3" t="inlineStr">
        <is>
          <t>Heron View</t>
        </is>
      </c>
      <c r="E503" s="3" t="inlineStr">
        <is>
          <t>HVO203</t>
        </is>
      </c>
      <c r="F503" s="3" t="b">
        <v>0</v>
      </c>
      <c r="G503" s="3" t="b">
        <v>0</v>
      </c>
      <c r="H503" s="3" t="inlineStr">
        <is>
          <t>O</t>
        </is>
      </c>
      <c r="I503" s="4" t="n">
        <v>45012</v>
      </c>
      <c r="J503" s="4" t="n">
        <v>45129</v>
      </c>
      <c r="K503" s="4" t="n">
        <v>45518</v>
      </c>
      <c r="L503" s="3" t="n">
        <v>2</v>
      </c>
      <c r="M503" s="3" t="n">
        <v>192071.92</v>
      </c>
      <c r="N503" s="3" t="n">
        <v>14</v>
      </c>
      <c r="O503" s="3" t="b">
        <v>0</v>
      </c>
      <c r="P503" s="3" t="b">
        <v>0</v>
      </c>
      <c r="Q503" s="3" t="n">
        <v>6590.961090410965</v>
      </c>
      <c r="R503" s="3" t="n">
        <v>28658.18291287672</v>
      </c>
      <c r="S503" s="3" t="n">
        <v>35249.14400328769</v>
      </c>
      <c r="T503" s="5">
        <f>IF(J503&lt;&gt;"",M503*N503/365/100*('Cashflow Projection'!$B$2-Investors!J503),0)</f>
        <v/>
      </c>
    </row>
    <row r="504">
      <c r="A504" s="3" t="inlineStr">
        <is>
          <t>ZLAB01</t>
        </is>
      </c>
      <c r="B504" s="3" t="inlineStr">
        <is>
          <t>Andre Jan</t>
        </is>
      </c>
      <c r="C504" s="3" t="inlineStr">
        <is>
          <t>Labuschagne</t>
        </is>
      </c>
      <c r="D504" s="3" t="inlineStr">
        <is>
          <t>Heron View</t>
        </is>
      </c>
      <c r="E504" s="3" t="inlineStr">
        <is>
          <t>HVO204</t>
        </is>
      </c>
      <c r="F504" s="3" t="b">
        <v>0</v>
      </c>
      <c r="G504" s="3" t="b">
        <v>0</v>
      </c>
      <c r="H504" s="3" t="inlineStr">
        <is>
          <t>O</t>
        </is>
      </c>
      <c r="I504" s="4" t="n">
        <v>44964</v>
      </c>
      <c r="J504" s="4" t="n">
        <v>45072</v>
      </c>
      <c r="K504" s="4" t="n">
        <v>45518</v>
      </c>
      <c r="L504" s="3" t="n">
        <v>4</v>
      </c>
      <c r="M504" s="3" t="n">
        <v>586801.37</v>
      </c>
      <c r="N504" s="3" t="n">
        <v>18</v>
      </c>
      <c r="O504" s="3" t="b">
        <v>0</v>
      </c>
      <c r="P504" s="3" t="b">
        <v>0</v>
      </c>
      <c r="Q504" s="3" t="n">
        <v>17813.03884821915</v>
      </c>
      <c r="R504" s="3" t="n">
        <v>129064.147900274</v>
      </c>
      <c r="S504" s="3" t="n">
        <v>146877.1867484931</v>
      </c>
      <c r="T504" s="5">
        <f>IF(J504&lt;&gt;"",M504*N504/365/100*('Cashflow Projection'!$B$2-Investors!J504),0)</f>
        <v/>
      </c>
    </row>
    <row r="505">
      <c r="A505" s="3" t="inlineStr">
        <is>
          <t>ZTSO01</t>
        </is>
      </c>
      <c r="B505" s="3" t="inlineStr">
        <is>
          <t>Abram Matlotleng</t>
        </is>
      </c>
      <c r="C505" s="3" t="inlineStr">
        <is>
          <t>Tsoku</t>
        </is>
      </c>
      <c r="D505" s="3" t="inlineStr">
        <is>
          <t>Heron View</t>
        </is>
      </c>
      <c r="E505" s="3" t="inlineStr">
        <is>
          <t>HVO204</t>
        </is>
      </c>
      <c r="F505" s="3" t="b">
        <v>0</v>
      </c>
      <c r="G505" s="3" t="b">
        <v>0</v>
      </c>
      <c r="H505" s="3" t="inlineStr">
        <is>
          <t>O</t>
        </is>
      </c>
      <c r="I505" s="4" t="n">
        <v>44964</v>
      </c>
      <c r="J505" s="4" t="n">
        <v>45072</v>
      </c>
      <c r="K505" s="4" t="n">
        <v>45518</v>
      </c>
      <c r="L505" s="3" t="n">
        <v>2</v>
      </c>
      <c r="M505" s="3" t="n">
        <v>504150.68</v>
      </c>
      <c r="N505" s="3" t="n">
        <v>16</v>
      </c>
      <c r="O505" s="3" t="b">
        <v>0</v>
      </c>
      <c r="P505" s="3" t="b">
        <v>0</v>
      </c>
      <c r="Q505" s="3" t="n">
        <v>15304.08091616442</v>
      </c>
      <c r="R505" s="3" t="n">
        <v>98564.91102684931</v>
      </c>
      <c r="S505" s="3" t="n">
        <v>113868.9919430137</v>
      </c>
      <c r="T505" s="5">
        <f>IF(J505&lt;&gt;"",M505*N505/365/100*('Cashflow Projection'!$B$2-Investors!J505),0)</f>
        <v/>
      </c>
    </row>
    <row r="506">
      <c r="A506" s="3" t="inlineStr">
        <is>
          <t>ZKUS04</t>
        </is>
      </c>
      <c r="B506" s="3" t="inlineStr">
        <is>
          <t>Willie</t>
        </is>
      </c>
      <c r="C506" s="3" t="inlineStr">
        <is>
          <t>Kusel</t>
        </is>
      </c>
      <c r="D506" s="3" t="inlineStr">
        <is>
          <t>Heron View</t>
        </is>
      </c>
      <c r="E506" s="3" t="inlineStr">
        <is>
          <t>HVO205</t>
        </is>
      </c>
      <c r="F506" s="3" t="b">
        <v>0</v>
      </c>
      <c r="G506" s="3" t="b">
        <v>0</v>
      </c>
      <c r="H506" s="3" t="inlineStr">
        <is>
          <t>O</t>
        </is>
      </c>
      <c r="I506" s="4" t="n">
        <v>44960</v>
      </c>
      <c r="J506" s="4" t="n">
        <v>45072</v>
      </c>
      <c r="K506" s="4" t="n">
        <v>45518</v>
      </c>
      <c r="L506" s="3" t="n">
        <v>2</v>
      </c>
      <c r="M506" s="3" t="n">
        <v>1000000</v>
      </c>
      <c r="N506" s="3" t="n">
        <v>18</v>
      </c>
      <c r="O506" s="3" t="b">
        <v>0</v>
      </c>
      <c r="P506" s="3" t="b">
        <v>0</v>
      </c>
      <c r="Q506" s="3" t="n">
        <v>31452.05479452062</v>
      </c>
      <c r="R506" s="3" t="n">
        <v>219945.2054794521</v>
      </c>
      <c r="S506" s="3" t="n">
        <v>251397.2602739727</v>
      </c>
      <c r="T506" s="5">
        <f>IF(J506&lt;&gt;"",M506*N506/365/100*('Cashflow Projection'!$B$2-Investors!J506),0)</f>
        <v/>
      </c>
    </row>
    <row r="507">
      <c r="A507" s="3" t="inlineStr">
        <is>
          <t>ZVAN10</t>
        </is>
      </c>
      <c r="B507" s="3" t="inlineStr">
        <is>
          <t>Wilhelm Johannes</t>
        </is>
      </c>
      <c r="C507" s="3" t="inlineStr">
        <is>
          <t>van der Merwe</t>
        </is>
      </c>
      <c r="D507" s="3" t="inlineStr">
        <is>
          <t>Heron View</t>
        </is>
      </c>
      <c r="E507" s="3" t="inlineStr">
        <is>
          <t>HVO205</t>
        </is>
      </c>
      <c r="F507" s="3" t="b">
        <v>0</v>
      </c>
      <c r="G507" s="3" t="b">
        <v>0</v>
      </c>
      <c r="H507" s="3" t="inlineStr">
        <is>
          <t>O</t>
        </is>
      </c>
      <c r="I507" s="4" t="n">
        <v>44973</v>
      </c>
      <c r="J507" s="4" t="n">
        <v>45072</v>
      </c>
      <c r="K507" s="4" t="n">
        <v>45518</v>
      </c>
      <c r="L507" s="3" t="n">
        <v>2</v>
      </c>
      <c r="M507" s="3" t="n">
        <v>100000</v>
      </c>
      <c r="N507" s="3" t="n">
        <v>18</v>
      </c>
      <c r="O507" s="3" t="b">
        <v>0</v>
      </c>
      <c r="P507" s="3" t="b">
        <v>0</v>
      </c>
      <c r="Q507" s="3" t="n">
        <v>2789.041095890415</v>
      </c>
      <c r="R507" s="3" t="n">
        <v>21994.52054794521</v>
      </c>
      <c r="S507" s="3" t="n">
        <v>24783.56164383562</v>
      </c>
      <c r="T507" s="5">
        <f>IF(J507&lt;&gt;"",M507*N507/365/100*('Cashflow Projection'!$B$2-Investors!J507),0)</f>
        <v/>
      </c>
    </row>
    <row r="508">
      <c r="A508" s="3" t="inlineStr">
        <is>
          <t>ZDEV02</t>
        </is>
      </c>
      <c r="B508" s="3" t="inlineStr">
        <is>
          <t>André Deric</t>
        </is>
      </c>
      <c r="C508" s="3" t="inlineStr">
        <is>
          <t>de Villiers</t>
        </is>
      </c>
      <c r="D508" s="3" t="inlineStr">
        <is>
          <t>Heron View</t>
        </is>
      </c>
      <c r="E508" s="3" t="inlineStr">
        <is>
          <t>HVO301</t>
        </is>
      </c>
      <c r="F508" s="3" t="b">
        <v>0</v>
      </c>
      <c r="G508" s="3" t="b">
        <v>0</v>
      </c>
      <c r="H508" s="3" t="inlineStr">
        <is>
          <t>O</t>
        </is>
      </c>
      <c r="I508" s="4" t="n">
        <v>44973</v>
      </c>
      <c r="J508" s="4" t="n">
        <v>45107</v>
      </c>
      <c r="K508" s="4" t="n">
        <v>45518</v>
      </c>
      <c r="L508" s="3" t="n">
        <v>1</v>
      </c>
      <c r="M508" s="3" t="n">
        <v>600000</v>
      </c>
      <c r="N508" s="3" t="n">
        <v>18</v>
      </c>
      <c r="O508" s="3" t="b">
        <v>0</v>
      </c>
      <c r="P508" s="3" t="b">
        <v>0</v>
      </c>
      <c r="Q508" s="3" t="n">
        <v>23021.91780821915</v>
      </c>
      <c r="R508" s="3" t="n">
        <v>121610.9589041096</v>
      </c>
      <c r="S508" s="3" t="n">
        <v>144632.8767123287</v>
      </c>
      <c r="T508" s="5">
        <f>IF(J508&lt;&gt;"",M508*N508/365/100*('Cashflow Projection'!$B$2-Investors!J508),0)</f>
        <v/>
      </c>
    </row>
    <row r="509">
      <c r="A509" s="3" t="inlineStr">
        <is>
          <t>ZGOF01</t>
        </is>
      </c>
      <c r="B509" s="3" t="inlineStr">
        <is>
          <t>Angela</t>
        </is>
      </c>
      <c r="C509" s="3" t="inlineStr">
        <is>
          <t>Goff</t>
        </is>
      </c>
      <c r="D509" s="3" t="inlineStr">
        <is>
          <t>Heron View</t>
        </is>
      </c>
      <c r="E509" s="3" t="inlineStr">
        <is>
          <t>HVO301</t>
        </is>
      </c>
      <c r="F509" s="3" t="b">
        <v>0</v>
      </c>
      <c r="G509" s="3" t="b">
        <v>0</v>
      </c>
      <c r="H509" s="3" t="inlineStr">
        <is>
          <t>O</t>
        </is>
      </c>
      <c r="I509" s="4" t="n">
        <v>45019</v>
      </c>
      <c r="J509" s="4" t="n">
        <v>45129</v>
      </c>
      <c r="K509" s="4" t="n">
        <v>45518</v>
      </c>
      <c r="L509" s="3" t="n">
        <v>3</v>
      </c>
      <c r="M509" s="3" t="n">
        <v>101260.27</v>
      </c>
      <c r="N509" s="3" t="n">
        <v>18</v>
      </c>
      <c r="O509" s="3" t="b">
        <v>0</v>
      </c>
      <c r="P509" s="3" t="b">
        <v>0</v>
      </c>
      <c r="Q509" s="3" t="n">
        <v>3276.39394164383</v>
      </c>
      <c r="R509" s="3" t="n">
        <v>19425.32631616438</v>
      </c>
      <c r="S509" s="3" t="n">
        <v>22701.72025780821</v>
      </c>
      <c r="T509" s="5">
        <f>IF(J509&lt;&gt;"",M509*N509/365/100*('Cashflow Projection'!$B$2-Investors!J509),0)</f>
        <v/>
      </c>
    </row>
    <row r="510">
      <c r="A510" s="3" t="inlineStr">
        <is>
          <t>ZLAM01</t>
        </is>
      </c>
      <c r="B510" s="3" t="inlineStr">
        <is>
          <t>Oswald Robert (Ossie)</t>
        </is>
      </c>
      <c r="C510" s="3" t="inlineStr">
        <is>
          <t>Lamb</t>
        </is>
      </c>
      <c r="D510" s="3" t="inlineStr">
        <is>
          <t>Heron View</t>
        </is>
      </c>
      <c r="E510" s="3" t="inlineStr">
        <is>
          <t>HVO301</t>
        </is>
      </c>
      <c r="F510" s="3" t="b">
        <v>0</v>
      </c>
      <c r="G510" s="3" t="b">
        <v>0</v>
      </c>
      <c r="H510" s="3" t="inlineStr">
        <is>
          <t>O</t>
        </is>
      </c>
      <c r="I510" s="4" t="n">
        <v>45077</v>
      </c>
      <c r="J510" s="4" t="n">
        <v>45252</v>
      </c>
      <c r="K510" s="4" t="n">
        <v>45518</v>
      </c>
      <c r="L510" s="3" t="n">
        <v>1</v>
      </c>
      <c r="M510" s="3" t="n">
        <v>200000</v>
      </c>
      <c r="N510" s="3" t="n">
        <v>14</v>
      </c>
      <c r="O510" s="3" t="b">
        <v>0</v>
      </c>
      <c r="P510" s="3" t="b">
        <v>0</v>
      </c>
      <c r="Q510" s="3" t="n">
        <v>10547.94520547942</v>
      </c>
      <c r="R510" s="3" t="n">
        <v>20405.47945205479</v>
      </c>
      <c r="S510" s="3" t="n">
        <v>30953.42465753421</v>
      </c>
      <c r="T510" s="5">
        <f>IF(J510&lt;&gt;"",M510*N510/365/100*('Cashflow Projection'!$B$2-Investors!J510),0)</f>
        <v/>
      </c>
    </row>
    <row r="511">
      <c r="A511" s="3" t="inlineStr">
        <is>
          <t>ZMAT04</t>
        </is>
      </c>
      <c r="B511" s="3" t="inlineStr">
        <is>
          <t>Mosweu Abraham Stephen</t>
        </is>
      </c>
      <c r="C511" s="3" t="inlineStr">
        <is>
          <t>Matang</t>
        </is>
      </c>
      <c r="D511" s="3" t="inlineStr">
        <is>
          <t>Heron View</t>
        </is>
      </c>
      <c r="E511" s="3" t="inlineStr">
        <is>
          <t>HVO301</t>
        </is>
      </c>
      <c r="F511" s="3" t="b">
        <v>0</v>
      </c>
      <c r="G511" s="3" t="b">
        <v>0</v>
      </c>
      <c r="H511" s="3" t="inlineStr">
        <is>
          <t>O</t>
        </is>
      </c>
      <c r="I511" s="4" t="n">
        <v>45146</v>
      </c>
      <c r="J511" s="4" t="n">
        <v>45273</v>
      </c>
      <c r="K511" s="4" t="n">
        <v>45518</v>
      </c>
      <c r="L511" s="3" t="n">
        <v>1</v>
      </c>
      <c r="M511" s="3" t="n">
        <v>100000</v>
      </c>
      <c r="N511" s="3" t="n">
        <v>14</v>
      </c>
      <c r="O511" s="3" t="b">
        <v>0</v>
      </c>
      <c r="P511" s="3" t="b">
        <v>0</v>
      </c>
      <c r="Q511" s="3" t="n">
        <v>3827.397260273965</v>
      </c>
      <c r="R511" s="3" t="n">
        <v>9397.260273972603</v>
      </c>
      <c r="S511" s="3" t="n">
        <v>13224.65753424657</v>
      </c>
      <c r="T511" s="5">
        <f>IF(J511&lt;&gt;"",M511*N511/365/100*('Cashflow Projection'!$B$2-Investors!J511),0)</f>
        <v/>
      </c>
    </row>
    <row r="512">
      <c r="A512" s="3" t="inlineStr">
        <is>
          <t>ZVAN08</t>
        </is>
      </c>
      <c r="B512" s="3" t="inlineStr">
        <is>
          <t>Andree-Lauren</t>
        </is>
      </c>
      <c r="C512" s="3" t="inlineStr">
        <is>
          <t>van der Mescht</t>
        </is>
      </c>
      <c r="D512" s="3" t="inlineStr">
        <is>
          <t>Heron View</t>
        </is>
      </c>
      <c r="E512" s="3" t="inlineStr">
        <is>
          <t>HVO301</t>
        </is>
      </c>
      <c r="F512" s="3" t="b">
        <v>0</v>
      </c>
      <c r="G512" s="3" t="b">
        <v>0</v>
      </c>
      <c r="H512" s="3" t="inlineStr">
        <is>
          <t>O</t>
        </is>
      </c>
      <c r="I512" s="4" t="n">
        <v>45097</v>
      </c>
      <c r="J512" s="4" t="n">
        <v>45259</v>
      </c>
      <c r="K512" s="4" t="n">
        <v>45518</v>
      </c>
      <c r="L512" s="3" t="n">
        <v>2</v>
      </c>
      <c r="M512" s="3" t="n">
        <v>115687.67</v>
      </c>
      <c r="N512" s="3" t="n">
        <v>14</v>
      </c>
      <c r="O512" s="3" t="b">
        <v>0</v>
      </c>
      <c r="P512" s="3" t="b">
        <v>0</v>
      </c>
      <c r="Q512" s="3" t="n">
        <v>5648.093916164404</v>
      </c>
      <c r="R512" s="3" t="n">
        <v>11492.69839506849</v>
      </c>
      <c r="S512" s="3" t="n">
        <v>17140.79231123289</v>
      </c>
      <c r="T512" s="5">
        <f>IF(J512&lt;&gt;"",M512*N512/365/100*('Cashflow Projection'!$B$2-Investors!J512),0)</f>
        <v/>
      </c>
    </row>
    <row r="513">
      <c r="A513" s="3" t="inlineStr">
        <is>
          <t>ZLER02</t>
        </is>
      </c>
      <c r="B513" s="3" t="inlineStr">
        <is>
          <t>Jacques</t>
        </is>
      </c>
      <c r="C513" s="3" t="inlineStr">
        <is>
          <t>le Roux</t>
        </is>
      </c>
      <c r="D513" s="3" t="inlineStr">
        <is>
          <t>Heron View</t>
        </is>
      </c>
      <c r="E513" s="3" t="inlineStr">
        <is>
          <t>HVO302</t>
        </is>
      </c>
      <c r="F513" s="3" t="b">
        <v>0</v>
      </c>
      <c r="G513" s="3" t="b">
        <v>0</v>
      </c>
      <c r="H513" s="3" t="inlineStr">
        <is>
          <t>O</t>
        </is>
      </c>
      <c r="I513" s="4" t="n">
        <v>45033</v>
      </c>
      <c r="J513" s="4" t="n">
        <v>45129</v>
      </c>
      <c r="K513" s="4" t="n">
        <v>45518</v>
      </c>
      <c r="L513" s="3" t="n">
        <v>1</v>
      </c>
      <c r="M513" s="3" t="n">
        <v>100000</v>
      </c>
      <c r="N513" s="3" t="n">
        <v>14</v>
      </c>
      <c r="O513" s="3" t="b">
        <v>0</v>
      </c>
      <c r="P513" s="3" t="b">
        <v>0</v>
      </c>
      <c r="Q513" s="3" t="n">
        <v>2832.876712328763</v>
      </c>
      <c r="R513" s="3" t="n">
        <v>14920.54794520548</v>
      </c>
      <c r="S513" s="3" t="n">
        <v>17753.42465753424</v>
      </c>
      <c r="T513" s="5">
        <f>IF(J513&lt;&gt;"",M513*N513/365/100*('Cashflow Projection'!$B$2-Investors!J513),0)</f>
        <v/>
      </c>
    </row>
    <row r="514">
      <c r="A514" s="3" t="inlineStr">
        <is>
          <t>ZPED01</t>
        </is>
      </c>
      <c r="B514" s="3" t="inlineStr">
        <is>
          <t>Wendy</t>
        </is>
      </c>
      <c r="C514" s="3" t="inlineStr">
        <is>
          <t>Pedersen</t>
        </is>
      </c>
      <c r="D514" s="3" t="inlineStr">
        <is>
          <t>Heron View</t>
        </is>
      </c>
      <c r="E514" s="3" t="inlineStr">
        <is>
          <t>HVO302</t>
        </is>
      </c>
      <c r="F514" s="3" t="b">
        <v>0</v>
      </c>
      <c r="G514" s="3" t="b">
        <v>0</v>
      </c>
      <c r="H514" s="3" t="inlineStr">
        <is>
          <t>O</t>
        </is>
      </c>
      <c r="I514" s="4" t="n">
        <v>45027</v>
      </c>
      <c r="J514" s="4" t="n">
        <v>45129</v>
      </c>
      <c r="K514" s="4" t="n">
        <v>45518</v>
      </c>
      <c r="L514" s="3" t="n">
        <v>5</v>
      </c>
      <c r="M514" s="3" t="n">
        <v>111295.21</v>
      </c>
      <c r="N514" s="3" t="n">
        <v>18</v>
      </c>
      <c r="O514" s="3" t="b">
        <v>0</v>
      </c>
      <c r="P514" s="3" t="b">
        <v>0</v>
      </c>
      <c r="Q514" s="3" t="n">
        <v>3344.95466767124</v>
      </c>
      <c r="R514" s="3" t="n">
        <v>21350.3852169863</v>
      </c>
      <c r="S514" s="3" t="n">
        <v>24695.33988465754</v>
      </c>
      <c r="T514" s="5">
        <f>IF(J514&lt;&gt;"",M514*N514/365/100*('Cashflow Projection'!$B$2-Investors!J514),0)</f>
        <v/>
      </c>
    </row>
    <row r="515">
      <c r="A515" s="3" t="inlineStr">
        <is>
          <t>ZVIS03</t>
        </is>
      </c>
      <c r="B515" s="3" t="inlineStr">
        <is>
          <t>Anton Patrick</t>
        </is>
      </c>
      <c r="C515" s="3" t="inlineStr">
        <is>
          <t>Visser</t>
        </is>
      </c>
      <c r="D515" s="3" t="inlineStr">
        <is>
          <t>Heron View</t>
        </is>
      </c>
      <c r="E515" s="3" t="inlineStr">
        <is>
          <t>HVO302</t>
        </is>
      </c>
      <c r="F515" s="3" t="b">
        <v>0</v>
      </c>
      <c r="G515" s="3" t="b">
        <v>0</v>
      </c>
      <c r="H515" s="3" t="inlineStr">
        <is>
          <t>O</t>
        </is>
      </c>
      <c r="I515" s="4" t="n">
        <v>44992</v>
      </c>
      <c r="J515" s="4" t="n">
        <v>45107</v>
      </c>
      <c r="K515" s="4" t="n">
        <v>45518</v>
      </c>
      <c r="L515" s="3" t="n">
        <v>1</v>
      </c>
      <c r="M515" s="3" t="n">
        <v>900000</v>
      </c>
      <c r="N515" s="3" t="n">
        <v>16</v>
      </c>
      <c r="O515" s="3" t="b">
        <v>0</v>
      </c>
      <c r="P515" s="3" t="b">
        <v>0</v>
      </c>
      <c r="Q515" s="3" t="n">
        <v>29847.94520547947</v>
      </c>
      <c r="R515" s="3" t="n">
        <v>162147.9452054795</v>
      </c>
      <c r="S515" s="3" t="n">
        <v>191995.8904109589</v>
      </c>
      <c r="T515" s="5">
        <f>IF(J515&lt;&gt;"",M515*N515/365/100*('Cashflow Projection'!$B$2-Investors!J515),0)</f>
        <v/>
      </c>
    </row>
    <row r="516">
      <c r="A516" s="3" t="inlineStr">
        <is>
          <t>ZDEB01</t>
        </is>
      </c>
      <c r="B516" s="3" t="inlineStr">
        <is>
          <t>William Henry</t>
        </is>
      </c>
      <c r="C516" s="3" t="inlineStr">
        <is>
          <t>De Beer</t>
        </is>
      </c>
      <c r="D516" s="3" t="inlineStr">
        <is>
          <t>Heron View</t>
        </is>
      </c>
      <c r="E516" s="3" t="inlineStr">
        <is>
          <t>HVO303</t>
        </is>
      </c>
      <c r="F516" s="3" t="b">
        <v>0</v>
      </c>
      <c r="G516" s="3" t="b">
        <v>0</v>
      </c>
      <c r="H516" s="3" t="inlineStr">
        <is>
          <t>O</t>
        </is>
      </c>
      <c r="I516" s="4" t="n">
        <v>44979</v>
      </c>
      <c r="J516" s="4" t="n">
        <v>45107</v>
      </c>
      <c r="K516" s="4" t="n">
        <v>45518</v>
      </c>
      <c r="L516" s="3" t="n">
        <v>7</v>
      </c>
      <c r="M516" s="3" t="n">
        <v>1100000</v>
      </c>
      <c r="N516" s="3" t="n">
        <v>18</v>
      </c>
      <c r="O516" s="3" t="b">
        <v>0</v>
      </c>
      <c r="P516" s="3" t="b">
        <v>0</v>
      </c>
      <c r="Q516" s="3" t="n">
        <v>40398.63013698636</v>
      </c>
      <c r="R516" s="3" t="n">
        <v>222953.4246575343</v>
      </c>
      <c r="S516" s="3" t="n">
        <v>263352.0547945206</v>
      </c>
      <c r="T516" s="5">
        <f>IF(J516&lt;&gt;"",M516*N516/365/100*('Cashflow Projection'!$B$2-Investors!J516),0)</f>
        <v/>
      </c>
    </row>
    <row r="517">
      <c r="A517" s="3" t="inlineStr">
        <is>
          <t>ZJAN03</t>
        </is>
      </c>
      <c r="B517" s="3" t="inlineStr">
        <is>
          <t>Rudolph Johannes</t>
        </is>
      </c>
      <c r="C517" s="3" t="inlineStr">
        <is>
          <t>Jansen van Vuuren</t>
        </is>
      </c>
      <c r="D517" s="3" t="inlineStr">
        <is>
          <t>Heron View</t>
        </is>
      </c>
      <c r="E517" s="3" t="inlineStr">
        <is>
          <t>HVO304</t>
        </is>
      </c>
      <c r="F517" s="3" t="b">
        <v>0</v>
      </c>
      <c r="G517" s="3" t="b">
        <v>0</v>
      </c>
      <c r="H517" s="3" t="inlineStr">
        <is>
          <t>O</t>
        </is>
      </c>
      <c r="I517" s="4" t="n">
        <v>45097</v>
      </c>
      <c r="J517" s="4" t="n">
        <v>45259</v>
      </c>
      <c r="K517" s="4" t="n">
        <v>45518</v>
      </c>
      <c r="L517" s="3" t="n">
        <v>2</v>
      </c>
      <c r="M517" s="3" t="n">
        <v>119247.26</v>
      </c>
      <c r="N517" s="3" t="n">
        <v>14</v>
      </c>
      <c r="O517" s="3" t="b">
        <v>0</v>
      </c>
      <c r="P517" s="3" t="b">
        <v>0</v>
      </c>
      <c r="Q517" s="3" t="n">
        <v>5821.879926575351</v>
      </c>
      <c r="R517" s="3" t="n">
        <v>11846.31684273973</v>
      </c>
      <c r="S517" s="3" t="n">
        <v>17668.19676931508</v>
      </c>
      <c r="T517" s="5">
        <f>IF(J517&lt;&gt;"",M517*N517/365/100*('Cashflow Projection'!$B$2-Investors!J517),0)</f>
        <v/>
      </c>
    </row>
    <row r="518">
      <c r="A518" s="3" t="inlineStr">
        <is>
          <t>ZVIS02</t>
        </is>
      </c>
      <c r="B518" s="3" t="inlineStr">
        <is>
          <t>Jimke</t>
        </is>
      </c>
      <c r="C518" s="3" t="inlineStr">
        <is>
          <t>Visser</t>
        </is>
      </c>
      <c r="D518" s="3" t="inlineStr">
        <is>
          <t>Heron View</t>
        </is>
      </c>
      <c r="E518" s="3" t="inlineStr">
        <is>
          <t>HVO304</t>
        </is>
      </c>
      <c r="F518" s="3" t="b">
        <v>0</v>
      </c>
      <c r="G518" s="3" t="b">
        <v>0</v>
      </c>
      <c r="H518" s="3" t="inlineStr">
        <is>
          <t>O</t>
        </is>
      </c>
      <c r="I518" s="4" t="n">
        <v>45075</v>
      </c>
      <c r="J518" s="4" t="n">
        <v>45259</v>
      </c>
      <c r="K518" s="4" t="n">
        <v>45518</v>
      </c>
      <c r="L518" s="3" t="n">
        <v>3</v>
      </c>
      <c r="M518" s="3" t="n">
        <v>1000000</v>
      </c>
      <c r="N518" s="3" t="n">
        <v>18</v>
      </c>
      <c r="O518" s="3" t="b">
        <v>0</v>
      </c>
      <c r="P518" s="3" t="b">
        <v>0</v>
      </c>
      <c r="Q518" s="3" t="n">
        <v>55424.65753424662</v>
      </c>
      <c r="R518" s="3" t="n">
        <v>127726.0273972603</v>
      </c>
      <c r="S518" s="3" t="n">
        <v>183150.6849315069</v>
      </c>
      <c r="T518" s="5">
        <f>IF(J518&lt;&gt;"",M518*N518/365/100*('Cashflow Projection'!$B$2-Investors!J518),0)</f>
        <v/>
      </c>
    </row>
    <row r="519">
      <c r="A519" s="3" t="inlineStr">
        <is>
          <t>ZDEV01</t>
        </is>
      </c>
      <c r="B519" s="3" t="inlineStr">
        <is>
          <t>Andre Deric</t>
        </is>
      </c>
      <c r="C519" s="3" t="inlineStr">
        <is>
          <t>de Villiers</t>
        </is>
      </c>
      <c r="D519" s="3" t="inlineStr">
        <is>
          <t>Heron View</t>
        </is>
      </c>
      <c r="E519" s="3" t="inlineStr">
        <is>
          <t>HVO305</t>
        </is>
      </c>
      <c r="F519" s="3" t="b">
        <v>0</v>
      </c>
      <c r="G519" s="3" t="b">
        <v>0</v>
      </c>
      <c r="H519" s="3" t="inlineStr">
        <is>
          <t>O</t>
        </is>
      </c>
      <c r="I519" s="4" t="n">
        <v>44973</v>
      </c>
      <c r="J519" s="4" t="n">
        <v>45107</v>
      </c>
      <c r="K519" s="4" t="n">
        <v>45518</v>
      </c>
      <c r="L519" s="3" t="n">
        <v>2</v>
      </c>
      <c r="M519" s="3" t="n">
        <v>500000</v>
      </c>
      <c r="N519" s="3" t="n">
        <v>18</v>
      </c>
      <c r="O519" s="3" t="b">
        <v>0</v>
      </c>
      <c r="P519" s="3" t="b">
        <v>0</v>
      </c>
      <c r="Q519" s="3" t="n">
        <v>19184.93150684935</v>
      </c>
      <c r="R519" s="3" t="n">
        <v>101342.4657534247</v>
      </c>
      <c r="S519" s="3" t="n">
        <v>120527.397260274</v>
      </c>
      <c r="T519" s="5">
        <f>IF(J519&lt;&gt;"",M519*N519/365/100*('Cashflow Projection'!$B$2-Investors!J519),0)</f>
        <v/>
      </c>
    </row>
    <row r="520">
      <c r="A520" s="3" t="inlineStr">
        <is>
          <t>ZFLA01</t>
        </is>
      </c>
      <c r="B520" s="3" t="inlineStr">
        <is>
          <t>Jose Manuel Rezende</t>
        </is>
      </c>
      <c r="C520" s="3" t="inlineStr">
        <is>
          <t>Flamengo</t>
        </is>
      </c>
      <c r="D520" s="3" t="inlineStr">
        <is>
          <t>Heron View</t>
        </is>
      </c>
      <c r="E520" s="3" t="inlineStr">
        <is>
          <t>HVO305</t>
        </is>
      </c>
      <c r="F520" s="3" t="b">
        <v>0</v>
      </c>
      <c r="G520" s="3" t="b">
        <v>0</v>
      </c>
      <c r="H520" s="3" t="inlineStr">
        <is>
          <t>O</t>
        </is>
      </c>
      <c r="I520" s="4" t="n">
        <v>45012</v>
      </c>
      <c r="J520" s="4" t="n">
        <v>45161</v>
      </c>
      <c r="K520" s="4" t="n">
        <v>45518</v>
      </c>
      <c r="L520" s="3" t="n">
        <v>2</v>
      </c>
      <c r="M520" s="3" t="n">
        <v>400000</v>
      </c>
      <c r="N520" s="3" t="n">
        <v>14</v>
      </c>
      <c r="O520" s="3" t="b">
        <v>0</v>
      </c>
      <c r="P520" s="3" t="b">
        <v>0</v>
      </c>
      <c r="Q520" s="3" t="n">
        <v>17583.56164383556</v>
      </c>
      <c r="R520" s="3" t="n">
        <v>54772.60273972603</v>
      </c>
      <c r="S520" s="3" t="n">
        <v>72356.16438356158</v>
      </c>
      <c r="T520" s="5">
        <f>IF(J520&lt;&gt;"",M520*N520/365/100*('Cashflow Projection'!$B$2-Investors!J520),0)</f>
        <v/>
      </c>
    </row>
    <row r="521">
      <c r="A521" s="3" t="inlineStr">
        <is>
          <t>ZLIN01</t>
        </is>
      </c>
      <c r="B521" s="3" t="inlineStr">
        <is>
          <t>Charmain</t>
        </is>
      </c>
      <c r="C521" s="3" t="inlineStr">
        <is>
          <t>Lines</t>
        </is>
      </c>
      <c r="D521" s="3" t="inlineStr">
        <is>
          <t>Heron View</t>
        </is>
      </c>
      <c r="E521" s="3" t="inlineStr">
        <is>
          <t>HVO305</t>
        </is>
      </c>
      <c r="F521" s="3" t="b">
        <v>0</v>
      </c>
      <c r="G521" s="3" t="b">
        <v>0</v>
      </c>
      <c r="H521" s="3" t="inlineStr">
        <is>
          <t>O</t>
        </is>
      </c>
      <c r="I521" s="4" t="n">
        <v>45030</v>
      </c>
      <c r="J521" s="4" t="n">
        <v>45129</v>
      </c>
      <c r="K521" s="4" t="n">
        <v>45518</v>
      </c>
      <c r="L521" s="3" t="n">
        <v>2</v>
      </c>
      <c r="M521" s="3" t="n">
        <v>118439.04</v>
      </c>
      <c r="N521" s="3" t="n">
        <v>14</v>
      </c>
      <c r="O521" s="3" t="b">
        <v>0</v>
      </c>
      <c r="P521" s="3" t="b">
        <v>0</v>
      </c>
      <c r="Q521" s="3" t="n">
        <v>3457.446496438361</v>
      </c>
      <c r="R521" s="3" t="n">
        <v>17671.75374904109</v>
      </c>
      <c r="S521" s="3" t="n">
        <v>21129.20024547946</v>
      </c>
      <c r="T521" s="5">
        <f>IF(J521&lt;&gt;"",M521*N521/365/100*('Cashflow Projection'!$B$2-Investors!J521),0)</f>
        <v/>
      </c>
    </row>
    <row r="522">
      <c r="A522" s="3" t="inlineStr">
        <is>
          <t>ZSOU02</t>
        </is>
      </c>
      <c r="B522" s="3" t="inlineStr">
        <is>
          <t>Frances Leathem</t>
        </is>
      </c>
      <c r="C522" s="3" t="inlineStr">
        <is>
          <t>Sourgen</t>
        </is>
      </c>
      <c r="D522" s="3" t="inlineStr">
        <is>
          <t>Heron View</t>
        </is>
      </c>
      <c r="E522" s="3" t="inlineStr">
        <is>
          <t>HVO305</t>
        </is>
      </c>
      <c r="F522" s="3" t="b">
        <v>0</v>
      </c>
      <c r="G522" s="3" t="b">
        <v>0</v>
      </c>
      <c r="H522" s="3" t="inlineStr">
        <is>
          <t>O</t>
        </is>
      </c>
      <c r="I522" s="4" t="n">
        <v>45033</v>
      </c>
      <c r="J522" s="4" t="n">
        <v>45161</v>
      </c>
      <c r="K522" s="4" t="n">
        <v>45518</v>
      </c>
      <c r="L522" s="3" t="n">
        <v>2</v>
      </c>
      <c r="M522" s="3" t="n">
        <v>100000</v>
      </c>
      <c r="N522" s="3" t="n">
        <v>14</v>
      </c>
      <c r="O522" s="3" t="b">
        <v>0</v>
      </c>
      <c r="P522" s="3" t="b">
        <v>0</v>
      </c>
      <c r="Q522" s="3" t="n">
        <v>3797.260273972593</v>
      </c>
      <c r="R522" s="3" t="n">
        <v>13693.15068493151</v>
      </c>
      <c r="S522" s="3" t="n">
        <v>17490.4109589041</v>
      </c>
      <c r="T522" s="5">
        <f>IF(J522&lt;&gt;"",M522*N522/365/100*('Cashflow Projection'!$B$2-Investors!J522),0)</f>
        <v/>
      </c>
    </row>
    <row r="523">
      <c r="A523" s="3" t="inlineStr">
        <is>
          <t>ZFER02</t>
        </is>
      </c>
      <c r="B523" s="3" t="inlineStr">
        <is>
          <t>Olga Maria</t>
        </is>
      </c>
      <c r="C523" s="3" t="inlineStr">
        <is>
          <t>Fernandes</t>
        </is>
      </c>
      <c r="D523" s="3" t="inlineStr">
        <is>
          <t>Heron View</t>
        </is>
      </c>
      <c r="E523" s="3" t="inlineStr">
        <is>
          <t>HVP101</t>
        </is>
      </c>
      <c r="F523" s="3" t="b">
        <v>1</v>
      </c>
      <c r="G523" s="3" t="b">
        <v>1</v>
      </c>
      <c r="H523" s="3" t="inlineStr">
        <is>
          <t>P</t>
        </is>
      </c>
      <c r="I523" s="4" t="n">
        <v>44778</v>
      </c>
      <c r="J523" s="4" t="n">
        <v>44791</v>
      </c>
      <c r="K523" s="4" t="n">
        <v>45177</v>
      </c>
      <c r="L523" s="3" t="n">
        <v>1</v>
      </c>
      <c r="M523" s="3" t="n">
        <v>100000</v>
      </c>
      <c r="N523" s="3" t="n">
        <v>14</v>
      </c>
      <c r="O523" s="3" t="b">
        <v>0</v>
      </c>
      <c r="P523" s="3" t="b">
        <v>0</v>
      </c>
      <c r="Q523" s="3" t="n">
        <v>293.8356164383562</v>
      </c>
      <c r="R523" s="3" t="n">
        <v>14805.47945205479</v>
      </c>
      <c r="S523" s="3" t="n">
        <v>15099.31506849315</v>
      </c>
      <c r="T523" s="5">
        <f>IF(J523&lt;&gt;"",M523*N523/365/100*('Cashflow Projection'!$B$2-Investors!J523),0)</f>
        <v/>
      </c>
    </row>
    <row r="524">
      <c r="A524" s="3" t="inlineStr">
        <is>
          <t>ZJOR01</t>
        </is>
      </c>
      <c r="B524" s="3" t="inlineStr">
        <is>
          <t>Glen Rutherford</t>
        </is>
      </c>
      <c r="C524" s="3" t="inlineStr">
        <is>
          <t>Jordaan</t>
        </is>
      </c>
      <c r="D524" s="3" t="inlineStr">
        <is>
          <t>Heron View</t>
        </is>
      </c>
      <c r="E524" s="3" t="inlineStr">
        <is>
          <t>HVP101</t>
        </is>
      </c>
      <c r="F524" s="3" t="b">
        <v>1</v>
      </c>
      <c r="G524" s="3" t="b">
        <v>1</v>
      </c>
      <c r="H524" s="3" t="inlineStr">
        <is>
          <t>P</t>
        </is>
      </c>
      <c r="I524" s="4" t="n">
        <v>44803</v>
      </c>
      <c r="J524" s="4" t="n">
        <v>44833</v>
      </c>
      <c r="K524" s="4" t="n">
        <v>45177</v>
      </c>
      <c r="L524" s="3" t="n">
        <v>3</v>
      </c>
      <c r="M524" s="3" t="n">
        <v>300000</v>
      </c>
      <c r="N524" s="3" t="n">
        <v>18</v>
      </c>
      <c r="O524" s="3" t="b">
        <v>0</v>
      </c>
      <c r="P524" s="3" t="b">
        <v>0</v>
      </c>
      <c r="Q524" s="3" t="n">
        <v>2034.246575342467</v>
      </c>
      <c r="R524" s="3" t="n">
        <v>50893.1506849315</v>
      </c>
      <c r="S524" s="3" t="n">
        <v>52927.39726027397</v>
      </c>
      <c r="T524" s="5">
        <f>IF(J524&lt;&gt;"",M524*N524/365/100*('Cashflow Projection'!$B$2-Investors!J524),0)</f>
        <v/>
      </c>
    </row>
    <row r="525">
      <c r="A525" s="3" t="inlineStr">
        <is>
          <t>ZKRU01</t>
        </is>
      </c>
      <c r="B525" s="3" t="inlineStr">
        <is>
          <t>Jurgen</t>
        </is>
      </c>
      <c r="C525" s="3" t="inlineStr">
        <is>
          <t>Kruger</t>
        </is>
      </c>
      <c r="D525" s="3" t="inlineStr">
        <is>
          <t>Heron View</t>
        </is>
      </c>
      <c r="E525" s="3" t="inlineStr">
        <is>
          <t>HVP101</t>
        </is>
      </c>
      <c r="F525" s="3" t="b">
        <v>1</v>
      </c>
      <c r="G525" s="3" t="b">
        <v>1</v>
      </c>
      <c r="H525" s="3" t="inlineStr">
        <is>
          <t>P</t>
        </is>
      </c>
      <c r="I525" s="4" t="n">
        <v>44803</v>
      </c>
      <c r="J525" s="4" t="n">
        <v>44819</v>
      </c>
      <c r="K525" s="4" t="n">
        <v>45177</v>
      </c>
      <c r="L525" s="3" t="n">
        <v>6</v>
      </c>
      <c r="M525" s="3" t="n">
        <v>500000</v>
      </c>
      <c r="N525" s="3" t="n">
        <v>18</v>
      </c>
      <c r="O525" s="3" t="b">
        <v>0</v>
      </c>
      <c r="P525" s="3" t="b">
        <v>0</v>
      </c>
      <c r="Q525" s="3" t="n">
        <v>1808.219178082192</v>
      </c>
      <c r="R525" s="3" t="n">
        <v>88273.97260273973</v>
      </c>
      <c r="S525" s="3" t="n">
        <v>90082.19178082192</v>
      </c>
      <c r="T525" s="5">
        <f>IF(J525&lt;&gt;"",M525*N525/365/100*('Cashflow Projection'!$B$2-Investors!J525),0)</f>
        <v/>
      </c>
    </row>
    <row r="526">
      <c r="A526" s="3" t="inlineStr">
        <is>
          <t>ZTHA01</t>
        </is>
      </c>
      <c r="B526" s="3" t="inlineStr">
        <is>
          <t>Gerald Adriaan Odendal</t>
        </is>
      </c>
      <c r="C526" s="3" t="inlineStr">
        <is>
          <t>Matthee</t>
        </is>
      </c>
      <c r="D526" s="3" t="inlineStr">
        <is>
          <t>Heron View</t>
        </is>
      </c>
      <c r="E526" s="3" t="inlineStr">
        <is>
          <t>HVP101</t>
        </is>
      </c>
      <c r="F526" s="3" t="b">
        <v>1</v>
      </c>
      <c r="G526" s="3" t="b">
        <v>1</v>
      </c>
      <c r="H526" s="3" t="inlineStr">
        <is>
          <t>P</t>
        </is>
      </c>
      <c r="I526" s="4" t="n">
        <v>44784</v>
      </c>
      <c r="J526" s="4" t="n">
        <v>44798</v>
      </c>
      <c r="K526" s="4" t="n">
        <v>45177</v>
      </c>
      <c r="L526" s="3" t="n">
        <v>1</v>
      </c>
      <c r="M526" s="3" t="n">
        <v>100000</v>
      </c>
      <c r="N526" s="3" t="n">
        <v>14</v>
      </c>
      <c r="O526" s="3" t="b">
        <v>0</v>
      </c>
      <c r="P526" s="3" t="b">
        <v>0</v>
      </c>
      <c r="Q526" s="3" t="n">
        <v>316.4383561643836</v>
      </c>
      <c r="R526" s="3" t="n">
        <v>14536.98630136986</v>
      </c>
      <c r="S526" s="3" t="n">
        <v>14853.42465753425</v>
      </c>
      <c r="T526" s="5">
        <f>IF(J526&lt;&gt;"",M526*N526/365/100*('Cashflow Projection'!$B$2-Investors!J526),0)</f>
        <v/>
      </c>
    </row>
    <row r="527">
      <c r="A527" s="3" t="inlineStr">
        <is>
          <t>ZVER02</t>
        </is>
      </c>
      <c r="B527" s="3" t="inlineStr">
        <is>
          <t>Jean-Jacques EP</t>
        </is>
      </c>
      <c r="C527" s="3" t="inlineStr">
        <is>
          <t>Verhaeghe</t>
        </is>
      </c>
      <c r="D527" s="3" t="inlineStr">
        <is>
          <t>Heron View</t>
        </is>
      </c>
      <c r="E527" s="3" t="inlineStr">
        <is>
          <t>HVP101</t>
        </is>
      </c>
      <c r="F527" s="3" t="b">
        <v>1</v>
      </c>
      <c r="G527" s="3" t="b">
        <v>1</v>
      </c>
      <c r="H527" s="3" t="inlineStr">
        <is>
          <t>P</t>
        </is>
      </c>
      <c r="I527" s="4" t="n">
        <v>44769</v>
      </c>
      <c r="J527" s="4" t="n">
        <v>44791</v>
      </c>
      <c r="K527" s="4" t="n">
        <v>45177</v>
      </c>
      <c r="L527" s="3" t="n">
        <v>4</v>
      </c>
      <c r="M527" s="3" t="n">
        <v>100000</v>
      </c>
      <c r="N527" s="3" t="n">
        <v>14</v>
      </c>
      <c r="O527" s="3" t="b">
        <v>0</v>
      </c>
      <c r="P527" s="3" t="b">
        <v>0</v>
      </c>
      <c r="Q527" s="3" t="n">
        <v>489.0410958904108</v>
      </c>
      <c r="R527" s="3" t="n">
        <v>14805.47945205479</v>
      </c>
      <c r="S527" s="3" t="n">
        <v>15294.5205479452</v>
      </c>
      <c r="T527" s="5">
        <f>IF(J527&lt;&gt;"",M527*N527/365/100*('Cashflow Projection'!$B$2-Investors!J527),0)</f>
        <v/>
      </c>
    </row>
    <row r="528">
      <c r="A528" s="3" t="inlineStr">
        <is>
          <t>ZHUM01</t>
        </is>
      </c>
      <c r="B528" s="3" t="inlineStr">
        <is>
          <t>Tralee Joan</t>
        </is>
      </c>
      <c r="C528" s="3" t="inlineStr">
        <is>
          <t>Human</t>
        </is>
      </c>
      <c r="D528" s="3" t="inlineStr">
        <is>
          <t>Heron View</t>
        </is>
      </c>
      <c r="E528" s="3" t="inlineStr">
        <is>
          <t>HVP102</t>
        </is>
      </c>
      <c r="F528" s="3" t="b">
        <v>1</v>
      </c>
      <c r="G528" s="3" t="b">
        <v>1</v>
      </c>
      <c r="H528" s="3" t="inlineStr">
        <is>
          <t>P</t>
        </is>
      </c>
      <c r="I528" s="4" t="n">
        <v>44791</v>
      </c>
      <c r="J528" s="4" t="n">
        <v>44840</v>
      </c>
      <c r="K528" s="4" t="n">
        <v>45177</v>
      </c>
      <c r="L528" s="3" t="n">
        <v>1</v>
      </c>
      <c r="M528" s="3" t="n">
        <v>100000</v>
      </c>
      <c r="N528" s="3" t="n">
        <v>14</v>
      </c>
      <c r="O528" s="3" t="b">
        <v>0</v>
      </c>
      <c r="P528" s="3" t="b">
        <v>0</v>
      </c>
      <c r="Q528" s="3" t="n">
        <v>1119.86301369863</v>
      </c>
      <c r="R528" s="3" t="n">
        <v>12926.02739726027</v>
      </c>
      <c r="S528" s="3" t="n">
        <v>14045.8904109589</v>
      </c>
      <c r="T528" s="5">
        <f>IF(J528&lt;&gt;"",M528*N528/365/100*('Cashflow Projection'!$B$2-Investors!J528),0)</f>
        <v/>
      </c>
    </row>
    <row r="529">
      <c r="A529" s="3" t="inlineStr">
        <is>
          <t>ZJEN02</t>
        </is>
      </c>
      <c r="B529" s="3" t="inlineStr">
        <is>
          <t>Andrew Bowden</t>
        </is>
      </c>
      <c r="C529" s="3" t="inlineStr">
        <is>
          <t>Jennings</t>
        </is>
      </c>
      <c r="D529" s="3" t="inlineStr">
        <is>
          <t>Heron View</t>
        </is>
      </c>
      <c r="E529" s="3" t="inlineStr">
        <is>
          <t>HVP102</t>
        </is>
      </c>
      <c r="F529" s="3" t="b">
        <v>1</v>
      </c>
      <c r="G529" s="3" t="b">
        <v>1</v>
      </c>
      <c r="H529" s="3" t="inlineStr">
        <is>
          <t>P</t>
        </is>
      </c>
      <c r="I529" s="4" t="n">
        <v>44785</v>
      </c>
      <c r="J529" s="4" t="n">
        <v>44833</v>
      </c>
      <c r="K529" s="4" t="n">
        <v>45177</v>
      </c>
      <c r="L529" s="3" t="n">
        <v>1</v>
      </c>
      <c r="M529" s="3" t="n">
        <v>1000000</v>
      </c>
      <c r="N529" s="3" t="n">
        <v>18</v>
      </c>
      <c r="O529" s="3" t="b">
        <v>0</v>
      </c>
      <c r="P529" s="3" t="b">
        <v>0</v>
      </c>
      <c r="Q529" s="3" t="n">
        <v>10849.31506849314</v>
      </c>
      <c r="R529" s="3" t="n">
        <v>169643.8356164384</v>
      </c>
      <c r="S529" s="3" t="n">
        <v>180493.1506849315</v>
      </c>
      <c r="T529" s="5">
        <f>IF(J529&lt;&gt;"",M529*N529/365/100*('Cashflow Projection'!$B$2-Investors!J529),0)</f>
        <v/>
      </c>
    </row>
    <row r="530">
      <c r="A530" s="3" t="inlineStr">
        <is>
          <t>ZZEE01</t>
        </is>
      </c>
      <c r="B530" s="3" t="inlineStr">
        <is>
          <t>Michael Christiaan</t>
        </is>
      </c>
      <c r="C530" s="3" t="inlineStr">
        <is>
          <t>Zeeman</t>
        </is>
      </c>
      <c r="D530" s="3" t="inlineStr">
        <is>
          <t>Heron View</t>
        </is>
      </c>
      <c r="E530" s="3" t="inlineStr">
        <is>
          <t>HVP103</t>
        </is>
      </c>
      <c r="F530" s="3" t="b">
        <v>1</v>
      </c>
      <c r="G530" s="3" t="b">
        <v>1</v>
      </c>
      <c r="H530" s="3" t="inlineStr">
        <is>
          <t>P</t>
        </is>
      </c>
      <c r="I530" s="4" t="n">
        <v>44796</v>
      </c>
      <c r="J530" s="4" t="n">
        <v>44833</v>
      </c>
      <c r="K530" s="4" t="n">
        <v>45177</v>
      </c>
      <c r="L530" s="3" t="n">
        <v>1</v>
      </c>
      <c r="M530" s="3" t="n">
        <v>1100000</v>
      </c>
      <c r="N530" s="3" t="n">
        <v>18</v>
      </c>
      <c r="O530" s="3" t="b">
        <v>0</v>
      </c>
      <c r="P530" s="3" t="b">
        <v>0</v>
      </c>
      <c r="Q530" s="3" t="n">
        <v>9199.31506849315</v>
      </c>
      <c r="R530" s="3" t="n">
        <v>186608.2191780822</v>
      </c>
      <c r="S530" s="3" t="n">
        <v>195807.5342465754</v>
      </c>
      <c r="T530" s="5">
        <f>IF(J530&lt;&gt;"",M530*N530/365/100*('Cashflow Projection'!$B$2-Investors!J530),0)</f>
        <v/>
      </c>
    </row>
    <row r="531">
      <c r="A531" s="3" t="inlineStr">
        <is>
          <t>ZBAL02</t>
        </is>
      </c>
      <c r="B531" s="3" t="inlineStr">
        <is>
          <t>Shaheda</t>
        </is>
      </c>
      <c r="C531" s="3" t="inlineStr">
        <is>
          <t>Ballim</t>
        </is>
      </c>
      <c r="D531" s="3" t="inlineStr">
        <is>
          <t>Heron View</t>
        </is>
      </c>
      <c r="E531" s="3" t="inlineStr">
        <is>
          <t>HVP201</t>
        </is>
      </c>
      <c r="F531" s="3" t="b">
        <v>0</v>
      </c>
      <c r="G531" s="3" t="b">
        <v>0</v>
      </c>
      <c r="H531" s="3" t="inlineStr">
        <is>
          <t>P</t>
        </is>
      </c>
      <c r="I531" s="4" t="n">
        <v>44839</v>
      </c>
      <c r="J531" s="4" t="n">
        <v>44861</v>
      </c>
      <c r="K531" s="4" t="n">
        <v>45475</v>
      </c>
      <c r="L531" s="3" t="n">
        <v>1</v>
      </c>
      <c r="M531" s="3" t="n">
        <v>100000</v>
      </c>
      <c r="N531" s="3" t="n">
        <v>14</v>
      </c>
      <c r="O531" s="3" t="b">
        <v>0</v>
      </c>
      <c r="P531" s="3" t="b">
        <v>0</v>
      </c>
      <c r="Q531" s="3" t="n">
        <v>542.4657534246574</v>
      </c>
      <c r="R531" s="3" t="n">
        <v>23550.68493150685</v>
      </c>
      <c r="S531" s="3" t="n">
        <v>24093.1506849315</v>
      </c>
      <c r="T531" s="5">
        <f>IF(J531&lt;&gt;"",M531*N531/365/100*('Cashflow Projection'!$B$2-Investors!J531),0)</f>
        <v/>
      </c>
    </row>
    <row r="532">
      <c r="A532" s="3" t="inlineStr">
        <is>
          <t>ZDEF01</t>
        </is>
      </c>
      <c r="B532" s="3" t="inlineStr">
        <is>
          <t>Allan</t>
        </is>
      </c>
      <c r="C532" s="3" t="inlineStr">
        <is>
          <t>de Freitas</t>
        </is>
      </c>
      <c r="D532" s="3" t="inlineStr">
        <is>
          <t>Heron View</t>
        </is>
      </c>
      <c r="E532" s="3" t="inlineStr">
        <is>
          <t>HVP201</t>
        </is>
      </c>
      <c r="F532" s="3" t="b">
        <v>0</v>
      </c>
      <c r="G532" s="3" t="b">
        <v>0</v>
      </c>
      <c r="H532" s="3" t="inlineStr">
        <is>
          <t>P</t>
        </is>
      </c>
      <c r="I532" s="4" t="n">
        <v>44823</v>
      </c>
      <c r="J532" s="4" t="n">
        <v>44848</v>
      </c>
      <c r="K532" s="4" t="n">
        <v>45475</v>
      </c>
      <c r="L532" s="3" t="n">
        <v>1</v>
      </c>
      <c r="M532" s="3" t="n">
        <v>200000</v>
      </c>
      <c r="N532" s="3" t="n">
        <v>14</v>
      </c>
      <c r="O532" s="3" t="b">
        <v>0</v>
      </c>
      <c r="P532" s="3" t="b">
        <v>0</v>
      </c>
      <c r="Q532" s="3" t="n">
        <v>1187.671232876712</v>
      </c>
      <c r="R532" s="3" t="n">
        <v>48098.6301369863</v>
      </c>
      <c r="S532" s="3" t="n">
        <v>49286.30136986301</v>
      </c>
      <c r="T532" s="5">
        <f>IF(J532&lt;&gt;"",M532*N532/365/100*('Cashflow Projection'!$B$2-Investors!J532),0)</f>
        <v/>
      </c>
    </row>
    <row r="533">
      <c r="A533" s="3" t="inlineStr">
        <is>
          <t>ZJAN05</t>
        </is>
      </c>
      <c r="B533" s="3" t="inlineStr">
        <is>
          <t>Gerda</t>
        </is>
      </c>
      <c r="C533" s="3" t="inlineStr">
        <is>
          <t>Janse van Rensburg</t>
        </is>
      </c>
      <c r="D533" s="3" t="inlineStr">
        <is>
          <t>Heron View</t>
        </is>
      </c>
      <c r="E533" s="3" t="inlineStr">
        <is>
          <t>HVP201</t>
        </is>
      </c>
      <c r="F533" s="3" t="b">
        <v>0</v>
      </c>
      <c r="G533" s="3" t="b">
        <v>0</v>
      </c>
      <c r="H533" s="3" t="inlineStr">
        <is>
          <t>P</t>
        </is>
      </c>
      <c r="I533" s="4" t="n">
        <v>44833</v>
      </c>
      <c r="J533" s="4" t="n">
        <v>44861</v>
      </c>
      <c r="K533" s="4" t="n">
        <v>45475</v>
      </c>
      <c r="L533" s="3" t="n">
        <v>1</v>
      </c>
      <c r="M533" s="3" t="n">
        <v>100000</v>
      </c>
      <c r="N533" s="3" t="n">
        <v>14</v>
      </c>
      <c r="O533" s="3" t="b">
        <v>0</v>
      </c>
      <c r="P533" s="3" t="b">
        <v>0</v>
      </c>
      <c r="Q533" s="3" t="n">
        <v>688.3561643835613</v>
      </c>
      <c r="R533" s="3" t="n">
        <v>23550.68493150685</v>
      </c>
      <c r="S533" s="3" t="n">
        <v>24239.04109589041</v>
      </c>
      <c r="T533" s="5">
        <f>IF(J533&lt;&gt;"",M533*N533/365/100*('Cashflow Projection'!$B$2-Investors!J533),0)</f>
        <v/>
      </c>
    </row>
    <row r="534">
      <c r="A534" s="3" t="inlineStr">
        <is>
          <t>ZNUN01</t>
        </is>
      </c>
      <c r="B534" s="3" t="inlineStr">
        <is>
          <t>Francisco Antonio</t>
        </is>
      </c>
      <c r="C534" s="3" t="inlineStr">
        <is>
          <t>Nunes</t>
        </is>
      </c>
      <c r="D534" s="3" t="inlineStr">
        <is>
          <t>Heron View</t>
        </is>
      </c>
      <c r="E534" s="3" t="inlineStr">
        <is>
          <t>HVP201</t>
        </is>
      </c>
      <c r="F534" s="3" t="b">
        <v>0</v>
      </c>
      <c r="G534" s="3" t="b">
        <v>0</v>
      </c>
      <c r="H534" s="3" t="inlineStr">
        <is>
          <t>P</t>
        </is>
      </c>
      <c r="I534" s="4" t="n">
        <v>44806</v>
      </c>
      <c r="J534" s="4" t="n">
        <v>44826</v>
      </c>
      <c r="K534" s="4" t="n">
        <v>45475</v>
      </c>
      <c r="L534" s="3" t="n">
        <v>5</v>
      </c>
      <c r="M534" s="3" t="n">
        <v>200000</v>
      </c>
      <c r="N534" s="3" t="n">
        <v>18</v>
      </c>
      <c r="O534" s="3" t="b">
        <v>0</v>
      </c>
      <c r="P534" s="3" t="b">
        <v>0</v>
      </c>
      <c r="Q534" s="3" t="n">
        <v>904.1095890410958</v>
      </c>
      <c r="R534" s="3" t="n">
        <v>64010.95890410959</v>
      </c>
      <c r="S534" s="3" t="n">
        <v>64915.06849315068</v>
      </c>
      <c r="T534" s="5">
        <f>IF(J534&lt;&gt;"",M534*N534/365/100*('Cashflow Projection'!$B$2-Investors!J534),0)</f>
        <v/>
      </c>
    </row>
    <row r="535">
      <c r="A535" s="3" t="inlineStr">
        <is>
          <t>ZZEE01</t>
        </is>
      </c>
      <c r="B535" s="3" t="inlineStr">
        <is>
          <t>Michael Christiaan</t>
        </is>
      </c>
      <c r="C535" s="3" t="inlineStr">
        <is>
          <t>Zeeman</t>
        </is>
      </c>
      <c r="D535" s="3" t="inlineStr">
        <is>
          <t>Heron View</t>
        </is>
      </c>
      <c r="E535" s="3" t="inlineStr">
        <is>
          <t>HVP201</t>
        </is>
      </c>
      <c r="F535" s="3" t="b">
        <v>0</v>
      </c>
      <c r="G535" s="3" t="b">
        <v>0</v>
      </c>
      <c r="H535" s="3" t="inlineStr">
        <is>
          <t>P</t>
        </is>
      </c>
      <c r="I535" s="4" t="n">
        <v>44796</v>
      </c>
      <c r="J535" s="4" t="n">
        <v>44826</v>
      </c>
      <c r="K535" s="4" t="n">
        <v>45475</v>
      </c>
      <c r="L535" s="3" t="n">
        <v>2</v>
      </c>
      <c r="M535" s="3" t="n">
        <v>500000</v>
      </c>
      <c r="N535" s="3" t="n">
        <v>18</v>
      </c>
      <c r="O535" s="3" t="b">
        <v>0</v>
      </c>
      <c r="P535" s="3" t="b">
        <v>0</v>
      </c>
      <c r="Q535" s="3" t="n">
        <v>3390.410958904108</v>
      </c>
      <c r="R535" s="3" t="n">
        <v>160027.397260274</v>
      </c>
      <c r="S535" s="3" t="n">
        <v>163417.8082191781</v>
      </c>
      <c r="T535" s="5">
        <f>IF(J535&lt;&gt;"",M535*N535/365/100*('Cashflow Projection'!$B$2-Investors!J535),0)</f>
        <v/>
      </c>
    </row>
    <row r="536">
      <c r="A536" s="3" t="inlineStr">
        <is>
          <t>ZBUR01</t>
        </is>
      </c>
      <c r="B536" s="3" t="inlineStr">
        <is>
          <t>Barend Frederik</t>
        </is>
      </c>
      <c r="C536" s="3" t="inlineStr">
        <is>
          <t>Burger</t>
        </is>
      </c>
      <c r="D536" s="3" t="inlineStr">
        <is>
          <t>Heron View</t>
        </is>
      </c>
      <c r="E536" s="3" t="inlineStr">
        <is>
          <t>HVP202</t>
        </is>
      </c>
      <c r="F536" s="3" t="b">
        <v>1</v>
      </c>
      <c r="G536" s="3" t="b">
        <v>1</v>
      </c>
      <c r="H536" s="3" t="inlineStr">
        <is>
          <t>P</t>
        </is>
      </c>
      <c r="I536" s="4" t="n">
        <v>45000</v>
      </c>
      <c r="J536" s="4" t="n">
        <v>45107</v>
      </c>
      <c r="K536" s="4" t="n">
        <v>45191</v>
      </c>
      <c r="L536" s="3" t="n">
        <v>2</v>
      </c>
      <c r="M536" s="3" t="n">
        <v>200000</v>
      </c>
      <c r="N536" s="3" t="n">
        <v>14</v>
      </c>
      <c r="O536" s="3" t="b">
        <v>0</v>
      </c>
      <c r="P536" s="3" t="b">
        <v>0</v>
      </c>
      <c r="Q536" s="3" t="n">
        <v>6194.520547945195</v>
      </c>
      <c r="R536" s="3" t="n">
        <v>6443.835616438356</v>
      </c>
      <c r="S536" s="3" t="n">
        <v>12638.35616438355</v>
      </c>
      <c r="T536" s="5">
        <f>IF(J536&lt;&gt;"",M536*N536/365/100*('Cashflow Projection'!$B$2-Investors!J536),0)</f>
        <v/>
      </c>
    </row>
    <row r="537">
      <c r="A537" s="3" t="inlineStr">
        <is>
          <t>ZCRO01</t>
        </is>
      </c>
      <c r="B537" s="3" t="inlineStr">
        <is>
          <t>Marc</t>
        </is>
      </c>
      <c r="C537" s="3" t="inlineStr">
        <is>
          <t>Lunau</t>
        </is>
      </c>
      <c r="D537" s="3" t="inlineStr">
        <is>
          <t>Heron View</t>
        </is>
      </c>
      <c r="E537" s="3" t="inlineStr">
        <is>
          <t>HVP202</t>
        </is>
      </c>
      <c r="F537" s="3" t="b">
        <v>1</v>
      </c>
      <c r="G537" s="3" t="b">
        <v>1</v>
      </c>
      <c r="H537" s="3" t="inlineStr">
        <is>
          <t>P</t>
        </is>
      </c>
      <c r="I537" s="4" t="n">
        <v>45002</v>
      </c>
      <c r="J537" s="4" t="n">
        <v>45107</v>
      </c>
      <c r="K537" s="4" t="n">
        <v>45191</v>
      </c>
      <c r="L537" s="3" t="n">
        <v>15</v>
      </c>
      <c r="M537" s="3" t="n">
        <v>110000</v>
      </c>
      <c r="N537" s="3" t="n">
        <v>18</v>
      </c>
      <c r="O537" s="3" t="b">
        <v>0</v>
      </c>
      <c r="P537" s="3" t="b">
        <v>0</v>
      </c>
      <c r="Q537" s="3" t="n">
        <v>3346.712328767125</v>
      </c>
      <c r="R537" s="3" t="n">
        <v>4556.712328767123</v>
      </c>
      <c r="S537" s="3" t="n">
        <v>7903.424657534248</v>
      </c>
      <c r="T537" s="5">
        <f>IF(J537&lt;&gt;"",M537*N537/365/100*('Cashflow Projection'!$B$2-Investors!J537),0)</f>
        <v/>
      </c>
    </row>
    <row r="538">
      <c r="A538" s="3" t="inlineStr">
        <is>
          <t>ZDUP04</t>
        </is>
      </c>
      <c r="B538" s="3" t="inlineStr">
        <is>
          <t>Emile</t>
        </is>
      </c>
      <c r="C538" s="3" t="inlineStr">
        <is>
          <t>du Plessis</t>
        </is>
      </c>
      <c r="D538" s="3" t="inlineStr">
        <is>
          <t>Heron View</t>
        </is>
      </c>
      <c r="E538" s="3" t="inlineStr">
        <is>
          <t>HVP202</t>
        </is>
      </c>
      <c r="F538" s="3" t="b">
        <v>1</v>
      </c>
      <c r="G538" s="3" t="b">
        <v>1</v>
      </c>
      <c r="H538" s="3" t="inlineStr">
        <is>
          <t>P</t>
        </is>
      </c>
      <c r="I538" s="4" t="n">
        <v>44839</v>
      </c>
      <c r="J538" s="4" t="n">
        <v>44868</v>
      </c>
      <c r="K538" s="4" t="n">
        <v>45191</v>
      </c>
      <c r="L538" s="3" t="n">
        <v>1</v>
      </c>
      <c r="M538" s="3" t="n">
        <v>100000</v>
      </c>
      <c r="N538" s="3" t="n">
        <v>14</v>
      </c>
      <c r="O538" s="3" t="b">
        <v>0</v>
      </c>
      <c r="P538" s="3" t="b">
        <v>0</v>
      </c>
      <c r="Q538" s="3" t="n">
        <v>715.0684931506846</v>
      </c>
      <c r="R538" s="3" t="n">
        <v>12389.04109589041</v>
      </c>
      <c r="S538" s="3" t="n">
        <v>13104.10958904109</v>
      </c>
      <c r="T538" s="5">
        <f>IF(J538&lt;&gt;"",M538*N538/365/100*('Cashflow Projection'!$B$2-Investors!J538),0)</f>
        <v/>
      </c>
    </row>
    <row r="539">
      <c r="A539" s="3" t="inlineStr">
        <is>
          <t>ZVAN10</t>
        </is>
      </c>
      <c r="B539" s="3" t="inlineStr">
        <is>
          <t>Wilhelm Johannes</t>
        </is>
      </c>
      <c r="C539" s="3" t="inlineStr">
        <is>
          <t>van der Merwe</t>
        </is>
      </c>
      <c r="D539" s="3" t="inlineStr">
        <is>
          <t>Heron View</t>
        </is>
      </c>
      <c r="E539" s="3" t="inlineStr">
        <is>
          <t>HVP202</t>
        </is>
      </c>
      <c r="F539" s="3" t="b">
        <v>1</v>
      </c>
      <c r="G539" s="3" t="b">
        <v>1</v>
      </c>
      <c r="H539" s="3" t="inlineStr">
        <is>
          <t>P</t>
        </is>
      </c>
      <c r="I539" s="4" t="n">
        <v>45000</v>
      </c>
      <c r="J539" s="4" t="n">
        <v>45107</v>
      </c>
      <c r="K539" s="4" t="n">
        <v>45191</v>
      </c>
      <c r="L539" s="3" t="n">
        <v>3</v>
      </c>
      <c r="M539" s="3" t="n">
        <v>700000</v>
      </c>
      <c r="N539" s="3" t="n">
        <v>18</v>
      </c>
      <c r="O539" s="3" t="b">
        <v>0</v>
      </c>
      <c r="P539" s="3" t="b">
        <v>0</v>
      </c>
      <c r="Q539" s="3" t="n">
        <v>21680.82191780824</v>
      </c>
      <c r="R539" s="3" t="n">
        <v>28997.26027397261</v>
      </c>
      <c r="S539" s="3" t="n">
        <v>50678.08219178085</v>
      </c>
      <c r="T539" s="5">
        <f>IF(J539&lt;&gt;"",M539*N539/365/100*('Cashflow Projection'!$B$2-Investors!J539),0)</f>
        <v/>
      </c>
    </row>
    <row r="540">
      <c r="A540" s="3" t="inlineStr">
        <is>
          <t>ZSON01</t>
        </is>
      </c>
      <c r="B540" s="3" t="inlineStr">
        <is>
          <t>Charles</t>
        </is>
      </c>
      <c r="C540" s="3" t="inlineStr">
        <is>
          <t>Maduna</t>
        </is>
      </c>
      <c r="D540" s="3" t="inlineStr">
        <is>
          <t>Heron View</t>
        </is>
      </c>
      <c r="E540" s="3" t="inlineStr">
        <is>
          <t>HVP203</t>
        </is>
      </c>
      <c r="F540" s="3" t="b">
        <v>0</v>
      </c>
      <c r="G540" s="3" t="b">
        <v>0</v>
      </c>
      <c r="H540" s="3" t="inlineStr">
        <is>
          <t>P</t>
        </is>
      </c>
      <c r="I540" s="4" t="n">
        <v>44791</v>
      </c>
      <c r="J540" s="4" t="n">
        <v>44833</v>
      </c>
      <c r="K540" s="4" t="n">
        <v>45491</v>
      </c>
      <c r="L540" s="3" t="n">
        <v>13</v>
      </c>
      <c r="M540" s="3" t="n">
        <v>1100000</v>
      </c>
      <c r="N540" s="3" t="n">
        <v>18</v>
      </c>
      <c r="O540" s="3" t="b">
        <v>0</v>
      </c>
      <c r="P540" s="3" t="b">
        <v>0</v>
      </c>
      <c r="Q540" s="3" t="n">
        <v>10442.46575342466</v>
      </c>
      <c r="R540" s="3" t="n">
        <v>356942.4657534247</v>
      </c>
      <c r="S540" s="3" t="n">
        <v>367384.9315068494</v>
      </c>
      <c r="T540" s="5">
        <f>IF(J540&lt;&gt;"",M540*N540/365/100*('Cashflow Projection'!$B$2-Investors!J540),0)</f>
        <v/>
      </c>
    </row>
    <row r="541">
      <c r="A541" s="3" t="inlineStr">
        <is>
          <t>ZTRU01</t>
        </is>
      </c>
      <c r="B541" s="3" t="inlineStr">
        <is>
          <t>Cecil Ronald</t>
        </is>
      </c>
      <c r="C541" s="3" t="inlineStr">
        <is>
          <t>Truter</t>
        </is>
      </c>
      <c r="D541" s="3" t="inlineStr">
        <is>
          <t>Heron View</t>
        </is>
      </c>
      <c r="E541" s="3" t="inlineStr">
        <is>
          <t>HVP301</t>
        </is>
      </c>
      <c r="F541" s="3" t="b">
        <v>1</v>
      </c>
      <c r="G541" s="3" t="b">
        <v>1</v>
      </c>
      <c r="H541" s="3" t="inlineStr">
        <is>
          <t>P</t>
        </is>
      </c>
      <c r="I541" s="4" t="n">
        <v>44846</v>
      </c>
      <c r="J541" s="4" t="n">
        <v>44868</v>
      </c>
      <c r="K541" s="4" t="n">
        <v>45247</v>
      </c>
      <c r="L541" s="3" t="n">
        <v>2</v>
      </c>
      <c r="M541" s="3" t="n">
        <v>106405.48</v>
      </c>
      <c r="N541" s="3" t="n">
        <v>14</v>
      </c>
      <c r="O541" s="3" t="b">
        <v>0</v>
      </c>
      <c r="P541" s="3" t="b">
        <v>0</v>
      </c>
      <c r="Q541" s="3" t="n">
        <v>577.2132887671233</v>
      </c>
      <c r="R541" s="3" t="n">
        <v>15468.15005150685</v>
      </c>
      <c r="S541" s="3" t="n">
        <v>16045.36334027397</v>
      </c>
      <c r="T541" s="5">
        <f>IF(J541&lt;&gt;"",M541*N541/365/100*('Cashflow Projection'!$B$2-Investors!J541),0)</f>
        <v/>
      </c>
    </row>
    <row r="542">
      <c r="A542" s="3" t="inlineStr">
        <is>
          <t>ZVAN09</t>
        </is>
      </c>
      <c r="B542" s="3" t="inlineStr">
        <is>
          <t>Eugene Brandt</t>
        </is>
      </c>
      <c r="C542" s="3" t="inlineStr">
        <is>
          <t>van Zyl</t>
        </is>
      </c>
      <c r="D542" s="3" t="inlineStr">
        <is>
          <t>Heron View</t>
        </is>
      </c>
      <c r="E542" s="3" t="inlineStr">
        <is>
          <t>HVP301</t>
        </is>
      </c>
      <c r="F542" s="3" t="b">
        <v>1</v>
      </c>
      <c r="G542" s="3" t="b">
        <v>1</v>
      </c>
      <c r="H542" s="3" t="inlineStr">
        <is>
          <t>P</t>
        </is>
      </c>
      <c r="I542" s="4" t="n">
        <v>44811</v>
      </c>
      <c r="J542" s="4" t="n">
        <v>44833</v>
      </c>
      <c r="K542" s="4" t="n">
        <v>45247</v>
      </c>
      <c r="L542" s="3" t="n">
        <v>1</v>
      </c>
      <c r="M542" s="3" t="n">
        <v>1000000</v>
      </c>
      <c r="N542" s="3" t="n">
        <v>18</v>
      </c>
      <c r="O542" s="3" t="b">
        <v>0</v>
      </c>
      <c r="P542" s="3" t="b">
        <v>0</v>
      </c>
      <c r="Q542" s="3" t="n">
        <v>4972.602739726027</v>
      </c>
      <c r="R542" s="3" t="n">
        <v>204164.3835616439</v>
      </c>
      <c r="S542" s="3" t="n">
        <v>209136.9863013699</v>
      </c>
      <c r="T542" s="5">
        <f>IF(J542&lt;&gt;"",M542*N542/365/100*('Cashflow Projection'!$B$2-Investors!J542),0)</f>
        <v/>
      </c>
    </row>
    <row r="543">
      <c r="A543" s="3" t="inlineStr">
        <is>
          <t>ZAFR01</t>
        </is>
      </c>
      <c r="B543" s="3" t="inlineStr">
        <is>
          <t>John Robert</t>
        </is>
      </c>
      <c r="C543" s="3" t="inlineStr">
        <is>
          <t>Zylstra</t>
        </is>
      </c>
      <c r="D543" s="3" t="inlineStr">
        <is>
          <t>Heron View</t>
        </is>
      </c>
      <c r="E543" s="3" t="inlineStr">
        <is>
          <t>HVP302</t>
        </is>
      </c>
      <c r="F543" s="3" t="b">
        <v>1</v>
      </c>
      <c r="G543" s="3" t="b">
        <v>1</v>
      </c>
      <c r="H543" s="3" t="inlineStr">
        <is>
          <t>P</t>
        </is>
      </c>
      <c r="I543" s="4" t="n">
        <v>44851</v>
      </c>
      <c r="J543" s="4" t="n">
        <v>44889</v>
      </c>
      <c r="K543" s="4" t="n">
        <v>45271</v>
      </c>
      <c r="L543" s="3" t="n">
        <v>3</v>
      </c>
      <c r="M543" s="3" t="n">
        <v>264742.12</v>
      </c>
      <c r="N543" s="3" t="n">
        <v>18</v>
      </c>
      <c r="O543" s="3" t="b">
        <v>0</v>
      </c>
      <c r="P543" s="3" t="b">
        <v>0</v>
      </c>
      <c r="Q543" s="3" t="n">
        <v>2480.597398356166</v>
      </c>
      <c r="R543" s="3" t="n">
        <v>49873.06348273973</v>
      </c>
      <c r="S543" s="3" t="n">
        <v>52353.66088109589</v>
      </c>
      <c r="T543" s="5">
        <f>IF(J543&lt;&gt;"",M543*N543/365/100*('Cashflow Projection'!$B$2-Investors!J543),0)</f>
        <v/>
      </c>
    </row>
    <row r="544">
      <c r="A544" s="3" t="inlineStr">
        <is>
          <t>ZKRO01</t>
        </is>
      </c>
      <c r="B544" s="3" t="inlineStr">
        <is>
          <t>Frans</t>
        </is>
      </c>
      <c r="C544" s="3" t="inlineStr">
        <is>
          <t>van der Merwe</t>
        </is>
      </c>
      <c r="D544" s="3" t="inlineStr">
        <is>
          <t>Heron View</t>
        </is>
      </c>
      <c r="E544" s="3" t="inlineStr">
        <is>
          <t>HVP302</t>
        </is>
      </c>
      <c r="F544" s="3" t="b">
        <v>1</v>
      </c>
      <c r="G544" s="3" t="b">
        <v>1</v>
      </c>
      <c r="H544" s="3" t="inlineStr">
        <is>
          <t>P</t>
        </is>
      </c>
      <c r="I544" s="4" t="n">
        <v>44816</v>
      </c>
      <c r="J544" s="4" t="n">
        <v>44848</v>
      </c>
      <c r="K544" s="4" t="n">
        <v>45271</v>
      </c>
      <c r="L544" s="3" t="n">
        <v>2</v>
      </c>
      <c r="M544" s="3" t="n">
        <v>500000</v>
      </c>
      <c r="N544" s="3" t="n">
        <v>16</v>
      </c>
      <c r="O544" s="3" t="b">
        <v>0</v>
      </c>
      <c r="P544" s="3" t="b">
        <v>0</v>
      </c>
      <c r="Q544" s="3" t="n">
        <v>3760.273972602739</v>
      </c>
      <c r="R544" s="3" t="n">
        <v>92712.32876712328</v>
      </c>
      <c r="S544" s="3" t="n">
        <v>96472.60273972602</v>
      </c>
      <c r="T544" s="5">
        <f>IF(J544&lt;&gt;"",M544*N544/365/100*('Cashflow Projection'!$B$2-Investors!J544),0)</f>
        <v/>
      </c>
    </row>
    <row r="545">
      <c r="A545" s="3" t="inlineStr">
        <is>
          <t>ZNUN01</t>
        </is>
      </c>
      <c r="B545" s="3" t="inlineStr">
        <is>
          <t>Francisco Antonio</t>
        </is>
      </c>
      <c r="C545" s="3" t="inlineStr">
        <is>
          <t>Nunes</t>
        </is>
      </c>
      <c r="D545" s="3" t="inlineStr">
        <is>
          <t>Heron View</t>
        </is>
      </c>
      <c r="E545" s="3" t="inlineStr">
        <is>
          <t>HVP302</t>
        </is>
      </c>
      <c r="F545" s="3" t="b">
        <v>1</v>
      </c>
      <c r="G545" s="3" t="b">
        <v>1</v>
      </c>
      <c r="H545" s="3" t="inlineStr">
        <is>
          <t>P</t>
        </is>
      </c>
      <c r="I545" s="4" t="n">
        <v>44846</v>
      </c>
      <c r="J545" s="4" t="n">
        <v>44876</v>
      </c>
      <c r="K545" s="4" t="n">
        <v>45271</v>
      </c>
      <c r="L545" s="3" t="n">
        <v>6</v>
      </c>
      <c r="M545" s="3" t="n">
        <v>285996.58</v>
      </c>
      <c r="N545" s="3" t="n">
        <v>18</v>
      </c>
      <c r="O545" s="3" t="b">
        <v>0</v>
      </c>
      <c r="P545" s="3" t="b">
        <v>0</v>
      </c>
      <c r="Q545" s="3" t="n">
        <v>2115.591139726027</v>
      </c>
      <c r="R545" s="3" t="n">
        <v>55710.56667945206</v>
      </c>
      <c r="S545" s="3" t="n">
        <v>57826.15781917809</v>
      </c>
      <c r="T545" s="5">
        <f>IF(J545&lt;&gt;"",M545*N545/365/100*('Cashflow Projection'!$B$2-Investors!J545),0)</f>
        <v/>
      </c>
    </row>
    <row r="546">
      <c r="A546" s="3" t="inlineStr">
        <is>
          <t>ZKRI02</t>
        </is>
      </c>
      <c r="B546" s="3" t="inlineStr">
        <is>
          <t>Hermanus Johannes</t>
        </is>
      </c>
      <c r="C546" s="3" t="inlineStr">
        <is>
          <t>Kriel</t>
        </is>
      </c>
      <c r="D546" s="3" t="inlineStr">
        <is>
          <t>Heron View</t>
        </is>
      </c>
      <c r="E546" s="3" t="inlineStr">
        <is>
          <t>HVP303</t>
        </is>
      </c>
      <c r="F546" s="3" t="b">
        <v>0</v>
      </c>
      <c r="G546" s="3" t="b">
        <v>0</v>
      </c>
      <c r="H546" s="3" t="inlineStr">
        <is>
          <t>P</t>
        </is>
      </c>
      <c r="I546" s="4" t="n">
        <v>44846</v>
      </c>
      <c r="J546" s="4" t="n">
        <v>44861</v>
      </c>
      <c r="K546" s="4" t="n">
        <v>45520</v>
      </c>
      <c r="L546" s="3" t="n">
        <v>4</v>
      </c>
      <c r="M546" s="3" t="n">
        <v>1100000</v>
      </c>
      <c r="N546" s="3" t="n">
        <v>18</v>
      </c>
      <c r="O546" s="3" t="b">
        <v>0</v>
      </c>
      <c r="P546" s="3" t="b">
        <v>0</v>
      </c>
      <c r="Q546" s="3" t="n">
        <v>4068.493150684933</v>
      </c>
      <c r="R546" s="3" t="n">
        <v>357484.9315068494</v>
      </c>
      <c r="S546" s="3" t="n">
        <v>361553.4246575343</v>
      </c>
      <c r="T546" s="5">
        <f>IF(J546&lt;&gt;"",M546*N546/365/100*('Cashflow Projection'!$B$2-Investors!J546),0)</f>
        <v/>
      </c>
    </row>
  </sheetData>
  <autoFilter ref="A4:S5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204E"/>
    <outlinePr summaryBelow="1" summaryRight="1"/>
    <pageSetUpPr/>
  </sheetPr>
  <dimension ref="A1:H23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Opportunities</t>
        </is>
      </c>
    </row>
    <row r="3">
      <c r="E3" s="1">
        <f>SUBTOTAL(9,E5:E230)</f>
        <v/>
      </c>
      <c r="H3">
        <f>SUBTOTAL(9,H5:H230)</f>
        <v/>
      </c>
    </row>
    <row r="5">
      <c r="A5" t="inlineStr">
        <is>
          <t>Category</t>
        </is>
      </c>
      <c r="B5" t="inlineStr">
        <is>
          <t>Opportunity Code</t>
        </is>
      </c>
      <c r="C5" t="inlineStr">
        <is>
          <t>Sold</t>
        </is>
      </c>
      <c r="D5" t="inlineStr">
        <is>
          <t>Transferred</t>
        </is>
      </c>
      <c r="E5" t="inlineStr">
        <is>
          <t>Opportunity Amount Required</t>
        </is>
      </c>
      <c r="F5" t="inlineStr">
        <is>
          <t>Opportunity End Date</t>
        </is>
      </c>
      <c r="G5" t="inlineStr">
        <is>
          <t>Opportunity Final Transfer Date</t>
        </is>
      </c>
      <c r="H5" t="inlineStr">
        <is>
          <t>Investment Amount</t>
        </is>
      </c>
    </row>
    <row r="6">
      <c r="A6" t="inlineStr">
        <is>
          <t>Heron Fields</t>
        </is>
      </c>
      <c r="B6" t="inlineStr">
        <is>
          <t>HFA101</t>
        </is>
      </c>
      <c r="C6" t="b">
        <v>1</v>
      </c>
      <c r="D6" t="b">
        <v>1</v>
      </c>
      <c r="E6" t="n">
        <v>900000</v>
      </c>
      <c r="F6" s="7" t="n">
        <v>44887</v>
      </c>
      <c r="G6" s="7" t="n">
        <v>44887</v>
      </c>
      <c r="H6" t="n">
        <v>932332.54</v>
      </c>
    </row>
    <row r="7">
      <c r="A7" t="inlineStr">
        <is>
          <t>Heron Fields</t>
        </is>
      </c>
      <c r="B7" t="inlineStr">
        <is>
          <t>HFA102</t>
        </is>
      </c>
      <c r="C7" t="b">
        <v>1</v>
      </c>
      <c r="D7" t="b">
        <v>1</v>
      </c>
      <c r="E7" t="n">
        <v>900000</v>
      </c>
      <c r="F7" s="7" t="n">
        <v>44887</v>
      </c>
      <c r="G7" s="7" t="n">
        <v>44887</v>
      </c>
      <c r="H7" t="n">
        <v>900000</v>
      </c>
    </row>
    <row r="8">
      <c r="A8" t="inlineStr">
        <is>
          <t>Heron Fields</t>
        </is>
      </c>
      <c r="B8" t="inlineStr">
        <is>
          <t>HFA103</t>
        </is>
      </c>
      <c r="C8" t="b">
        <v>1</v>
      </c>
      <c r="D8" t="b">
        <v>1</v>
      </c>
      <c r="E8" t="n">
        <v>900000</v>
      </c>
      <c r="F8" s="7" t="n">
        <v>44887</v>
      </c>
      <c r="G8" s="7" t="n">
        <v>44887</v>
      </c>
      <c r="H8" t="n">
        <v>900000</v>
      </c>
    </row>
    <row r="9">
      <c r="A9" t="inlineStr">
        <is>
          <t>Heron Fields</t>
        </is>
      </c>
      <c r="B9" t="inlineStr">
        <is>
          <t>HFA104</t>
        </is>
      </c>
      <c r="C9" t="b">
        <v>1</v>
      </c>
      <c r="D9" t="b">
        <v>1</v>
      </c>
      <c r="E9" t="n">
        <v>900000</v>
      </c>
      <c r="F9" s="7" t="n">
        <v>44887</v>
      </c>
      <c r="G9" s="7" t="n">
        <v>44887</v>
      </c>
      <c r="H9" t="n">
        <v>900000</v>
      </c>
    </row>
    <row r="10">
      <c r="A10" t="inlineStr">
        <is>
          <t>Heron Fields</t>
        </is>
      </c>
      <c r="B10" t="inlineStr">
        <is>
          <t>HFA105</t>
        </is>
      </c>
      <c r="C10" t="b">
        <v>1</v>
      </c>
      <c r="D10" t="b">
        <v>1</v>
      </c>
      <c r="E10" t="n">
        <v>900000</v>
      </c>
      <c r="F10" s="7" t="n">
        <v>44887</v>
      </c>
      <c r="G10" s="7" t="n">
        <v>44887</v>
      </c>
      <c r="H10" t="n">
        <v>749774.4299999999</v>
      </c>
    </row>
    <row r="11">
      <c r="A11" t="inlineStr">
        <is>
          <t>Heron Fields</t>
        </is>
      </c>
      <c r="B11" t="inlineStr">
        <is>
          <t>HFA106</t>
        </is>
      </c>
      <c r="C11" t="b">
        <v>1</v>
      </c>
      <c r="D11" t="b">
        <v>1</v>
      </c>
      <c r="E11" t="n">
        <v>900000</v>
      </c>
      <c r="F11" s="7" t="n">
        <v>44887</v>
      </c>
      <c r="G11" s="7" t="n">
        <v>44887</v>
      </c>
      <c r="H11" t="n">
        <v>910000</v>
      </c>
    </row>
    <row r="12">
      <c r="A12" t="inlineStr">
        <is>
          <t>Heron Fields</t>
        </is>
      </c>
      <c r="B12" t="inlineStr">
        <is>
          <t>HFA201</t>
        </is>
      </c>
      <c r="C12" t="b">
        <v>1</v>
      </c>
      <c r="D12" t="b">
        <v>1</v>
      </c>
      <c r="E12" t="n">
        <v>900000</v>
      </c>
      <c r="F12" s="7" t="n">
        <v>44887</v>
      </c>
      <c r="G12" s="7" t="n">
        <v>44887</v>
      </c>
      <c r="H12" t="n">
        <v>905157.53</v>
      </c>
    </row>
    <row r="13">
      <c r="A13" t="inlineStr">
        <is>
          <t>Heron Fields</t>
        </is>
      </c>
      <c r="B13" t="inlineStr">
        <is>
          <t>HFA202</t>
        </is>
      </c>
      <c r="C13" t="b">
        <v>1</v>
      </c>
      <c r="D13" t="b">
        <v>1</v>
      </c>
      <c r="E13" t="n">
        <v>900000</v>
      </c>
      <c r="F13" s="7" t="n">
        <v>44943</v>
      </c>
      <c r="G13" s="7" t="n">
        <v>44943</v>
      </c>
      <c r="H13" t="n">
        <v>921424.6599999999</v>
      </c>
    </row>
    <row r="14">
      <c r="A14" t="inlineStr">
        <is>
          <t>Heron Fields</t>
        </is>
      </c>
      <c r="B14" t="inlineStr">
        <is>
          <t>HFA203</t>
        </is>
      </c>
      <c r="C14" t="b">
        <v>1</v>
      </c>
      <c r="D14" t="b">
        <v>1</v>
      </c>
      <c r="E14" t="n">
        <v>900000</v>
      </c>
      <c r="F14" s="7" t="n">
        <v>44897</v>
      </c>
      <c r="G14" s="7" t="n">
        <v>44897</v>
      </c>
      <c r="H14" t="n">
        <v>890000</v>
      </c>
    </row>
    <row r="15">
      <c r="A15" t="inlineStr">
        <is>
          <t>Heron Fields</t>
        </is>
      </c>
      <c r="B15" t="inlineStr">
        <is>
          <t>HFA204</t>
        </is>
      </c>
      <c r="C15" t="b">
        <v>1</v>
      </c>
      <c r="D15" t="b">
        <v>1</v>
      </c>
      <c r="E15" t="n">
        <v>900000</v>
      </c>
      <c r="F15" s="7" t="n">
        <v>44887</v>
      </c>
      <c r="G15" s="7" t="n">
        <v>44887</v>
      </c>
      <c r="H15" t="n">
        <v>900000</v>
      </c>
    </row>
    <row r="16">
      <c r="A16" t="inlineStr">
        <is>
          <t>Heron Fields</t>
        </is>
      </c>
      <c r="B16" t="inlineStr">
        <is>
          <t>HFA205</t>
        </is>
      </c>
      <c r="C16" t="b">
        <v>1</v>
      </c>
      <c r="D16" t="b">
        <v>1</v>
      </c>
      <c r="E16" t="n">
        <v>900000</v>
      </c>
      <c r="F16" s="7" t="n">
        <v>44943</v>
      </c>
      <c r="G16" s="7" t="n">
        <v>44943</v>
      </c>
      <c r="H16" t="n">
        <v>938431.51</v>
      </c>
    </row>
    <row r="17">
      <c r="A17" t="inlineStr">
        <is>
          <t>Heron Fields</t>
        </is>
      </c>
      <c r="B17" t="inlineStr">
        <is>
          <t>HFA206</t>
        </is>
      </c>
      <c r="C17" t="b">
        <v>1</v>
      </c>
      <c r="D17" t="b">
        <v>1</v>
      </c>
      <c r="E17" t="n">
        <v>900000</v>
      </c>
      <c r="F17" s="7" t="n">
        <v>44887</v>
      </c>
      <c r="G17" s="7" t="n">
        <v>44887</v>
      </c>
      <c r="H17" t="n">
        <v>768641.1</v>
      </c>
    </row>
    <row r="18">
      <c r="A18" t="inlineStr">
        <is>
          <t>Heron Fields</t>
        </is>
      </c>
      <c r="B18" t="inlineStr">
        <is>
          <t>HFA301</t>
        </is>
      </c>
      <c r="C18" t="b">
        <v>1</v>
      </c>
      <c r="D18" t="b">
        <v>1</v>
      </c>
      <c r="E18" t="n">
        <v>900000</v>
      </c>
      <c r="F18" s="7" t="n">
        <v>44901</v>
      </c>
      <c r="G18" s="7" t="n">
        <v>44901</v>
      </c>
      <c r="H18" t="n">
        <v>918344.34</v>
      </c>
    </row>
    <row r="19">
      <c r="A19" t="inlineStr">
        <is>
          <t>Heron Fields</t>
        </is>
      </c>
      <c r="B19" t="inlineStr">
        <is>
          <t>HFA302</t>
        </is>
      </c>
      <c r="C19" t="b">
        <v>1</v>
      </c>
      <c r="D19" t="b">
        <v>1</v>
      </c>
      <c r="E19" t="n">
        <v>900000</v>
      </c>
      <c r="F19" s="7" t="n">
        <v>44887</v>
      </c>
      <c r="G19" s="7" t="n">
        <v>44887</v>
      </c>
      <c r="H19" t="n">
        <v>892342.47</v>
      </c>
    </row>
    <row r="20">
      <c r="A20" t="inlineStr">
        <is>
          <t>Heron Fields</t>
        </is>
      </c>
      <c r="B20" t="inlineStr">
        <is>
          <t>HFA303</t>
        </is>
      </c>
      <c r="C20" t="b">
        <v>1</v>
      </c>
      <c r="D20" t="b">
        <v>1</v>
      </c>
      <c r="E20" t="n">
        <v>900000</v>
      </c>
      <c r="F20" s="7" t="n">
        <v>44896</v>
      </c>
      <c r="G20" s="7" t="n">
        <v>44896</v>
      </c>
      <c r="H20" t="n">
        <v>900500</v>
      </c>
    </row>
    <row r="21">
      <c r="A21" t="inlineStr">
        <is>
          <t>Heron Fields</t>
        </is>
      </c>
      <c r="B21" t="inlineStr">
        <is>
          <t>HFA304</t>
        </is>
      </c>
      <c r="C21" t="b">
        <v>1</v>
      </c>
      <c r="D21" t="b">
        <v>1</v>
      </c>
      <c r="E21" t="n">
        <v>900000</v>
      </c>
      <c r="F21" s="7" t="n">
        <v>45056</v>
      </c>
      <c r="G21" s="7" t="n">
        <v>45056</v>
      </c>
      <c r="H21" t="n">
        <v>800000</v>
      </c>
    </row>
    <row r="22">
      <c r="A22" t="inlineStr">
        <is>
          <t>Heron Fields</t>
        </is>
      </c>
      <c r="B22" t="inlineStr">
        <is>
          <t>HFA305</t>
        </is>
      </c>
      <c r="C22" t="b">
        <v>1</v>
      </c>
      <c r="D22" t="b">
        <v>1</v>
      </c>
      <c r="E22" t="n">
        <v>900000</v>
      </c>
      <c r="F22" s="7" t="n">
        <v>44942</v>
      </c>
      <c r="G22" s="7" t="n">
        <v>44942</v>
      </c>
      <c r="H22" t="n">
        <v>700100</v>
      </c>
    </row>
    <row r="23">
      <c r="A23" t="inlineStr">
        <is>
          <t>Heron Fields</t>
        </is>
      </c>
      <c r="B23" t="inlineStr">
        <is>
          <t>HFA306</t>
        </is>
      </c>
      <c r="C23" t="b">
        <v>1</v>
      </c>
      <c r="D23" t="b">
        <v>1</v>
      </c>
      <c r="E23" t="n">
        <v>900000</v>
      </c>
      <c r="F23" s="7" t="n">
        <v>44901</v>
      </c>
      <c r="G23" s="7" t="n">
        <v>44901</v>
      </c>
      <c r="H23" t="n">
        <v>900100</v>
      </c>
    </row>
    <row r="24">
      <c r="A24" t="inlineStr">
        <is>
          <t>Heron Fields</t>
        </is>
      </c>
      <c r="B24" t="inlineStr">
        <is>
          <t>HFB101</t>
        </is>
      </c>
      <c r="C24" t="b">
        <v>1</v>
      </c>
      <c r="D24" t="b">
        <v>1</v>
      </c>
      <c r="E24" t="n">
        <v>900000</v>
      </c>
      <c r="F24" s="7" t="n">
        <v>44909</v>
      </c>
      <c r="G24" s="7" t="n">
        <v>44909</v>
      </c>
      <c r="H24" t="n">
        <v>920000</v>
      </c>
    </row>
    <row r="25">
      <c r="A25" t="inlineStr">
        <is>
          <t>Heron Fields</t>
        </is>
      </c>
      <c r="B25" t="inlineStr">
        <is>
          <t>HFB102</t>
        </is>
      </c>
      <c r="C25" t="b">
        <v>1</v>
      </c>
      <c r="D25" t="b">
        <v>1</v>
      </c>
      <c r="E25" t="n">
        <v>900000</v>
      </c>
      <c r="F25" s="7" t="n">
        <v>44896</v>
      </c>
      <c r="G25" s="7" t="n">
        <v>44896</v>
      </c>
      <c r="H25" t="n">
        <v>920000</v>
      </c>
    </row>
    <row r="26">
      <c r="A26" t="inlineStr">
        <is>
          <t>Heron Fields</t>
        </is>
      </c>
      <c r="B26" t="inlineStr">
        <is>
          <t>HFB103</t>
        </is>
      </c>
      <c r="C26" t="b">
        <v>1</v>
      </c>
      <c r="D26" t="b">
        <v>1</v>
      </c>
      <c r="E26" t="n">
        <v>900000</v>
      </c>
      <c r="F26" s="7" t="n">
        <v>44887</v>
      </c>
      <c r="G26" s="7" t="n">
        <v>44887</v>
      </c>
      <c r="H26" t="n">
        <v>900000</v>
      </c>
    </row>
    <row r="27">
      <c r="A27" t="inlineStr">
        <is>
          <t>Heron Fields</t>
        </is>
      </c>
      <c r="B27" t="inlineStr">
        <is>
          <t>HFB104</t>
        </is>
      </c>
      <c r="C27" t="b">
        <v>1</v>
      </c>
      <c r="D27" t="b">
        <v>1</v>
      </c>
      <c r="E27" t="n">
        <v>900000</v>
      </c>
      <c r="F27" s="7" t="n">
        <v>44908</v>
      </c>
      <c r="G27" s="7" t="n">
        <v>44908</v>
      </c>
      <c r="H27" t="n">
        <v>901887.67</v>
      </c>
    </row>
    <row r="28">
      <c r="A28" t="inlineStr">
        <is>
          <t>Heron Fields</t>
        </is>
      </c>
      <c r="B28" t="inlineStr">
        <is>
          <t>HFB105</t>
        </is>
      </c>
      <c r="C28" t="b">
        <v>1</v>
      </c>
      <c r="D28" t="b">
        <v>1</v>
      </c>
      <c r="E28" t="n">
        <v>900000</v>
      </c>
      <c r="F28" s="7" t="n">
        <v>44992</v>
      </c>
      <c r="G28" s="7" t="n">
        <v>44992</v>
      </c>
      <c r="H28" t="n">
        <v>888145.58</v>
      </c>
    </row>
    <row r="29">
      <c r="A29" t="inlineStr">
        <is>
          <t>Heron Fields</t>
        </is>
      </c>
      <c r="B29" t="inlineStr">
        <is>
          <t>HFB106</t>
        </is>
      </c>
      <c r="C29" t="b">
        <v>1</v>
      </c>
      <c r="D29" t="b">
        <v>1</v>
      </c>
      <c r="E29" t="n">
        <v>900000</v>
      </c>
      <c r="F29" s="7" t="n">
        <v>44956</v>
      </c>
      <c r="G29" s="7" t="n">
        <v>44956</v>
      </c>
      <c r="H29" t="n">
        <v>900000</v>
      </c>
    </row>
    <row r="30">
      <c r="A30" t="inlineStr">
        <is>
          <t>Heron Fields</t>
        </is>
      </c>
      <c r="B30" t="inlineStr">
        <is>
          <t>HFB107</t>
        </is>
      </c>
      <c r="C30" t="b">
        <v>1</v>
      </c>
      <c r="D30" t="b">
        <v>1</v>
      </c>
      <c r="E30" t="n">
        <v>900000</v>
      </c>
      <c r="F30" s="7" t="n">
        <v>45027</v>
      </c>
      <c r="G30" s="7" t="n">
        <v>45027</v>
      </c>
      <c r="H30" t="n">
        <v>920000</v>
      </c>
    </row>
    <row r="31">
      <c r="A31" t="inlineStr">
        <is>
          <t>Heron Fields</t>
        </is>
      </c>
      <c r="B31" t="inlineStr">
        <is>
          <t>HFB108</t>
        </is>
      </c>
      <c r="C31" t="b">
        <v>1</v>
      </c>
      <c r="D31" t="b">
        <v>1</v>
      </c>
      <c r="E31" t="n">
        <v>900000</v>
      </c>
      <c r="F31" s="7" t="n">
        <v>44984</v>
      </c>
      <c r="G31" s="7" t="n">
        <v>44984</v>
      </c>
      <c r="H31" t="n">
        <v>920000</v>
      </c>
    </row>
    <row r="32">
      <c r="A32" t="inlineStr">
        <is>
          <t>Heron Fields</t>
        </is>
      </c>
      <c r="B32" t="inlineStr">
        <is>
          <t>HFB109</t>
        </is>
      </c>
      <c r="C32" t="b">
        <v>1</v>
      </c>
      <c r="D32" t="b">
        <v>1</v>
      </c>
      <c r="E32" t="n">
        <v>900000</v>
      </c>
      <c r="F32" s="7" t="n">
        <v>44999</v>
      </c>
      <c r="G32" s="7" t="n">
        <v>44999</v>
      </c>
      <c r="H32" t="n">
        <v>910000</v>
      </c>
    </row>
    <row r="33">
      <c r="A33" t="inlineStr">
        <is>
          <t>Heron Fields</t>
        </is>
      </c>
      <c r="B33" t="inlineStr">
        <is>
          <t>HFB110</t>
        </is>
      </c>
      <c r="C33" t="b">
        <v>1</v>
      </c>
      <c r="D33" t="b">
        <v>1</v>
      </c>
      <c r="E33" t="n">
        <v>900000</v>
      </c>
      <c r="F33" s="7" t="n">
        <v>45019</v>
      </c>
      <c r="G33" s="7" t="n">
        <v>45019</v>
      </c>
      <c r="H33" t="n">
        <v>900000</v>
      </c>
    </row>
    <row r="34">
      <c r="A34" t="inlineStr">
        <is>
          <t>Heron Fields</t>
        </is>
      </c>
      <c r="B34" t="inlineStr">
        <is>
          <t>HFB111</t>
        </is>
      </c>
      <c r="C34" t="b">
        <v>1</v>
      </c>
      <c r="D34" t="b">
        <v>1</v>
      </c>
      <c r="E34" t="n">
        <v>900000</v>
      </c>
      <c r="F34" s="7" t="n">
        <v>45027</v>
      </c>
      <c r="G34" s="7" t="n">
        <v>45027</v>
      </c>
      <c r="H34" t="n">
        <v>910000</v>
      </c>
    </row>
    <row r="35">
      <c r="A35" t="inlineStr">
        <is>
          <t>Heron Fields</t>
        </is>
      </c>
      <c r="B35" t="inlineStr">
        <is>
          <t>HFB201</t>
        </is>
      </c>
      <c r="C35" t="b">
        <v>1</v>
      </c>
      <c r="D35" t="b">
        <v>1</v>
      </c>
      <c r="E35" t="n">
        <v>900000</v>
      </c>
      <c r="F35" s="7" t="n">
        <v>44936</v>
      </c>
      <c r="G35" s="7" t="n">
        <v>44936</v>
      </c>
      <c r="H35" t="n">
        <v>900000</v>
      </c>
    </row>
    <row r="36">
      <c r="A36" t="inlineStr">
        <is>
          <t>Heron Fields</t>
        </is>
      </c>
      <c r="B36" t="inlineStr">
        <is>
          <t>HFB202</t>
        </is>
      </c>
      <c r="C36" t="b">
        <v>1</v>
      </c>
      <c r="D36" t="b">
        <v>1</v>
      </c>
      <c r="E36" t="n">
        <v>900000</v>
      </c>
      <c r="F36" s="7" t="n">
        <v>45007</v>
      </c>
      <c r="G36" s="7" t="n">
        <v>45007</v>
      </c>
      <c r="H36" t="n">
        <v>900000</v>
      </c>
    </row>
    <row r="37">
      <c r="A37" t="inlineStr">
        <is>
          <t>Heron Fields</t>
        </is>
      </c>
      <c r="B37" t="inlineStr">
        <is>
          <t>HFB203</t>
        </is>
      </c>
      <c r="C37" t="b">
        <v>1</v>
      </c>
      <c r="D37" t="b">
        <v>1</v>
      </c>
      <c r="E37" t="n">
        <v>900000</v>
      </c>
      <c r="F37" s="7" t="n">
        <v>44936</v>
      </c>
      <c r="G37" s="7" t="n">
        <v>44936</v>
      </c>
      <c r="H37" t="n">
        <v>750000</v>
      </c>
    </row>
    <row r="38">
      <c r="A38" t="inlineStr">
        <is>
          <t>Heron Fields</t>
        </is>
      </c>
      <c r="B38" t="inlineStr">
        <is>
          <t>HFB204</t>
        </is>
      </c>
      <c r="C38" t="b">
        <v>1</v>
      </c>
      <c r="D38" t="b">
        <v>1</v>
      </c>
      <c r="E38" t="n">
        <v>900000</v>
      </c>
      <c r="F38" s="7" t="n">
        <v>45007</v>
      </c>
      <c r="G38" s="7" t="n">
        <v>45007</v>
      </c>
      <c r="H38" t="n">
        <v>900000</v>
      </c>
    </row>
    <row r="39">
      <c r="A39" t="inlineStr">
        <is>
          <t>Heron Fields</t>
        </is>
      </c>
      <c r="B39" t="inlineStr">
        <is>
          <t>HFB205</t>
        </is>
      </c>
      <c r="C39" t="b">
        <v>1</v>
      </c>
      <c r="D39" t="b">
        <v>1</v>
      </c>
      <c r="E39" t="n">
        <v>900000</v>
      </c>
      <c r="F39" s="7" t="n">
        <v>44974</v>
      </c>
      <c r="G39" s="7" t="n">
        <v>44974</v>
      </c>
      <c r="H39" t="n">
        <v>900000</v>
      </c>
    </row>
    <row r="40">
      <c r="A40" t="inlineStr">
        <is>
          <t>Heron Fields</t>
        </is>
      </c>
      <c r="B40" t="inlineStr">
        <is>
          <t>HFB206</t>
        </is>
      </c>
      <c r="C40" t="b">
        <v>0</v>
      </c>
      <c r="D40" t="b">
        <v>0</v>
      </c>
      <c r="E40" t="n">
        <v>1000000</v>
      </c>
      <c r="F40" s="7" t="n">
        <v>45471</v>
      </c>
      <c r="G40" t="inlineStr"/>
      <c r="H40" t="n">
        <v>1000000</v>
      </c>
    </row>
    <row r="41">
      <c r="A41" t="inlineStr">
        <is>
          <t>Heron Fields</t>
        </is>
      </c>
      <c r="B41" t="inlineStr">
        <is>
          <t>HFB207</t>
        </is>
      </c>
      <c r="C41" t="b">
        <v>0</v>
      </c>
      <c r="D41" t="b">
        <v>0</v>
      </c>
      <c r="E41" t="n">
        <v>900000</v>
      </c>
      <c r="F41" s="7" t="n">
        <v>45520</v>
      </c>
      <c r="G41" t="inlineStr"/>
      <c r="H41" t="n">
        <v>900000</v>
      </c>
    </row>
    <row r="42">
      <c r="A42" t="inlineStr">
        <is>
          <t>Heron Fields</t>
        </is>
      </c>
      <c r="B42" t="inlineStr">
        <is>
          <t>HFB208</t>
        </is>
      </c>
      <c r="C42" t="b">
        <v>1</v>
      </c>
      <c r="D42" t="b">
        <v>1</v>
      </c>
      <c r="E42" t="n">
        <v>900000</v>
      </c>
      <c r="F42" s="7" t="n">
        <v>45002</v>
      </c>
      <c r="G42" s="7" t="n">
        <v>45002</v>
      </c>
      <c r="H42" t="n">
        <v>900000</v>
      </c>
    </row>
    <row r="43">
      <c r="A43" t="inlineStr">
        <is>
          <t>Heron Fields</t>
        </is>
      </c>
      <c r="B43" t="inlineStr">
        <is>
          <t>HFB209</t>
        </is>
      </c>
      <c r="C43" t="b">
        <v>1</v>
      </c>
      <c r="D43" t="b">
        <v>0</v>
      </c>
      <c r="E43" t="n">
        <v>900000</v>
      </c>
      <c r="F43" s="7" t="n">
        <v>45400</v>
      </c>
      <c r="G43" t="inlineStr"/>
      <c r="H43" t="n">
        <v>900000</v>
      </c>
    </row>
    <row r="44">
      <c r="A44" t="inlineStr">
        <is>
          <t>Heron Fields</t>
        </is>
      </c>
      <c r="B44" t="inlineStr">
        <is>
          <t>HFB210</t>
        </is>
      </c>
      <c r="C44" t="b">
        <v>0</v>
      </c>
      <c r="D44" t="b">
        <v>0</v>
      </c>
      <c r="E44" t="n">
        <v>900000</v>
      </c>
      <c r="F44" s="7" t="n">
        <v>45520</v>
      </c>
      <c r="G44" t="inlineStr"/>
      <c r="H44" t="n">
        <v>800000</v>
      </c>
    </row>
    <row r="45">
      <c r="A45" t="inlineStr">
        <is>
          <t>Heron Fields</t>
        </is>
      </c>
      <c r="B45" t="inlineStr">
        <is>
          <t>HFB211</t>
        </is>
      </c>
      <c r="C45" t="b">
        <v>0</v>
      </c>
      <c r="D45" t="b">
        <v>0</v>
      </c>
      <c r="E45" t="n">
        <v>900000</v>
      </c>
      <c r="F45" s="7" t="n">
        <v>45533</v>
      </c>
      <c r="G45" t="inlineStr"/>
      <c r="H45" t="n">
        <v>900000</v>
      </c>
    </row>
    <row r="46">
      <c r="A46" t="inlineStr">
        <is>
          <t>Heron Fields</t>
        </is>
      </c>
      <c r="B46" t="inlineStr">
        <is>
          <t>HFB212</t>
        </is>
      </c>
      <c r="C46" t="b">
        <v>0</v>
      </c>
      <c r="D46" t="b">
        <v>0</v>
      </c>
      <c r="E46" t="n">
        <v>900000</v>
      </c>
      <c r="F46" s="7" t="n">
        <v>45533</v>
      </c>
      <c r="G46" t="inlineStr"/>
      <c r="H46" t="n">
        <v>900000</v>
      </c>
    </row>
    <row r="47">
      <c r="A47" t="inlineStr">
        <is>
          <t>Heron Fields</t>
        </is>
      </c>
      <c r="B47" t="inlineStr">
        <is>
          <t>HFB213</t>
        </is>
      </c>
      <c r="C47" t="b">
        <v>0</v>
      </c>
      <c r="D47" t="b">
        <v>0</v>
      </c>
      <c r="E47" t="n">
        <v>1000000</v>
      </c>
      <c r="F47" s="7" t="n">
        <v>45540</v>
      </c>
      <c r="G47" t="inlineStr"/>
      <c r="H47" t="n">
        <v>1000000</v>
      </c>
    </row>
    <row r="48">
      <c r="A48" t="inlineStr">
        <is>
          <t>Heron Fields</t>
        </is>
      </c>
      <c r="B48" t="inlineStr">
        <is>
          <t>HFB214</t>
        </is>
      </c>
      <c r="C48" t="b">
        <v>1</v>
      </c>
      <c r="D48" t="b">
        <v>1</v>
      </c>
      <c r="E48" t="n">
        <v>1000000</v>
      </c>
      <c r="F48" s="7" t="n">
        <v>45128</v>
      </c>
      <c r="G48" s="7" t="n">
        <v>45128</v>
      </c>
      <c r="H48" t="n">
        <v>1000000</v>
      </c>
    </row>
    <row r="49">
      <c r="A49" t="inlineStr">
        <is>
          <t>Heron Fields</t>
        </is>
      </c>
      <c r="B49" t="inlineStr">
        <is>
          <t>HFB215</t>
        </is>
      </c>
      <c r="C49" t="b">
        <v>0</v>
      </c>
      <c r="D49" t="b">
        <v>0</v>
      </c>
      <c r="E49" t="n">
        <v>1000000</v>
      </c>
      <c r="F49" s="7" t="n">
        <v>45554</v>
      </c>
      <c r="G49" t="inlineStr"/>
      <c r="H49" t="n">
        <v>0</v>
      </c>
    </row>
    <row r="50">
      <c r="A50" t="inlineStr">
        <is>
          <t>Heron Fields</t>
        </is>
      </c>
      <c r="B50" t="inlineStr">
        <is>
          <t>HFB301</t>
        </is>
      </c>
      <c r="C50" t="b">
        <v>1</v>
      </c>
      <c r="D50" t="b">
        <v>1</v>
      </c>
      <c r="E50" t="n">
        <v>1000000</v>
      </c>
      <c r="F50" s="7" t="n">
        <v>44956</v>
      </c>
      <c r="G50" s="7" t="n">
        <v>44956</v>
      </c>
      <c r="H50" t="n">
        <v>1000000</v>
      </c>
    </row>
    <row r="51">
      <c r="A51" t="inlineStr">
        <is>
          <t>Heron Fields</t>
        </is>
      </c>
      <c r="B51" t="inlineStr">
        <is>
          <t>HFB302</t>
        </is>
      </c>
      <c r="C51" t="b">
        <v>1</v>
      </c>
      <c r="D51" t="b">
        <v>1</v>
      </c>
      <c r="E51" t="n">
        <v>1000000</v>
      </c>
      <c r="F51" s="7" t="n">
        <v>44952</v>
      </c>
      <c r="G51" s="7" t="n">
        <v>44952</v>
      </c>
      <c r="H51" t="n">
        <v>1000000</v>
      </c>
    </row>
    <row r="52">
      <c r="A52" t="inlineStr">
        <is>
          <t>Heron Fields</t>
        </is>
      </c>
      <c r="B52" t="inlineStr">
        <is>
          <t>HFB303</t>
        </is>
      </c>
      <c r="C52" t="b">
        <v>1</v>
      </c>
      <c r="D52" t="b">
        <v>1</v>
      </c>
      <c r="E52" t="n">
        <v>1000000</v>
      </c>
      <c r="F52" s="7" t="n">
        <v>44942</v>
      </c>
      <c r="G52" s="7" t="n">
        <v>44942</v>
      </c>
      <c r="H52" t="n">
        <v>500000</v>
      </c>
    </row>
    <row r="53">
      <c r="A53" t="inlineStr">
        <is>
          <t>Heron Fields</t>
        </is>
      </c>
      <c r="B53" t="inlineStr">
        <is>
          <t>HFB304</t>
        </is>
      </c>
      <c r="C53" t="b">
        <v>1</v>
      </c>
      <c r="D53" t="b">
        <v>1</v>
      </c>
      <c r="E53" t="n">
        <v>1000000</v>
      </c>
      <c r="F53" s="7" t="n">
        <v>45027</v>
      </c>
      <c r="G53" s="7" t="n">
        <v>45027</v>
      </c>
      <c r="H53" t="n">
        <v>1000000</v>
      </c>
    </row>
    <row r="54">
      <c r="A54" t="inlineStr">
        <is>
          <t>Heron Fields</t>
        </is>
      </c>
      <c r="B54" t="inlineStr">
        <is>
          <t>HFB305</t>
        </is>
      </c>
      <c r="C54" t="b">
        <v>1</v>
      </c>
      <c r="D54" t="b">
        <v>1</v>
      </c>
      <c r="E54" t="n">
        <v>1000000</v>
      </c>
      <c r="F54" s="7" t="n">
        <v>45007</v>
      </c>
      <c r="G54" s="7" t="n">
        <v>45007</v>
      </c>
      <c r="H54" t="n">
        <v>0</v>
      </c>
    </row>
    <row r="55">
      <c r="A55" t="inlineStr">
        <is>
          <t>Heron Fields</t>
        </is>
      </c>
      <c r="B55" t="inlineStr">
        <is>
          <t>HFB306</t>
        </is>
      </c>
      <c r="C55" t="b">
        <v>1</v>
      </c>
      <c r="D55" t="b">
        <v>1</v>
      </c>
      <c r="E55" t="n">
        <v>1000000</v>
      </c>
      <c r="F55" s="7" t="n">
        <v>45061</v>
      </c>
      <c r="G55" s="7" t="n">
        <v>45061</v>
      </c>
      <c r="H55" t="n">
        <v>1000000</v>
      </c>
    </row>
    <row r="56">
      <c r="A56" t="inlineStr">
        <is>
          <t>Heron Fields</t>
        </is>
      </c>
      <c r="B56" t="inlineStr">
        <is>
          <t>HFB307</t>
        </is>
      </c>
      <c r="C56" t="b">
        <v>1</v>
      </c>
      <c r="D56" t="b">
        <v>1</v>
      </c>
      <c r="E56" t="n">
        <v>1000000</v>
      </c>
      <c r="F56" s="7" t="n">
        <v>45054</v>
      </c>
      <c r="G56" s="7" t="n">
        <v>45054</v>
      </c>
      <c r="H56" t="n">
        <v>400000</v>
      </c>
    </row>
    <row r="57">
      <c r="A57" t="inlineStr">
        <is>
          <t>Heron Fields</t>
        </is>
      </c>
      <c r="B57" t="inlineStr">
        <is>
          <t>HFB308</t>
        </is>
      </c>
      <c r="C57" t="b">
        <v>1</v>
      </c>
      <c r="D57" t="b">
        <v>1</v>
      </c>
      <c r="E57" t="n">
        <v>1000000</v>
      </c>
      <c r="F57" s="7" t="n">
        <v>45027</v>
      </c>
      <c r="G57" s="7" t="n">
        <v>45027</v>
      </c>
      <c r="H57" t="n">
        <v>1000000</v>
      </c>
    </row>
    <row r="58">
      <c r="A58" t="inlineStr">
        <is>
          <t>Heron Fields</t>
        </is>
      </c>
      <c r="B58" t="inlineStr">
        <is>
          <t>HFB309</t>
        </is>
      </c>
      <c r="C58" t="b">
        <v>1</v>
      </c>
      <c r="D58" t="b">
        <v>1</v>
      </c>
      <c r="E58" t="n">
        <v>1000000</v>
      </c>
      <c r="F58" s="7" t="n">
        <v>45086</v>
      </c>
      <c r="G58" s="7" t="n">
        <v>45086</v>
      </c>
      <c r="H58" t="n">
        <v>799172.38</v>
      </c>
    </row>
    <row r="59">
      <c r="A59" t="inlineStr">
        <is>
          <t>Heron Fields</t>
        </is>
      </c>
      <c r="B59" t="inlineStr">
        <is>
          <t>HFB310</t>
        </is>
      </c>
      <c r="C59" t="b">
        <v>1</v>
      </c>
      <c r="D59" t="b">
        <v>1</v>
      </c>
      <c r="E59" t="n">
        <v>1000000</v>
      </c>
      <c r="F59" s="7" t="n">
        <v>45014</v>
      </c>
      <c r="G59" s="7" t="n">
        <v>45014</v>
      </c>
      <c r="H59" t="n">
        <v>1000000</v>
      </c>
    </row>
    <row r="60">
      <c r="A60" t="inlineStr">
        <is>
          <t>Heron Fields</t>
        </is>
      </c>
      <c r="B60" t="inlineStr">
        <is>
          <t>HFB311</t>
        </is>
      </c>
      <c r="C60" t="b">
        <v>1</v>
      </c>
      <c r="D60" t="b">
        <v>1</v>
      </c>
      <c r="E60" t="n">
        <v>1000000</v>
      </c>
      <c r="F60" s="7" t="n">
        <v>45035</v>
      </c>
      <c r="G60" s="7" t="n">
        <v>45035</v>
      </c>
      <c r="H60" t="n">
        <v>600000</v>
      </c>
    </row>
    <row r="61">
      <c r="A61" t="inlineStr">
        <is>
          <t>Heron Fields</t>
        </is>
      </c>
      <c r="B61" t="inlineStr">
        <is>
          <t>HFB312</t>
        </is>
      </c>
      <c r="C61" t="b">
        <v>1</v>
      </c>
      <c r="D61" t="b">
        <v>1</v>
      </c>
      <c r="E61" t="n">
        <v>1000000</v>
      </c>
      <c r="F61" s="7" t="n">
        <v>45027</v>
      </c>
      <c r="G61" s="7" t="n">
        <v>45027</v>
      </c>
      <c r="H61" t="n">
        <v>1000000</v>
      </c>
    </row>
    <row r="62">
      <c r="A62" t="inlineStr">
        <is>
          <t>Heron Fields</t>
        </is>
      </c>
      <c r="B62" t="inlineStr">
        <is>
          <t>HFB313</t>
        </is>
      </c>
      <c r="C62" t="b">
        <v>1</v>
      </c>
      <c r="D62" t="b">
        <v>1</v>
      </c>
      <c r="E62" t="n">
        <v>1000000</v>
      </c>
      <c r="F62" s="7" t="n">
        <v>45051</v>
      </c>
      <c r="G62" s="7" t="n">
        <v>45051</v>
      </c>
      <c r="H62" t="n">
        <v>1068455</v>
      </c>
    </row>
    <row r="63">
      <c r="A63" t="inlineStr">
        <is>
          <t>Heron Fields</t>
        </is>
      </c>
      <c r="B63" t="inlineStr">
        <is>
          <t>HFB314</t>
        </is>
      </c>
      <c r="C63" t="b">
        <v>1</v>
      </c>
      <c r="D63" t="b">
        <v>1</v>
      </c>
      <c r="E63" t="n">
        <v>1000000</v>
      </c>
      <c r="F63" s="7" t="n">
        <v>45027</v>
      </c>
      <c r="G63" s="7" t="n">
        <v>45027</v>
      </c>
      <c r="H63" t="n">
        <v>0</v>
      </c>
    </row>
    <row r="64">
      <c r="A64" t="inlineStr">
        <is>
          <t>Heron Fields</t>
        </is>
      </c>
      <c r="B64" t="inlineStr">
        <is>
          <t>HFB315</t>
        </is>
      </c>
      <c r="C64" t="b">
        <v>1</v>
      </c>
      <c r="D64" t="b">
        <v>1</v>
      </c>
      <c r="E64" t="n">
        <v>1000000</v>
      </c>
      <c r="F64" s="7" t="n">
        <v>45204</v>
      </c>
      <c r="G64" s="7" t="n">
        <v>45204</v>
      </c>
      <c r="H64" t="n">
        <v>0</v>
      </c>
    </row>
    <row r="65">
      <c r="A65" t="inlineStr">
        <is>
          <t>Heron View</t>
        </is>
      </c>
      <c r="B65" t="inlineStr">
        <is>
          <t>HVC101</t>
        </is>
      </c>
      <c r="C65" t="b">
        <v>1</v>
      </c>
      <c r="D65" t="b">
        <v>1</v>
      </c>
      <c r="E65" t="n">
        <v>1100000</v>
      </c>
      <c r="F65" s="7" t="n">
        <v>45154</v>
      </c>
      <c r="G65" s="7" t="n">
        <v>45154</v>
      </c>
      <c r="H65" t="n">
        <v>1112472.71</v>
      </c>
    </row>
    <row r="66">
      <c r="A66" t="inlineStr">
        <is>
          <t>Heron View</t>
        </is>
      </c>
      <c r="B66" t="inlineStr">
        <is>
          <t>HVC102</t>
        </is>
      </c>
      <c r="C66" t="b">
        <v>1</v>
      </c>
      <c r="D66" t="b">
        <v>1</v>
      </c>
      <c r="E66" t="n">
        <v>1100000</v>
      </c>
      <c r="F66" s="7" t="n">
        <v>45154</v>
      </c>
      <c r="G66" s="7" t="n">
        <v>45154</v>
      </c>
      <c r="H66" t="n">
        <v>1100000</v>
      </c>
    </row>
    <row r="67">
      <c r="A67" t="inlineStr">
        <is>
          <t>Heron View</t>
        </is>
      </c>
      <c r="B67" t="inlineStr">
        <is>
          <t>HVC103</t>
        </is>
      </c>
      <c r="C67" t="b">
        <v>1</v>
      </c>
      <c r="D67" t="b">
        <v>1</v>
      </c>
      <c r="E67" t="n">
        <v>1100000</v>
      </c>
      <c r="F67" s="7" t="n">
        <v>45174</v>
      </c>
      <c r="G67" s="7" t="n">
        <v>45174</v>
      </c>
      <c r="H67" t="n">
        <v>1118391.41</v>
      </c>
    </row>
    <row r="68">
      <c r="A68" t="inlineStr">
        <is>
          <t>Heron View</t>
        </is>
      </c>
      <c r="B68" t="inlineStr">
        <is>
          <t>HVC104</t>
        </is>
      </c>
      <c r="C68" t="b">
        <v>1</v>
      </c>
      <c r="D68" t="b">
        <v>1</v>
      </c>
      <c r="E68" t="n">
        <v>1100000</v>
      </c>
      <c r="F68" s="7" t="n">
        <v>45167</v>
      </c>
      <c r="G68" s="7" t="n">
        <v>45167</v>
      </c>
      <c r="H68" t="n">
        <v>1080000</v>
      </c>
    </row>
    <row r="69">
      <c r="A69" t="inlineStr">
        <is>
          <t>Heron View</t>
        </is>
      </c>
      <c r="B69" t="inlineStr">
        <is>
          <t>HVC105</t>
        </is>
      </c>
      <c r="C69" t="b">
        <v>1</v>
      </c>
      <c r="D69" t="b">
        <v>1</v>
      </c>
      <c r="E69" t="n">
        <v>1100000</v>
      </c>
      <c r="F69" s="7" t="n">
        <v>45175</v>
      </c>
      <c r="G69" s="7" t="n">
        <v>45175</v>
      </c>
      <c r="H69" t="n">
        <v>1118537.67</v>
      </c>
    </row>
    <row r="70">
      <c r="A70" t="inlineStr">
        <is>
          <t>Heron View</t>
        </is>
      </c>
      <c r="B70" t="inlineStr">
        <is>
          <t>HVC106</t>
        </is>
      </c>
      <c r="C70" t="b">
        <v>1</v>
      </c>
      <c r="D70" t="b">
        <v>1</v>
      </c>
      <c r="E70" t="n">
        <v>1100000</v>
      </c>
      <c r="F70" s="7" t="n">
        <v>45170</v>
      </c>
      <c r="G70" s="7" t="n">
        <v>45170</v>
      </c>
      <c r="H70" t="n">
        <v>1110000</v>
      </c>
    </row>
    <row r="71">
      <c r="A71" t="inlineStr">
        <is>
          <t>Heron View</t>
        </is>
      </c>
      <c r="B71" t="inlineStr">
        <is>
          <t>HVC201</t>
        </is>
      </c>
      <c r="C71" t="b">
        <v>1</v>
      </c>
      <c r="D71" t="b">
        <v>1</v>
      </c>
      <c r="E71" t="n">
        <v>1100000</v>
      </c>
      <c r="F71" s="7" t="n">
        <v>45177</v>
      </c>
      <c r="G71" s="7" t="n">
        <v>45177</v>
      </c>
      <c r="H71" t="n">
        <v>1056614.26</v>
      </c>
    </row>
    <row r="72">
      <c r="A72" t="inlineStr">
        <is>
          <t>Heron View</t>
        </is>
      </c>
      <c r="B72" t="inlineStr">
        <is>
          <t>HVC202</t>
        </is>
      </c>
      <c r="C72" t="b">
        <v>0</v>
      </c>
      <c r="D72" t="b">
        <v>0</v>
      </c>
      <c r="E72" t="n">
        <v>1100000</v>
      </c>
      <c r="F72" s="7" t="n">
        <v>45505</v>
      </c>
      <c r="G72" t="inlineStr"/>
      <c r="H72" t="n">
        <v>1100000</v>
      </c>
    </row>
    <row r="73">
      <c r="A73" t="inlineStr">
        <is>
          <t>Heron View</t>
        </is>
      </c>
      <c r="B73" t="inlineStr">
        <is>
          <t>HVC203</t>
        </is>
      </c>
      <c r="C73" t="b">
        <v>1</v>
      </c>
      <c r="D73" t="b">
        <v>1</v>
      </c>
      <c r="E73" t="n">
        <v>1100000</v>
      </c>
      <c r="F73" s="7" t="n">
        <v>45154</v>
      </c>
      <c r="G73" s="7" t="n">
        <v>45154</v>
      </c>
      <c r="H73" t="n">
        <v>1100000</v>
      </c>
    </row>
    <row r="74">
      <c r="A74" t="inlineStr">
        <is>
          <t>Heron View</t>
        </is>
      </c>
      <c r="B74" t="inlineStr">
        <is>
          <t>HVC204</t>
        </is>
      </c>
      <c r="C74" t="b">
        <v>0</v>
      </c>
      <c r="D74" t="b">
        <v>0</v>
      </c>
      <c r="E74" t="n">
        <v>1100000</v>
      </c>
      <c r="F74" s="7" t="n">
        <v>45530</v>
      </c>
      <c r="G74" t="inlineStr"/>
      <c r="H74" t="n">
        <v>1107450.08</v>
      </c>
    </row>
    <row r="75">
      <c r="A75" t="inlineStr">
        <is>
          <t>Heron View</t>
        </is>
      </c>
      <c r="B75" t="inlineStr">
        <is>
          <t>HVC205</t>
        </is>
      </c>
      <c r="C75" t="b">
        <v>1</v>
      </c>
      <c r="D75" t="b">
        <v>0</v>
      </c>
      <c r="E75" t="n">
        <v>1100000</v>
      </c>
      <c r="F75" s="7" t="n">
        <v>45394</v>
      </c>
      <c r="G75" t="inlineStr"/>
      <c r="H75" t="n">
        <v>1111894.52</v>
      </c>
    </row>
    <row r="76">
      <c r="A76" t="inlineStr">
        <is>
          <t>Heron View</t>
        </is>
      </c>
      <c r="B76" t="inlineStr">
        <is>
          <t>HVC206</t>
        </is>
      </c>
      <c r="C76" t="b">
        <v>1</v>
      </c>
      <c r="D76" t="b">
        <v>0</v>
      </c>
      <c r="E76" t="n">
        <v>1100000</v>
      </c>
      <c r="F76" s="7" t="n">
        <v>45394</v>
      </c>
      <c r="G76" t="inlineStr"/>
      <c r="H76" t="n">
        <v>1100000</v>
      </c>
    </row>
    <row r="77">
      <c r="A77" t="inlineStr">
        <is>
          <t>Heron View</t>
        </is>
      </c>
      <c r="B77" t="inlineStr">
        <is>
          <t>HVC301</t>
        </is>
      </c>
      <c r="C77" t="b">
        <v>1</v>
      </c>
      <c r="D77" t="b">
        <v>1</v>
      </c>
      <c r="E77" t="n">
        <v>1100000</v>
      </c>
      <c r="F77" s="7" t="n">
        <v>45154</v>
      </c>
      <c r="G77" s="7" t="n">
        <v>45154</v>
      </c>
      <c r="H77" t="n">
        <v>1090694.47</v>
      </c>
    </row>
    <row r="78">
      <c r="A78" t="inlineStr">
        <is>
          <t>Heron View</t>
        </is>
      </c>
      <c r="B78" t="inlineStr">
        <is>
          <t>HVC302</t>
        </is>
      </c>
      <c r="C78" t="b">
        <v>0</v>
      </c>
      <c r="D78" t="b">
        <v>0</v>
      </c>
      <c r="E78" t="n">
        <v>1100000</v>
      </c>
      <c r="F78" s="7" t="n">
        <v>45475</v>
      </c>
      <c r="G78" t="inlineStr"/>
      <c r="H78" t="n">
        <v>1107899.95</v>
      </c>
    </row>
    <row r="79">
      <c r="A79" t="inlineStr">
        <is>
          <t>Heron View</t>
        </is>
      </c>
      <c r="B79" t="inlineStr">
        <is>
          <t>HVC303</t>
        </is>
      </c>
      <c r="C79" t="b">
        <v>1</v>
      </c>
      <c r="D79" t="b">
        <v>1</v>
      </c>
      <c r="E79" t="n">
        <v>1100000</v>
      </c>
      <c r="F79" s="7" t="n">
        <v>45177</v>
      </c>
      <c r="G79" s="7" t="n">
        <v>45177</v>
      </c>
      <c r="H79" t="n">
        <v>1075536.3</v>
      </c>
    </row>
    <row r="80">
      <c r="A80" t="inlineStr">
        <is>
          <t>Heron View</t>
        </is>
      </c>
      <c r="B80" t="inlineStr">
        <is>
          <t>HVC304</t>
        </is>
      </c>
      <c r="C80" t="b">
        <v>0</v>
      </c>
      <c r="D80" t="b">
        <v>0</v>
      </c>
      <c r="E80" t="n">
        <v>1100000</v>
      </c>
      <c r="F80" s="7" t="n">
        <v>45533</v>
      </c>
      <c r="G80" t="inlineStr"/>
      <c r="H80" t="n">
        <v>1028006.85</v>
      </c>
    </row>
    <row r="81">
      <c r="A81" t="inlineStr">
        <is>
          <t>Heron View</t>
        </is>
      </c>
      <c r="B81" t="inlineStr">
        <is>
          <t>HVC305</t>
        </is>
      </c>
      <c r="C81" t="b">
        <v>0</v>
      </c>
      <c r="D81" t="b">
        <v>0</v>
      </c>
      <c r="E81" t="n">
        <v>1100000</v>
      </c>
      <c r="F81" s="7" t="n">
        <v>45533</v>
      </c>
      <c r="G81" t="inlineStr"/>
      <c r="H81" t="n">
        <v>1118307.2</v>
      </c>
    </row>
    <row r="82">
      <c r="A82" t="inlineStr">
        <is>
          <t>Heron View</t>
        </is>
      </c>
      <c r="B82" t="inlineStr">
        <is>
          <t>HVC306</t>
        </is>
      </c>
      <c r="C82" t="b">
        <v>1</v>
      </c>
      <c r="D82" t="b">
        <v>0</v>
      </c>
      <c r="E82" t="n">
        <v>1100000</v>
      </c>
      <c r="F82" s="7" t="n">
        <v>45406</v>
      </c>
      <c r="G82" t="inlineStr"/>
      <c r="H82" t="n">
        <v>1100000</v>
      </c>
    </row>
    <row r="83">
      <c r="A83" t="inlineStr">
        <is>
          <t>Heron View</t>
        </is>
      </c>
      <c r="B83" t="inlineStr">
        <is>
          <t>HVD101</t>
        </is>
      </c>
      <c r="C83" t="b">
        <v>1</v>
      </c>
      <c r="D83" t="b">
        <v>1</v>
      </c>
      <c r="E83" t="n">
        <v>1000000</v>
      </c>
      <c r="F83" s="7" t="n">
        <v>45308</v>
      </c>
      <c r="G83" s="7" t="n">
        <v>45308</v>
      </c>
      <c r="H83" t="n">
        <v>1015859.19</v>
      </c>
    </row>
    <row r="84">
      <c r="A84" t="inlineStr">
        <is>
          <t>Heron View</t>
        </is>
      </c>
      <c r="B84" t="inlineStr">
        <is>
          <t>HVD102</t>
        </is>
      </c>
      <c r="C84" t="b">
        <v>1</v>
      </c>
      <c r="D84" t="b">
        <v>1</v>
      </c>
      <c r="E84" t="n">
        <v>1000000</v>
      </c>
      <c r="F84" s="7" t="n">
        <v>45341</v>
      </c>
      <c r="G84" s="7" t="n">
        <v>45341</v>
      </c>
      <c r="H84" t="n">
        <v>1000000</v>
      </c>
    </row>
    <row r="85">
      <c r="A85" t="inlineStr">
        <is>
          <t>Heron View</t>
        </is>
      </c>
      <c r="B85" t="inlineStr">
        <is>
          <t>HVD103</t>
        </is>
      </c>
      <c r="C85" t="b">
        <v>1</v>
      </c>
      <c r="D85" t="b">
        <v>1</v>
      </c>
      <c r="E85" t="n">
        <v>1000000</v>
      </c>
      <c r="F85" s="7" t="n">
        <v>45323</v>
      </c>
      <c r="G85" s="7" t="n">
        <v>45323</v>
      </c>
      <c r="H85" t="n">
        <v>1001117.11</v>
      </c>
    </row>
    <row r="86">
      <c r="A86" t="inlineStr">
        <is>
          <t>Heron View</t>
        </is>
      </c>
      <c r="B86" t="inlineStr">
        <is>
          <t>HVD104</t>
        </is>
      </c>
      <c r="C86" t="b">
        <v>1</v>
      </c>
      <c r="D86" t="b">
        <v>1</v>
      </c>
      <c r="E86" t="n">
        <v>1000000</v>
      </c>
      <c r="F86" s="7" t="n">
        <v>45336</v>
      </c>
      <c r="G86" s="7" t="n">
        <v>45336</v>
      </c>
      <c r="H86" t="n">
        <v>1022783.56</v>
      </c>
    </row>
    <row r="87">
      <c r="A87" t="inlineStr">
        <is>
          <t>Heron View</t>
        </is>
      </c>
      <c r="B87" t="inlineStr">
        <is>
          <t>HVD201</t>
        </is>
      </c>
      <c r="C87" t="b">
        <v>1</v>
      </c>
      <c r="D87" t="b">
        <v>1</v>
      </c>
      <c r="E87" t="n">
        <v>1000000</v>
      </c>
      <c r="F87" s="7" t="n">
        <v>45327</v>
      </c>
      <c r="G87" s="7" t="n">
        <v>45327</v>
      </c>
      <c r="H87" t="n">
        <v>1021986.94</v>
      </c>
    </row>
    <row r="88">
      <c r="A88" t="inlineStr">
        <is>
          <t>Heron View</t>
        </is>
      </c>
      <c r="B88" t="inlineStr">
        <is>
          <t>HVD202</t>
        </is>
      </c>
      <c r="C88" t="b">
        <v>1</v>
      </c>
      <c r="D88" t="b">
        <v>0</v>
      </c>
      <c r="E88" t="n">
        <v>1000000</v>
      </c>
      <c r="F88" s="7" t="n">
        <v>45415</v>
      </c>
      <c r="G88" t="inlineStr"/>
      <c r="H88" t="n">
        <v>1010994.48</v>
      </c>
    </row>
    <row r="89">
      <c r="A89" t="inlineStr">
        <is>
          <t>Heron View</t>
        </is>
      </c>
      <c r="B89" t="inlineStr">
        <is>
          <t>HVD203</t>
        </is>
      </c>
      <c r="C89" t="b">
        <v>1</v>
      </c>
      <c r="D89" t="b">
        <v>1</v>
      </c>
      <c r="E89" t="n">
        <v>1000000</v>
      </c>
      <c r="F89" s="7" t="n">
        <v>45377</v>
      </c>
      <c r="G89" s="7" t="n">
        <v>45377</v>
      </c>
      <c r="H89" t="n">
        <v>1000000</v>
      </c>
    </row>
    <row r="90">
      <c r="A90" t="inlineStr">
        <is>
          <t>Heron View</t>
        </is>
      </c>
      <c r="B90" t="inlineStr">
        <is>
          <t>HVD204</t>
        </is>
      </c>
      <c r="C90" t="b">
        <v>1</v>
      </c>
      <c r="D90" t="b">
        <v>1</v>
      </c>
      <c r="E90" t="n">
        <v>1000000</v>
      </c>
      <c r="F90" s="7" t="n">
        <v>45330</v>
      </c>
      <c r="G90" s="7" t="n">
        <v>45330</v>
      </c>
      <c r="H90" t="n">
        <v>1023753.84</v>
      </c>
    </row>
    <row r="91">
      <c r="A91" t="inlineStr">
        <is>
          <t>Heron View</t>
        </is>
      </c>
      <c r="B91" t="inlineStr">
        <is>
          <t>HVD301</t>
        </is>
      </c>
      <c r="C91" t="b">
        <v>1</v>
      </c>
      <c r="D91" t="b">
        <v>1</v>
      </c>
      <c r="E91" t="n">
        <v>1000000</v>
      </c>
      <c r="F91" s="7" t="n">
        <v>45341</v>
      </c>
      <c r="G91" s="7" t="n">
        <v>45341</v>
      </c>
      <c r="H91" t="n">
        <v>1000000</v>
      </c>
    </row>
    <row r="92">
      <c r="A92" t="inlineStr">
        <is>
          <t>Heron View</t>
        </is>
      </c>
      <c r="B92" t="inlineStr">
        <is>
          <t>HVD302</t>
        </is>
      </c>
      <c r="C92" t="b">
        <v>0</v>
      </c>
      <c r="D92" t="b">
        <v>0</v>
      </c>
      <c r="E92" t="n">
        <v>1000000</v>
      </c>
      <c r="F92" s="7" t="n">
        <v>45468</v>
      </c>
      <c r="G92" t="inlineStr"/>
      <c r="H92" t="n">
        <v>983901.15</v>
      </c>
    </row>
    <row r="93">
      <c r="A93" t="inlineStr">
        <is>
          <t>Heron View</t>
        </is>
      </c>
      <c r="B93" t="inlineStr">
        <is>
          <t>HVD303</t>
        </is>
      </c>
      <c r="C93" t="b">
        <v>0</v>
      </c>
      <c r="D93" t="b">
        <v>0</v>
      </c>
      <c r="E93" t="n">
        <v>1000000</v>
      </c>
      <c r="F93" s="7" t="n">
        <v>45469</v>
      </c>
      <c r="G93" t="inlineStr"/>
      <c r="H93" t="n">
        <v>1018733.56</v>
      </c>
    </row>
    <row r="94">
      <c r="A94" t="inlineStr">
        <is>
          <t>Heron View</t>
        </is>
      </c>
      <c r="B94" t="inlineStr">
        <is>
          <t>HVD304</t>
        </is>
      </c>
      <c r="C94" t="b">
        <v>0</v>
      </c>
      <c r="D94" t="b">
        <v>0</v>
      </c>
      <c r="E94" t="n">
        <v>1000000</v>
      </c>
      <c r="F94" s="7" t="n">
        <v>45484</v>
      </c>
      <c r="G94" t="inlineStr"/>
      <c r="H94" t="n">
        <v>1000000</v>
      </c>
    </row>
    <row r="95">
      <c r="A95" t="inlineStr">
        <is>
          <t>Heron View</t>
        </is>
      </c>
      <c r="B95" t="inlineStr">
        <is>
          <t>HVE101</t>
        </is>
      </c>
      <c r="C95" t="b">
        <v>0</v>
      </c>
      <c r="D95" t="b">
        <v>0</v>
      </c>
      <c r="E95" t="n">
        <v>1200000</v>
      </c>
      <c r="F95" s="7" t="n">
        <v>45685</v>
      </c>
      <c r="G95" t="inlineStr"/>
      <c r="H95" t="n">
        <v>603077.41</v>
      </c>
    </row>
    <row r="96">
      <c r="A96" t="inlineStr">
        <is>
          <t>Heron View</t>
        </is>
      </c>
      <c r="B96" t="inlineStr">
        <is>
          <t>HVE102</t>
        </is>
      </c>
      <c r="C96" t="b">
        <v>0</v>
      </c>
      <c r="D96" t="b">
        <v>0</v>
      </c>
      <c r="E96" t="n">
        <v>1200000</v>
      </c>
      <c r="F96" s="7" t="n">
        <v>45685</v>
      </c>
      <c r="G96" t="inlineStr"/>
      <c r="H96" t="n">
        <v>115099.32</v>
      </c>
    </row>
    <row r="97">
      <c r="A97" t="inlineStr">
        <is>
          <t>Heron View</t>
        </is>
      </c>
      <c r="B97" t="inlineStr">
        <is>
          <t>HVE103</t>
        </is>
      </c>
      <c r="C97" t="b">
        <v>0</v>
      </c>
      <c r="D97" t="b">
        <v>0</v>
      </c>
      <c r="E97" t="n">
        <v>1200000</v>
      </c>
      <c r="F97" s="7" t="n">
        <v>45685</v>
      </c>
      <c r="G97" t="inlineStr"/>
      <c r="H97" t="n">
        <v>0</v>
      </c>
    </row>
    <row r="98">
      <c r="A98" t="inlineStr">
        <is>
          <t>Heron View</t>
        </is>
      </c>
      <c r="B98" t="inlineStr">
        <is>
          <t>HVE104</t>
        </is>
      </c>
      <c r="C98" t="b">
        <v>0</v>
      </c>
      <c r="D98" t="b">
        <v>0</v>
      </c>
      <c r="E98" t="n">
        <v>1200000</v>
      </c>
      <c r="F98" s="7" t="n">
        <v>45685</v>
      </c>
      <c r="G98" t="inlineStr"/>
      <c r="H98" t="n">
        <v>1200000</v>
      </c>
    </row>
    <row r="99">
      <c r="A99" t="inlineStr">
        <is>
          <t>Heron View</t>
        </is>
      </c>
      <c r="B99" t="inlineStr">
        <is>
          <t>HVE201</t>
        </is>
      </c>
      <c r="C99" t="b">
        <v>0</v>
      </c>
      <c r="D99" t="b">
        <v>0</v>
      </c>
      <c r="E99" t="n">
        <v>1200000</v>
      </c>
      <c r="F99" s="7" t="n">
        <v>45685</v>
      </c>
      <c r="G99" t="inlineStr"/>
      <c r="H99" t="n">
        <v>1225979.77</v>
      </c>
    </row>
    <row r="100">
      <c r="A100" t="inlineStr">
        <is>
          <t>Heron View</t>
        </is>
      </c>
      <c r="B100" t="inlineStr">
        <is>
          <t>HVE202</t>
        </is>
      </c>
      <c r="C100" t="b">
        <v>0</v>
      </c>
      <c r="D100" t="b">
        <v>0</v>
      </c>
      <c r="E100" t="n">
        <v>1200000</v>
      </c>
      <c r="F100" s="7" t="n">
        <v>45685</v>
      </c>
      <c r="G100" t="inlineStr"/>
      <c r="H100" t="n">
        <v>1200000</v>
      </c>
    </row>
    <row r="101">
      <c r="A101" t="inlineStr">
        <is>
          <t>Heron View</t>
        </is>
      </c>
      <c r="B101" t="inlineStr">
        <is>
          <t>HVE203</t>
        </is>
      </c>
      <c r="C101" t="b">
        <v>0</v>
      </c>
      <c r="D101" t="b">
        <v>0</v>
      </c>
      <c r="E101" t="n">
        <v>1200000</v>
      </c>
      <c r="F101" s="7" t="n">
        <v>45685</v>
      </c>
      <c r="G101" t="inlineStr"/>
      <c r="H101" t="n">
        <v>1200000</v>
      </c>
    </row>
    <row r="102">
      <c r="A102" t="inlineStr">
        <is>
          <t>Heron View</t>
        </is>
      </c>
      <c r="B102" t="inlineStr">
        <is>
          <t>HVE204</t>
        </is>
      </c>
      <c r="C102" t="b">
        <v>0</v>
      </c>
      <c r="D102" t="b">
        <v>0</v>
      </c>
      <c r="E102" t="n">
        <v>1200000</v>
      </c>
      <c r="F102" s="7" t="n">
        <v>45685</v>
      </c>
      <c r="G102" t="inlineStr"/>
      <c r="H102" t="n">
        <v>1200000</v>
      </c>
    </row>
    <row r="103">
      <c r="A103" t="inlineStr">
        <is>
          <t>Heron View</t>
        </is>
      </c>
      <c r="B103" t="inlineStr">
        <is>
          <t>HVE301</t>
        </is>
      </c>
      <c r="C103" t="b">
        <v>0</v>
      </c>
      <c r="D103" t="b">
        <v>0</v>
      </c>
      <c r="E103" t="n">
        <v>1200000</v>
      </c>
      <c r="F103" s="7" t="n">
        <v>45685</v>
      </c>
      <c r="G103" t="inlineStr"/>
      <c r="H103" t="n">
        <v>1200000</v>
      </c>
    </row>
    <row r="104">
      <c r="A104" t="inlineStr">
        <is>
          <t>Heron View</t>
        </is>
      </c>
      <c r="B104" t="inlineStr">
        <is>
          <t>HVE302</t>
        </is>
      </c>
      <c r="C104" t="b">
        <v>0</v>
      </c>
      <c r="D104" t="b">
        <v>0</v>
      </c>
      <c r="E104" t="n">
        <v>1200000</v>
      </c>
      <c r="F104" s="7" t="n">
        <v>45685</v>
      </c>
      <c r="G104" t="inlineStr"/>
      <c r="H104" t="n">
        <v>1200000</v>
      </c>
    </row>
    <row r="105">
      <c r="A105" t="inlineStr">
        <is>
          <t>Heron View</t>
        </is>
      </c>
      <c r="B105" t="inlineStr">
        <is>
          <t>HVE303</t>
        </is>
      </c>
      <c r="C105" t="b">
        <v>0</v>
      </c>
      <c r="D105" t="b">
        <v>0</v>
      </c>
      <c r="E105" t="n">
        <v>1200000</v>
      </c>
      <c r="F105" s="7" t="n">
        <v>45685</v>
      </c>
      <c r="G105" t="inlineStr"/>
      <c r="H105" t="n">
        <v>710000</v>
      </c>
    </row>
    <row r="106">
      <c r="A106" t="inlineStr">
        <is>
          <t>Heron View</t>
        </is>
      </c>
      <c r="B106" t="inlineStr">
        <is>
          <t>HVE304</t>
        </is>
      </c>
      <c r="C106" t="b">
        <v>0</v>
      </c>
      <c r="D106" t="b">
        <v>0</v>
      </c>
      <c r="E106" t="n">
        <v>1200000</v>
      </c>
      <c r="F106" s="7" t="n">
        <v>45685</v>
      </c>
      <c r="G106" t="inlineStr"/>
      <c r="H106" t="n">
        <v>1200000</v>
      </c>
    </row>
    <row r="107">
      <c r="A107" t="inlineStr">
        <is>
          <t>Heron View</t>
        </is>
      </c>
      <c r="B107" t="inlineStr">
        <is>
          <t>HVF101</t>
        </is>
      </c>
      <c r="C107" t="b">
        <v>0</v>
      </c>
      <c r="D107" t="b">
        <v>0</v>
      </c>
      <c r="E107" t="n">
        <v>1200000</v>
      </c>
      <c r="F107" s="7" t="n">
        <v>45722</v>
      </c>
      <c r="G107" t="inlineStr"/>
      <c r="H107" t="n">
        <v>1188813.64</v>
      </c>
    </row>
    <row r="108">
      <c r="A108" t="inlineStr">
        <is>
          <t>Heron View</t>
        </is>
      </c>
      <c r="B108" t="inlineStr">
        <is>
          <t>HVF102</t>
        </is>
      </c>
      <c r="C108" t="b">
        <v>0</v>
      </c>
      <c r="D108" t="b">
        <v>0</v>
      </c>
      <c r="E108" t="n">
        <v>1200000</v>
      </c>
      <c r="F108" s="7" t="n">
        <v>45722</v>
      </c>
      <c r="G108" t="inlineStr"/>
      <c r="H108" t="n">
        <v>1024008.56</v>
      </c>
    </row>
    <row r="109">
      <c r="A109" t="inlineStr">
        <is>
          <t>Heron View</t>
        </is>
      </c>
      <c r="B109" t="inlineStr">
        <is>
          <t>HVF103</t>
        </is>
      </c>
      <c r="C109" t="b">
        <v>0</v>
      </c>
      <c r="D109" t="b">
        <v>0</v>
      </c>
      <c r="E109" t="n">
        <v>1200000</v>
      </c>
      <c r="F109" s="7" t="n">
        <v>45722</v>
      </c>
      <c r="G109" t="inlineStr"/>
      <c r="H109" t="n">
        <v>889121.53</v>
      </c>
    </row>
    <row r="110">
      <c r="A110" t="inlineStr">
        <is>
          <t>Heron View</t>
        </is>
      </c>
      <c r="B110" t="inlineStr">
        <is>
          <t>HVF104</t>
        </is>
      </c>
      <c r="C110" t="b">
        <v>0</v>
      </c>
      <c r="D110" t="b">
        <v>0</v>
      </c>
      <c r="E110" t="n">
        <v>1200000</v>
      </c>
      <c r="F110" s="7" t="n">
        <v>45722</v>
      </c>
      <c r="G110" t="inlineStr"/>
      <c r="H110" t="n">
        <v>903865.75</v>
      </c>
    </row>
    <row r="111">
      <c r="A111" t="inlineStr">
        <is>
          <t>Heron View</t>
        </is>
      </c>
      <c r="B111" t="inlineStr">
        <is>
          <t>HVF201</t>
        </is>
      </c>
      <c r="C111" t="b">
        <v>0</v>
      </c>
      <c r="D111" t="b">
        <v>0</v>
      </c>
      <c r="E111" t="n">
        <v>1200000</v>
      </c>
      <c r="F111" s="7" t="n">
        <v>45722</v>
      </c>
      <c r="G111" t="inlineStr"/>
      <c r="H111" t="n">
        <v>1000000</v>
      </c>
    </row>
    <row r="112">
      <c r="A112" t="inlineStr">
        <is>
          <t>Heron View</t>
        </is>
      </c>
      <c r="B112" t="inlineStr">
        <is>
          <t>HVF202</t>
        </is>
      </c>
      <c r="C112" t="b">
        <v>0</v>
      </c>
      <c r="D112" t="b">
        <v>0</v>
      </c>
      <c r="E112" t="n">
        <v>1200000</v>
      </c>
      <c r="F112" s="7" t="n">
        <v>45722</v>
      </c>
      <c r="G112" t="inlineStr"/>
      <c r="H112" t="n">
        <v>1080212.12</v>
      </c>
    </row>
    <row r="113">
      <c r="A113" t="inlineStr">
        <is>
          <t>Heron View</t>
        </is>
      </c>
      <c r="B113" t="inlineStr">
        <is>
          <t>HVF203</t>
        </is>
      </c>
      <c r="C113" t="b">
        <v>0</v>
      </c>
      <c r="D113" t="b">
        <v>0</v>
      </c>
      <c r="E113" t="n">
        <v>1200000</v>
      </c>
      <c r="F113" s="7" t="n">
        <v>45722</v>
      </c>
      <c r="G113" t="inlineStr"/>
      <c r="H113" t="n">
        <v>1169119.77</v>
      </c>
    </row>
    <row r="114">
      <c r="A114" t="inlineStr">
        <is>
          <t>Heron View</t>
        </is>
      </c>
      <c r="B114" t="inlineStr">
        <is>
          <t>HVF204</t>
        </is>
      </c>
      <c r="C114" t="b">
        <v>0</v>
      </c>
      <c r="D114" t="b">
        <v>0</v>
      </c>
      <c r="E114" t="n">
        <v>1200000</v>
      </c>
      <c r="F114" s="7" t="n">
        <v>45722</v>
      </c>
      <c r="G114" t="inlineStr"/>
      <c r="H114" t="n">
        <v>0</v>
      </c>
    </row>
    <row r="115">
      <c r="A115" t="inlineStr">
        <is>
          <t>Heron View</t>
        </is>
      </c>
      <c r="B115" t="inlineStr">
        <is>
          <t>HVG101</t>
        </is>
      </c>
      <c r="C115" t="b">
        <v>0</v>
      </c>
      <c r="D115" t="b">
        <v>0</v>
      </c>
      <c r="E115" t="n">
        <v>1100000</v>
      </c>
      <c r="F115" s="7" t="n">
        <v>45532</v>
      </c>
      <c r="G115" t="inlineStr"/>
      <c r="H115" t="n">
        <v>1110000</v>
      </c>
    </row>
    <row r="116">
      <c r="A116" t="inlineStr">
        <is>
          <t>Heron View</t>
        </is>
      </c>
      <c r="B116" t="inlineStr">
        <is>
          <t>HVG102</t>
        </is>
      </c>
      <c r="C116" t="b">
        <v>0</v>
      </c>
      <c r="D116" t="b">
        <v>0</v>
      </c>
      <c r="E116" t="n">
        <v>1100000</v>
      </c>
      <c r="F116" s="7" t="n">
        <v>45532</v>
      </c>
      <c r="G116" t="inlineStr"/>
      <c r="H116" t="n">
        <v>1121786.3</v>
      </c>
    </row>
    <row r="117">
      <c r="A117" t="inlineStr">
        <is>
          <t>Heron View</t>
        </is>
      </c>
      <c r="B117" t="inlineStr">
        <is>
          <t>HVG103</t>
        </is>
      </c>
      <c r="C117" t="b">
        <v>0</v>
      </c>
      <c r="D117" t="b">
        <v>0</v>
      </c>
      <c r="E117" t="n">
        <v>1100000</v>
      </c>
      <c r="F117" s="7" t="n">
        <v>45532</v>
      </c>
      <c r="G117" t="inlineStr"/>
      <c r="H117" t="n">
        <v>1100000</v>
      </c>
    </row>
    <row r="118">
      <c r="A118" t="inlineStr">
        <is>
          <t>Heron View</t>
        </is>
      </c>
      <c r="B118" t="inlineStr">
        <is>
          <t>HVG104</t>
        </is>
      </c>
      <c r="C118" t="b">
        <v>0</v>
      </c>
      <c r="D118" t="b">
        <v>0</v>
      </c>
      <c r="E118" t="n">
        <v>1100000</v>
      </c>
      <c r="F118" s="7" t="n">
        <v>45532</v>
      </c>
      <c r="G118" t="inlineStr"/>
      <c r="H118" t="n">
        <v>1117422.6</v>
      </c>
    </row>
    <row r="119">
      <c r="A119" t="inlineStr">
        <is>
          <t>Heron View</t>
        </is>
      </c>
      <c r="B119" t="inlineStr">
        <is>
          <t>HVG201</t>
        </is>
      </c>
      <c r="C119" t="b">
        <v>0</v>
      </c>
      <c r="D119" t="b">
        <v>0</v>
      </c>
      <c r="E119" t="n">
        <v>1100000</v>
      </c>
      <c r="F119" s="7" t="n">
        <v>45532</v>
      </c>
      <c r="G119" t="inlineStr"/>
      <c r="H119" t="n">
        <v>1125000</v>
      </c>
    </row>
    <row r="120">
      <c r="A120" t="inlineStr">
        <is>
          <t>Heron View</t>
        </is>
      </c>
      <c r="B120" t="inlineStr">
        <is>
          <t>HVG202</t>
        </is>
      </c>
      <c r="C120" t="b">
        <v>0</v>
      </c>
      <c r="D120" t="b">
        <v>0</v>
      </c>
      <c r="E120" t="n">
        <v>1100000</v>
      </c>
      <c r="F120" s="7" t="n">
        <v>45532</v>
      </c>
      <c r="G120" t="inlineStr"/>
      <c r="H120" t="n">
        <v>1102195.21</v>
      </c>
    </row>
    <row r="121">
      <c r="A121" t="inlineStr">
        <is>
          <t>Heron View</t>
        </is>
      </c>
      <c r="B121" t="inlineStr">
        <is>
          <t>HVG203</t>
        </is>
      </c>
      <c r="C121" t="b">
        <v>0</v>
      </c>
      <c r="D121" t="b">
        <v>0</v>
      </c>
      <c r="E121" t="n">
        <v>1100000</v>
      </c>
      <c r="F121" s="7" t="n">
        <v>45532</v>
      </c>
      <c r="G121" t="inlineStr"/>
      <c r="H121" t="n">
        <v>1084224.66</v>
      </c>
    </row>
    <row r="122">
      <c r="A122" t="inlineStr">
        <is>
          <t>Heron View</t>
        </is>
      </c>
      <c r="B122" t="inlineStr">
        <is>
          <t>HVG204</t>
        </is>
      </c>
      <c r="C122" t="b">
        <v>0</v>
      </c>
      <c r="D122" t="b">
        <v>0</v>
      </c>
      <c r="E122" t="n">
        <v>1100000</v>
      </c>
      <c r="F122" s="7" t="n">
        <v>45532</v>
      </c>
      <c r="G122" t="inlineStr"/>
      <c r="H122" t="n">
        <v>1100000</v>
      </c>
    </row>
    <row r="123">
      <c r="A123" t="inlineStr">
        <is>
          <t>Heron View</t>
        </is>
      </c>
      <c r="B123" t="inlineStr">
        <is>
          <t>HVG301</t>
        </is>
      </c>
      <c r="C123" t="b">
        <v>0</v>
      </c>
      <c r="D123" t="b">
        <v>0</v>
      </c>
      <c r="E123" t="n">
        <v>1100000</v>
      </c>
      <c r="F123" s="7" t="n">
        <v>45532</v>
      </c>
      <c r="G123" t="inlineStr"/>
      <c r="H123" t="n">
        <v>1100000</v>
      </c>
    </row>
    <row r="124">
      <c r="A124" t="inlineStr">
        <is>
          <t>Heron View</t>
        </is>
      </c>
      <c r="B124" t="inlineStr">
        <is>
          <t>HVG302</t>
        </is>
      </c>
      <c r="C124" t="b">
        <v>0</v>
      </c>
      <c r="D124" t="b">
        <v>0</v>
      </c>
      <c r="E124" t="n">
        <v>1100000</v>
      </c>
      <c r="F124" s="7" t="n">
        <v>45532</v>
      </c>
      <c r="G124" t="inlineStr"/>
      <c r="H124" t="n">
        <v>1073976.03</v>
      </c>
    </row>
    <row r="125">
      <c r="A125" t="inlineStr">
        <is>
          <t>Heron View</t>
        </is>
      </c>
      <c r="B125" t="inlineStr">
        <is>
          <t>HVG303</t>
        </is>
      </c>
      <c r="C125" t="b">
        <v>0</v>
      </c>
      <c r="D125" t="b">
        <v>0</v>
      </c>
      <c r="E125" t="n">
        <v>1100000</v>
      </c>
      <c r="F125" s="7" t="n">
        <v>45532</v>
      </c>
      <c r="G125" t="inlineStr"/>
      <c r="H125" t="n">
        <v>1082867.16</v>
      </c>
    </row>
    <row r="126">
      <c r="A126" t="inlineStr">
        <is>
          <t>Heron View</t>
        </is>
      </c>
      <c r="B126" t="inlineStr">
        <is>
          <t>HVG304</t>
        </is>
      </c>
      <c r="C126" t="b">
        <v>0</v>
      </c>
      <c r="D126" t="b">
        <v>0</v>
      </c>
      <c r="E126" t="n">
        <v>1100000</v>
      </c>
      <c r="F126" s="7" t="n">
        <v>45532</v>
      </c>
      <c r="G126" t="inlineStr"/>
      <c r="H126" t="n">
        <v>1100000</v>
      </c>
    </row>
    <row r="127">
      <c r="A127" t="inlineStr">
        <is>
          <t>Heron View</t>
        </is>
      </c>
      <c r="B127" t="inlineStr">
        <is>
          <t>HVH101</t>
        </is>
      </c>
      <c r="C127" t="b">
        <v>1</v>
      </c>
      <c r="D127" t="b">
        <v>0</v>
      </c>
      <c r="E127" t="n">
        <v>1100000</v>
      </c>
      <c r="F127" s="7" t="n">
        <v>45490</v>
      </c>
      <c r="G127" t="inlineStr"/>
      <c r="H127" t="n">
        <v>1100000</v>
      </c>
    </row>
    <row r="128">
      <c r="A128" t="inlineStr">
        <is>
          <t>Heron View</t>
        </is>
      </c>
      <c r="B128" t="inlineStr">
        <is>
          <t>HVH102</t>
        </is>
      </c>
      <c r="C128" t="b">
        <v>1</v>
      </c>
      <c r="D128" t="b">
        <v>0</v>
      </c>
      <c r="E128" t="n">
        <v>1100000</v>
      </c>
      <c r="F128" s="7" t="n">
        <v>45490</v>
      </c>
      <c r="G128" t="inlineStr"/>
      <c r="H128" t="n">
        <v>1100000</v>
      </c>
    </row>
    <row r="129">
      <c r="A129" t="inlineStr">
        <is>
          <t>Heron View</t>
        </is>
      </c>
      <c r="B129" t="inlineStr">
        <is>
          <t>HVH103</t>
        </is>
      </c>
      <c r="C129" t="b">
        <v>1</v>
      </c>
      <c r="D129" t="b">
        <v>0</v>
      </c>
      <c r="E129" t="n">
        <v>1100000</v>
      </c>
      <c r="F129" s="7" t="n">
        <v>45490</v>
      </c>
      <c r="G129" t="inlineStr"/>
      <c r="H129" t="n">
        <v>1100000</v>
      </c>
    </row>
    <row r="130">
      <c r="A130" t="inlineStr">
        <is>
          <t>Heron View</t>
        </is>
      </c>
      <c r="B130" t="inlineStr">
        <is>
          <t>HVH104</t>
        </is>
      </c>
      <c r="C130" t="b">
        <v>1</v>
      </c>
      <c r="D130" t="b">
        <v>0</v>
      </c>
      <c r="E130" t="n">
        <v>1100000</v>
      </c>
      <c r="F130" s="7" t="n">
        <v>45490</v>
      </c>
      <c r="G130" t="inlineStr"/>
      <c r="H130" t="n">
        <v>1100000</v>
      </c>
    </row>
    <row r="131">
      <c r="A131" t="inlineStr">
        <is>
          <t>Heron View</t>
        </is>
      </c>
      <c r="B131" t="inlineStr">
        <is>
          <t>HVH201</t>
        </is>
      </c>
      <c r="C131" t="b">
        <v>1</v>
      </c>
      <c r="D131" t="b">
        <v>0</v>
      </c>
      <c r="E131" t="n">
        <v>1100000</v>
      </c>
      <c r="F131" s="7" t="n">
        <v>45490</v>
      </c>
      <c r="G131" t="inlineStr"/>
      <c r="H131" t="n">
        <v>1100000</v>
      </c>
    </row>
    <row r="132">
      <c r="A132" t="inlineStr">
        <is>
          <t>Heron View</t>
        </is>
      </c>
      <c r="B132" t="inlineStr">
        <is>
          <t>HVH202</t>
        </is>
      </c>
      <c r="C132" t="b">
        <v>1</v>
      </c>
      <c r="D132" t="b">
        <v>0</v>
      </c>
      <c r="E132" t="n">
        <v>1100000</v>
      </c>
      <c r="F132" s="7" t="n">
        <v>45490</v>
      </c>
      <c r="G132" t="inlineStr"/>
      <c r="H132" t="n">
        <v>1100000</v>
      </c>
    </row>
    <row r="133">
      <c r="A133" t="inlineStr">
        <is>
          <t>Heron View</t>
        </is>
      </c>
      <c r="B133" t="inlineStr">
        <is>
          <t>HVH203</t>
        </is>
      </c>
      <c r="C133" t="b">
        <v>1</v>
      </c>
      <c r="D133" t="b">
        <v>0</v>
      </c>
      <c r="E133" t="n">
        <v>1100000</v>
      </c>
      <c r="F133" s="7" t="n">
        <v>45490</v>
      </c>
      <c r="G133" t="inlineStr"/>
      <c r="H133" t="n">
        <v>1100000</v>
      </c>
    </row>
    <row r="134">
      <c r="A134" t="inlineStr">
        <is>
          <t>Heron View</t>
        </is>
      </c>
      <c r="B134" t="inlineStr">
        <is>
          <t>HVH204</t>
        </is>
      </c>
      <c r="C134" t="b">
        <v>1</v>
      </c>
      <c r="D134" t="b">
        <v>0</v>
      </c>
      <c r="E134" t="n">
        <v>1100000</v>
      </c>
      <c r="F134" s="7" t="n">
        <v>45490</v>
      </c>
      <c r="G134" t="inlineStr"/>
      <c r="H134" t="n">
        <v>1100000</v>
      </c>
    </row>
    <row r="135">
      <c r="A135" t="inlineStr">
        <is>
          <t>Heron View</t>
        </is>
      </c>
      <c r="B135" t="inlineStr">
        <is>
          <t>HVI101</t>
        </is>
      </c>
      <c r="C135" t="b">
        <v>0</v>
      </c>
      <c r="D135" t="b">
        <v>0</v>
      </c>
      <c r="E135" t="n">
        <v>1100000</v>
      </c>
      <c r="F135" s="7" t="n">
        <v>45516</v>
      </c>
      <c r="G135" t="inlineStr"/>
      <c r="H135" t="n">
        <v>1100000</v>
      </c>
    </row>
    <row r="136">
      <c r="A136" t="inlineStr">
        <is>
          <t>Heron View</t>
        </is>
      </c>
      <c r="B136" t="inlineStr">
        <is>
          <t>HVI102</t>
        </is>
      </c>
      <c r="C136" t="b">
        <v>0</v>
      </c>
      <c r="D136" t="b">
        <v>0</v>
      </c>
      <c r="E136" t="n">
        <v>1100000</v>
      </c>
      <c r="F136" s="7" t="n">
        <v>45516</v>
      </c>
      <c r="G136" t="inlineStr"/>
      <c r="H136" t="n">
        <v>1101000</v>
      </c>
    </row>
    <row r="137">
      <c r="A137" t="inlineStr">
        <is>
          <t>Heron View</t>
        </is>
      </c>
      <c r="B137" t="inlineStr">
        <is>
          <t>HVI103</t>
        </is>
      </c>
      <c r="C137" t="b">
        <v>0</v>
      </c>
      <c r="D137" t="b">
        <v>0</v>
      </c>
      <c r="E137" t="n">
        <v>1100000</v>
      </c>
      <c r="F137" s="7" t="n">
        <v>45516</v>
      </c>
      <c r="G137" t="inlineStr"/>
      <c r="H137" t="n">
        <v>1100000</v>
      </c>
    </row>
    <row r="138">
      <c r="A138" t="inlineStr">
        <is>
          <t>Heron View</t>
        </is>
      </c>
      <c r="B138" t="inlineStr">
        <is>
          <t>HVI104</t>
        </is>
      </c>
      <c r="C138" t="b">
        <v>0</v>
      </c>
      <c r="D138" t="b">
        <v>0</v>
      </c>
      <c r="E138" t="n">
        <v>1100000</v>
      </c>
      <c r="F138" s="7" t="n">
        <v>45516</v>
      </c>
      <c r="G138" t="inlineStr"/>
      <c r="H138" t="n">
        <v>1100000</v>
      </c>
    </row>
    <row r="139">
      <c r="A139" t="inlineStr">
        <is>
          <t>Heron View</t>
        </is>
      </c>
      <c r="B139" t="inlineStr">
        <is>
          <t>HVI201</t>
        </is>
      </c>
      <c r="C139" t="b">
        <v>0</v>
      </c>
      <c r="D139" t="b">
        <v>0</v>
      </c>
      <c r="E139" t="n">
        <v>1100000</v>
      </c>
      <c r="F139" s="7" t="n">
        <v>45516</v>
      </c>
      <c r="G139" t="inlineStr"/>
      <c r="H139" t="n">
        <v>1100000</v>
      </c>
    </row>
    <row r="140">
      <c r="A140" t="inlineStr">
        <is>
          <t>Heron View</t>
        </is>
      </c>
      <c r="B140" t="inlineStr">
        <is>
          <t>HVI202</t>
        </is>
      </c>
      <c r="C140" t="b">
        <v>0</v>
      </c>
      <c r="D140" t="b">
        <v>0</v>
      </c>
      <c r="E140" t="n">
        <v>1100000</v>
      </c>
      <c r="F140" s="7" t="n">
        <v>45516</v>
      </c>
      <c r="G140" t="inlineStr"/>
      <c r="H140" t="n">
        <v>1100000</v>
      </c>
    </row>
    <row r="141">
      <c r="A141" t="inlineStr">
        <is>
          <t>Heron View</t>
        </is>
      </c>
      <c r="B141" t="inlineStr">
        <is>
          <t>HVI203</t>
        </is>
      </c>
      <c r="C141" t="b">
        <v>0</v>
      </c>
      <c r="D141" t="b">
        <v>0</v>
      </c>
      <c r="E141" t="n">
        <v>1100000</v>
      </c>
      <c r="F141" s="7" t="n">
        <v>45516</v>
      </c>
      <c r="G141" t="inlineStr"/>
      <c r="H141" t="n">
        <v>1100000</v>
      </c>
    </row>
    <row r="142">
      <c r="A142" t="inlineStr">
        <is>
          <t>Heron View</t>
        </is>
      </c>
      <c r="B142" t="inlineStr">
        <is>
          <t>HVI204</t>
        </is>
      </c>
      <c r="C142" t="b">
        <v>0</v>
      </c>
      <c r="D142" t="b">
        <v>0</v>
      </c>
      <c r="E142" t="n">
        <v>1100000</v>
      </c>
      <c r="F142" s="7" t="n">
        <v>45516</v>
      </c>
      <c r="G142" t="inlineStr"/>
      <c r="H142" t="n">
        <v>1100000</v>
      </c>
    </row>
    <row r="143">
      <c r="A143" t="inlineStr">
        <is>
          <t>Heron View</t>
        </is>
      </c>
      <c r="B143" t="inlineStr">
        <is>
          <t>HVJ101</t>
        </is>
      </c>
      <c r="C143" t="b">
        <v>1</v>
      </c>
      <c r="D143" t="b">
        <v>0</v>
      </c>
      <c r="E143" t="n">
        <v>1000000</v>
      </c>
      <c r="F143" s="7" t="n">
        <v>45552</v>
      </c>
      <c r="G143" t="inlineStr"/>
      <c r="H143" t="n">
        <v>1025000</v>
      </c>
    </row>
    <row r="144">
      <c r="A144" t="inlineStr">
        <is>
          <t>Heron View</t>
        </is>
      </c>
      <c r="B144" t="inlineStr">
        <is>
          <t>HVJ102</t>
        </is>
      </c>
      <c r="C144" t="b">
        <v>0</v>
      </c>
      <c r="D144" t="b">
        <v>0</v>
      </c>
      <c r="E144" t="n">
        <v>1000000</v>
      </c>
      <c r="F144" s="7" t="n">
        <v>45552</v>
      </c>
      <c r="G144" t="inlineStr"/>
      <c r="H144" t="n">
        <v>1007345.78</v>
      </c>
    </row>
    <row r="145">
      <c r="A145" t="inlineStr">
        <is>
          <t>Heron View</t>
        </is>
      </c>
      <c r="B145" t="inlineStr">
        <is>
          <t>HVJ103</t>
        </is>
      </c>
      <c r="C145" t="b">
        <v>0</v>
      </c>
      <c r="D145" t="b">
        <v>0</v>
      </c>
      <c r="E145" t="n">
        <v>1000000</v>
      </c>
      <c r="F145" s="7" t="n">
        <v>45552</v>
      </c>
      <c r="G145" t="inlineStr"/>
      <c r="H145" t="n">
        <v>1000000</v>
      </c>
    </row>
    <row r="146">
      <c r="A146" t="inlineStr">
        <is>
          <t>Heron View</t>
        </is>
      </c>
      <c r="B146" t="inlineStr">
        <is>
          <t>HVJ201</t>
        </is>
      </c>
      <c r="C146" t="b">
        <v>0</v>
      </c>
      <c r="D146" t="b">
        <v>0</v>
      </c>
      <c r="E146" t="n">
        <v>1000000</v>
      </c>
      <c r="F146" s="7" t="n">
        <v>45552</v>
      </c>
      <c r="G146" t="inlineStr"/>
      <c r="H146" t="n">
        <v>1000000</v>
      </c>
    </row>
    <row r="147">
      <c r="A147" t="inlineStr">
        <is>
          <t>Heron View</t>
        </is>
      </c>
      <c r="B147" t="inlineStr">
        <is>
          <t>HVJ202</t>
        </is>
      </c>
      <c r="C147" t="b">
        <v>0</v>
      </c>
      <c r="D147" t="b">
        <v>0</v>
      </c>
      <c r="E147" t="n">
        <v>1000000</v>
      </c>
      <c r="F147" s="7" t="n">
        <v>45552</v>
      </c>
      <c r="G147" t="inlineStr"/>
      <c r="H147" t="n">
        <v>1000000</v>
      </c>
    </row>
    <row r="148">
      <c r="A148" t="inlineStr">
        <is>
          <t>Heron View</t>
        </is>
      </c>
      <c r="B148" t="inlineStr">
        <is>
          <t>HVJ203</t>
        </is>
      </c>
      <c r="C148" t="b">
        <v>0</v>
      </c>
      <c r="D148" t="b">
        <v>0</v>
      </c>
      <c r="E148" t="n">
        <v>1000000</v>
      </c>
      <c r="F148" s="7" t="n">
        <v>45552</v>
      </c>
      <c r="G148" t="inlineStr"/>
      <c r="H148" t="n">
        <v>1000000</v>
      </c>
    </row>
    <row r="149">
      <c r="A149" t="inlineStr">
        <is>
          <t>Heron View</t>
        </is>
      </c>
      <c r="B149" t="inlineStr">
        <is>
          <t>HVJ301</t>
        </is>
      </c>
      <c r="C149" t="b">
        <v>0</v>
      </c>
      <c r="D149" t="b">
        <v>0</v>
      </c>
      <c r="E149" t="n">
        <v>1000000</v>
      </c>
      <c r="F149" s="7" t="n">
        <v>45552</v>
      </c>
      <c r="G149" t="inlineStr"/>
      <c r="H149" t="n">
        <v>977553.41</v>
      </c>
    </row>
    <row r="150">
      <c r="A150" t="inlineStr">
        <is>
          <t>Heron View</t>
        </is>
      </c>
      <c r="B150" t="inlineStr">
        <is>
          <t>HVJ302</t>
        </is>
      </c>
      <c r="C150" t="b">
        <v>0</v>
      </c>
      <c r="D150" t="b">
        <v>0</v>
      </c>
      <c r="E150" t="n">
        <v>1000000</v>
      </c>
      <c r="F150" s="7" t="n">
        <v>45552</v>
      </c>
      <c r="G150" t="inlineStr"/>
      <c r="H150" t="n">
        <v>1000000</v>
      </c>
    </row>
    <row r="151">
      <c r="A151" t="inlineStr">
        <is>
          <t>Heron View</t>
        </is>
      </c>
      <c r="B151" t="inlineStr">
        <is>
          <t>HVJ303</t>
        </is>
      </c>
      <c r="C151" t="b">
        <v>0</v>
      </c>
      <c r="D151" t="b">
        <v>0</v>
      </c>
      <c r="E151" t="n">
        <v>1000000</v>
      </c>
      <c r="F151" s="7" t="n">
        <v>45552</v>
      </c>
      <c r="G151" t="inlineStr"/>
      <c r="H151" t="n">
        <v>1000000</v>
      </c>
    </row>
    <row r="152">
      <c r="A152" t="inlineStr">
        <is>
          <t>Heron View</t>
        </is>
      </c>
      <c r="B152" t="inlineStr">
        <is>
          <t>HVJ401</t>
        </is>
      </c>
      <c r="C152" t="b">
        <v>0</v>
      </c>
      <c r="D152" t="b">
        <v>0</v>
      </c>
      <c r="E152" t="n">
        <v>1000000</v>
      </c>
      <c r="F152" s="7" t="n">
        <v>45552</v>
      </c>
      <c r="G152" t="inlineStr"/>
      <c r="H152" t="n">
        <v>1000000</v>
      </c>
    </row>
    <row r="153">
      <c r="A153" t="inlineStr">
        <is>
          <t>Heron View</t>
        </is>
      </c>
      <c r="B153" t="inlineStr">
        <is>
          <t>HVJ402</t>
        </is>
      </c>
      <c r="C153" t="b">
        <v>0</v>
      </c>
      <c r="D153" t="b">
        <v>0</v>
      </c>
      <c r="E153" t="n">
        <v>1000000</v>
      </c>
      <c r="F153" s="7" t="n">
        <v>45552</v>
      </c>
      <c r="G153" t="inlineStr"/>
      <c r="H153" t="n">
        <v>1000000</v>
      </c>
    </row>
    <row r="154">
      <c r="A154" t="inlineStr">
        <is>
          <t>Heron View</t>
        </is>
      </c>
      <c r="B154" t="inlineStr">
        <is>
          <t>HVJ403</t>
        </is>
      </c>
      <c r="C154" t="b">
        <v>0</v>
      </c>
      <c r="D154" t="b">
        <v>0</v>
      </c>
      <c r="E154" t="n">
        <v>1000000</v>
      </c>
      <c r="F154" s="7" t="n">
        <v>45552</v>
      </c>
      <c r="G154" t="inlineStr"/>
      <c r="H154" t="n">
        <v>1000000</v>
      </c>
    </row>
    <row r="155">
      <c r="A155" t="inlineStr">
        <is>
          <t>Heron View</t>
        </is>
      </c>
      <c r="B155" t="inlineStr">
        <is>
          <t>HVK101</t>
        </is>
      </c>
      <c r="C155" t="b">
        <v>0</v>
      </c>
      <c r="D155" t="b">
        <v>0</v>
      </c>
      <c r="E155" t="n">
        <v>1100000</v>
      </c>
      <c r="F155" s="7" t="n">
        <v>45510</v>
      </c>
      <c r="G155" t="inlineStr"/>
      <c r="H155" t="n">
        <v>1038000</v>
      </c>
    </row>
    <row r="156">
      <c r="A156" t="inlineStr">
        <is>
          <t>Heron View</t>
        </is>
      </c>
      <c r="B156" t="inlineStr">
        <is>
          <t>HVK102</t>
        </is>
      </c>
      <c r="C156" t="b">
        <v>0</v>
      </c>
      <c r="D156" t="b">
        <v>0</v>
      </c>
      <c r="E156" t="n">
        <v>1100000</v>
      </c>
      <c r="F156" s="7" t="n">
        <v>45510</v>
      </c>
      <c r="G156" t="inlineStr"/>
      <c r="H156" t="n">
        <v>1100000</v>
      </c>
    </row>
    <row r="157">
      <c r="A157" t="inlineStr">
        <is>
          <t>Heron View</t>
        </is>
      </c>
      <c r="B157" t="inlineStr">
        <is>
          <t>HVK103</t>
        </is>
      </c>
      <c r="C157" t="b">
        <v>0</v>
      </c>
      <c r="D157" t="b">
        <v>0</v>
      </c>
      <c r="E157" t="n">
        <v>1100000</v>
      </c>
      <c r="F157" s="7" t="n">
        <v>45510</v>
      </c>
      <c r="G157" t="inlineStr"/>
      <c r="H157" t="n">
        <v>1091876.87</v>
      </c>
    </row>
    <row r="158">
      <c r="A158" t="inlineStr">
        <is>
          <t>Heron View</t>
        </is>
      </c>
      <c r="B158" t="inlineStr">
        <is>
          <t>HVK104</t>
        </is>
      </c>
      <c r="C158" t="b">
        <v>0</v>
      </c>
      <c r="D158" t="b">
        <v>0</v>
      </c>
      <c r="E158" t="n">
        <v>1100000</v>
      </c>
      <c r="F158" s="7" t="n">
        <v>45510</v>
      </c>
      <c r="G158" t="inlineStr"/>
      <c r="H158" t="n">
        <v>1100000</v>
      </c>
    </row>
    <row r="159">
      <c r="A159" t="inlineStr">
        <is>
          <t>Heron View</t>
        </is>
      </c>
      <c r="B159" t="inlineStr">
        <is>
          <t>HVK105</t>
        </is>
      </c>
      <c r="C159" t="b">
        <v>0</v>
      </c>
      <c r="D159" t="b">
        <v>0</v>
      </c>
      <c r="E159" t="n">
        <v>1017976.39</v>
      </c>
      <c r="F159" s="7" t="n">
        <v>45510</v>
      </c>
      <c r="G159" t="inlineStr"/>
      <c r="H159" t="n">
        <v>1120000</v>
      </c>
    </row>
    <row r="160">
      <c r="A160" t="inlineStr">
        <is>
          <t>Heron View</t>
        </is>
      </c>
      <c r="B160" t="inlineStr">
        <is>
          <t>HVK106</t>
        </is>
      </c>
      <c r="C160" t="b">
        <v>0</v>
      </c>
      <c r="D160" t="b">
        <v>0</v>
      </c>
      <c r="E160" t="n">
        <v>1100000</v>
      </c>
      <c r="F160" s="7" t="n">
        <v>45510</v>
      </c>
      <c r="G160" t="inlineStr"/>
      <c r="H160" t="n">
        <v>1107195.21</v>
      </c>
    </row>
    <row r="161">
      <c r="A161" t="inlineStr">
        <is>
          <t>Heron View</t>
        </is>
      </c>
      <c r="B161" t="inlineStr">
        <is>
          <t>HVK201</t>
        </is>
      </c>
      <c r="C161" t="b">
        <v>0</v>
      </c>
      <c r="D161" t="b">
        <v>0</v>
      </c>
      <c r="E161" t="n">
        <v>1100000</v>
      </c>
      <c r="F161" s="7" t="n">
        <v>45510</v>
      </c>
      <c r="G161" t="inlineStr"/>
      <c r="H161" t="n">
        <v>1100000</v>
      </c>
    </row>
    <row r="162">
      <c r="A162" t="inlineStr">
        <is>
          <t>Heron View</t>
        </is>
      </c>
      <c r="B162" t="inlineStr">
        <is>
          <t>HVK202</t>
        </is>
      </c>
      <c r="C162" t="b">
        <v>0</v>
      </c>
      <c r="D162" t="b">
        <v>0</v>
      </c>
      <c r="E162" t="n">
        <v>1100000</v>
      </c>
      <c r="F162" s="7" t="n">
        <v>45510</v>
      </c>
      <c r="G162" t="inlineStr"/>
      <c r="H162" t="n">
        <v>1012667.46</v>
      </c>
    </row>
    <row r="163">
      <c r="A163" t="inlineStr">
        <is>
          <t>Heron View</t>
        </is>
      </c>
      <c r="B163" t="inlineStr">
        <is>
          <t>HVK203</t>
        </is>
      </c>
      <c r="C163" t="b">
        <v>0</v>
      </c>
      <c r="D163" t="b">
        <v>0</v>
      </c>
      <c r="E163" t="n">
        <v>1100000</v>
      </c>
      <c r="F163" s="7" t="n">
        <v>45510</v>
      </c>
      <c r="G163" t="inlineStr"/>
      <c r="H163" t="n">
        <v>1100419.06</v>
      </c>
    </row>
    <row r="164">
      <c r="A164" t="inlineStr">
        <is>
          <t>Heron View</t>
        </is>
      </c>
      <c r="B164" t="inlineStr">
        <is>
          <t>HVK204</t>
        </is>
      </c>
      <c r="C164" t="b">
        <v>0</v>
      </c>
      <c r="D164" t="b">
        <v>0</v>
      </c>
      <c r="E164" t="n">
        <v>1100000</v>
      </c>
      <c r="F164" s="7" t="n">
        <v>45510</v>
      </c>
      <c r="G164" t="inlineStr"/>
      <c r="H164" t="n">
        <v>1124948.63</v>
      </c>
    </row>
    <row r="165">
      <c r="A165" t="inlineStr">
        <is>
          <t>Heron View</t>
        </is>
      </c>
      <c r="B165" t="inlineStr">
        <is>
          <t>HVK205</t>
        </is>
      </c>
      <c r="C165" t="b">
        <v>0</v>
      </c>
      <c r="D165" t="b">
        <v>0</v>
      </c>
      <c r="E165" t="n">
        <v>1100000</v>
      </c>
      <c r="F165" s="7" t="n">
        <v>45510</v>
      </c>
      <c r="G165" t="inlineStr"/>
      <c r="H165" t="n">
        <v>1124113.01</v>
      </c>
    </row>
    <row r="166">
      <c r="A166" t="inlineStr">
        <is>
          <t>Heron View</t>
        </is>
      </c>
      <c r="B166" t="inlineStr">
        <is>
          <t>HVK206</t>
        </is>
      </c>
      <c r="C166" t="b">
        <v>0</v>
      </c>
      <c r="D166" t="b">
        <v>0</v>
      </c>
      <c r="E166" t="n">
        <v>1100000</v>
      </c>
      <c r="F166" s="7" t="n">
        <v>45510</v>
      </c>
      <c r="G166" t="inlineStr"/>
      <c r="H166" t="n">
        <v>1120504.25</v>
      </c>
    </row>
    <row r="167">
      <c r="A167" t="inlineStr">
        <is>
          <t>Heron View</t>
        </is>
      </c>
      <c r="B167" t="inlineStr">
        <is>
          <t>HVK301</t>
        </is>
      </c>
      <c r="C167" t="b">
        <v>0</v>
      </c>
      <c r="D167" t="b">
        <v>0</v>
      </c>
      <c r="E167" t="n">
        <v>1100000</v>
      </c>
      <c r="F167" s="7" t="n">
        <v>45510</v>
      </c>
      <c r="G167" t="inlineStr"/>
      <c r="H167" t="n">
        <v>1099537.67</v>
      </c>
    </row>
    <row r="168">
      <c r="A168" t="inlineStr">
        <is>
          <t>Heron View</t>
        </is>
      </c>
      <c r="B168" t="inlineStr">
        <is>
          <t>HVK302</t>
        </is>
      </c>
      <c r="C168" t="b">
        <v>0</v>
      </c>
      <c r="D168" t="b">
        <v>0</v>
      </c>
      <c r="E168" t="n">
        <v>1100000</v>
      </c>
      <c r="F168" s="7" t="n">
        <v>45510</v>
      </c>
      <c r="G168" t="inlineStr"/>
      <c r="H168" t="n">
        <v>1089059.18</v>
      </c>
    </row>
    <row r="169">
      <c r="A169" t="inlineStr">
        <is>
          <t>Heron View</t>
        </is>
      </c>
      <c r="B169" t="inlineStr">
        <is>
          <t>HVK303</t>
        </is>
      </c>
      <c r="C169" t="b">
        <v>0</v>
      </c>
      <c r="D169" t="b">
        <v>0</v>
      </c>
      <c r="E169" t="n">
        <v>1100000</v>
      </c>
      <c r="F169" s="7" t="n">
        <v>45510</v>
      </c>
      <c r="G169" t="inlineStr"/>
      <c r="H169" t="n">
        <v>1123040.41</v>
      </c>
    </row>
    <row r="170">
      <c r="A170" t="inlineStr">
        <is>
          <t>Heron View</t>
        </is>
      </c>
      <c r="B170" t="inlineStr">
        <is>
          <t>HVK304</t>
        </is>
      </c>
      <c r="C170" t="b">
        <v>0</v>
      </c>
      <c r="D170" t="b">
        <v>0</v>
      </c>
      <c r="E170" t="n">
        <v>1100000</v>
      </c>
      <c r="F170" s="7" t="n">
        <v>45510</v>
      </c>
      <c r="G170" t="inlineStr"/>
      <c r="H170" t="n">
        <v>1098863.01</v>
      </c>
    </row>
    <row r="171">
      <c r="A171" t="inlineStr">
        <is>
          <t>Heron View</t>
        </is>
      </c>
      <c r="B171" t="inlineStr">
        <is>
          <t>HVK305</t>
        </is>
      </c>
      <c r="C171" t="b">
        <v>0</v>
      </c>
      <c r="D171" t="b">
        <v>0</v>
      </c>
      <c r="E171" t="n">
        <v>1100000</v>
      </c>
      <c r="F171" s="7" t="n">
        <v>45510</v>
      </c>
      <c r="G171" t="inlineStr"/>
      <c r="H171" t="n">
        <v>1107662.76</v>
      </c>
    </row>
    <row r="172">
      <c r="A172" t="inlineStr">
        <is>
          <t>Heron View</t>
        </is>
      </c>
      <c r="B172" t="inlineStr">
        <is>
          <t>HVK306</t>
        </is>
      </c>
      <c r="C172" t="b">
        <v>0</v>
      </c>
      <c r="D172" t="b">
        <v>0</v>
      </c>
      <c r="E172" t="n">
        <v>1100000</v>
      </c>
      <c r="F172" s="7" t="n">
        <v>45510</v>
      </c>
      <c r="G172" t="inlineStr"/>
      <c r="H172" t="n">
        <v>1100000</v>
      </c>
    </row>
    <row r="173">
      <c r="A173" t="inlineStr">
        <is>
          <t>Heron View</t>
        </is>
      </c>
      <c r="B173" t="inlineStr">
        <is>
          <t>HVK401</t>
        </is>
      </c>
      <c r="C173" t="b">
        <v>0</v>
      </c>
      <c r="D173" t="b">
        <v>0</v>
      </c>
      <c r="E173" t="n">
        <v>1100000</v>
      </c>
      <c r="F173" s="7" t="n">
        <v>45510</v>
      </c>
      <c r="G173" t="inlineStr"/>
      <c r="H173" t="n">
        <v>1114452.74</v>
      </c>
    </row>
    <row r="174">
      <c r="A174" t="inlineStr">
        <is>
          <t>Heron View</t>
        </is>
      </c>
      <c r="B174" t="inlineStr">
        <is>
          <t>HVK402</t>
        </is>
      </c>
      <c r="C174" t="b">
        <v>0</v>
      </c>
      <c r="D174" t="b">
        <v>0</v>
      </c>
      <c r="E174" t="n">
        <v>1100000</v>
      </c>
      <c r="F174" s="7" t="n">
        <v>45510</v>
      </c>
      <c r="G174" t="inlineStr"/>
      <c r="H174" t="n">
        <v>1123099.32</v>
      </c>
    </row>
    <row r="175">
      <c r="A175" t="inlineStr">
        <is>
          <t>Heron View</t>
        </is>
      </c>
      <c r="B175" t="inlineStr">
        <is>
          <t>HVK403</t>
        </is>
      </c>
      <c r="C175" t="b">
        <v>0</v>
      </c>
      <c r="D175" t="b">
        <v>0</v>
      </c>
      <c r="E175" t="n">
        <v>1100000</v>
      </c>
      <c r="F175" s="7" t="n">
        <v>45510</v>
      </c>
      <c r="G175" t="inlineStr"/>
      <c r="H175" t="n">
        <v>1114246.58</v>
      </c>
    </row>
    <row r="176">
      <c r="A176" t="inlineStr">
        <is>
          <t>Heron View</t>
        </is>
      </c>
      <c r="B176" t="inlineStr">
        <is>
          <t>HVK404</t>
        </is>
      </c>
      <c r="C176" t="b">
        <v>0</v>
      </c>
      <c r="D176" t="b">
        <v>0</v>
      </c>
      <c r="E176" t="n">
        <v>1100000</v>
      </c>
      <c r="F176" s="7" t="n">
        <v>45510</v>
      </c>
      <c r="G176" t="inlineStr"/>
      <c r="H176" t="n">
        <v>1100000</v>
      </c>
    </row>
    <row r="177">
      <c r="A177" t="inlineStr">
        <is>
          <t>Heron View</t>
        </is>
      </c>
      <c r="B177" t="inlineStr">
        <is>
          <t>HVK405</t>
        </is>
      </c>
      <c r="C177" t="b">
        <v>0</v>
      </c>
      <c r="D177" t="b">
        <v>0</v>
      </c>
      <c r="E177" t="n">
        <v>1100000</v>
      </c>
      <c r="F177" s="7" t="n">
        <v>45510</v>
      </c>
      <c r="G177" t="inlineStr"/>
      <c r="H177" t="n">
        <v>1117916.44</v>
      </c>
    </row>
    <row r="178">
      <c r="A178" t="inlineStr">
        <is>
          <t>Heron View</t>
        </is>
      </c>
      <c r="B178" t="inlineStr">
        <is>
          <t>HVK406</t>
        </is>
      </c>
      <c r="C178" t="b">
        <v>0</v>
      </c>
      <c r="D178" t="b">
        <v>0</v>
      </c>
      <c r="E178" t="n">
        <v>1100000</v>
      </c>
      <c r="F178" s="7" t="n">
        <v>45510</v>
      </c>
      <c r="G178" t="inlineStr"/>
      <c r="H178" t="n">
        <v>1114058.91</v>
      </c>
    </row>
    <row r="179">
      <c r="A179" t="inlineStr">
        <is>
          <t>Heron View</t>
        </is>
      </c>
      <c r="B179" t="inlineStr">
        <is>
          <t>HVL101</t>
        </is>
      </c>
      <c r="C179" t="b">
        <v>0</v>
      </c>
      <c r="D179" t="b">
        <v>0</v>
      </c>
      <c r="E179" t="n">
        <v>1100000</v>
      </c>
      <c r="F179" s="7" t="n">
        <v>45524</v>
      </c>
      <c r="G179" t="inlineStr"/>
      <c r="H179" t="n">
        <v>1100000</v>
      </c>
    </row>
    <row r="180">
      <c r="A180" t="inlineStr">
        <is>
          <t>Heron View</t>
        </is>
      </c>
      <c r="B180" t="inlineStr">
        <is>
          <t>HVL102</t>
        </is>
      </c>
      <c r="C180" t="b">
        <v>0</v>
      </c>
      <c r="D180" t="b">
        <v>0</v>
      </c>
      <c r="E180" t="n">
        <v>1100000</v>
      </c>
      <c r="F180" s="7" t="n">
        <v>45524</v>
      </c>
      <c r="G180" t="inlineStr"/>
      <c r="H180" t="n">
        <v>1050000</v>
      </c>
    </row>
    <row r="181">
      <c r="A181" t="inlineStr">
        <is>
          <t>Heron View</t>
        </is>
      </c>
      <c r="B181" t="inlineStr">
        <is>
          <t>HVL103</t>
        </is>
      </c>
      <c r="C181" t="b">
        <v>0</v>
      </c>
      <c r="D181" t="b">
        <v>0</v>
      </c>
      <c r="E181" t="n">
        <v>1100000</v>
      </c>
      <c r="F181" s="7" t="n">
        <v>45524</v>
      </c>
      <c r="G181" t="inlineStr"/>
      <c r="H181" t="n">
        <v>1100004.32</v>
      </c>
    </row>
    <row r="182">
      <c r="A182" t="inlineStr">
        <is>
          <t>Heron View</t>
        </is>
      </c>
      <c r="B182" t="inlineStr">
        <is>
          <t>HVL104</t>
        </is>
      </c>
      <c r="C182" t="b">
        <v>0</v>
      </c>
      <c r="D182" t="b">
        <v>0</v>
      </c>
      <c r="E182" t="n">
        <v>1100000</v>
      </c>
      <c r="F182" s="7" t="n">
        <v>45524</v>
      </c>
      <c r="G182" t="inlineStr"/>
      <c r="H182" t="n">
        <v>1100000</v>
      </c>
    </row>
    <row r="183">
      <c r="A183" t="inlineStr">
        <is>
          <t>Heron View</t>
        </is>
      </c>
      <c r="B183" t="inlineStr">
        <is>
          <t>HVL201</t>
        </is>
      </c>
      <c r="C183" t="b">
        <v>0</v>
      </c>
      <c r="D183" t="b">
        <v>0</v>
      </c>
      <c r="E183" t="n">
        <v>1100000</v>
      </c>
      <c r="F183" s="7" t="n">
        <v>45524</v>
      </c>
      <c r="G183" t="inlineStr"/>
      <c r="H183" t="n">
        <v>1204260.27</v>
      </c>
    </row>
    <row r="184">
      <c r="A184" t="inlineStr">
        <is>
          <t>Heron View</t>
        </is>
      </c>
      <c r="B184" t="inlineStr">
        <is>
          <t>HVL202</t>
        </is>
      </c>
      <c r="C184" t="b">
        <v>0</v>
      </c>
      <c r="D184" t="b">
        <v>0</v>
      </c>
      <c r="E184" t="n">
        <v>1200000</v>
      </c>
      <c r="F184" s="7" t="n">
        <v>45524</v>
      </c>
      <c r="G184" t="inlineStr"/>
      <c r="H184" t="n">
        <v>1200000</v>
      </c>
    </row>
    <row r="185">
      <c r="A185" t="inlineStr">
        <is>
          <t>Heron View</t>
        </is>
      </c>
      <c r="B185" t="inlineStr">
        <is>
          <t>HVL203</t>
        </is>
      </c>
      <c r="C185" t="b">
        <v>0</v>
      </c>
      <c r="D185" t="b">
        <v>0</v>
      </c>
      <c r="E185" t="n">
        <v>1200000</v>
      </c>
      <c r="F185" s="7" t="n">
        <v>45524</v>
      </c>
      <c r="G185" t="inlineStr"/>
      <c r="H185" t="n">
        <v>1202656.87</v>
      </c>
    </row>
    <row r="186">
      <c r="A186" t="inlineStr">
        <is>
          <t>Heron View</t>
        </is>
      </c>
      <c r="B186" t="inlineStr">
        <is>
          <t>HVL204</t>
        </is>
      </c>
      <c r="C186" t="b">
        <v>0</v>
      </c>
      <c r="D186" t="b">
        <v>0</v>
      </c>
      <c r="E186" t="n">
        <v>1200000</v>
      </c>
      <c r="F186" s="7" t="n">
        <v>45524</v>
      </c>
      <c r="G186" t="inlineStr"/>
      <c r="H186" t="n">
        <v>1191513.26</v>
      </c>
    </row>
    <row r="187">
      <c r="A187" t="inlineStr">
        <is>
          <t>Heron View</t>
        </is>
      </c>
      <c r="B187" t="inlineStr">
        <is>
          <t>HVM101</t>
        </is>
      </c>
      <c r="C187" t="b">
        <v>0</v>
      </c>
      <c r="D187" t="b">
        <v>0</v>
      </c>
      <c r="E187" t="n">
        <v>1100000</v>
      </c>
      <c r="F187" s="7" t="n">
        <v>45450</v>
      </c>
      <c r="G187" t="inlineStr"/>
      <c r="H187" t="n">
        <v>1100931.51</v>
      </c>
    </row>
    <row r="188">
      <c r="A188" t="inlineStr">
        <is>
          <t>Heron View</t>
        </is>
      </c>
      <c r="B188" t="inlineStr">
        <is>
          <t>HVM102</t>
        </is>
      </c>
      <c r="C188" t="b">
        <v>0</v>
      </c>
      <c r="D188" t="b">
        <v>0</v>
      </c>
      <c r="E188" t="n">
        <v>1100000</v>
      </c>
      <c r="F188" s="7" t="n">
        <v>45450</v>
      </c>
      <c r="G188" t="inlineStr"/>
      <c r="H188" t="n">
        <v>1104366.44</v>
      </c>
    </row>
    <row r="189">
      <c r="A189" t="inlineStr">
        <is>
          <t>Heron View</t>
        </is>
      </c>
      <c r="B189" t="inlineStr">
        <is>
          <t>HVM103</t>
        </is>
      </c>
      <c r="C189" t="b">
        <v>0</v>
      </c>
      <c r="D189" t="b">
        <v>0</v>
      </c>
      <c r="E189" t="n">
        <v>1100000</v>
      </c>
      <c r="F189" s="7" t="n">
        <v>45450</v>
      </c>
      <c r="G189" t="inlineStr"/>
      <c r="H189" t="n">
        <v>1034453.42</v>
      </c>
    </row>
    <row r="190">
      <c r="A190" t="inlineStr">
        <is>
          <t>Heron View</t>
        </is>
      </c>
      <c r="B190" t="inlineStr">
        <is>
          <t>HVM104</t>
        </is>
      </c>
      <c r="C190" t="b">
        <v>0</v>
      </c>
      <c r="D190" t="b">
        <v>0</v>
      </c>
      <c r="E190" t="n">
        <v>1100000</v>
      </c>
      <c r="F190" s="7" t="n">
        <v>45450</v>
      </c>
      <c r="G190" t="inlineStr"/>
      <c r="H190" t="n">
        <v>1100000</v>
      </c>
    </row>
    <row r="191">
      <c r="A191" t="inlineStr">
        <is>
          <t>Heron View</t>
        </is>
      </c>
      <c r="B191" t="inlineStr">
        <is>
          <t>HVM201</t>
        </is>
      </c>
      <c r="C191" t="b">
        <v>0</v>
      </c>
      <c r="D191" t="b">
        <v>0</v>
      </c>
      <c r="E191" t="n">
        <v>1100000</v>
      </c>
      <c r="F191" s="7" t="n">
        <v>45450</v>
      </c>
      <c r="G191" t="inlineStr"/>
      <c r="H191" t="n">
        <v>1100000</v>
      </c>
    </row>
    <row r="192">
      <c r="A192" t="inlineStr">
        <is>
          <t>Heron View</t>
        </is>
      </c>
      <c r="B192" t="inlineStr">
        <is>
          <t>HVM202</t>
        </is>
      </c>
      <c r="C192" t="b">
        <v>0</v>
      </c>
      <c r="D192" t="b">
        <v>0</v>
      </c>
      <c r="E192" t="n">
        <v>1100000</v>
      </c>
      <c r="F192" s="7" t="n">
        <v>45450</v>
      </c>
      <c r="G192" t="inlineStr"/>
      <c r="H192" t="n">
        <v>1100000</v>
      </c>
    </row>
    <row r="193">
      <c r="A193" t="inlineStr">
        <is>
          <t>Heron View</t>
        </is>
      </c>
      <c r="B193" t="inlineStr">
        <is>
          <t>HVM203</t>
        </is>
      </c>
      <c r="C193" t="b">
        <v>0</v>
      </c>
      <c r="D193" t="b">
        <v>0</v>
      </c>
      <c r="E193" t="n">
        <v>1100000</v>
      </c>
      <c r="F193" s="7" t="n">
        <v>45450</v>
      </c>
      <c r="G193" t="inlineStr"/>
      <c r="H193" t="n">
        <v>1100000</v>
      </c>
    </row>
    <row r="194">
      <c r="A194" t="inlineStr">
        <is>
          <t>Heron View</t>
        </is>
      </c>
      <c r="B194" t="inlineStr">
        <is>
          <t>HVM204</t>
        </is>
      </c>
      <c r="C194" t="b">
        <v>0</v>
      </c>
      <c r="D194" t="b">
        <v>0</v>
      </c>
      <c r="E194" t="n">
        <v>1100000</v>
      </c>
      <c r="F194" s="7" t="n">
        <v>45450</v>
      </c>
      <c r="G194" t="inlineStr"/>
      <c r="H194" t="n">
        <v>1100000</v>
      </c>
    </row>
    <row r="195">
      <c r="A195" t="inlineStr">
        <is>
          <t>Heron View</t>
        </is>
      </c>
      <c r="B195" t="inlineStr">
        <is>
          <t>HVN101</t>
        </is>
      </c>
      <c r="C195" t="b">
        <v>1</v>
      </c>
      <c r="D195" t="b">
        <v>1</v>
      </c>
      <c r="E195" t="n">
        <v>1000000</v>
      </c>
      <c r="F195" s="7" t="n">
        <v>45310</v>
      </c>
      <c r="G195" s="7" t="n">
        <v>45310</v>
      </c>
      <c r="H195" t="n">
        <v>968582.3099999999</v>
      </c>
    </row>
    <row r="196">
      <c r="A196" t="inlineStr">
        <is>
          <t>Heron View</t>
        </is>
      </c>
      <c r="B196" t="inlineStr">
        <is>
          <t>HVN102</t>
        </is>
      </c>
      <c r="C196" t="b">
        <v>1</v>
      </c>
      <c r="D196" t="b">
        <v>0</v>
      </c>
      <c r="E196" t="n">
        <v>1000000</v>
      </c>
      <c r="F196" s="7" t="n">
        <v>45428</v>
      </c>
      <c r="G196" t="inlineStr"/>
      <c r="H196" t="n">
        <v>1000000</v>
      </c>
    </row>
    <row r="197">
      <c r="A197" t="inlineStr">
        <is>
          <t>Heron View</t>
        </is>
      </c>
      <c r="B197" t="inlineStr">
        <is>
          <t>HVN103</t>
        </is>
      </c>
      <c r="C197" t="b">
        <v>1</v>
      </c>
      <c r="D197" t="b">
        <v>1</v>
      </c>
      <c r="E197" t="n">
        <v>1000000</v>
      </c>
      <c r="F197" s="7" t="n">
        <v>45308</v>
      </c>
      <c r="G197" s="7" t="n">
        <v>45308</v>
      </c>
      <c r="H197" t="n">
        <v>950980.33</v>
      </c>
    </row>
    <row r="198">
      <c r="A198" t="inlineStr">
        <is>
          <t>Heron View</t>
        </is>
      </c>
      <c r="B198" t="inlineStr">
        <is>
          <t>HVN104</t>
        </is>
      </c>
      <c r="C198" t="b">
        <v>1</v>
      </c>
      <c r="D198" t="b">
        <v>1</v>
      </c>
      <c r="E198" t="n">
        <v>1000000</v>
      </c>
      <c r="F198" s="7" t="n">
        <v>45369</v>
      </c>
      <c r="G198" s="7" t="n">
        <v>45369</v>
      </c>
      <c r="H198" t="n">
        <v>1000000</v>
      </c>
    </row>
    <row r="199">
      <c r="A199" t="inlineStr">
        <is>
          <t>Heron View</t>
        </is>
      </c>
      <c r="B199" t="inlineStr">
        <is>
          <t>HVN201</t>
        </is>
      </c>
      <c r="C199" t="b">
        <v>1</v>
      </c>
      <c r="D199" t="b">
        <v>1</v>
      </c>
      <c r="E199" t="n">
        <v>1000000</v>
      </c>
      <c r="F199" s="7" t="n">
        <v>45308</v>
      </c>
      <c r="G199" s="7" t="n">
        <v>45308</v>
      </c>
      <c r="H199" t="n">
        <v>1000000</v>
      </c>
    </row>
    <row r="200">
      <c r="A200" t="inlineStr">
        <is>
          <t>Heron View</t>
        </is>
      </c>
      <c r="B200" t="inlineStr">
        <is>
          <t>HVN202</t>
        </is>
      </c>
      <c r="C200" t="b">
        <v>1</v>
      </c>
      <c r="D200" t="b">
        <v>1</v>
      </c>
      <c r="E200" t="n">
        <v>1000000</v>
      </c>
      <c r="F200" s="7" t="n">
        <v>45327</v>
      </c>
      <c r="G200" s="7" t="n">
        <v>45327</v>
      </c>
      <c r="H200" t="n">
        <v>1000000</v>
      </c>
    </row>
    <row r="201">
      <c r="A201" t="inlineStr">
        <is>
          <t>Heron View</t>
        </is>
      </c>
      <c r="B201" t="inlineStr">
        <is>
          <t>HVN203</t>
        </is>
      </c>
      <c r="C201" t="b">
        <v>1</v>
      </c>
      <c r="D201" t="b">
        <v>1</v>
      </c>
      <c r="E201" t="n">
        <v>1000000</v>
      </c>
      <c r="F201" s="7" t="n">
        <v>45336</v>
      </c>
      <c r="G201" s="7" t="n">
        <v>45336</v>
      </c>
      <c r="H201" t="n">
        <v>1000000</v>
      </c>
    </row>
    <row r="202">
      <c r="A202" t="inlineStr">
        <is>
          <t>Heron View</t>
        </is>
      </c>
      <c r="B202" t="inlineStr">
        <is>
          <t>HVN204</t>
        </is>
      </c>
      <c r="C202" t="b">
        <v>1</v>
      </c>
      <c r="D202" t="b">
        <v>1</v>
      </c>
      <c r="E202" t="n">
        <v>1000000</v>
      </c>
      <c r="F202" s="7" t="n">
        <v>45314</v>
      </c>
      <c r="G202" s="7" t="n">
        <v>45314</v>
      </c>
      <c r="H202" t="n">
        <v>1000000</v>
      </c>
    </row>
    <row r="203">
      <c r="A203" t="inlineStr">
        <is>
          <t>Heron View</t>
        </is>
      </c>
      <c r="B203" t="inlineStr">
        <is>
          <t>HVN301</t>
        </is>
      </c>
      <c r="C203" t="b">
        <v>1</v>
      </c>
      <c r="D203" t="b">
        <v>0</v>
      </c>
      <c r="E203" t="n">
        <v>1000000</v>
      </c>
      <c r="F203" s="7" t="n">
        <v>45449</v>
      </c>
      <c r="G203" t="inlineStr"/>
      <c r="H203" t="n">
        <v>1000000</v>
      </c>
    </row>
    <row r="204">
      <c r="A204" t="inlineStr">
        <is>
          <t>Heron View</t>
        </is>
      </c>
      <c r="B204" t="inlineStr">
        <is>
          <t>HVN302</t>
        </is>
      </c>
      <c r="C204" t="b">
        <v>0</v>
      </c>
      <c r="D204" t="b">
        <v>0</v>
      </c>
      <c r="E204" t="n">
        <v>1000000</v>
      </c>
      <c r="F204" s="7" t="n">
        <v>45464</v>
      </c>
      <c r="G204" t="inlineStr"/>
      <c r="H204" t="n">
        <v>1000000</v>
      </c>
    </row>
    <row r="205">
      <c r="A205" t="inlineStr">
        <is>
          <t>Heron View</t>
        </is>
      </c>
      <c r="B205" t="inlineStr">
        <is>
          <t>HVN303</t>
        </is>
      </c>
      <c r="C205" t="b">
        <v>0</v>
      </c>
      <c r="D205" t="b">
        <v>0</v>
      </c>
      <c r="E205" t="n">
        <v>1000000</v>
      </c>
      <c r="F205" s="7" t="n">
        <v>45498</v>
      </c>
      <c r="G205" t="inlineStr"/>
      <c r="H205" t="n">
        <v>1000000</v>
      </c>
    </row>
    <row r="206">
      <c r="A206" t="inlineStr">
        <is>
          <t>Heron View</t>
        </is>
      </c>
      <c r="B206" t="inlineStr">
        <is>
          <t>HVN304</t>
        </is>
      </c>
      <c r="C206" t="b">
        <v>0</v>
      </c>
      <c r="D206" t="b">
        <v>0</v>
      </c>
      <c r="E206" t="n">
        <v>1000000</v>
      </c>
      <c r="F206" s="7" t="n">
        <v>45498</v>
      </c>
      <c r="G206" t="inlineStr"/>
      <c r="H206" t="n">
        <v>1012910.96</v>
      </c>
    </row>
    <row r="207">
      <c r="A207" t="inlineStr">
        <is>
          <t>Heron View</t>
        </is>
      </c>
      <c r="B207" t="inlineStr">
        <is>
          <t>HVO101</t>
        </is>
      </c>
      <c r="C207" t="b">
        <v>1</v>
      </c>
      <c r="D207" t="b">
        <v>0</v>
      </c>
      <c r="E207" t="n">
        <v>1100000</v>
      </c>
      <c r="F207" s="7" t="n">
        <v>45518</v>
      </c>
      <c r="G207" t="inlineStr"/>
      <c r="H207" t="n">
        <v>1103538.43</v>
      </c>
    </row>
    <row r="208">
      <c r="A208" t="inlineStr">
        <is>
          <t>Heron View</t>
        </is>
      </c>
      <c r="B208" t="inlineStr">
        <is>
          <t>HVO102</t>
        </is>
      </c>
      <c r="C208" t="b">
        <v>1</v>
      </c>
      <c r="D208" t="b">
        <v>0</v>
      </c>
      <c r="E208" t="n">
        <v>1100000</v>
      </c>
      <c r="F208" s="7" t="n">
        <v>45518</v>
      </c>
      <c r="G208" t="inlineStr"/>
      <c r="H208" t="n">
        <v>1097295.56</v>
      </c>
    </row>
    <row r="209">
      <c r="A209" t="inlineStr">
        <is>
          <t>Heron View</t>
        </is>
      </c>
      <c r="B209" t="inlineStr">
        <is>
          <t>HVO103</t>
        </is>
      </c>
      <c r="C209" t="b">
        <v>0</v>
      </c>
      <c r="D209" t="b">
        <v>0</v>
      </c>
      <c r="E209" t="n">
        <v>1100000</v>
      </c>
      <c r="F209" s="7" t="n">
        <v>45518</v>
      </c>
      <c r="G209" t="inlineStr"/>
      <c r="H209" t="n">
        <v>1118756.85</v>
      </c>
    </row>
    <row r="210">
      <c r="A210" t="inlineStr">
        <is>
          <t>Heron View</t>
        </is>
      </c>
      <c r="B210" t="inlineStr">
        <is>
          <t>HVO104</t>
        </is>
      </c>
      <c r="C210" t="b">
        <v>1</v>
      </c>
      <c r="D210" t="b">
        <v>0</v>
      </c>
      <c r="E210" t="n">
        <v>1100000</v>
      </c>
      <c r="F210" s="7" t="n">
        <v>45518</v>
      </c>
      <c r="G210" t="inlineStr"/>
      <c r="H210" t="n">
        <v>1108630.14</v>
      </c>
    </row>
    <row r="211">
      <c r="A211" t="inlineStr">
        <is>
          <t>Heron View</t>
        </is>
      </c>
      <c r="B211" t="inlineStr">
        <is>
          <t>HVO105</t>
        </is>
      </c>
      <c r="C211" t="b">
        <v>1</v>
      </c>
      <c r="D211" t="b">
        <v>0</v>
      </c>
      <c r="E211" t="n">
        <v>1100000</v>
      </c>
      <c r="F211" s="7" t="n">
        <v>45518</v>
      </c>
      <c r="G211" t="inlineStr"/>
      <c r="H211" t="n">
        <v>1107434.93</v>
      </c>
    </row>
    <row r="212">
      <c r="A212" t="inlineStr">
        <is>
          <t>Heron View</t>
        </is>
      </c>
      <c r="B212" t="inlineStr">
        <is>
          <t>HVO201</t>
        </is>
      </c>
      <c r="C212" t="b">
        <v>1</v>
      </c>
      <c r="D212" t="b">
        <v>0</v>
      </c>
      <c r="E212" t="n">
        <v>1100000</v>
      </c>
      <c r="F212" s="7" t="n">
        <v>45518</v>
      </c>
      <c r="G212" t="inlineStr"/>
      <c r="H212" t="n">
        <v>1046447.94</v>
      </c>
    </row>
    <row r="213">
      <c r="A213" t="inlineStr">
        <is>
          <t>Heron View</t>
        </is>
      </c>
      <c r="B213" t="inlineStr">
        <is>
          <t>HVO202</t>
        </is>
      </c>
      <c r="C213" t="b">
        <v>0</v>
      </c>
      <c r="D213" t="b">
        <v>0</v>
      </c>
      <c r="E213" t="n">
        <v>1100000</v>
      </c>
      <c r="F213" s="7" t="n">
        <v>45518</v>
      </c>
      <c r="G213" t="inlineStr"/>
      <c r="H213" t="n">
        <v>1116688.51</v>
      </c>
    </row>
    <row r="214">
      <c r="A214" t="inlineStr">
        <is>
          <t>Heron View</t>
        </is>
      </c>
      <c r="B214" t="inlineStr">
        <is>
          <t>HVO203</t>
        </is>
      </c>
      <c r="C214" t="b">
        <v>0</v>
      </c>
      <c r="D214" t="b">
        <v>0</v>
      </c>
      <c r="E214" t="n">
        <v>1100000</v>
      </c>
      <c r="F214" s="7" t="n">
        <v>45518</v>
      </c>
      <c r="G214" t="inlineStr"/>
      <c r="H214" t="n">
        <v>1121470.62</v>
      </c>
    </row>
    <row r="215">
      <c r="A215" t="inlineStr">
        <is>
          <t>Heron View</t>
        </is>
      </c>
      <c r="B215" t="inlineStr">
        <is>
          <t>HVO204</t>
        </is>
      </c>
      <c r="C215" t="b">
        <v>0</v>
      </c>
      <c r="D215" t="b">
        <v>0</v>
      </c>
      <c r="E215" t="n">
        <v>1100000</v>
      </c>
      <c r="F215" s="7" t="n">
        <v>45518</v>
      </c>
      <c r="G215" t="inlineStr"/>
      <c r="H215" t="n">
        <v>1090952.05</v>
      </c>
    </row>
    <row r="216">
      <c r="A216" t="inlineStr">
        <is>
          <t>Heron View</t>
        </is>
      </c>
      <c r="B216" t="inlineStr">
        <is>
          <t>HVO205</t>
        </is>
      </c>
      <c r="C216" t="b">
        <v>0</v>
      </c>
      <c r="D216" t="b">
        <v>0</v>
      </c>
      <c r="E216" t="n">
        <v>1100000</v>
      </c>
      <c r="F216" s="7" t="n">
        <v>45518</v>
      </c>
      <c r="G216" t="inlineStr"/>
      <c r="H216" t="n">
        <v>1100000</v>
      </c>
    </row>
    <row r="217">
      <c r="A217" t="inlineStr">
        <is>
          <t>Heron View</t>
        </is>
      </c>
      <c r="B217" t="inlineStr">
        <is>
          <t>HVO301</t>
        </is>
      </c>
      <c r="C217" t="b">
        <v>0</v>
      </c>
      <c r="D217" t="b">
        <v>0</v>
      </c>
      <c r="E217" t="n">
        <v>1100000</v>
      </c>
      <c r="F217" s="7" t="n">
        <v>45518</v>
      </c>
      <c r="G217" t="inlineStr"/>
      <c r="H217" t="n">
        <v>1116947.94</v>
      </c>
    </row>
    <row r="218">
      <c r="A218" t="inlineStr">
        <is>
          <t>Heron View</t>
        </is>
      </c>
      <c r="B218" t="inlineStr">
        <is>
          <t>HVO302</t>
        </is>
      </c>
      <c r="C218" t="b">
        <v>0</v>
      </c>
      <c r="D218" t="b">
        <v>0</v>
      </c>
      <c r="E218" t="n">
        <v>1100000</v>
      </c>
      <c r="F218" s="7" t="n">
        <v>45518</v>
      </c>
      <c r="G218" t="inlineStr"/>
      <c r="H218" t="n">
        <v>1111295.21</v>
      </c>
    </row>
    <row r="219">
      <c r="A219" t="inlineStr">
        <is>
          <t>Heron View</t>
        </is>
      </c>
      <c r="B219" t="inlineStr">
        <is>
          <t>HVO303</t>
        </is>
      </c>
      <c r="C219" t="b">
        <v>0</v>
      </c>
      <c r="D219" t="b">
        <v>0</v>
      </c>
      <c r="E219" t="n">
        <v>1100000</v>
      </c>
      <c r="F219" s="7" t="n">
        <v>45518</v>
      </c>
      <c r="G219" t="inlineStr"/>
      <c r="H219" t="n">
        <v>1100000</v>
      </c>
    </row>
    <row r="220">
      <c r="A220" t="inlineStr">
        <is>
          <t>Heron View</t>
        </is>
      </c>
      <c r="B220" t="inlineStr">
        <is>
          <t>HVO304</t>
        </is>
      </c>
      <c r="C220" t="b">
        <v>0</v>
      </c>
      <c r="D220" t="b">
        <v>0</v>
      </c>
      <c r="E220" t="n">
        <v>1100000</v>
      </c>
      <c r="F220" s="7" t="n">
        <v>45518</v>
      </c>
      <c r="G220" t="inlineStr"/>
      <c r="H220" t="n">
        <v>1119247.26</v>
      </c>
    </row>
    <row r="221">
      <c r="A221" t="inlineStr">
        <is>
          <t>Heron View</t>
        </is>
      </c>
      <c r="B221" t="inlineStr">
        <is>
          <t>HVO305</t>
        </is>
      </c>
      <c r="C221" t="b">
        <v>0</v>
      </c>
      <c r="D221" t="b">
        <v>0</v>
      </c>
      <c r="E221" t="n">
        <v>1100000</v>
      </c>
      <c r="F221" s="7" t="n">
        <v>45518</v>
      </c>
      <c r="G221" t="inlineStr"/>
      <c r="H221" t="n">
        <v>1118439.04</v>
      </c>
    </row>
    <row r="222">
      <c r="A222" t="inlineStr">
        <is>
          <t>Heron View</t>
        </is>
      </c>
      <c r="B222" t="inlineStr">
        <is>
          <t>HVP101</t>
        </is>
      </c>
      <c r="C222" t="b">
        <v>1</v>
      </c>
      <c r="D222" t="b">
        <v>1</v>
      </c>
      <c r="E222" t="n">
        <v>1100000</v>
      </c>
      <c r="F222" s="7" t="n">
        <v>45177</v>
      </c>
      <c r="G222" s="7" t="n">
        <v>45177</v>
      </c>
      <c r="H222" t="n">
        <v>1100000</v>
      </c>
    </row>
    <row r="223">
      <c r="A223" t="inlineStr">
        <is>
          <t>Heron View</t>
        </is>
      </c>
      <c r="B223" t="inlineStr">
        <is>
          <t>HVP102</t>
        </is>
      </c>
      <c r="C223" t="b">
        <v>1</v>
      </c>
      <c r="D223" t="b">
        <v>1</v>
      </c>
      <c r="E223" t="n">
        <v>1100000</v>
      </c>
      <c r="F223" s="7" t="n">
        <v>45177</v>
      </c>
      <c r="G223" s="7" t="n">
        <v>45177</v>
      </c>
      <c r="H223" t="n">
        <v>1100000</v>
      </c>
    </row>
    <row r="224">
      <c r="A224" t="inlineStr">
        <is>
          <t>Heron View</t>
        </is>
      </c>
      <c r="B224" t="inlineStr">
        <is>
          <t>HVP103</t>
        </is>
      </c>
      <c r="C224" t="b">
        <v>1</v>
      </c>
      <c r="D224" t="b">
        <v>1</v>
      </c>
      <c r="E224" t="n">
        <v>1100000</v>
      </c>
      <c r="F224" s="7" t="n">
        <v>45177</v>
      </c>
      <c r="G224" s="7" t="n">
        <v>45177</v>
      </c>
      <c r="H224" t="n">
        <v>1100000</v>
      </c>
    </row>
    <row r="225">
      <c r="A225" t="inlineStr">
        <is>
          <t>Heron View</t>
        </is>
      </c>
      <c r="B225" t="inlineStr">
        <is>
          <t>HVP201</t>
        </is>
      </c>
      <c r="C225" t="b">
        <v>0</v>
      </c>
      <c r="D225" t="b">
        <v>0</v>
      </c>
      <c r="E225" t="n">
        <v>1100000</v>
      </c>
      <c r="F225" s="7" t="n">
        <v>45475</v>
      </c>
      <c r="G225" t="inlineStr"/>
      <c r="H225" t="n">
        <v>1100000</v>
      </c>
    </row>
    <row r="226">
      <c r="A226" t="inlineStr">
        <is>
          <t>Heron View</t>
        </is>
      </c>
      <c r="B226" t="inlineStr">
        <is>
          <t>HVP202</t>
        </is>
      </c>
      <c r="C226" t="b">
        <v>1</v>
      </c>
      <c r="D226" t="b">
        <v>1</v>
      </c>
      <c r="E226" t="n">
        <v>1100000</v>
      </c>
      <c r="F226" s="7" t="n">
        <v>45201</v>
      </c>
      <c r="G226" s="7" t="n">
        <v>45191</v>
      </c>
      <c r="H226" t="n">
        <v>1110000</v>
      </c>
    </row>
    <row r="227">
      <c r="A227" t="inlineStr">
        <is>
          <t>Heron View</t>
        </is>
      </c>
      <c r="B227" t="inlineStr">
        <is>
          <t>HVP203</t>
        </is>
      </c>
      <c r="C227" t="b">
        <v>0</v>
      </c>
      <c r="D227" t="b">
        <v>0</v>
      </c>
      <c r="E227" t="n">
        <v>1100000</v>
      </c>
      <c r="F227" s="7" t="n">
        <v>45491</v>
      </c>
      <c r="G227" t="inlineStr"/>
      <c r="H227" t="n">
        <v>1100000</v>
      </c>
    </row>
    <row r="228">
      <c r="A228" t="inlineStr">
        <is>
          <t>Heron View</t>
        </is>
      </c>
      <c r="B228" t="inlineStr">
        <is>
          <t>HVP301</t>
        </is>
      </c>
      <c r="C228" t="b">
        <v>1</v>
      </c>
      <c r="D228" t="b">
        <v>1</v>
      </c>
      <c r="E228" t="n">
        <v>1100000</v>
      </c>
      <c r="F228" s="7" t="n">
        <v>45247</v>
      </c>
      <c r="G228" s="7" t="n">
        <v>45247</v>
      </c>
      <c r="H228" t="n">
        <v>1106405.48</v>
      </c>
    </row>
    <row r="229">
      <c r="A229" t="inlineStr">
        <is>
          <t>Heron View</t>
        </is>
      </c>
      <c r="B229" t="inlineStr">
        <is>
          <t>HVP302</t>
        </is>
      </c>
      <c r="C229" t="b">
        <v>1</v>
      </c>
      <c r="D229" t="b">
        <v>1</v>
      </c>
      <c r="E229" t="n">
        <v>1100000</v>
      </c>
      <c r="F229" s="7" t="n">
        <v>45271</v>
      </c>
      <c r="G229" s="7" t="n">
        <v>45271</v>
      </c>
      <c r="H229" t="n">
        <v>1050738.7</v>
      </c>
    </row>
    <row r="230">
      <c r="A230" t="inlineStr">
        <is>
          <t>Heron View</t>
        </is>
      </c>
      <c r="B230" t="inlineStr">
        <is>
          <t>HVP303</t>
        </is>
      </c>
      <c r="C230" t="b">
        <v>0</v>
      </c>
      <c r="D230" t="b">
        <v>0</v>
      </c>
      <c r="E230" t="n">
        <v>1100000</v>
      </c>
      <c r="F230" s="7" t="n">
        <v>45520</v>
      </c>
      <c r="G230" t="inlineStr"/>
      <c r="H230" t="n">
        <v>1100000</v>
      </c>
    </row>
  </sheetData>
  <autoFilter ref="A5:H2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T2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5" customWidth="1" min="1" max="1"/>
    <col width="21" customWidth="1" min="2" max="2"/>
    <col width="16" customWidth="1" min="3" max="3"/>
    <col width="8" customWidth="1" min="4" max="4"/>
    <col width="26" customWidth="1" min="5" max="5"/>
    <col width="35" customWidth="1" min="6" max="6"/>
    <col width="24" customWidth="1" min="7" max="7"/>
    <col width="19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</cols>
  <sheetData>
    <row r="1">
      <c r="A1" t="inlineStr">
        <is>
          <t>Construction</t>
        </is>
      </c>
    </row>
    <row r="2">
      <c r="A2" t="inlineStr"/>
      <c r="I2" s="1">
        <f>SUBTOTAL(9,I5:I26)</f>
        <v/>
      </c>
      <c r="J2" s="1">
        <f>SUBTOTAL(9,J5:J26)</f>
        <v/>
      </c>
      <c r="K2" s="1">
        <f>SUBTOTAL(9,K5:K26)</f>
        <v/>
      </c>
      <c r="L2" s="1">
        <f>SUBTOTAL(9,L5:L26)</f>
        <v/>
      </c>
      <c r="M2" s="1">
        <f>SUBTOTAL(9,M5:M26)</f>
        <v/>
      </c>
      <c r="N2" s="1">
        <f>SUBTOTAL(9,N5:N26)</f>
        <v/>
      </c>
      <c r="O2" s="1">
        <f>SUBTOTAL(9,O5:O26)</f>
        <v/>
      </c>
      <c r="P2" s="1">
        <f>SUBTOTAL(9,P5:P26)</f>
        <v/>
      </c>
      <c r="Q2" s="1">
        <f>SUBTOTAL(9,Q5:Q26)</f>
        <v/>
      </c>
      <c r="R2" s="1">
        <f>SUBTOTAL(9,R5:R26)</f>
        <v/>
      </c>
      <c r="S2" s="1">
        <f>SUBTOTAL(9,S5:S26)</f>
        <v/>
      </c>
      <c r="T2" s="1">
        <f>SUBTOTAL(9,T5:T26)</f>
        <v/>
      </c>
    </row>
    <row r="3">
      <c r="A3" t="inlineStr"/>
    </row>
    <row r="4">
      <c r="A4" t="inlineStr">
        <is>
          <t>Whitebox-Able</t>
        </is>
      </c>
      <c r="B4" t="inlineStr">
        <is>
          <t>Blocks</t>
        </is>
      </c>
      <c r="C4" t="inlineStr">
        <is>
          <t>Complete Build</t>
        </is>
      </c>
      <c r="D4" t="inlineStr">
        <is>
          <t>Option</t>
        </is>
      </c>
      <c r="E4" t="inlineStr">
        <is>
          <t>Remaining As Per Options</t>
        </is>
      </c>
      <c r="F4" t="inlineStr">
        <is>
          <t>To Complete After Option Achieved</t>
        </is>
      </c>
      <c r="G4" t="inlineStr">
        <is>
          <t>Total Cost To Complete</t>
        </is>
      </c>
      <c r="H4" t="inlineStr">
        <is>
          <t>2024/03/31 Actual</t>
        </is>
      </c>
      <c r="I4" t="inlineStr">
        <is>
          <t>30-Apr-24</t>
        </is>
      </c>
      <c r="J4" t="inlineStr">
        <is>
          <t>30-May-24</t>
        </is>
      </c>
      <c r="K4" t="inlineStr">
        <is>
          <t>29-Jun-24</t>
        </is>
      </c>
      <c r="L4" t="inlineStr">
        <is>
          <t>29-Jul-24</t>
        </is>
      </c>
      <c r="M4" t="inlineStr">
        <is>
          <t>28-Aug-24</t>
        </is>
      </c>
      <c r="N4" t="inlineStr">
        <is>
          <t>27-Sep-24</t>
        </is>
      </c>
      <c r="O4" t="inlineStr">
        <is>
          <t>31-Oct-24</t>
        </is>
      </c>
      <c r="P4" t="inlineStr">
        <is>
          <t>30-Nov-24</t>
        </is>
      </c>
      <c r="Q4" t="inlineStr">
        <is>
          <t>31-Dec-24</t>
        </is>
      </c>
      <c r="R4" t="inlineStr">
        <is>
          <t>31-Jan-25</t>
        </is>
      </c>
      <c r="S4" t="inlineStr">
        <is>
          <t xml:space="preserve">2025/02/28
</t>
        </is>
      </c>
      <c r="T4" t="inlineStr">
        <is>
          <t>Renamed Block</t>
        </is>
      </c>
    </row>
    <row r="5">
      <c r="A5" t="b">
        <v>0</v>
      </c>
      <c r="B5" t="inlineStr">
        <is>
          <t>Block D</t>
        </is>
      </c>
      <c r="C5" t="n">
        <v>1</v>
      </c>
      <c r="D5" t="n">
        <v>4</v>
      </c>
      <c r="E5" t="n">
        <v>854707.21</v>
      </c>
      <c r="F5" t="n">
        <v>0</v>
      </c>
      <c r="G5" t="n">
        <v>854707.21</v>
      </c>
      <c r="H5" t="n">
        <v>207153.86</v>
      </c>
      <c r="I5" s="1" t="n">
        <v>230270</v>
      </c>
      <c r="J5" s="1" t="n">
        <v>177267.23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inlineStr">
        <is>
          <t>D</t>
        </is>
      </c>
    </row>
    <row r="6">
      <c r="A6" t="b">
        <v>0</v>
      </c>
      <c r="B6" t="inlineStr">
        <is>
          <t>Block E - No option</t>
        </is>
      </c>
      <c r="C6" t="n">
        <v>1</v>
      </c>
      <c r="D6" t="n">
        <v>3</v>
      </c>
      <c r="E6" t="n">
        <v>0</v>
      </c>
      <c r="F6" t="n">
        <v>7812115.78</v>
      </c>
      <c r="G6" t="n">
        <v>7812115.78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E</t>
        </is>
      </c>
    </row>
    <row r="7">
      <c r="A7" t="b">
        <v>0</v>
      </c>
      <c r="B7" t="inlineStr">
        <is>
          <t>Block F - No option</t>
        </is>
      </c>
      <c r="C7" t="n">
        <v>1</v>
      </c>
      <c r="D7" t="n">
        <v>3</v>
      </c>
      <c r="E7" t="n">
        <v>64214.68</v>
      </c>
      <c r="F7" t="n">
        <v>5162146.1</v>
      </c>
      <c r="G7" t="n">
        <v>5226360.78</v>
      </c>
      <c r="H7" t="n">
        <v>2209.08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F</t>
        </is>
      </c>
    </row>
    <row r="8">
      <c r="A8" t="b">
        <v>0</v>
      </c>
      <c r="B8" t="inlineStr">
        <is>
          <t>Block G</t>
        </is>
      </c>
      <c r="C8" t="n">
        <v>1</v>
      </c>
      <c r="D8" t="n">
        <v>3</v>
      </c>
      <c r="E8" t="n">
        <v>3698682.8</v>
      </c>
      <c r="F8" t="n">
        <v>2894879.68</v>
      </c>
      <c r="G8" t="n">
        <v>6593562.48</v>
      </c>
      <c r="H8" t="n">
        <v>680537.48</v>
      </c>
      <c r="I8" t="n">
        <v>417141.59</v>
      </c>
      <c r="J8" t="n">
        <v>358136.94</v>
      </c>
      <c r="K8" t="n">
        <v>639618.99</v>
      </c>
      <c r="L8" t="n">
        <v>720173.96</v>
      </c>
      <c r="M8" t="n">
        <v>298623.73</v>
      </c>
      <c r="N8" t="n">
        <v>79543.3</v>
      </c>
      <c r="O8" t="n">
        <v>0</v>
      </c>
      <c r="P8" t="n">
        <v>0</v>
      </c>
      <c r="Q8" t="n">
        <v>175731.41</v>
      </c>
      <c r="R8" t="n">
        <v>0</v>
      </c>
      <c r="S8" t="n">
        <v>0</v>
      </c>
      <c r="T8" t="inlineStr">
        <is>
          <t>G</t>
        </is>
      </c>
    </row>
    <row r="9">
      <c r="A9" t="b">
        <v>0</v>
      </c>
      <c r="B9" t="inlineStr">
        <is>
          <t>Block H</t>
        </is>
      </c>
      <c r="C9" t="n">
        <v>1</v>
      </c>
      <c r="D9" t="n">
        <v>5</v>
      </c>
      <c r="E9" t="n">
        <v>5029629.54</v>
      </c>
      <c r="F9" t="n">
        <v>0</v>
      </c>
      <c r="G9" t="n">
        <v>5029629.54</v>
      </c>
      <c r="H9" t="n">
        <v>424180.81</v>
      </c>
      <c r="I9" t="n">
        <v>646142.91</v>
      </c>
      <c r="J9" t="n">
        <v>914649.13</v>
      </c>
      <c r="K9" t="n">
        <v>866523.5699999999</v>
      </c>
      <c r="L9" t="n">
        <v>342722.95</v>
      </c>
      <c r="M9" t="n">
        <v>242545.58</v>
      </c>
      <c r="N9" t="n">
        <v>257592.17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H</t>
        </is>
      </c>
    </row>
    <row r="10">
      <c r="A10" t="b">
        <v>0</v>
      </c>
      <c r="B10" t="inlineStr">
        <is>
          <t>Block I</t>
        </is>
      </c>
      <c r="C10" t="n">
        <v>1</v>
      </c>
      <c r="D10" t="n">
        <v>3</v>
      </c>
      <c r="E10" t="n">
        <v>2307885</v>
      </c>
      <c r="F10" t="n">
        <v>2658676.32</v>
      </c>
      <c r="G10" t="n">
        <v>4966561.32</v>
      </c>
      <c r="H10" t="n">
        <v>630971.2</v>
      </c>
      <c r="I10" t="n">
        <v>231518.88</v>
      </c>
      <c r="J10" t="n">
        <v>427068.98</v>
      </c>
      <c r="K10" t="n">
        <v>562028.6800000001</v>
      </c>
      <c r="L10" t="n">
        <v>142492.36</v>
      </c>
      <c r="M10" t="n">
        <v>35625</v>
      </c>
      <c r="N10" t="n">
        <v>0</v>
      </c>
      <c r="O10" t="n">
        <v>57192.49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I</t>
        </is>
      </c>
    </row>
    <row r="11">
      <c r="A11" t="b">
        <v>0</v>
      </c>
      <c r="B11" t="inlineStr">
        <is>
          <t>Block J</t>
        </is>
      </c>
      <c r="C11" t="n">
        <v>1</v>
      </c>
      <c r="D11" t="n">
        <v>4</v>
      </c>
      <c r="E11" t="n">
        <v>3763414.13</v>
      </c>
      <c r="F11" t="n">
        <v>3491559.27</v>
      </c>
      <c r="G11" t="n">
        <v>7254973.4</v>
      </c>
      <c r="H11" t="n">
        <v>652876.02</v>
      </c>
      <c r="I11" t="n">
        <v>965964.34</v>
      </c>
      <c r="J11" t="n">
        <v>1191158.97</v>
      </c>
      <c r="K11" t="n">
        <v>487315.93</v>
      </c>
      <c r="L11" t="n">
        <v>54637.5</v>
      </c>
      <c r="M11" t="n">
        <v>54637.5</v>
      </c>
      <c r="N11" t="n">
        <v>113520.02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J</t>
        </is>
      </c>
    </row>
    <row r="12">
      <c r="A12" t="b">
        <v>0</v>
      </c>
      <c r="B12" t="inlineStr">
        <is>
          <t>Block K</t>
        </is>
      </c>
      <c r="C12" t="n">
        <v>1</v>
      </c>
      <c r="D12" t="n">
        <v>4</v>
      </c>
      <c r="E12" t="n">
        <v>6165436.18</v>
      </c>
      <c r="F12" t="n">
        <v>5767109.66</v>
      </c>
      <c r="G12" t="n">
        <v>11932545.84</v>
      </c>
      <c r="H12" t="n">
        <v>1366207.4</v>
      </c>
      <c r="I12" t="n">
        <v>1659804.41</v>
      </c>
      <c r="J12" t="n">
        <v>1280230.62</v>
      </c>
      <c r="K12" t="n">
        <v>919613.4300000001</v>
      </c>
      <c r="L12" t="n">
        <v>0</v>
      </c>
      <c r="M12" t="n">
        <v>0</v>
      </c>
      <c r="N12" t="n">
        <v>0</v>
      </c>
      <c r="O12" t="n">
        <v>341510.69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K</t>
        </is>
      </c>
    </row>
    <row r="13">
      <c r="A13" t="b">
        <v>0</v>
      </c>
      <c r="B13" t="inlineStr">
        <is>
          <t>Block L</t>
        </is>
      </c>
      <c r="C13" t="n">
        <v>1</v>
      </c>
      <c r="D13" t="n">
        <v>4</v>
      </c>
      <c r="E13" t="n">
        <v>3327002.43</v>
      </c>
      <c r="F13" t="n">
        <v>1652328.53</v>
      </c>
      <c r="G13" t="n">
        <v>4979330.96</v>
      </c>
      <c r="H13" t="n">
        <v>505393.14</v>
      </c>
      <c r="I13" t="n">
        <v>211383.73</v>
      </c>
      <c r="J13" t="n">
        <v>425882.02</v>
      </c>
      <c r="K13" t="n">
        <v>920246.88</v>
      </c>
      <c r="L13" t="n">
        <v>782421.78</v>
      </c>
      <c r="M13" t="n">
        <v>52487.5</v>
      </c>
      <c r="N13" t="n">
        <v>0</v>
      </c>
      <c r="O13" t="n">
        <v>214803.14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L</t>
        </is>
      </c>
    </row>
    <row r="14">
      <c r="A14" t="b">
        <v>0</v>
      </c>
      <c r="B14" t="inlineStr">
        <is>
          <t>Block M</t>
        </is>
      </c>
      <c r="C14" t="n">
        <v>1</v>
      </c>
      <c r="D14" t="n">
        <v>4</v>
      </c>
      <c r="E14" t="n">
        <v>2227260.94</v>
      </c>
      <c r="F14" t="n">
        <v>1946962.46</v>
      </c>
      <c r="G14" t="n">
        <v>4174223.4</v>
      </c>
      <c r="H14" t="n">
        <v>407694.58</v>
      </c>
      <c r="I14" t="n">
        <v>559596.02</v>
      </c>
      <c r="J14" t="n">
        <v>384590.38</v>
      </c>
      <c r="K14" t="n">
        <v>31603.92</v>
      </c>
      <c r="L14" t="n">
        <v>0</v>
      </c>
      <c r="M14" t="n">
        <v>0</v>
      </c>
      <c r="N14" t="n">
        <v>53608.68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M</t>
        </is>
      </c>
    </row>
    <row r="15">
      <c r="A15" t="b">
        <v>0</v>
      </c>
      <c r="B15" t="inlineStr">
        <is>
          <t>Block N</t>
        </is>
      </c>
      <c r="C15" t="n">
        <v>1</v>
      </c>
      <c r="D15" t="n">
        <v>4</v>
      </c>
      <c r="E15" t="n">
        <v>653842.7</v>
      </c>
      <c r="F15" t="n">
        <v>0</v>
      </c>
      <c r="G15" t="n">
        <v>653842.7</v>
      </c>
      <c r="H15" t="n">
        <v>192782.34</v>
      </c>
      <c r="I15" t="n">
        <v>150000</v>
      </c>
      <c r="J15" t="n">
        <v>152042.52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N</t>
        </is>
      </c>
    </row>
    <row r="16">
      <c r="A16" t="b">
        <v>0</v>
      </c>
      <c r="B16" t="inlineStr">
        <is>
          <t>Block O</t>
        </is>
      </c>
      <c r="C16" t="n">
        <v>1</v>
      </c>
      <c r="D16" t="n">
        <v>4</v>
      </c>
      <c r="E16" t="n">
        <v>4151553.44</v>
      </c>
      <c r="F16" t="n">
        <v>2535168.26</v>
      </c>
      <c r="G16" t="n">
        <v>6686721.7</v>
      </c>
      <c r="H16" t="n">
        <v>778739.38</v>
      </c>
      <c r="I16" t="n">
        <v>795910.14</v>
      </c>
      <c r="J16" t="n">
        <v>823189.9</v>
      </c>
      <c r="K16" t="n">
        <v>264276.37</v>
      </c>
      <c r="L16" t="n">
        <v>0</v>
      </c>
      <c r="M16" t="n">
        <v>0</v>
      </c>
      <c r="N16" t="n">
        <v>66153.60000000001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O</t>
        </is>
      </c>
    </row>
    <row r="17">
      <c r="A17" t="b">
        <v>0</v>
      </c>
      <c r="B17" t="inlineStr">
        <is>
          <t>Clubhouse</t>
        </is>
      </c>
      <c r="C17" t="n">
        <v>1</v>
      </c>
      <c r="D17" t="n">
        <v>5</v>
      </c>
      <c r="E17" t="n">
        <v>2461317.05</v>
      </c>
      <c r="F17" t="n">
        <v>0</v>
      </c>
      <c r="G17" t="n">
        <v>2461317.05</v>
      </c>
      <c r="H17" t="n">
        <v>323038.88</v>
      </c>
      <c r="I17" t="n">
        <v>284556.15</v>
      </c>
      <c r="J17" t="n">
        <v>498965.69</v>
      </c>
      <c r="K17" t="n">
        <v>300350.16</v>
      </c>
      <c r="L17" t="n">
        <v>165000</v>
      </c>
      <c r="M17" t="n">
        <v>577797.8199999999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Clubhouse</t>
        </is>
      </c>
    </row>
    <row r="18">
      <c r="A18" s="8" t="b">
        <v>1</v>
      </c>
      <c r="B18" s="8" t="inlineStr">
        <is>
          <t>Block E - No option</t>
        </is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7343388.83</v>
      </c>
      <c r="H18" s="8" t="n">
        <v>0</v>
      </c>
      <c r="I18" s="8" t="n">
        <v>0</v>
      </c>
      <c r="J18" s="8" t="n">
        <v>468726.95</v>
      </c>
      <c r="K18" s="8" t="n">
        <v>1093696.21</v>
      </c>
      <c r="L18" s="8" t="n">
        <v>1484302</v>
      </c>
      <c r="M18" s="8" t="n">
        <v>1562423.16</v>
      </c>
      <c r="N18" s="8" t="n">
        <v>1484302</v>
      </c>
      <c r="O18" s="8" t="n">
        <v>1249938.52</v>
      </c>
      <c r="P18" s="8" t="n">
        <v>468726.95</v>
      </c>
      <c r="Q18" s="8" t="n">
        <v>0</v>
      </c>
      <c r="R18" s="8" t="n">
        <v>0</v>
      </c>
      <c r="S18" s="8" t="n">
        <v>0</v>
      </c>
      <c r="T18" s="8" t="inlineStr">
        <is>
          <t>E</t>
        </is>
      </c>
    </row>
    <row r="19">
      <c r="A19" s="8" t="b">
        <v>1</v>
      </c>
      <c r="B19" s="8" t="inlineStr">
        <is>
          <t>Block F - No option</t>
        </is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4943897.57</v>
      </c>
      <c r="H19" s="8" t="n">
        <v>0</v>
      </c>
      <c r="I19" s="8" t="n">
        <v>0</v>
      </c>
      <c r="J19" s="8" t="n">
        <v>346072.83</v>
      </c>
      <c r="K19" s="8" t="n">
        <v>889901.5600000001</v>
      </c>
      <c r="L19" s="8" t="n">
        <v>1186535.42</v>
      </c>
      <c r="M19" s="8" t="n">
        <v>1186535.42</v>
      </c>
      <c r="N19" s="8" t="n">
        <v>988779.51</v>
      </c>
      <c r="O19" s="8" t="n">
        <v>346072.83</v>
      </c>
      <c r="P19" s="8" t="n">
        <v>0</v>
      </c>
      <c r="Q19" s="8" t="n">
        <v>0</v>
      </c>
      <c r="R19" s="8" t="n">
        <v>0</v>
      </c>
      <c r="S19" s="8" t="n">
        <v>0</v>
      </c>
      <c r="T19" s="8" t="inlineStr">
        <is>
          <t>F</t>
        </is>
      </c>
    </row>
    <row r="20">
      <c r="A20" s="8" t="b">
        <v>1</v>
      </c>
      <c r="B20" s="8" t="inlineStr">
        <is>
          <t>Block G</t>
        </is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2894879.68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964959.89</v>
      </c>
      <c r="M20" s="8" t="n">
        <v>964959.89</v>
      </c>
      <c r="N20" s="8" t="n">
        <v>964959.89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inlineStr">
        <is>
          <t>G</t>
        </is>
      </c>
    </row>
    <row r="21">
      <c r="A21" s="8" t="b">
        <v>1</v>
      </c>
      <c r="B21" s="8" t="inlineStr">
        <is>
          <t>Block I</t>
        </is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2563367.88</v>
      </c>
      <c r="H21" s="8" t="n">
        <v>0</v>
      </c>
      <c r="I21" s="8" t="n">
        <v>0</v>
      </c>
      <c r="J21" s="8" t="n">
        <v>0</v>
      </c>
      <c r="K21" s="8" t="n">
        <v>854455.96</v>
      </c>
      <c r="L21" s="8" t="n">
        <v>854455.96</v>
      </c>
      <c r="M21" s="8" t="n">
        <v>854455.96</v>
      </c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inlineStr">
        <is>
          <t>I</t>
        </is>
      </c>
    </row>
    <row r="22">
      <c r="A22" s="8" t="b">
        <v>1</v>
      </c>
      <c r="B22" s="8" t="inlineStr">
        <is>
          <t>Block J</t>
        </is>
      </c>
      <c r="C22" s="8" t="n">
        <v>1</v>
      </c>
      <c r="D22" s="8" t="n">
        <v>0</v>
      </c>
      <c r="E22" s="8" t="n">
        <v>0</v>
      </c>
      <c r="F22" s="8" t="n">
        <v>0</v>
      </c>
      <c r="G22" s="8" t="n">
        <v>3491559.27</v>
      </c>
      <c r="H22" s="8" t="n">
        <v>0</v>
      </c>
      <c r="I22" s="8" t="n">
        <v>0</v>
      </c>
      <c r="J22" s="8" t="n">
        <v>0</v>
      </c>
      <c r="K22" s="8" t="n">
        <v>1284618</v>
      </c>
      <c r="L22" s="8" t="n">
        <v>1164683.59</v>
      </c>
      <c r="M22" s="8" t="n">
        <v>1042257.69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inlineStr">
        <is>
          <t>J</t>
        </is>
      </c>
    </row>
    <row r="23">
      <c r="A23" s="8" t="b">
        <v>1</v>
      </c>
      <c r="B23" s="8" t="inlineStr">
        <is>
          <t>Block K</t>
        </is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5545576.8</v>
      </c>
      <c r="H23" s="8" t="n">
        <v>0</v>
      </c>
      <c r="I23" s="8" t="n">
        <v>0</v>
      </c>
      <c r="J23" s="8" t="n">
        <v>1686292.47</v>
      </c>
      <c r="K23" s="8" t="n">
        <v>2267408.89</v>
      </c>
      <c r="L23" s="8" t="n">
        <v>1549033.62</v>
      </c>
      <c r="M23" s="8" t="n">
        <v>42841.81</v>
      </c>
      <c r="N23" s="8" t="n">
        <v>0</v>
      </c>
      <c r="O23" s="8" t="n">
        <v>0</v>
      </c>
      <c r="P23" s="8" t="n">
        <v>0</v>
      </c>
      <c r="Q23" s="8" t="n">
        <v>0</v>
      </c>
      <c r="R23" s="8" t="n">
        <v>0</v>
      </c>
      <c r="S23" s="8" t="n">
        <v>0</v>
      </c>
      <c r="T23" s="8" t="inlineStr">
        <is>
          <t>K</t>
        </is>
      </c>
    </row>
    <row r="24">
      <c r="A24" s="8" t="b">
        <v>1</v>
      </c>
      <c r="B24" s="8" t="inlineStr">
        <is>
          <t>Block L</t>
        </is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1648165.87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531547.22</v>
      </c>
      <c r="M24" s="8" t="n">
        <v>646412.5699999999</v>
      </c>
      <c r="N24" s="8" t="n">
        <v>462538.43</v>
      </c>
      <c r="O24" s="8" t="n">
        <v>7667.64</v>
      </c>
      <c r="P24" s="8" t="n">
        <v>0</v>
      </c>
      <c r="Q24" s="8" t="n">
        <v>0</v>
      </c>
      <c r="R24" s="8" t="n">
        <v>0</v>
      </c>
      <c r="S24" s="8" t="n">
        <v>0</v>
      </c>
      <c r="T24" s="8" t="inlineStr">
        <is>
          <t>L</t>
        </is>
      </c>
    </row>
    <row r="25">
      <c r="A25" s="8" t="b">
        <v>1</v>
      </c>
      <c r="B25" s="8" t="inlineStr">
        <is>
          <t>Block M</t>
        </is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1944327.01</v>
      </c>
      <c r="H25" s="8" t="n">
        <v>0</v>
      </c>
      <c r="I25" s="8" t="n">
        <v>636753.83</v>
      </c>
      <c r="J25" s="8" t="n">
        <v>502025.9</v>
      </c>
      <c r="K25" s="8" t="n">
        <v>322849.47</v>
      </c>
      <c r="L25" s="8" t="n">
        <v>381338.35</v>
      </c>
      <c r="M25" s="8" t="n">
        <v>101359.46</v>
      </c>
      <c r="N25" s="8" t="n">
        <v>0</v>
      </c>
      <c r="O25" s="8" t="n">
        <v>0</v>
      </c>
      <c r="P25" s="8" t="n">
        <v>0</v>
      </c>
      <c r="Q25" s="8" t="n">
        <v>0</v>
      </c>
      <c r="R25" s="8" t="n">
        <v>0</v>
      </c>
      <c r="S25" s="8" t="n">
        <v>0</v>
      </c>
      <c r="T25" s="8" t="inlineStr">
        <is>
          <t>M</t>
        </is>
      </c>
    </row>
    <row r="26">
      <c r="A26" s="8" t="b">
        <v>1</v>
      </c>
      <c r="B26" s="8" t="inlineStr">
        <is>
          <t>Block O</t>
        </is>
      </c>
      <c r="C26" s="8" t="n">
        <v>1</v>
      </c>
      <c r="D26" s="8" t="n">
        <v>0</v>
      </c>
      <c r="E26" s="8" t="n">
        <v>0</v>
      </c>
      <c r="F26" s="8" t="n">
        <v>0</v>
      </c>
      <c r="G26" s="8" t="n">
        <v>2535168.26</v>
      </c>
      <c r="H26" s="8" t="n">
        <v>0</v>
      </c>
      <c r="I26" s="8" t="n">
        <v>859144.1800000001</v>
      </c>
      <c r="J26" s="8" t="n">
        <v>672347.25</v>
      </c>
      <c r="K26" s="8" t="n">
        <v>501838.42</v>
      </c>
      <c r="L26" s="8" t="n">
        <v>501838.42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inlineStr">
        <is>
          <t>O</t>
        </is>
      </c>
    </row>
  </sheetData>
  <autoFilter ref="A4:T2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204E"/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 Construction</t>
        </is>
      </c>
    </row>
    <row r="2">
      <c r="A2" t="inlineStr">
        <is>
          <t>Whitebox-Able</t>
        </is>
      </c>
      <c r="B2" t="inlineStr">
        <is>
          <t>Blocks</t>
        </is>
      </c>
      <c r="C2" t="inlineStr">
        <is>
          <t>Complete Build</t>
        </is>
      </c>
      <c r="D2" t="inlineStr">
        <is>
          <t>Actual</t>
        </is>
      </c>
      <c r="E2" t="inlineStr">
        <is>
          <t>Date</t>
        </is>
      </c>
      <c r="F2" t="inlineStr">
        <is>
          <t>Amount</t>
        </is>
      </c>
      <c r="G2" t="inlineStr">
        <is>
          <t>Renamed_block</t>
        </is>
      </c>
      <c r="H2" t="inlineStr">
        <is>
          <t>Vat Due</t>
        </is>
      </c>
    </row>
    <row r="3">
      <c r="A3" t="b">
        <v>0</v>
      </c>
      <c r="B3" t="inlineStr">
        <is>
          <t>Block D</t>
        </is>
      </c>
      <c r="C3" t="n">
        <v>1</v>
      </c>
      <c r="D3" t="b">
        <v>1</v>
      </c>
      <c r="E3" s="7" t="n">
        <v>45382</v>
      </c>
      <c r="F3" t="n">
        <v>207153.86</v>
      </c>
      <c r="G3" t="inlineStr">
        <is>
          <t>D</t>
        </is>
      </c>
      <c r="H3" s="7" t="n">
        <v>45443</v>
      </c>
    </row>
    <row r="4">
      <c r="A4" t="b">
        <v>0</v>
      </c>
      <c r="B4" t="inlineStr">
        <is>
          <t>Block D</t>
        </is>
      </c>
      <c r="C4" t="n">
        <v>1</v>
      </c>
      <c r="D4" t="b">
        <v>0</v>
      </c>
      <c r="E4" s="7" t="n">
        <v>45412</v>
      </c>
      <c r="F4" t="n">
        <v>230270</v>
      </c>
      <c r="G4" t="inlineStr">
        <is>
          <t>D</t>
        </is>
      </c>
      <c r="H4" s="7" t="n">
        <v>45443</v>
      </c>
    </row>
    <row r="5">
      <c r="A5" t="b">
        <v>0</v>
      </c>
      <c r="B5" t="inlineStr">
        <is>
          <t>Block D</t>
        </is>
      </c>
      <c r="C5">
        <f>IF(A5=FALSE, 1,SUMIFS('Cashflow Projection'!$C$33:$C$45, 'Cashflow Projection'!$B$33:$B$45, 'Updated Construction'!G5))</f>
        <v/>
      </c>
      <c r="D5" t="b">
        <v>0</v>
      </c>
      <c r="E5" s="7" t="n">
        <v>45442</v>
      </c>
      <c r="F5" t="n">
        <v>177267.23</v>
      </c>
      <c r="G5" t="inlineStr">
        <is>
          <t>D</t>
        </is>
      </c>
      <c r="H5" s="7" t="n">
        <v>45504</v>
      </c>
    </row>
    <row r="6">
      <c r="A6" t="b">
        <v>0</v>
      </c>
      <c r="B6" t="inlineStr">
        <is>
          <t>Block D</t>
        </is>
      </c>
      <c r="C6">
        <f>IF(A6=FALSE, 1,SUMIFS('Cashflow Projection'!$C$33:$C$45, 'Cashflow Projection'!$B$33:$B$45, 'Updated Construction'!G6))</f>
        <v/>
      </c>
      <c r="D6" t="b">
        <v>0</v>
      </c>
      <c r="E6" s="7" t="n">
        <v>45472</v>
      </c>
      <c r="F6" t="n">
        <v>0</v>
      </c>
      <c r="G6" t="inlineStr">
        <is>
          <t>D</t>
        </is>
      </c>
      <c r="H6" s="7" t="n">
        <v>45504</v>
      </c>
    </row>
    <row r="7">
      <c r="A7" t="b">
        <v>0</v>
      </c>
      <c r="B7" t="inlineStr">
        <is>
          <t>Block D</t>
        </is>
      </c>
      <c r="C7">
        <f>IF(A7=FALSE, 1,SUMIFS('Cashflow Projection'!$C$33:$C$45, 'Cashflow Projection'!$B$33:$B$45, 'Updated Construction'!G7))</f>
        <v/>
      </c>
      <c r="D7" t="b">
        <v>0</v>
      </c>
      <c r="E7" s="7" t="n">
        <v>45502</v>
      </c>
      <c r="F7" t="n">
        <v>0</v>
      </c>
      <c r="G7" t="inlineStr">
        <is>
          <t>D</t>
        </is>
      </c>
      <c r="H7" s="7" t="n">
        <v>45565</v>
      </c>
    </row>
    <row r="8">
      <c r="A8" t="b">
        <v>0</v>
      </c>
      <c r="B8" t="inlineStr">
        <is>
          <t>Block D</t>
        </is>
      </c>
      <c r="C8">
        <f>IF(A8=FALSE, 1,SUMIFS('Cashflow Projection'!$C$33:$C$45, 'Cashflow Projection'!$B$33:$B$45, 'Updated Construction'!G8))</f>
        <v/>
      </c>
      <c r="D8" t="b">
        <v>0</v>
      </c>
      <c r="E8" s="7" t="n">
        <v>45532</v>
      </c>
      <c r="F8" t="n">
        <v>0</v>
      </c>
      <c r="G8" t="inlineStr">
        <is>
          <t>D</t>
        </is>
      </c>
      <c r="H8" s="7" t="n">
        <v>45565</v>
      </c>
    </row>
    <row r="9">
      <c r="A9" t="b">
        <v>0</v>
      </c>
      <c r="B9" t="inlineStr">
        <is>
          <t>Block D</t>
        </is>
      </c>
      <c r="C9">
        <f>IF(A9=FALSE, 1,SUMIFS('Cashflow Projection'!$C$33:$C$45, 'Cashflow Projection'!$B$33:$B$45, 'Updated Construction'!G9))</f>
        <v/>
      </c>
      <c r="D9" t="b">
        <v>0</v>
      </c>
      <c r="E9" s="7" t="n">
        <v>45562</v>
      </c>
      <c r="F9" t="n">
        <v>0</v>
      </c>
      <c r="G9" t="inlineStr">
        <is>
          <t>D</t>
        </is>
      </c>
      <c r="H9" s="7" t="n">
        <v>45626</v>
      </c>
    </row>
    <row r="10">
      <c r="A10" t="b">
        <v>0</v>
      </c>
      <c r="B10" t="inlineStr">
        <is>
          <t>Block D</t>
        </is>
      </c>
      <c r="C10">
        <f>IF(A10=FALSE, 1,SUMIFS('Cashflow Projection'!$C$33:$C$45, 'Cashflow Projection'!$B$33:$B$45, 'Updated Construction'!G10))</f>
        <v/>
      </c>
      <c r="D10" t="b">
        <v>0</v>
      </c>
      <c r="E10" s="7" t="n">
        <v>45596</v>
      </c>
      <c r="F10" t="n">
        <v>0</v>
      </c>
      <c r="G10" t="inlineStr">
        <is>
          <t>D</t>
        </is>
      </c>
      <c r="H10" s="7" t="n">
        <v>45626</v>
      </c>
    </row>
    <row r="11">
      <c r="A11" t="b">
        <v>0</v>
      </c>
      <c r="B11" t="inlineStr">
        <is>
          <t>Block D</t>
        </is>
      </c>
      <c r="C11">
        <f>IF(A11=FALSE, 1,SUMIFS('Cashflow Projection'!$C$33:$C$45, 'Cashflow Projection'!$B$33:$B$45, 'Updated Construction'!G11))</f>
        <v/>
      </c>
      <c r="D11" t="b">
        <v>0</v>
      </c>
      <c r="E11" s="7" t="n">
        <v>45626</v>
      </c>
      <c r="F11" t="n">
        <v>0</v>
      </c>
      <c r="G11" t="inlineStr">
        <is>
          <t>D</t>
        </is>
      </c>
      <c r="H11" s="7" t="n">
        <v>45688</v>
      </c>
    </row>
    <row r="12">
      <c r="A12" t="b">
        <v>0</v>
      </c>
      <c r="B12" t="inlineStr">
        <is>
          <t>Block D</t>
        </is>
      </c>
      <c r="C12">
        <f>IF(A12=FALSE, 1,SUMIFS('Cashflow Projection'!$C$33:$C$45, 'Cashflow Projection'!$B$33:$B$45, 'Updated Construction'!G12))</f>
        <v/>
      </c>
      <c r="D12" t="b">
        <v>0</v>
      </c>
      <c r="E12" s="7" t="n">
        <v>45657</v>
      </c>
      <c r="F12" t="n">
        <v>0</v>
      </c>
      <c r="G12" t="inlineStr">
        <is>
          <t>D</t>
        </is>
      </c>
      <c r="H12" s="7" t="n">
        <v>45688</v>
      </c>
    </row>
    <row r="13">
      <c r="A13" t="b">
        <v>0</v>
      </c>
      <c r="B13" t="inlineStr">
        <is>
          <t>Block D</t>
        </is>
      </c>
      <c r="C13">
        <f>IF(A13=FALSE, 1,SUMIFS('Cashflow Projection'!$C$33:$C$45, 'Cashflow Projection'!$B$33:$B$45, 'Updated Construction'!G13))</f>
        <v/>
      </c>
      <c r="D13" t="b">
        <v>0</v>
      </c>
      <c r="E13" s="7" t="n">
        <v>45688</v>
      </c>
      <c r="F13" t="n">
        <v>0</v>
      </c>
      <c r="G13" t="inlineStr">
        <is>
          <t>D</t>
        </is>
      </c>
      <c r="H13" s="7" t="n">
        <v>45747</v>
      </c>
    </row>
    <row r="14">
      <c r="A14" t="b">
        <v>0</v>
      </c>
      <c r="B14" t="inlineStr">
        <is>
          <t>Block E - No option</t>
        </is>
      </c>
      <c r="C14">
        <f>IF(A14=FALSE, 1,SUMIFS('Cashflow Projection'!$C$33:$C$45, 'Cashflow Projection'!$B$33:$B$45, 'Updated Construction'!G14))</f>
        <v/>
      </c>
      <c r="D14" t="b">
        <v>1</v>
      </c>
      <c r="E14" s="7" t="n">
        <v>45382</v>
      </c>
      <c r="F14" t="n">
        <v>0</v>
      </c>
      <c r="G14" t="inlineStr">
        <is>
          <t>E</t>
        </is>
      </c>
      <c r="H14" s="7" t="n">
        <v>45443</v>
      </c>
    </row>
    <row r="15">
      <c r="A15" t="b">
        <v>0</v>
      </c>
      <c r="B15" t="inlineStr">
        <is>
          <t>Block E - No option</t>
        </is>
      </c>
      <c r="C15">
        <f>IF(A15=FALSE, 1,SUMIFS('Cashflow Projection'!$C$33:$C$45, 'Cashflow Projection'!$B$33:$B$45, 'Updated Construction'!G15))</f>
        <v/>
      </c>
      <c r="D15" t="b">
        <v>0</v>
      </c>
      <c r="E15" s="7" t="n">
        <v>45412</v>
      </c>
      <c r="F15" t="n">
        <v>0</v>
      </c>
      <c r="G15" t="inlineStr">
        <is>
          <t>E</t>
        </is>
      </c>
      <c r="H15" s="7" t="n">
        <v>45443</v>
      </c>
    </row>
    <row r="16">
      <c r="A16" t="b">
        <v>0</v>
      </c>
      <c r="B16" t="inlineStr">
        <is>
          <t>Block E - No option</t>
        </is>
      </c>
      <c r="C16">
        <f>IF(A16=FALSE, 1,SUMIFS('Cashflow Projection'!$C$33:$C$45, 'Cashflow Projection'!$B$33:$B$45, 'Updated Construction'!G16))</f>
        <v/>
      </c>
      <c r="D16" t="b">
        <v>0</v>
      </c>
      <c r="E16" s="7" t="n">
        <v>45442</v>
      </c>
      <c r="F16" t="n">
        <v>0</v>
      </c>
      <c r="G16" t="inlineStr">
        <is>
          <t>E</t>
        </is>
      </c>
      <c r="H16" s="7" t="n">
        <v>45504</v>
      </c>
    </row>
    <row r="17">
      <c r="A17" t="b">
        <v>0</v>
      </c>
      <c r="B17" t="inlineStr">
        <is>
          <t>Block E - No option</t>
        </is>
      </c>
      <c r="C17">
        <f>IF(A17=FALSE, 1,SUMIFS('Cashflow Projection'!$C$33:$C$45, 'Cashflow Projection'!$B$33:$B$45, 'Updated Construction'!G17))</f>
        <v/>
      </c>
      <c r="D17" t="b">
        <v>0</v>
      </c>
      <c r="E17" s="7" t="n">
        <v>45472</v>
      </c>
      <c r="F17" t="n">
        <v>0</v>
      </c>
      <c r="G17" t="inlineStr">
        <is>
          <t>E</t>
        </is>
      </c>
      <c r="H17" s="7" t="n">
        <v>45504</v>
      </c>
    </row>
    <row r="18">
      <c r="A18" t="b">
        <v>0</v>
      </c>
      <c r="B18" t="inlineStr">
        <is>
          <t>Block E - No option</t>
        </is>
      </c>
      <c r="C18">
        <f>IF(A18=FALSE, 1,SUMIFS('Cashflow Projection'!$C$33:$C$45, 'Cashflow Projection'!$B$33:$B$45, 'Updated Construction'!G18))</f>
        <v/>
      </c>
      <c r="D18" t="b">
        <v>0</v>
      </c>
      <c r="E18" s="7" t="n">
        <v>45502</v>
      </c>
      <c r="F18" t="n">
        <v>0</v>
      </c>
      <c r="G18" t="inlineStr">
        <is>
          <t>E</t>
        </is>
      </c>
      <c r="H18" s="7" t="n">
        <v>45565</v>
      </c>
    </row>
    <row r="19">
      <c r="A19" t="b">
        <v>0</v>
      </c>
      <c r="B19" t="inlineStr">
        <is>
          <t>Block E - No option</t>
        </is>
      </c>
      <c r="C19">
        <f>IF(A19=FALSE, 1,SUMIFS('Cashflow Projection'!$C$33:$C$45, 'Cashflow Projection'!$B$33:$B$45, 'Updated Construction'!G19))</f>
        <v/>
      </c>
      <c r="D19" t="b">
        <v>0</v>
      </c>
      <c r="E19" s="7" t="n">
        <v>45532</v>
      </c>
      <c r="F19" t="n">
        <v>0</v>
      </c>
      <c r="G19" t="inlineStr">
        <is>
          <t>E</t>
        </is>
      </c>
      <c r="H19" s="7" t="n">
        <v>45565</v>
      </c>
    </row>
    <row r="20">
      <c r="A20" t="b">
        <v>0</v>
      </c>
      <c r="B20" t="inlineStr">
        <is>
          <t>Block E - No option</t>
        </is>
      </c>
      <c r="C20">
        <f>IF(A20=FALSE, 1,SUMIFS('Cashflow Projection'!$C$33:$C$45, 'Cashflow Projection'!$B$33:$B$45, 'Updated Construction'!G20))</f>
        <v/>
      </c>
      <c r="D20" t="b">
        <v>0</v>
      </c>
      <c r="E20" s="7" t="n">
        <v>45562</v>
      </c>
      <c r="F20" t="n">
        <v>0</v>
      </c>
      <c r="G20" t="inlineStr">
        <is>
          <t>E</t>
        </is>
      </c>
      <c r="H20" s="7" t="n">
        <v>45626</v>
      </c>
    </row>
    <row r="21">
      <c r="A21" t="b">
        <v>0</v>
      </c>
      <c r="B21" t="inlineStr">
        <is>
          <t>Block E - No option</t>
        </is>
      </c>
      <c r="C21">
        <f>IF(A21=FALSE, 1,SUMIFS('Cashflow Projection'!$C$33:$C$45, 'Cashflow Projection'!$B$33:$B$45, 'Updated Construction'!G21))</f>
        <v/>
      </c>
      <c r="D21" t="b">
        <v>0</v>
      </c>
      <c r="E21" s="7" t="n">
        <v>45596</v>
      </c>
      <c r="F21" t="n">
        <v>0</v>
      </c>
      <c r="G21" t="inlineStr">
        <is>
          <t>E</t>
        </is>
      </c>
      <c r="H21" s="7" t="n">
        <v>45626</v>
      </c>
    </row>
    <row r="22">
      <c r="A22" t="b">
        <v>0</v>
      </c>
      <c r="B22" t="inlineStr">
        <is>
          <t>Block E - No option</t>
        </is>
      </c>
      <c r="C22">
        <f>IF(A22=FALSE, 1,SUMIFS('Cashflow Projection'!$C$33:$C$45, 'Cashflow Projection'!$B$33:$B$45, 'Updated Construction'!G22))</f>
        <v/>
      </c>
      <c r="D22" t="b">
        <v>0</v>
      </c>
      <c r="E22" s="7" t="n">
        <v>45626</v>
      </c>
      <c r="F22" t="n">
        <v>0</v>
      </c>
      <c r="G22" t="inlineStr">
        <is>
          <t>E</t>
        </is>
      </c>
      <c r="H22" s="7" t="n">
        <v>45688</v>
      </c>
    </row>
    <row r="23">
      <c r="A23" t="b">
        <v>0</v>
      </c>
      <c r="B23" t="inlineStr">
        <is>
          <t>Block E - No option</t>
        </is>
      </c>
      <c r="C23">
        <f>IF(A23=FALSE, 1,SUMIFS('Cashflow Projection'!$C$33:$C$45, 'Cashflow Projection'!$B$33:$B$45, 'Updated Construction'!G23))</f>
        <v/>
      </c>
      <c r="D23" t="b">
        <v>0</v>
      </c>
      <c r="E23" s="7" t="n">
        <v>45657</v>
      </c>
      <c r="F23" t="n">
        <v>0</v>
      </c>
      <c r="G23" t="inlineStr">
        <is>
          <t>E</t>
        </is>
      </c>
      <c r="H23" s="7" t="n">
        <v>45688</v>
      </c>
    </row>
    <row r="24">
      <c r="A24" t="b">
        <v>0</v>
      </c>
      <c r="B24" t="inlineStr">
        <is>
          <t>Block E - No option</t>
        </is>
      </c>
      <c r="C24">
        <f>IF(A24=FALSE, 1,SUMIFS('Cashflow Projection'!$C$33:$C$45, 'Cashflow Projection'!$B$33:$B$45, 'Updated Construction'!G24))</f>
        <v/>
      </c>
      <c r="D24" t="b">
        <v>0</v>
      </c>
      <c r="E24" s="7" t="n">
        <v>45688</v>
      </c>
      <c r="F24" t="n">
        <v>0</v>
      </c>
      <c r="G24" t="inlineStr">
        <is>
          <t>E</t>
        </is>
      </c>
      <c r="H24" s="7" t="n">
        <v>45747</v>
      </c>
    </row>
    <row r="25">
      <c r="A25" t="b">
        <v>0</v>
      </c>
      <c r="B25" t="inlineStr">
        <is>
          <t>Block F - No option</t>
        </is>
      </c>
      <c r="C25">
        <f>IF(A25=FALSE, 1,SUMIFS('Cashflow Projection'!$C$33:$C$45, 'Cashflow Projection'!$B$33:$B$45, 'Updated Construction'!G25))</f>
        <v/>
      </c>
      <c r="D25" t="b">
        <v>1</v>
      </c>
      <c r="E25" s="7" t="n">
        <v>45382</v>
      </c>
      <c r="F25" t="n">
        <v>2209.08</v>
      </c>
      <c r="G25" t="inlineStr">
        <is>
          <t>F</t>
        </is>
      </c>
      <c r="H25" s="7" t="n">
        <v>45443</v>
      </c>
    </row>
    <row r="26">
      <c r="A26" t="b">
        <v>0</v>
      </c>
      <c r="B26" t="inlineStr">
        <is>
          <t>Block F - No option</t>
        </is>
      </c>
      <c r="C26">
        <f>IF(A26=FALSE, 1,SUMIFS('Cashflow Projection'!$C$33:$C$45, 'Cashflow Projection'!$B$33:$B$45, 'Updated Construction'!G26))</f>
        <v/>
      </c>
      <c r="D26" t="b">
        <v>0</v>
      </c>
      <c r="E26" s="7" t="n">
        <v>45412</v>
      </c>
      <c r="F26" t="n">
        <v>0</v>
      </c>
      <c r="G26" t="inlineStr">
        <is>
          <t>F</t>
        </is>
      </c>
      <c r="H26" s="7" t="n">
        <v>45443</v>
      </c>
    </row>
    <row r="27">
      <c r="A27" t="b">
        <v>0</v>
      </c>
      <c r="B27" t="inlineStr">
        <is>
          <t>Block F - No option</t>
        </is>
      </c>
      <c r="C27">
        <f>IF(A27=FALSE, 1,SUMIFS('Cashflow Projection'!$C$33:$C$45, 'Cashflow Projection'!$B$33:$B$45, 'Updated Construction'!G27))</f>
        <v/>
      </c>
      <c r="D27" t="b">
        <v>0</v>
      </c>
      <c r="E27" s="7" t="n">
        <v>45442</v>
      </c>
      <c r="F27" t="n">
        <v>0</v>
      </c>
      <c r="G27" t="inlineStr">
        <is>
          <t>F</t>
        </is>
      </c>
      <c r="H27" s="7" t="n">
        <v>45504</v>
      </c>
    </row>
    <row r="28">
      <c r="A28" t="b">
        <v>0</v>
      </c>
      <c r="B28" t="inlineStr">
        <is>
          <t>Block F - No option</t>
        </is>
      </c>
      <c r="C28">
        <f>IF(A28=FALSE, 1,SUMIFS('Cashflow Projection'!$C$33:$C$45, 'Cashflow Projection'!$B$33:$B$45, 'Updated Construction'!G28))</f>
        <v/>
      </c>
      <c r="D28" t="b">
        <v>0</v>
      </c>
      <c r="E28" s="7" t="n">
        <v>45472</v>
      </c>
      <c r="F28" t="n">
        <v>0</v>
      </c>
      <c r="G28" t="inlineStr">
        <is>
          <t>F</t>
        </is>
      </c>
      <c r="H28" s="7" t="n">
        <v>45504</v>
      </c>
    </row>
    <row r="29">
      <c r="A29" t="b">
        <v>0</v>
      </c>
      <c r="B29" t="inlineStr">
        <is>
          <t>Block F - No option</t>
        </is>
      </c>
      <c r="C29">
        <f>IF(A29=FALSE, 1,SUMIFS('Cashflow Projection'!$C$33:$C$45, 'Cashflow Projection'!$B$33:$B$45, 'Updated Construction'!G29))</f>
        <v/>
      </c>
      <c r="D29" t="b">
        <v>0</v>
      </c>
      <c r="E29" s="7" t="n">
        <v>45502</v>
      </c>
      <c r="F29" t="n">
        <v>0</v>
      </c>
      <c r="G29" t="inlineStr">
        <is>
          <t>F</t>
        </is>
      </c>
      <c r="H29" s="7" t="n">
        <v>45565</v>
      </c>
    </row>
    <row r="30">
      <c r="A30" t="b">
        <v>0</v>
      </c>
      <c r="B30" t="inlineStr">
        <is>
          <t>Block F - No option</t>
        </is>
      </c>
      <c r="C30">
        <f>IF(A30=FALSE, 1,SUMIFS('Cashflow Projection'!$C$33:$C$45, 'Cashflow Projection'!$B$33:$B$45, 'Updated Construction'!G30))</f>
        <v/>
      </c>
      <c r="D30" t="b">
        <v>0</v>
      </c>
      <c r="E30" s="7" t="n">
        <v>45532</v>
      </c>
      <c r="F30" t="n">
        <v>0</v>
      </c>
      <c r="G30" t="inlineStr">
        <is>
          <t>F</t>
        </is>
      </c>
      <c r="H30" s="7" t="n">
        <v>45565</v>
      </c>
    </row>
    <row r="31">
      <c r="A31" t="b">
        <v>0</v>
      </c>
      <c r="B31" t="inlineStr">
        <is>
          <t>Block F - No option</t>
        </is>
      </c>
      <c r="C31">
        <f>IF(A31=FALSE, 1,SUMIFS('Cashflow Projection'!$C$33:$C$45, 'Cashflow Projection'!$B$33:$B$45, 'Updated Construction'!G31))</f>
        <v/>
      </c>
      <c r="D31" t="b">
        <v>0</v>
      </c>
      <c r="E31" s="7" t="n">
        <v>45562</v>
      </c>
      <c r="F31" t="n">
        <v>0</v>
      </c>
      <c r="G31" t="inlineStr">
        <is>
          <t>F</t>
        </is>
      </c>
      <c r="H31" s="7" t="n">
        <v>45626</v>
      </c>
    </row>
    <row r="32">
      <c r="A32" t="b">
        <v>0</v>
      </c>
      <c r="B32" t="inlineStr">
        <is>
          <t>Block F - No option</t>
        </is>
      </c>
      <c r="C32">
        <f>IF(A32=FALSE, 1,SUMIFS('Cashflow Projection'!$C$33:$C$45, 'Cashflow Projection'!$B$33:$B$45, 'Updated Construction'!G32))</f>
        <v/>
      </c>
      <c r="D32" t="b">
        <v>0</v>
      </c>
      <c r="E32" s="7" t="n">
        <v>45596</v>
      </c>
      <c r="F32" t="n">
        <v>0</v>
      </c>
      <c r="G32" t="inlineStr">
        <is>
          <t>F</t>
        </is>
      </c>
      <c r="H32" s="7" t="n">
        <v>45626</v>
      </c>
    </row>
    <row r="33">
      <c r="A33" t="b">
        <v>0</v>
      </c>
      <c r="B33" t="inlineStr">
        <is>
          <t>Block F - No option</t>
        </is>
      </c>
      <c r="C33">
        <f>IF(A33=FALSE, 1,SUMIFS('Cashflow Projection'!$C$33:$C$45, 'Cashflow Projection'!$B$33:$B$45, 'Updated Construction'!G33))</f>
        <v/>
      </c>
      <c r="D33" t="b">
        <v>0</v>
      </c>
      <c r="E33" s="7" t="n">
        <v>45626</v>
      </c>
      <c r="F33" t="n">
        <v>0</v>
      </c>
      <c r="G33" t="inlineStr">
        <is>
          <t>F</t>
        </is>
      </c>
      <c r="H33" s="7" t="n">
        <v>45688</v>
      </c>
    </row>
    <row r="34">
      <c r="A34" t="b">
        <v>0</v>
      </c>
      <c r="B34" t="inlineStr">
        <is>
          <t>Block F - No option</t>
        </is>
      </c>
      <c r="C34">
        <f>IF(A34=FALSE, 1,SUMIFS('Cashflow Projection'!$C$33:$C$45, 'Cashflow Projection'!$B$33:$B$45, 'Updated Construction'!G34))</f>
        <v/>
      </c>
      <c r="D34" t="b">
        <v>0</v>
      </c>
      <c r="E34" s="7" t="n">
        <v>45657</v>
      </c>
      <c r="F34" t="n">
        <v>0</v>
      </c>
      <c r="G34" t="inlineStr">
        <is>
          <t>F</t>
        </is>
      </c>
      <c r="H34" s="7" t="n">
        <v>45688</v>
      </c>
    </row>
    <row r="35">
      <c r="A35" t="b">
        <v>0</v>
      </c>
      <c r="B35" t="inlineStr">
        <is>
          <t>Block F - No option</t>
        </is>
      </c>
      <c r="C35">
        <f>IF(A35=FALSE, 1,SUMIFS('Cashflow Projection'!$C$33:$C$45, 'Cashflow Projection'!$B$33:$B$45, 'Updated Construction'!G35))</f>
        <v/>
      </c>
      <c r="D35" t="b">
        <v>0</v>
      </c>
      <c r="E35" s="7" t="n">
        <v>45688</v>
      </c>
      <c r="F35" t="n">
        <v>0</v>
      </c>
      <c r="G35" t="inlineStr">
        <is>
          <t>F</t>
        </is>
      </c>
      <c r="H35" s="7" t="n">
        <v>45747</v>
      </c>
    </row>
    <row r="36">
      <c r="A36" t="b">
        <v>0</v>
      </c>
      <c r="B36" t="inlineStr">
        <is>
          <t>Block G</t>
        </is>
      </c>
      <c r="C36">
        <f>IF(A36=FALSE, 1,SUMIFS('Cashflow Projection'!$C$33:$C$45, 'Cashflow Projection'!$B$33:$B$45, 'Updated Construction'!G36))</f>
        <v/>
      </c>
      <c r="D36" t="b">
        <v>1</v>
      </c>
      <c r="E36" s="7" t="n">
        <v>45382</v>
      </c>
      <c r="F36" t="n">
        <v>680537.48</v>
      </c>
      <c r="G36" t="inlineStr">
        <is>
          <t>G</t>
        </is>
      </c>
      <c r="H36" s="7" t="n">
        <v>45443</v>
      </c>
    </row>
    <row r="37">
      <c r="A37" t="b">
        <v>0</v>
      </c>
      <c r="B37" t="inlineStr">
        <is>
          <t>Block G</t>
        </is>
      </c>
      <c r="C37">
        <f>IF(A37=FALSE, 1,SUMIFS('Cashflow Projection'!$C$33:$C$45, 'Cashflow Projection'!$B$33:$B$45, 'Updated Construction'!G37))</f>
        <v/>
      </c>
      <c r="D37" t="b">
        <v>0</v>
      </c>
      <c r="E37" s="7" t="n">
        <v>45412</v>
      </c>
      <c r="F37" t="n">
        <v>417141.59</v>
      </c>
      <c r="G37" t="inlineStr">
        <is>
          <t>G</t>
        </is>
      </c>
      <c r="H37" s="7" t="n">
        <v>45443</v>
      </c>
    </row>
    <row r="38">
      <c r="A38" t="b">
        <v>0</v>
      </c>
      <c r="B38" t="inlineStr">
        <is>
          <t>Block G</t>
        </is>
      </c>
      <c r="C38">
        <f>IF(A38=FALSE, 1,SUMIFS('Cashflow Projection'!$C$33:$C$45, 'Cashflow Projection'!$B$33:$B$45, 'Updated Construction'!G38))</f>
        <v/>
      </c>
      <c r="D38" t="b">
        <v>0</v>
      </c>
      <c r="E38" s="7" t="n">
        <v>45442</v>
      </c>
      <c r="F38" t="n">
        <v>358136.94</v>
      </c>
      <c r="G38" t="inlineStr">
        <is>
          <t>G</t>
        </is>
      </c>
      <c r="H38" s="7" t="n">
        <v>45504</v>
      </c>
    </row>
    <row r="39">
      <c r="A39" t="b">
        <v>0</v>
      </c>
      <c r="B39" t="inlineStr">
        <is>
          <t>Block G</t>
        </is>
      </c>
      <c r="C39">
        <f>IF(A39=FALSE, 1,SUMIFS('Cashflow Projection'!$C$33:$C$45, 'Cashflow Projection'!$B$33:$B$45, 'Updated Construction'!G39))</f>
        <v/>
      </c>
      <c r="D39" t="b">
        <v>0</v>
      </c>
      <c r="E39" s="7" t="n">
        <v>45472</v>
      </c>
      <c r="F39" t="n">
        <v>639618.99</v>
      </c>
      <c r="G39" t="inlineStr">
        <is>
          <t>G</t>
        </is>
      </c>
      <c r="H39" s="7" t="n">
        <v>45504</v>
      </c>
    </row>
    <row r="40">
      <c r="A40" t="b">
        <v>0</v>
      </c>
      <c r="B40" t="inlineStr">
        <is>
          <t>Block G</t>
        </is>
      </c>
      <c r="C40">
        <f>IF(A40=FALSE, 1,SUMIFS('Cashflow Projection'!$C$33:$C$45, 'Cashflow Projection'!$B$33:$B$45, 'Updated Construction'!G40))</f>
        <v/>
      </c>
      <c r="D40" t="b">
        <v>0</v>
      </c>
      <c r="E40" s="7" t="n">
        <v>45502</v>
      </c>
      <c r="F40" t="n">
        <v>720173.96</v>
      </c>
      <c r="G40" t="inlineStr">
        <is>
          <t>G</t>
        </is>
      </c>
      <c r="H40" s="7" t="n">
        <v>45565</v>
      </c>
    </row>
    <row r="41">
      <c r="A41" t="b">
        <v>0</v>
      </c>
      <c r="B41" t="inlineStr">
        <is>
          <t>Block G</t>
        </is>
      </c>
      <c r="C41">
        <f>IF(A41=FALSE, 1,SUMIFS('Cashflow Projection'!$C$33:$C$45, 'Cashflow Projection'!$B$33:$B$45, 'Updated Construction'!G41))</f>
        <v/>
      </c>
      <c r="D41" t="b">
        <v>0</v>
      </c>
      <c r="E41" s="7" t="n">
        <v>45532</v>
      </c>
      <c r="F41" t="n">
        <v>298623.73</v>
      </c>
      <c r="G41" t="inlineStr">
        <is>
          <t>G</t>
        </is>
      </c>
      <c r="H41" s="7" t="n">
        <v>45565</v>
      </c>
    </row>
    <row r="42">
      <c r="A42" t="b">
        <v>0</v>
      </c>
      <c r="B42" t="inlineStr">
        <is>
          <t>Block G</t>
        </is>
      </c>
      <c r="C42">
        <f>IF(A42=FALSE, 1,SUMIFS('Cashflow Projection'!$C$33:$C$45, 'Cashflow Projection'!$B$33:$B$45, 'Updated Construction'!G42))</f>
        <v/>
      </c>
      <c r="D42" t="b">
        <v>0</v>
      </c>
      <c r="E42" s="7" t="n">
        <v>45562</v>
      </c>
      <c r="F42" t="n">
        <v>79543.3</v>
      </c>
      <c r="G42" t="inlineStr">
        <is>
          <t>G</t>
        </is>
      </c>
      <c r="H42" s="7" t="n">
        <v>45626</v>
      </c>
    </row>
    <row r="43">
      <c r="A43" t="b">
        <v>0</v>
      </c>
      <c r="B43" t="inlineStr">
        <is>
          <t>Block G</t>
        </is>
      </c>
      <c r="C43">
        <f>IF(A43=FALSE, 1,SUMIFS('Cashflow Projection'!$C$33:$C$45, 'Cashflow Projection'!$B$33:$B$45, 'Updated Construction'!G43))</f>
        <v/>
      </c>
      <c r="D43" t="b">
        <v>0</v>
      </c>
      <c r="E43" s="7" t="n">
        <v>45596</v>
      </c>
      <c r="F43" t="n">
        <v>0</v>
      </c>
      <c r="G43" t="inlineStr">
        <is>
          <t>G</t>
        </is>
      </c>
      <c r="H43" s="7" t="n">
        <v>45626</v>
      </c>
    </row>
    <row r="44">
      <c r="A44" t="b">
        <v>0</v>
      </c>
      <c r="B44" t="inlineStr">
        <is>
          <t>Block G</t>
        </is>
      </c>
      <c r="C44">
        <f>IF(A44=FALSE, 1,SUMIFS('Cashflow Projection'!$C$33:$C$45, 'Cashflow Projection'!$B$33:$B$45, 'Updated Construction'!G44))</f>
        <v/>
      </c>
      <c r="D44" t="b">
        <v>0</v>
      </c>
      <c r="E44" s="7" t="n">
        <v>45626</v>
      </c>
      <c r="F44" t="n">
        <v>0</v>
      </c>
      <c r="G44" t="inlineStr">
        <is>
          <t>G</t>
        </is>
      </c>
      <c r="H44" s="7" t="n">
        <v>45688</v>
      </c>
    </row>
    <row r="45">
      <c r="A45" t="b">
        <v>0</v>
      </c>
      <c r="B45" t="inlineStr">
        <is>
          <t>Block G</t>
        </is>
      </c>
      <c r="C45">
        <f>IF(A45=FALSE, 1,SUMIFS('Cashflow Projection'!$C$33:$C$45, 'Cashflow Projection'!$B$33:$B$45, 'Updated Construction'!G45))</f>
        <v/>
      </c>
      <c r="D45" t="b">
        <v>0</v>
      </c>
      <c r="E45" s="7" t="n">
        <v>45657</v>
      </c>
      <c r="F45" t="n">
        <v>175731.41</v>
      </c>
      <c r="G45" t="inlineStr">
        <is>
          <t>G</t>
        </is>
      </c>
      <c r="H45" s="7" t="n">
        <v>45688</v>
      </c>
    </row>
    <row r="46">
      <c r="A46" t="b">
        <v>0</v>
      </c>
      <c r="B46" t="inlineStr">
        <is>
          <t>Block G</t>
        </is>
      </c>
      <c r="C46">
        <f>IF(A46=FALSE, 1,SUMIFS('Cashflow Projection'!$C$33:$C$45, 'Cashflow Projection'!$B$33:$B$45, 'Updated Construction'!G46))</f>
        <v/>
      </c>
      <c r="D46" t="b">
        <v>0</v>
      </c>
      <c r="E46" s="7" t="n">
        <v>45688</v>
      </c>
      <c r="F46" t="n">
        <v>0</v>
      </c>
      <c r="G46" t="inlineStr">
        <is>
          <t>G</t>
        </is>
      </c>
      <c r="H46" s="7" t="n">
        <v>45747</v>
      </c>
    </row>
    <row r="47">
      <c r="A47" t="b">
        <v>0</v>
      </c>
      <c r="B47" t="inlineStr">
        <is>
          <t>Block H</t>
        </is>
      </c>
      <c r="C47">
        <f>IF(A47=FALSE, 1,SUMIFS('Cashflow Projection'!$C$33:$C$45, 'Cashflow Projection'!$B$33:$B$45, 'Updated Construction'!G47))</f>
        <v/>
      </c>
      <c r="D47" t="b">
        <v>1</v>
      </c>
      <c r="E47" s="7" t="n">
        <v>45382</v>
      </c>
      <c r="F47" t="n">
        <v>424180.81</v>
      </c>
      <c r="G47" t="inlineStr">
        <is>
          <t>H</t>
        </is>
      </c>
      <c r="H47" s="7" t="n">
        <v>45443</v>
      </c>
    </row>
    <row r="48">
      <c r="A48" t="b">
        <v>0</v>
      </c>
      <c r="B48" t="inlineStr">
        <is>
          <t>Block H</t>
        </is>
      </c>
      <c r="C48">
        <f>IF(A48=FALSE, 1,SUMIFS('Cashflow Projection'!$C$33:$C$45, 'Cashflow Projection'!$B$33:$B$45, 'Updated Construction'!G48))</f>
        <v/>
      </c>
      <c r="D48" t="b">
        <v>0</v>
      </c>
      <c r="E48" s="7" t="n">
        <v>45412</v>
      </c>
      <c r="F48" t="n">
        <v>646142.91</v>
      </c>
      <c r="G48" t="inlineStr">
        <is>
          <t>H</t>
        </is>
      </c>
      <c r="H48" s="7" t="n">
        <v>45443</v>
      </c>
    </row>
    <row r="49">
      <c r="A49" t="b">
        <v>0</v>
      </c>
      <c r="B49" t="inlineStr">
        <is>
          <t>Block H</t>
        </is>
      </c>
      <c r="C49">
        <f>IF(A49=FALSE, 1,SUMIFS('Cashflow Projection'!$C$33:$C$45, 'Cashflow Projection'!$B$33:$B$45, 'Updated Construction'!G49))</f>
        <v/>
      </c>
      <c r="D49" t="b">
        <v>0</v>
      </c>
      <c r="E49" s="7" t="n">
        <v>45442</v>
      </c>
      <c r="F49" t="n">
        <v>914649.13</v>
      </c>
      <c r="G49" t="inlineStr">
        <is>
          <t>H</t>
        </is>
      </c>
      <c r="H49" s="7" t="n">
        <v>45504</v>
      </c>
    </row>
    <row r="50">
      <c r="A50" t="b">
        <v>0</v>
      </c>
      <c r="B50" t="inlineStr">
        <is>
          <t>Block H</t>
        </is>
      </c>
      <c r="C50">
        <f>IF(A50=FALSE, 1,SUMIFS('Cashflow Projection'!$C$33:$C$45, 'Cashflow Projection'!$B$33:$B$45, 'Updated Construction'!G50))</f>
        <v/>
      </c>
      <c r="D50" t="b">
        <v>0</v>
      </c>
      <c r="E50" s="7" t="n">
        <v>45472</v>
      </c>
      <c r="F50" t="n">
        <v>866523.5699999999</v>
      </c>
      <c r="G50" t="inlineStr">
        <is>
          <t>H</t>
        </is>
      </c>
      <c r="H50" s="7" t="n">
        <v>45504</v>
      </c>
    </row>
    <row r="51">
      <c r="A51" t="b">
        <v>0</v>
      </c>
      <c r="B51" t="inlineStr">
        <is>
          <t>Block H</t>
        </is>
      </c>
      <c r="C51">
        <f>IF(A51=FALSE, 1,SUMIFS('Cashflow Projection'!$C$33:$C$45, 'Cashflow Projection'!$B$33:$B$45, 'Updated Construction'!G51))</f>
        <v/>
      </c>
      <c r="D51" t="b">
        <v>0</v>
      </c>
      <c r="E51" s="7" t="n">
        <v>45502</v>
      </c>
      <c r="F51" t="n">
        <v>342722.95</v>
      </c>
      <c r="G51" t="inlineStr">
        <is>
          <t>H</t>
        </is>
      </c>
      <c r="H51" s="7" t="n">
        <v>45565</v>
      </c>
    </row>
    <row r="52">
      <c r="A52" t="b">
        <v>0</v>
      </c>
      <c r="B52" t="inlineStr">
        <is>
          <t>Block H</t>
        </is>
      </c>
      <c r="C52">
        <f>IF(A52=FALSE, 1,SUMIFS('Cashflow Projection'!$C$33:$C$45, 'Cashflow Projection'!$B$33:$B$45, 'Updated Construction'!G52))</f>
        <v/>
      </c>
      <c r="D52" t="b">
        <v>0</v>
      </c>
      <c r="E52" s="7" t="n">
        <v>45532</v>
      </c>
      <c r="F52" t="n">
        <v>242545.58</v>
      </c>
      <c r="G52" t="inlineStr">
        <is>
          <t>H</t>
        </is>
      </c>
      <c r="H52" s="7" t="n">
        <v>45565</v>
      </c>
    </row>
    <row r="53">
      <c r="A53" t="b">
        <v>0</v>
      </c>
      <c r="B53" t="inlineStr">
        <is>
          <t>Block H</t>
        </is>
      </c>
      <c r="C53">
        <f>IF(A53=FALSE, 1,SUMIFS('Cashflow Projection'!$C$33:$C$45, 'Cashflow Projection'!$B$33:$B$45, 'Updated Construction'!G53))</f>
        <v/>
      </c>
      <c r="D53" t="b">
        <v>0</v>
      </c>
      <c r="E53" s="7" t="n">
        <v>45562</v>
      </c>
      <c r="F53" t="n">
        <v>257592.17</v>
      </c>
      <c r="G53" t="inlineStr">
        <is>
          <t>H</t>
        </is>
      </c>
      <c r="H53" s="7" t="n">
        <v>45626</v>
      </c>
    </row>
    <row r="54">
      <c r="A54" t="b">
        <v>0</v>
      </c>
      <c r="B54" t="inlineStr">
        <is>
          <t>Block H</t>
        </is>
      </c>
      <c r="C54">
        <f>IF(A54=FALSE, 1,SUMIFS('Cashflow Projection'!$C$33:$C$45, 'Cashflow Projection'!$B$33:$B$45, 'Updated Construction'!G54))</f>
        <v/>
      </c>
      <c r="D54" t="b">
        <v>0</v>
      </c>
      <c r="E54" s="7" t="n">
        <v>45596</v>
      </c>
      <c r="F54" t="n">
        <v>0</v>
      </c>
      <c r="G54" t="inlineStr">
        <is>
          <t>H</t>
        </is>
      </c>
      <c r="H54" s="7" t="n">
        <v>45626</v>
      </c>
    </row>
    <row r="55">
      <c r="A55" t="b">
        <v>0</v>
      </c>
      <c r="B55" t="inlineStr">
        <is>
          <t>Block H</t>
        </is>
      </c>
      <c r="C55">
        <f>IF(A55=FALSE, 1,SUMIFS('Cashflow Projection'!$C$33:$C$45, 'Cashflow Projection'!$B$33:$B$45, 'Updated Construction'!G55))</f>
        <v/>
      </c>
      <c r="D55" t="b">
        <v>0</v>
      </c>
      <c r="E55" s="7" t="n">
        <v>45626</v>
      </c>
      <c r="F55" t="n">
        <v>0</v>
      </c>
      <c r="G55" t="inlineStr">
        <is>
          <t>H</t>
        </is>
      </c>
      <c r="H55" s="7" t="n">
        <v>45688</v>
      </c>
    </row>
    <row r="56">
      <c r="A56" t="b">
        <v>0</v>
      </c>
      <c r="B56" t="inlineStr">
        <is>
          <t>Block H</t>
        </is>
      </c>
      <c r="C56">
        <f>IF(A56=FALSE, 1,SUMIFS('Cashflow Projection'!$C$33:$C$45, 'Cashflow Projection'!$B$33:$B$45, 'Updated Construction'!G56))</f>
        <v/>
      </c>
      <c r="D56" t="b">
        <v>0</v>
      </c>
      <c r="E56" s="7" t="n">
        <v>45657</v>
      </c>
      <c r="F56" t="n">
        <v>0</v>
      </c>
      <c r="G56" t="inlineStr">
        <is>
          <t>H</t>
        </is>
      </c>
      <c r="H56" s="7" t="n">
        <v>45688</v>
      </c>
    </row>
    <row r="57">
      <c r="A57" t="b">
        <v>0</v>
      </c>
      <c r="B57" t="inlineStr">
        <is>
          <t>Block H</t>
        </is>
      </c>
      <c r="C57">
        <f>IF(A57=FALSE, 1,SUMIFS('Cashflow Projection'!$C$33:$C$45, 'Cashflow Projection'!$B$33:$B$45, 'Updated Construction'!G57))</f>
        <v/>
      </c>
      <c r="D57" t="b">
        <v>0</v>
      </c>
      <c r="E57" s="7" t="n">
        <v>45688</v>
      </c>
      <c r="F57" t="n">
        <v>0</v>
      </c>
      <c r="G57" t="inlineStr">
        <is>
          <t>H</t>
        </is>
      </c>
      <c r="H57" s="7" t="n">
        <v>45747</v>
      </c>
    </row>
    <row r="58">
      <c r="A58" t="b">
        <v>0</v>
      </c>
      <c r="B58" t="inlineStr">
        <is>
          <t>Block I</t>
        </is>
      </c>
      <c r="C58">
        <f>IF(A58=FALSE, 1,SUMIFS('Cashflow Projection'!$C$33:$C$45, 'Cashflow Projection'!$B$33:$B$45, 'Updated Construction'!G58))</f>
        <v/>
      </c>
      <c r="D58" t="b">
        <v>1</v>
      </c>
      <c r="E58" s="7" t="n">
        <v>45382</v>
      </c>
      <c r="F58" t="n">
        <v>630971.2</v>
      </c>
      <c r="G58" t="inlineStr">
        <is>
          <t>I</t>
        </is>
      </c>
      <c r="H58" s="7" t="n">
        <v>45443</v>
      </c>
    </row>
    <row r="59">
      <c r="A59" t="b">
        <v>0</v>
      </c>
      <c r="B59" t="inlineStr">
        <is>
          <t>Block I</t>
        </is>
      </c>
      <c r="C59">
        <f>IF(A59=FALSE, 1,SUMIFS('Cashflow Projection'!$C$33:$C$45, 'Cashflow Projection'!$B$33:$B$45, 'Updated Construction'!G59))</f>
        <v/>
      </c>
      <c r="D59" t="b">
        <v>0</v>
      </c>
      <c r="E59" s="7" t="n">
        <v>45412</v>
      </c>
      <c r="F59" t="n">
        <v>231518.88</v>
      </c>
      <c r="G59" t="inlineStr">
        <is>
          <t>I</t>
        </is>
      </c>
      <c r="H59" s="7" t="n">
        <v>45443</v>
      </c>
    </row>
    <row r="60">
      <c r="A60" t="b">
        <v>0</v>
      </c>
      <c r="B60" t="inlineStr">
        <is>
          <t>Block I</t>
        </is>
      </c>
      <c r="C60">
        <f>IF(A60=FALSE, 1,SUMIFS('Cashflow Projection'!$C$33:$C$45, 'Cashflow Projection'!$B$33:$B$45, 'Updated Construction'!G60))</f>
        <v/>
      </c>
      <c r="D60" t="b">
        <v>0</v>
      </c>
      <c r="E60" s="7" t="n">
        <v>45442</v>
      </c>
      <c r="F60" t="n">
        <v>427068.98</v>
      </c>
      <c r="G60" t="inlineStr">
        <is>
          <t>I</t>
        </is>
      </c>
      <c r="H60" s="7" t="n">
        <v>45504</v>
      </c>
    </row>
    <row r="61">
      <c r="A61" t="b">
        <v>0</v>
      </c>
      <c r="B61" t="inlineStr">
        <is>
          <t>Block I</t>
        </is>
      </c>
      <c r="C61">
        <f>IF(A61=FALSE, 1,SUMIFS('Cashflow Projection'!$C$33:$C$45, 'Cashflow Projection'!$B$33:$B$45, 'Updated Construction'!G61))</f>
        <v/>
      </c>
      <c r="D61" t="b">
        <v>0</v>
      </c>
      <c r="E61" s="7" t="n">
        <v>45472</v>
      </c>
      <c r="F61" t="n">
        <v>562028.6800000001</v>
      </c>
      <c r="G61" t="inlineStr">
        <is>
          <t>I</t>
        </is>
      </c>
      <c r="H61" s="7" t="n">
        <v>45504</v>
      </c>
    </row>
    <row r="62">
      <c r="A62" t="b">
        <v>0</v>
      </c>
      <c r="B62" t="inlineStr">
        <is>
          <t>Block I</t>
        </is>
      </c>
      <c r="C62">
        <f>IF(A62=FALSE, 1,SUMIFS('Cashflow Projection'!$C$33:$C$45, 'Cashflow Projection'!$B$33:$B$45, 'Updated Construction'!G62))</f>
        <v/>
      </c>
      <c r="D62" t="b">
        <v>0</v>
      </c>
      <c r="E62" s="7" t="n">
        <v>45502</v>
      </c>
      <c r="F62" t="n">
        <v>142492.36</v>
      </c>
      <c r="G62" t="inlineStr">
        <is>
          <t>I</t>
        </is>
      </c>
      <c r="H62" s="7" t="n">
        <v>45565</v>
      </c>
    </row>
    <row r="63">
      <c r="A63" t="b">
        <v>0</v>
      </c>
      <c r="B63" t="inlineStr">
        <is>
          <t>Block I</t>
        </is>
      </c>
      <c r="C63">
        <f>IF(A63=FALSE, 1,SUMIFS('Cashflow Projection'!$C$33:$C$45, 'Cashflow Projection'!$B$33:$B$45, 'Updated Construction'!G63))</f>
        <v/>
      </c>
      <c r="D63" t="b">
        <v>0</v>
      </c>
      <c r="E63" s="7" t="n">
        <v>45532</v>
      </c>
      <c r="F63" t="n">
        <v>35625</v>
      </c>
      <c r="G63" t="inlineStr">
        <is>
          <t>I</t>
        </is>
      </c>
      <c r="H63" s="7" t="n">
        <v>45565</v>
      </c>
    </row>
    <row r="64">
      <c r="A64" t="b">
        <v>0</v>
      </c>
      <c r="B64" t="inlineStr">
        <is>
          <t>Block I</t>
        </is>
      </c>
      <c r="C64">
        <f>IF(A64=FALSE, 1,SUMIFS('Cashflow Projection'!$C$33:$C$45, 'Cashflow Projection'!$B$33:$B$45, 'Updated Construction'!G64))</f>
        <v/>
      </c>
      <c r="D64" t="b">
        <v>0</v>
      </c>
      <c r="E64" s="7" t="n">
        <v>45562</v>
      </c>
      <c r="F64" t="n">
        <v>0</v>
      </c>
      <c r="G64" t="inlineStr">
        <is>
          <t>I</t>
        </is>
      </c>
      <c r="H64" s="7" t="n">
        <v>45626</v>
      </c>
    </row>
    <row r="65">
      <c r="A65" t="b">
        <v>0</v>
      </c>
      <c r="B65" t="inlineStr">
        <is>
          <t>Block I</t>
        </is>
      </c>
      <c r="C65">
        <f>IF(A65=FALSE, 1,SUMIFS('Cashflow Projection'!$C$33:$C$45, 'Cashflow Projection'!$B$33:$B$45, 'Updated Construction'!G65))</f>
        <v/>
      </c>
      <c r="D65" t="b">
        <v>0</v>
      </c>
      <c r="E65" s="7" t="n">
        <v>45596</v>
      </c>
      <c r="F65" t="n">
        <v>57192.49</v>
      </c>
      <c r="G65" t="inlineStr">
        <is>
          <t>I</t>
        </is>
      </c>
      <c r="H65" s="7" t="n">
        <v>45626</v>
      </c>
    </row>
    <row r="66">
      <c r="A66" t="b">
        <v>0</v>
      </c>
      <c r="B66" t="inlineStr">
        <is>
          <t>Block I</t>
        </is>
      </c>
      <c r="C66">
        <f>IF(A66=FALSE, 1,SUMIFS('Cashflow Projection'!$C$33:$C$45, 'Cashflow Projection'!$B$33:$B$45, 'Updated Construction'!G66))</f>
        <v/>
      </c>
      <c r="D66" t="b">
        <v>0</v>
      </c>
      <c r="E66" s="7" t="n">
        <v>45626</v>
      </c>
      <c r="F66" t="n">
        <v>0</v>
      </c>
      <c r="G66" t="inlineStr">
        <is>
          <t>I</t>
        </is>
      </c>
      <c r="H66" s="7" t="n">
        <v>45688</v>
      </c>
    </row>
    <row r="67">
      <c r="A67" t="b">
        <v>0</v>
      </c>
      <c r="B67" t="inlineStr">
        <is>
          <t>Block I</t>
        </is>
      </c>
      <c r="C67">
        <f>IF(A67=FALSE, 1,SUMIFS('Cashflow Projection'!$C$33:$C$45, 'Cashflow Projection'!$B$33:$B$45, 'Updated Construction'!G67))</f>
        <v/>
      </c>
      <c r="D67" t="b">
        <v>0</v>
      </c>
      <c r="E67" s="7" t="n">
        <v>45657</v>
      </c>
      <c r="F67" t="n">
        <v>0</v>
      </c>
      <c r="G67" t="inlineStr">
        <is>
          <t>I</t>
        </is>
      </c>
      <c r="H67" s="7" t="n">
        <v>45688</v>
      </c>
    </row>
    <row r="68">
      <c r="A68" t="b">
        <v>0</v>
      </c>
      <c r="B68" t="inlineStr">
        <is>
          <t>Block I</t>
        </is>
      </c>
      <c r="C68">
        <f>IF(A68=FALSE, 1,SUMIFS('Cashflow Projection'!$C$33:$C$45, 'Cashflow Projection'!$B$33:$B$45, 'Updated Construction'!G68))</f>
        <v/>
      </c>
      <c r="D68" t="b">
        <v>0</v>
      </c>
      <c r="E68" s="7" t="n">
        <v>45688</v>
      </c>
      <c r="F68" t="n">
        <v>0</v>
      </c>
      <c r="G68" t="inlineStr">
        <is>
          <t>I</t>
        </is>
      </c>
      <c r="H68" s="7" t="n">
        <v>45747</v>
      </c>
    </row>
    <row r="69">
      <c r="A69" t="b">
        <v>0</v>
      </c>
      <c r="B69" t="inlineStr">
        <is>
          <t>Block J</t>
        </is>
      </c>
      <c r="C69">
        <f>IF(A69=FALSE, 1,SUMIFS('Cashflow Projection'!$C$33:$C$45, 'Cashflow Projection'!$B$33:$B$45, 'Updated Construction'!G69))</f>
        <v/>
      </c>
      <c r="D69" t="b">
        <v>1</v>
      </c>
      <c r="E69" s="7" t="n">
        <v>45382</v>
      </c>
      <c r="F69" t="n">
        <v>652876.02</v>
      </c>
      <c r="G69" t="inlineStr">
        <is>
          <t>J</t>
        </is>
      </c>
      <c r="H69" s="7" t="n">
        <v>45443</v>
      </c>
    </row>
    <row r="70">
      <c r="A70" t="b">
        <v>0</v>
      </c>
      <c r="B70" t="inlineStr">
        <is>
          <t>Block J</t>
        </is>
      </c>
      <c r="C70">
        <f>IF(A70=FALSE, 1,SUMIFS('Cashflow Projection'!$C$33:$C$45, 'Cashflow Projection'!$B$33:$B$45, 'Updated Construction'!G70))</f>
        <v/>
      </c>
      <c r="D70" t="b">
        <v>0</v>
      </c>
      <c r="E70" s="7" t="n">
        <v>45412</v>
      </c>
      <c r="F70" t="n">
        <v>965964.34</v>
      </c>
      <c r="G70" t="inlineStr">
        <is>
          <t>J</t>
        </is>
      </c>
      <c r="H70" s="7" t="n">
        <v>45443</v>
      </c>
    </row>
    <row r="71">
      <c r="A71" t="b">
        <v>0</v>
      </c>
      <c r="B71" t="inlineStr">
        <is>
          <t>Block J</t>
        </is>
      </c>
      <c r="C71">
        <f>IF(A71=FALSE, 1,SUMIFS('Cashflow Projection'!$C$33:$C$45, 'Cashflow Projection'!$B$33:$B$45, 'Updated Construction'!G71))</f>
        <v/>
      </c>
      <c r="D71" t="b">
        <v>0</v>
      </c>
      <c r="E71" s="7" t="n">
        <v>45442</v>
      </c>
      <c r="F71" t="n">
        <v>1191158.97</v>
      </c>
      <c r="G71" t="inlineStr">
        <is>
          <t>J</t>
        </is>
      </c>
      <c r="H71" s="7" t="n">
        <v>45504</v>
      </c>
    </row>
    <row r="72">
      <c r="A72" t="b">
        <v>0</v>
      </c>
      <c r="B72" t="inlineStr">
        <is>
          <t>Block J</t>
        </is>
      </c>
      <c r="C72">
        <f>IF(A72=FALSE, 1,SUMIFS('Cashflow Projection'!$C$33:$C$45, 'Cashflow Projection'!$B$33:$B$45, 'Updated Construction'!G72))</f>
        <v/>
      </c>
      <c r="D72" t="b">
        <v>0</v>
      </c>
      <c r="E72" s="7" t="n">
        <v>45472</v>
      </c>
      <c r="F72" t="n">
        <v>487315.93</v>
      </c>
      <c r="G72" t="inlineStr">
        <is>
          <t>J</t>
        </is>
      </c>
      <c r="H72" s="7" t="n">
        <v>45504</v>
      </c>
    </row>
    <row r="73">
      <c r="A73" t="b">
        <v>0</v>
      </c>
      <c r="B73" t="inlineStr">
        <is>
          <t>Block J</t>
        </is>
      </c>
      <c r="C73">
        <f>IF(A73=FALSE, 1,SUMIFS('Cashflow Projection'!$C$33:$C$45, 'Cashflow Projection'!$B$33:$B$45, 'Updated Construction'!G73))</f>
        <v/>
      </c>
      <c r="D73" t="b">
        <v>0</v>
      </c>
      <c r="E73" s="7" t="n">
        <v>45502</v>
      </c>
      <c r="F73" t="n">
        <v>54637.5</v>
      </c>
      <c r="G73" t="inlineStr">
        <is>
          <t>J</t>
        </is>
      </c>
      <c r="H73" s="7" t="n">
        <v>45565</v>
      </c>
    </row>
    <row r="74">
      <c r="A74" t="b">
        <v>0</v>
      </c>
      <c r="B74" t="inlineStr">
        <is>
          <t>Block J</t>
        </is>
      </c>
      <c r="C74">
        <f>IF(A74=FALSE, 1,SUMIFS('Cashflow Projection'!$C$33:$C$45, 'Cashflow Projection'!$B$33:$B$45, 'Updated Construction'!G74))</f>
        <v/>
      </c>
      <c r="D74" t="b">
        <v>0</v>
      </c>
      <c r="E74" s="7" t="n">
        <v>45532</v>
      </c>
      <c r="F74" t="n">
        <v>54637.5</v>
      </c>
      <c r="G74" t="inlineStr">
        <is>
          <t>J</t>
        </is>
      </c>
      <c r="H74" s="7" t="n">
        <v>45565</v>
      </c>
    </row>
    <row r="75">
      <c r="A75" t="b">
        <v>0</v>
      </c>
      <c r="B75" t="inlineStr">
        <is>
          <t>Block J</t>
        </is>
      </c>
      <c r="C75">
        <f>IF(A75=FALSE, 1,SUMIFS('Cashflow Projection'!$C$33:$C$45, 'Cashflow Projection'!$B$33:$B$45, 'Updated Construction'!G75))</f>
        <v/>
      </c>
      <c r="D75" t="b">
        <v>0</v>
      </c>
      <c r="E75" s="7" t="n">
        <v>45562</v>
      </c>
      <c r="F75" t="n">
        <v>113520.02</v>
      </c>
      <c r="G75" t="inlineStr">
        <is>
          <t>J</t>
        </is>
      </c>
      <c r="H75" s="7" t="n">
        <v>45626</v>
      </c>
    </row>
    <row r="76">
      <c r="A76" t="b">
        <v>0</v>
      </c>
      <c r="B76" t="inlineStr">
        <is>
          <t>Block J</t>
        </is>
      </c>
      <c r="C76">
        <f>IF(A76=FALSE, 1,SUMIFS('Cashflow Projection'!$C$33:$C$45, 'Cashflow Projection'!$B$33:$B$45, 'Updated Construction'!G76))</f>
        <v/>
      </c>
      <c r="D76" t="b">
        <v>0</v>
      </c>
      <c r="E76" s="7" t="n">
        <v>45596</v>
      </c>
      <c r="F76" t="n">
        <v>0</v>
      </c>
      <c r="G76" t="inlineStr">
        <is>
          <t>J</t>
        </is>
      </c>
      <c r="H76" s="7" t="n">
        <v>45626</v>
      </c>
    </row>
    <row r="77">
      <c r="A77" t="b">
        <v>0</v>
      </c>
      <c r="B77" t="inlineStr">
        <is>
          <t>Block J</t>
        </is>
      </c>
      <c r="C77">
        <f>IF(A77=FALSE, 1,SUMIFS('Cashflow Projection'!$C$33:$C$45, 'Cashflow Projection'!$B$33:$B$45, 'Updated Construction'!G77))</f>
        <v/>
      </c>
      <c r="D77" t="b">
        <v>0</v>
      </c>
      <c r="E77" s="7" t="n">
        <v>45626</v>
      </c>
      <c r="F77" t="n">
        <v>0</v>
      </c>
      <c r="G77" t="inlineStr">
        <is>
          <t>J</t>
        </is>
      </c>
      <c r="H77" s="7" t="n">
        <v>45688</v>
      </c>
    </row>
    <row r="78">
      <c r="A78" t="b">
        <v>0</v>
      </c>
      <c r="B78" t="inlineStr">
        <is>
          <t>Block J</t>
        </is>
      </c>
      <c r="C78">
        <f>IF(A78=FALSE, 1,SUMIFS('Cashflow Projection'!$C$33:$C$45, 'Cashflow Projection'!$B$33:$B$45, 'Updated Construction'!G78))</f>
        <v/>
      </c>
      <c r="D78" t="b">
        <v>0</v>
      </c>
      <c r="E78" s="7" t="n">
        <v>45657</v>
      </c>
      <c r="F78" t="n">
        <v>0</v>
      </c>
      <c r="G78" t="inlineStr">
        <is>
          <t>J</t>
        </is>
      </c>
      <c r="H78" s="7" t="n">
        <v>45688</v>
      </c>
    </row>
    <row r="79">
      <c r="A79" t="b">
        <v>0</v>
      </c>
      <c r="B79" t="inlineStr">
        <is>
          <t>Block J</t>
        </is>
      </c>
      <c r="C79">
        <f>IF(A79=FALSE, 1,SUMIFS('Cashflow Projection'!$C$33:$C$45, 'Cashflow Projection'!$B$33:$B$45, 'Updated Construction'!G79))</f>
        <v/>
      </c>
      <c r="D79" t="b">
        <v>0</v>
      </c>
      <c r="E79" s="7" t="n">
        <v>45688</v>
      </c>
      <c r="F79" t="n">
        <v>0</v>
      </c>
      <c r="G79" t="inlineStr">
        <is>
          <t>J</t>
        </is>
      </c>
      <c r="H79" s="7" t="n">
        <v>45747</v>
      </c>
    </row>
    <row r="80">
      <c r="A80" t="b">
        <v>0</v>
      </c>
      <c r="B80" t="inlineStr">
        <is>
          <t>Block K</t>
        </is>
      </c>
      <c r="C80">
        <f>IF(A80=FALSE, 1,SUMIFS('Cashflow Projection'!$C$33:$C$45, 'Cashflow Projection'!$B$33:$B$45, 'Updated Construction'!G80))</f>
        <v/>
      </c>
      <c r="D80" t="b">
        <v>1</v>
      </c>
      <c r="E80" s="7" t="n">
        <v>45382</v>
      </c>
      <c r="F80" t="n">
        <v>1366207.4</v>
      </c>
      <c r="G80" t="inlineStr">
        <is>
          <t>K</t>
        </is>
      </c>
      <c r="H80" s="7" t="n">
        <v>45443</v>
      </c>
    </row>
    <row r="81">
      <c r="A81" t="b">
        <v>0</v>
      </c>
      <c r="B81" t="inlineStr">
        <is>
          <t>Block K</t>
        </is>
      </c>
      <c r="C81">
        <f>IF(A81=FALSE, 1,SUMIFS('Cashflow Projection'!$C$33:$C$45, 'Cashflow Projection'!$B$33:$B$45, 'Updated Construction'!G81))</f>
        <v/>
      </c>
      <c r="D81" t="b">
        <v>0</v>
      </c>
      <c r="E81" s="7" t="n">
        <v>45412</v>
      </c>
      <c r="F81" t="n">
        <v>1659804.41</v>
      </c>
      <c r="G81" t="inlineStr">
        <is>
          <t>K</t>
        </is>
      </c>
      <c r="H81" s="7" t="n">
        <v>45443</v>
      </c>
    </row>
    <row r="82">
      <c r="A82" t="b">
        <v>0</v>
      </c>
      <c r="B82" t="inlineStr">
        <is>
          <t>Block K</t>
        </is>
      </c>
      <c r="C82">
        <f>IF(A82=FALSE, 1,SUMIFS('Cashflow Projection'!$C$33:$C$45, 'Cashflow Projection'!$B$33:$B$45, 'Updated Construction'!G82))</f>
        <v/>
      </c>
      <c r="D82" t="b">
        <v>0</v>
      </c>
      <c r="E82" s="7" t="n">
        <v>45442</v>
      </c>
      <c r="F82" t="n">
        <v>1280230.62</v>
      </c>
      <c r="G82" t="inlineStr">
        <is>
          <t>K</t>
        </is>
      </c>
      <c r="H82" s="7" t="n">
        <v>45504</v>
      </c>
    </row>
    <row r="83">
      <c r="A83" t="b">
        <v>0</v>
      </c>
      <c r="B83" t="inlineStr">
        <is>
          <t>Block K</t>
        </is>
      </c>
      <c r="C83">
        <f>IF(A83=FALSE, 1,SUMIFS('Cashflow Projection'!$C$33:$C$45, 'Cashflow Projection'!$B$33:$B$45, 'Updated Construction'!G83))</f>
        <v/>
      </c>
      <c r="D83" t="b">
        <v>0</v>
      </c>
      <c r="E83" s="7" t="n">
        <v>45472</v>
      </c>
      <c r="F83" t="n">
        <v>919613.4300000001</v>
      </c>
      <c r="G83" t="inlineStr">
        <is>
          <t>K</t>
        </is>
      </c>
      <c r="H83" s="7" t="n">
        <v>45504</v>
      </c>
    </row>
    <row r="84">
      <c r="A84" t="b">
        <v>0</v>
      </c>
      <c r="B84" t="inlineStr">
        <is>
          <t>Block K</t>
        </is>
      </c>
      <c r="C84">
        <f>IF(A84=FALSE, 1,SUMIFS('Cashflow Projection'!$C$33:$C$45, 'Cashflow Projection'!$B$33:$B$45, 'Updated Construction'!G84))</f>
        <v/>
      </c>
      <c r="D84" t="b">
        <v>0</v>
      </c>
      <c r="E84" s="7" t="n">
        <v>45502</v>
      </c>
      <c r="F84" t="n">
        <v>0</v>
      </c>
      <c r="G84" t="inlineStr">
        <is>
          <t>K</t>
        </is>
      </c>
      <c r="H84" s="7" t="n">
        <v>45565</v>
      </c>
    </row>
    <row r="85">
      <c r="A85" t="b">
        <v>0</v>
      </c>
      <c r="B85" t="inlineStr">
        <is>
          <t>Block K</t>
        </is>
      </c>
      <c r="C85">
        <f>IF(A85=FALSE, 1,SUMIFS('Cashflow Projection'!$C$33:$C$45, 'Cashflow Projection'!$B$33:$B$45, 'Updated Construction'!G85))</f>
        <v/>
      </c>
      <c r="D85" t="b">
        <v>0</v>
      </c>
      <c r="E85" s="7" t="n">
        <v>45532</v>
      </c>
      <c r="F85" t="n">
        <v>0</v>
      </c>
      <c r="G85" t="inlineStr">
        <is>
          <t>K</t>
        </is>
      </c>
      <c r="H85" s="7" t="n">
        <v>45565</v>
      </c>
    </row>
    <row r="86">
      <c r="A86" t="b">
        <v>0</v>
      </c>
      <c r="B86" t="inlineStr">
        <is>
          <t>Block K</t>
        </is>
      </c>
      <c r="C86">
        <f>IF(A86=FALSE, 1,SUMIFS('Cashflow Projection'!$C$33:$C$45, 'Cashflow Projection'!$B$33:$B$45, 'Updated Construction'!G86))</f>
        <v/>
      </c>
      <c r="D86" t="b">
        <v>0</v>
      </c>
      <c r="E86" s="7" t="n">
        <v>45562</v>
      </c>
      <c r="F86" t="n">
        <v>0</v>
      </c>
      <c r="G86" t="inlineStr">
        <is>
          <t>K</t>
        </is>
      </c>
      <c r="H86" s="7" t="n">
        <v>45626</v>
      </c>
    </row>
    <row r="87">
      <c r="A87" t="b">
        <v>0</v>
      </c>
      <c r="B87" t="inlineStr">
        <is>
          <t>Block K</t>
        </is>
      </c>
      <c r="C87">
        <f>IF(A87=FALSE, 1,SUMIFS('Cashflow Projection'!$C$33:$C$45, 'Cashflow Projection'!$B$33:$B$45, 'Updated Construction'!G87))</f>
        <v/>
      </c>
      <c r="D87" t="b">
        <v>0</v>
      </c>
      <c r="E87" s="7" t="n">
        <v>45596</v>
      </c>
      <c r="F87" t="n">
        <v>341510.69</v>
      </c>
      <c r="G87" t="inlineStr">
        <is>
          <t>K</t>
        </is>
      </c>
      <c r="H87" s="7" t="n">
        <v>45626</v>
      </c>
    </row>
    <row r="88">
      <c r="A88" t="b">
        <v>0</v>
      </c>
      <c r="B88" t="inlineStr">
        <is>
          <t>Block K</t>
        </is>
      </c>
      <c r="C88">
        <f>IF(A88=FALSE, 1,SUMIFS('Cashflow Projection'!$C$33:$C$45, 'Cashflow Projection'!$B$33:$B$45, 'Updated Construction'!G88))</f>
        <v/>
      </c>
      <c r="D88" t="b">
        <v>0</v>
      </c>
      <c r="E88" s="7" t="n">
        <v>45626</v>
      </c>
      <c r="F88" t="n">
        <v>0</v>
      </c>
      <c r="G88" t="inlineStr">
        <is>
          <t>K</t>
        </is>
      </c>
      <c r="H88" s="7" t="n">
        <v>45688</v>
      </c>
    </row>
    <row r="89">
      <c r="A89" t="b">
        <v>0</v>
      </c>
      <c r="B89" t="inlineStr">
        <is>
          <t>Block K</t>
        </is>
      </c>
      <c r="C89">
        <f>IF(A89=FALSE, 1,SUMIFS('Cashflow Projection'!$C$33:$C$45, 'Cashflow Projection'!$B$33:$B$45, 'Updated Construction'!G89))</f>
        <v/>
      </c>
      <c r="D89" t="b">
        <v>0</v>
      </c>
      <c r="E89" s="7" t="n">
        <v>45657</v>
      </c>
      <c r="F89" t="n">
        <v>0</v>
      </c>
      <c r="G89" t="inlineStr">
        <is>
          <t>K</t>
        </is>
      </c>
      <c r="H89" s="7" t="n">
        <v>45688</v>
      </c>
    </row>
    <row r="90">
      <c r="A90" t="b">
        <v>0</v>
      </c>
      <c r="B90" t="inlineStr">
        <is>
          <t>Block K</t>
        </is>
      </c>
      <c r="C90">
        <f>IF(A90=FALSE, 1,SUMIFS('Cashflow Projection'!$C$33:$C$45, 'Cashflow Projection'!$B$33:$B$45, 'Updated Construction'!G90))</f>
        <v/>
      </c>
      <c r="D90" t="b">
        <v>0</v>
      </c>
      <c r="E90" s="7" t="n">
        <v>45688</v>
      </c>
      <c r="F90" t="n">
        <v>0</v>
      </c>
      <c r="G90" t="inlineStr">
        <is>
          <t>K</t>
        </is>
      </c>
      <c r="H90" s="7" t="n">
        <v>45747</v>
      </c>
    </row>
    <row r="91">
      <c r="A91" t="b">
        <v>0</v>
      </c>
      <c r="B91" t="inlineStr">
        <is>
          <t>Block L</t>
        </is>
      </c>
      <c r="C91">
        <f>IF(A91=FALSE, 1,SUMIFS('Cashflow Projection'!$C$33:$C$45, 'Cashflow Projection'!$B$33:$B$45, 'Updated Construction'!G91))</f>
        <v/>
      </c>
      <c r="D91" t="b">
        <v>1</v>
      </c>
      <c r="E91" s="7" t="n">
        <v>45382</v>
      </c>
      <c r="F91" t="n">
        <v>505393.14</v>
      </c>
      <c r="G91" t="inlineStr">
        <is>
          <t>L</t>
        </is>
      </c>
      <c r="H91" s="7" t="n">
        <v>45443</v>
      </c>
    </row>
    <row r="92">
      <c r="A92" t="b">
        <v>0</v>
      </c>
      <c r="B92" t="inlineStr">
        <is>
          <t>Block L</t>
        </is>
      </c>
      <c r="C92">
        <f>IF(A92=FALSE, 1,SUMIFS('Cashflow Projection'!$C$33:$C$45, 'Cashflow Projection'!$B$33:$B$45, 'Updated Construction'!G92))</f>
        <v/>
      </c>
      <c r="D92" t="b">
        <v>0</v>
      </c>
      <c r="E92" s="7" t="n">
        <v>45412</v>
      </c>
      <c r="F92" t="n">
        <v>211383.73</v>
      </c>
      <c r="G92" t="inlineStr">
        <is>
          <t>L</t>
        </is>
      </c>
      <c r="H92" s="7" t="n">
        <v>45443</v>
      </c>
    </row>
    <row r="93">
      <c r="A93" t="b">
        <v>0</v>
      </c>
      <c r="B93" t="inlineStr">
        <is>
          <t>Block L</t>
        </is>
      </c>
      <c r="C93">
        <f>IF(A93=FALSE, 1,SUMIFS('Cashflow Projection'!$C$33:$C$45, 'Cashflow Projection'!$B$33:$B$45, 'Updated Construction'!G93))</f>
        <v/>
      </c>
      <c r="D93" t="b">
        <v>0</v>
      </c>
      <c r="E93" s="7" t="n">
        <v>45442</v>
      </c>
      <c r="F93" t="n">
        <v>425882.02</v>
      </c>
      <c r="G93" t="inlineStr">
        <is>
          <t>L</t>
        </is>
      </c>
      <c r="H93" s="7" t="n">
        <v>45504</v>
      </c>
    </row>
    <row r="94">
      <c r="A94" t="b">
        <v>0</v>
      </c>
      <c r="B94" t="inlineStr">
        <is>
          <t>Block L</t>
        </is>
      </c>
      <c r="C94">
        <f>IF(A94=FALSE, 1,SUMIFS('Cashflow Projection'!$C$33:$C$45, 'Cashflow Projection'!$B$33:$B$45, 'Updated Construction'!G94))</f>
        <v/>
      </c>
      <c r="D94" t="b">
        <v>0</v>
      </c>
      <c r="E94" s="7" t="n">
        <v>45472</v>
      </c>
      <c r="F94" t="n">
        <v>920246.88</v>
      </c>
      <c r="G94" t="inlineStr">
        <is>
          <t>L</t>
        </is>
      </c>
      <c r="H94" s="7" t="n">
        <v>45504</v>
      </c>
    </row>
    <row r="95">
      <c r="A95" t="b">
        <v>0</v>
      </c>
      <c r="B95" t="inlineStr">
        <is>
          <t>Block L</t>
        </is>
      </c>
      <c r="C95">
        <f>IF(A95=FALSE, 1,SUMIFS('Cashflow Projection'!$C$33:$C$45, 'Cashflow Projection'!$B$33:$B$45, 'Updated Construction'!G95))</f>
        <v/>
      </c>
      <c r="D95" t="b">
        <v>0</v>
      </c>
      <c r="E95" s="7" t="n">
        <v>45502</v>
      </c>
      <c r="F95" t="n">
        <v>782421.78</v>
      </c>
      <c r="G95" t="inlineStr">
        <is>
          <t>L</t>
        </is>
      </c>
      <c r="H95" s="7" t="n">
        <v>45565</v>
      </c>
    </row>
    <row r="96">
      <c r="A96" t="b">
        <v>0</v>
      </c>
      <c r="B96" t="inlineStr">
        <is>
          <t>Block L</t>
        </is>
      </c>
      <c r="C96">
        <f>IF(A96=FALSE, 1,SUMIFS('Cashflow Projection'!$C$33:$C$45, 'Cashflow Projection'!$B$33:$B$45, 'Updated Construction'!G96))</f>
        <v/>
      </c>
      <c r="D96" t="b">
        <v>0</v>
      </c>
      <c r="E96" s="7" t="n">
        <v>45532</v>
      </c>
      <c r="F96" t="n">
        <v>52487.5</v>
      </c>
      <c r="G96" t="inlineStr">
        <is>
          <t>L</t>
        </is>
      </c>
      <c r="H96" s="7" t="n">
        <v>45565</v>
      </c>
    </row>
    <row r="97">
      <c r="A97" t="b">
        <v>0</v>
      </c>
      <c r="B97" t="inlineStr">
        <is>
          <t>Block L</t>
        </is>
      </c>
      <c r="C97">
        <f>IF(A97=FALSE, 1,SUMIFS('Cashflow Projection'!$C$33:$C$45, 'Cashflow Projection'!$B$33:$B$45, 'Updated Construction'!G97))</f>
        <v/>
      </c>
      <c r="D97" t="b">
        <v>0</v>
      </c>
      <c r="E97" s="7" t="n">
        <v>45562</v>
      </c>
      <c r="F97" t="n">
        <v>0</v>
      </c>
      <c r="G97" t="inlineStr">
        <is>
          <t>L</t>
        </is>
      </c>
      <c r="H97" s="7" t="n">
        <v>45626</v>
      </c>
    </row>
    <row r="98">
      <c r="A98" t="b">
        <v>0</v>
      </c>
      <c r="B98" t="inlineStr">
        <is>
          <t>Block L</t>
        </is>
      </c>
      <c r="C98">
        <f>IF(A98=FALSE, 1,SUMIFS('Cashflow Projection'!$C$33:$C$45, 'Cashflow Projection'!$B$33:$B$45, 'Updated Construction'!G98))</f>
        <v/>
      </c>
      <c r="D98" t="b">
        <v>0</v>
      </c>
      <c r="E98" s="7" t="n">
        <v>45596</v>
      </c>
      <c r="F98" t="n">
        <v>214803.14</v>
      </c>
      <c r="G98" t="inlineStr">
        <is>
          <t>L</t>
        </is>
      </c>
      <c r="H98" s="7" t="n">
        <v>45626</v>
      </c>
    </row>
    <row r="99">
      <c r="A99" t="b">
        <v>0</v>
      </c>
      <c r="B99" t="inlineStr">
        <is>
          <t>Block L</t>
        </is>
      </c>
      <c r="C99">
        <f>IF(A99=FALSE, 1,SUMIFS('Cashflow Projection'!$C$33:$C$45, 'Cashflow Projection'!$B$33:$B$45, 'Updated Construction'!G99))</f>
        <v/>
      </c>
      <c r="D99" t="b">
        <v>0</v>
      </c>
      <c r="E99" s="7" t="n">
        <v>45626</v>
      </c>
      <c r="F99" t="n">
        <v>0</v>
      </c>
      <c r="G99" t="inlineStr">
        <is>
          <t>L</t>
        </is>
      </c>
      <c r="H99" s="7" t="n">
        <v>45688</v>
      </c>
    </row>
    <row r="100">
      <c r="A100" t="b">
        <v>0</v>
      </c>
      <c r="B100" t="inlineStr">
        <is>
          <t>Block L</t>
        </is>
      </c>
      <c r="C100">
        <f>IF(A100=FALSE, 1,SUMIFS('Cashflow Projection'!$C$33:$C$45, 'Cashflow Projection'!$B$33:$B$45, 'Updated Construction'!G100))</f>
        <v/>
      </c>
      <c r="D100" t="b">
        <v>0</v>
      </c>
      <c r="E100" s="7" t="n">
        <v>45657</v>
      </c>
      <c r="F100" t="n">
        <v>0</v>
      </c>
      <c r="G100" t="inlineStr">
        <is>
          <t>L</t>
        </is>
      </c>
      <c r="H100" s="7" t="n">
        <v>45688</v>
      </c>
    </row>
    <row r="101">
      <c r="A101" t="b">
        <v>0</v>
      </c>
      <c r="B101" t="inlineStr">
        <is>
          <t>Block L</t>
        </is>
      </c>
      <c r="C101">
        <f>IF(A101=FALSE, 1,SUMIFS('Cashflow Projection'!$C$33:$C$45, 'Cashflow Projection'!$B$33:$B$45, 'Updated Construction'!G101))</f>
        <v/>
      </c>
      <c r="D101" t="b">
        <v>0</v>
      </c>
      <c r="E101" s="7" t="n">
        <v>45688</v>
      </c>
      <c r="F101" t="n">
        <v>0</v>
      </c>
      <c r="G101" t="inlineStr">
        <is>
          <t>L</t>
        </is>
      </c>
      <c r="H101" s="7" t="n">
        <v>45747</v>
      </c>
    </row>
    <row r="102">
      <c r="A102" t="b">
        <v>0</v>
      </c>
      <c r="B102" t="inlineStr">
        <is>
          <t>Block M</t>
        </is>
      </c>
      <c r="C102">
        <f>IF(A102=FALSE, 1,SUMIFS('Cashflow Projection'!$C$33:$C$45, 'Cashflow Projection'!$B$33:$B$45, 'Updated Construction'!G102))</f>
        <v/>
      </c>
      <c r="D102" t="b">
        <v>1</v>
      </c>
      <c r="E102" s="7" t="n">
        <v>45382</v>
      </c>
      <c r="F102" t="n">
        <v>407694.58</v>
      </c>
      <c r="G102" t="inlineStr">
        <is>
          <t>M</t>
        </is>
      </c>
      <c r="H102" s="7" t="n">
        <v>45443</v>
      </c>
    </row>
    <row r="103">
      <c r="A103" t="b">
        <v>0</v>
      </c>
      <c r="B103" t="inlineStr">
        <is>
          <t>Block M</t>
        </is>
      </c>
      <c r="C103">
        <f>IF(A103=FALSE, 1,SUMIFS('Cashflow Projection'!$C$33:$C$45, 'Cashflow Projection'!$B$33:$B$45, 'Updated Construction'!G103))</f>
        <v/>
      </c>
      <c r="D103" t="b">
        <v>0</v>
      </c>
      <c r="E103" s="7" t="n">
        <v>45412</v>
      </c>
      <c r="F103" t="n">
        <v>559596.02</v>
      </c>
      <c r="G103" t="inlineStr">
        <is>
          <t>M</t>
        </is>
      </c>
      <c r="H103" s="7" t="n">
        <v>45443</v>
      </c>
    </row>
    <row r="104">
      <c r="A104" t="b">
        <v>0</v>
      </c>
      <c r="B104" t="inlineStr">
        <is>
          <t>Block M</t>
        </is>
      </c>
      <c r="C104">
        <f>IF(A104=FALSE, 1,SUMIFS('Cashflow Projection'!$C$33:$C$45, 'Cashflow Projection'!$B$33:$B$45, 'Updated Construction'!G104))</f>
        <v/>
      </c>
      <c r="D104" t="b">
        <v>0</v>
      </c>
      <c r="E104" s="7" t="n">
        <v>45442</v>
      </c>
      <c r="F104" t="n">
        <v>384590.38</v>
      </c>
      <c r="G104" t="inlineStr">
        <is>
          <t>M</t>
        </is>
      </c>
      <c r="H104" s="7" t="n">
        <v>45504</v>
      </c>
    </row>
    <row r="105">
      <c r="A105" t="b">
        <v>0</v>
      </c>
      <c r="B105" t="inlineStr">
        <is>
          <t>Block M</t>
        </is>
      </c>
      <c r="C105">
        <f>IF(A105=FALSE, 1,SUMIFS('Cashflow Projection'!$C$33:$C$45, 'Cashflow Projection'!$B$33:$B$45, 'Updated Construction'!G105))</f>
        <v/>
      </c>
      <c r="D105" t="b">
        <v>0</v>
      </c>
      <c r="E105" s="7" t="n">
        <v>45472</v>
      </c>
      <c r="F105" t="n">
        <v>31603.92</v>
      </c>
      <c r="G105" t="inlineStr">
        <is>
          <t>M</t>
        </is>
      </c>
      <c r="H105" s="7" t="n">
        <v>45504</v>
      </c>
    </row>
    <row r="106">
      <c r="A106" t="b">
        <v>0</v>
      </c>
      <c r="B106" t="inlineStr">
        <is>
          <t>Block M</t>
        </is>
      </c>
      <c r="C106">
        <f>IF(A106=FALSE, 1,SUMIFS('Cashflow Projection'!$C$33:$C$45, 'Cashflow Projection'!$B$33:$B$45, 'Updated Construction'!G106))</f>
        <v/>
      </c>
      <c r="D106" t="b">
        <v>0</v>
      </c>
      <c r="E106" s="7" t="n">
        <v>45502</v>
      </c>
      <c r="F106" t="n">
        <v>0</v>
      </c>
      <c r="G106" t="inlineStr">
        <is>
          <t>M</t>
        </is>
      </c>
      <c r="H106" s="7" t="n">
        <v>45565</v>
      </c>
    </row>
    <row r="107">
      <c r="A107" t="b">
        <v>0</v>
      </c>
      <c r="B107" t="inlineStr">
        <is>
          <t>Block M</t>
        </is>
      </c>
      <c r="C107">
        <f>IF(A107=FALSE, 1,SUMIFS('Cashflow Projection'!$C$33:$C$45, 'Cashflow Projection'!$B$33:$B$45, 'Updated Construction'!G107))</f>
        <v/>
      </c>
      <c r="D107" t="b">
        <v>0</v>
      </c>
      <c r="E107" s="7" t="n">
        <v>45532</v>
      </c>
      <c r="F107" t="n">
        <v>0</v>
      </c>
      <c r="G107" t="inlineStr">
        <is>
          <t>M</t>
        </is>
      </c>
      <c r="H107" s="7" t="n">
        <v>45565</v>
      </c>
    </row>
    <row r="108">
      <c r="A108" t="b">
        <v>0</v>
      </c>
      <c r="B108" t="inlineStr">
        <is>
          <t>Block M</t>
        </is>
      </c>
      <c r="C108">
        <f>IF(A108=FALSE, 1,SUMIFS('Cashflow Projection'!$C$33:$C$45, 'Cashflow Projection'!$B$33:$B$45, 'Updated Construction'!G108))</f>
        <v/>
      </c>
      <c r="D108" t="b">
        <v>0</v>
      </c>
      <c r="E108" s="7" t="n">
        <v>45562</v>
      </c>
      <c r="F108" t="n">
        <v>53608.68</v>
      </c>
      <c r="G108" t="inlineStr">
        <is>
          <t>M</t>
        </is>
      </c>
      <c r="H108" s="7" t="n">
        <v>45626</v>
      </c>
    </row>
    <row r="109">
      <c r="A109" t="b">
        <v>0</v>
      </c>
      <c r="B109" t="inlineStr">
        <is>
          <t>Block M</t>
        </is>
      </c>
      <c r="C109">
        <f>IF(A109=FALSE, 1,SUMIFS('Cashflow Projection'!$C$33:$C$45, 'Cashflow Projection'!$B$33:$B$45, 'Updated Construction'!G109))</f>
        <v/>
      </c>
      <c r="D109" t="b">
        <v>0</v>
      </c>
      <c r="E109" s="7" t="n">
        <v>45596</v>
      </c>
      <c r="F109" t="n">
        <v>0</v>
      </c>
      <c r="G109" t="inlineStr">
        <is>
          <t>M</t>
        </is>
      </c>
      <c r="H109" s="7" t="n">
        <v>45626</v>
      </c>
    </row>
    <row r="110">
      <c r="A110" t="b">
        <v>0</v>
      </c>
      <c r="B110" t="inlineStr">
        <is>
          <t>Block M</t>
        </is>
      </c>
      <c r="C110">
        <f>IF(A110=FALSE, 1,SUMIFS('Cashflow Projection'!$C$33:$C$45, 'Cashflow Projection'!$B$33:$B$45, 'Updated Construction'!G110))</f>
        <v/>
      </c>
      <c r="D110" t="b">
        <v>0</v>
      </c>
      <c r="E110" s="7" t="n">
        <v>45626</v>
      </c>
      <c r="F110" t="n">
        <v>0</v>
      </c>
      <c r="G110" t="inlineStr">
        <is>
          <t>M</t>
        </is>
      </c>
      <c r="H110" s="7" t="n">
        <v>45688</v>
      </c>
    </row>
    <row r="111">
      <c r="A111" t="b">
        <v>0</v>
      </c>
      <c r="B111" t="inlineStr">
        <is>
          <t>Block M</t>
        </is>
      </c>
      <c r="C111">
        <f>IF(A111=FALSE, 1,SUMIFS('Cashflow Projection'!$C$33:$C$45, 'Cashflow Projection'!$B$33:$B$45, 'Updated Construction'!G111))</f>
        <v/>
      </c>
      <c r="D111" t="b">
        <v>0</v>
      </c>
      <c r="E111" s="7" t="n">
        <v>45657</v>
      </c>
      <c r="F111" t="n">
        <v>0</v>
      </c>
      <c r="G111" t="inlineStr">
        <is>
          <t>M</t>
        </is>
      </c>
      <c r="H111" s="7" t="n">
        <v>45688</v>
      </c>
    </row>
    <row r="112">
      <c r="A112" t="b">
        <v>0</v>
      </c>
      <c r="B112" t="inlineStr">
        <is>
          <t>Block M</t>
        </is>
      </c>
      <c r="C112">
        <f>IF(A112=FALSE, 1,SUMIFS('Cashflow Projection'!$C$33:$C$45, 'Cashflow Projection'!$B$33:$B$45, 'Updated Construction'!G112))</f>
        <v/>
      </c>
      <c r="D112" t="b">
        <v>0</v>
      </c>
      <c r="E112" s="7" t="n">
        <v>45688</v>
      </c>
      <c r="F112" t="n">
        <v>0</v>
      </c>
      <c r="G112" t="inlineStr">
        <is>
          <t>M</t>
        </is>
      </c>
      <c r="H112" s="7" t="n">
        <v>45747</v>
      </c>
    </row>
    <row r="113">
      <c r="A113" t="b">
        <v>0</v>
      </c>
      <c r="B113" t="inlineStr">
        <is>
          <t>Block N</t>
        </is>
      </c>
      <c r="C113">
        <f>IF(A113=FALSE, 1,SUMIFS('Cashflow Projection'!$C$33:$C$45, 'Cashflow Projection'!$B$33:$B$45, 'Updated Construction'!G113))</f>
        <v/>
      </c>
      <c r="D113" t="b">
        <v>1</v>
      </c>
      <c r="E113" s="7" t="n">
        <v>45382</v>
      </c>
      <c r="F113" t="n">
        <v>192782.34</v>
      </c>
      <c r="G113" t="inlineStr">
        <is>
          <t>N</t>
        </is>
      </c>
      <c r="H113" s="7" t="n">
        <v>45443</v>
      </c>
    </row>
    <row r="114">
      <c r="A114" t="b">
        <v>0</v>
      </c>
      <c r="B114" t="inlineStr">
        <is>
          <t>Block N</t>
        </is>
      </c>
      <c r="C114">
        <f>IF(A114=FALSE, 1,SUMIFS('Cashflow Projection'!$C$33:$C$45, 'Cashflow Projection'!$B$33:$B$45, 'Updated Construction'!G114))</f>
        <v/>
      </c>
      <c r="D114" t="b">
        <v>0</v>
      </c>
      <c r="E114" s="7" t="n">
        <v>45412</v>
      </c>
      <c r="F114" t="n">
        <v>150000</v>
      </c>
      <c r="G114" t="inlineStr">
        <is>
          <t>N</t>
        </is>
      </c>
      <c r="H114" s="7" t="n">
        <v>45443</v>
      </c>
    </row>
    <row r="115">
      <c r="A115" t="b">
        <v>0</v>
      </c>
      <c r="B115" t="inlineStr">
        <is>
          <t>Block N</t>
        </is>
      </c>
      <c r="C115">
        <f>IF(A115=FALSE, 1,SUMIFS('Cashflow Projection'!$C$33:$C$45, 'Cashflow Projection'!$B$33:$B$45, 'Updated Construction'!G115))</f>
        <v/>
      </c>
      <c r="D115" t="b">
        <v>0</v>
      </c>
      <c r="E115" s="7" t="n">
        <v>45442</v>
      </c>
      <c r="F115" t="n">
        <v>152042.52</v>
      </c>
      <c r="G115" t="inlineStr">
        <is>
          <t>N</t>
        </is>
      </c>
      <c r="H115" s="7" t="n">
        <v>45504</v>
      </c>
    </row>
    <row r="116">
      <c r="A116" t="b">
        <v>0</v>
      </c>
      <c r="B116" t="inlineStr">
        <is>
          <t>Block N</t>
        </is>
      </c>
      <c r="C116">
        <f>IF(A116=FALSE, 1,SUMIFS('Cashflow Projection'!$C$33:$C$45, 'Cashflow Projection'!$B$33:$B$45, 'Updated Construction'!G116))</f>
        <v/>
      </c>
      <c r="D116" t="b">
        <v>0</v>
      </c>
      <c r="E116" s="7" t="n">
        <v>45472</v>
      </c>
      <c r="F116" t="n">
        <v>0</v>
      </c>
      <c r="G116" t="inlineStr">
        <is>
          <t>N</t>
        </is>
      </c>
      <c r="H116" s="7" t="n">
        <v>45504</v>
      </c>
    </row>
    <row r="117">
      <c r="A117" t="b">
        <v>0</v>
      </c>
      <c r="B117" t="inlineStr">
        <is>
          <t>Block N</t>
        </is>
      </c>
      <c r="C117">
        <f>IF(A117=FALSE, 1,SUMIFS('Cashflow Projection'!$C$33:$C$45, 'Cashflow Projection'!$B$33:$B$45, 'Updated Construction'!G117))</f>
        <v/>
      </c>
      <c r="D117" t="b">
        <v>0</v>
      </c>
      <c r="E117" s="7" t="n">
        <v>45502</v>
      </c>
      <c r="F117" t="n">
        <v>0</v>
      </c>
      <c r="G117" t="inlineStr">
        <is>
          <t>N</t>
        </is>
      </c>
      <c r="H117" s="7" t="n">
        <v>45565</v>
      </c>
    </row>
    <row r="118">
      <c r="A118" t="b">
        <v>0</v>
      </c>
      <c r="B118" t="inlineStr">
        <is>
          <t>Block N</t>
        </is>
      </c>
      <c r="C118">
        <f>IF(A118=FALSE, 1,SUMIFS('Cashflow Projection'!$C$33:$C$45, 'Cashflow Projection'!$B$33:$B$45, 'Updated Construction'!G118))</f>
        <v/>
      </c>
      <c r="D118" t="b">
        <v>0</v>
      </c>
      <c r="E118" s="7" t="n">
        <v>45532</v>
      </c>
      <c r="F118" t="n">
        <v>0</v>
      </c>
      <c r="G118" t="inlineStr">
        <is>
          <t>N</t>
        </is>
      </c>
      <c r="H118" s="7" t="n">
        <v>45565</v>
      </c>
    </row>
    <row r="119">
      <c r="A119" t="b">
        <v>0</v>
      </c>
      <c r="B119" t="inlineStr">
        <is>
          <t>Block N</t>
        </is>
      </c>
      <c r="C119">
        <f>IF(A119=FALSE, 1,SUMIFS('Cashflow Projection'!$C$33:$C$45, 'Cashflow Projection'!$B$33:$B$45, 'Updated Construction'!G119))</f>
        <v/>
      </c>
      <c r="D119" t="b">
        <v>0</v>
      </c>
      <c r="E119" s="7" t="n">
        <v>45562</v>
      </c>
      <c r="F119" t="n">
        <v>0</v>
      </c>
      <c r="G119" t="inlineStr">
        <is>
          <t>N</t>
        </is>
      </c>
      <c r="H119" s="7" t="n">
        <v>45626</v>
      </c>
    </row>
    <row r="120">
      <c r="A120" t="b">
        <v>0</v>
      </c>
      <c r="B120" t="inlineStr">
        <is>
          <t>Block N</t>
        </is>
      </c>
      <c r="C120">
        <f>IF(A120=FALSE, 1,SUMIFS('Cashflow Projection'!$C$33:$C$45, 'Cashflow Projection'!$B$33:$B$45, 'Updated Construction'!G120))</f>
        <v/>
      </c>
      <c r="D120" t="b">
        <v>0</v>
      </c>
      <c r="E120" s="7" t="n">
        <v>45596</v>
      </c>
      <c r="F120" t="n">
        <v>0</v>
      </c>
      <c r="G120" t="inlineStr">
        <is>
          <t>N</t>
        </is>
      </c>
      <c r="H120" s="7" t="n">
        <v>45626</v>
      </c>
    </row>
    <row r="121">
      <c r="A121" t="b">
        <v>0</v>
      </c>
      <c r="B121" t="inlineStr">
        <is>
          <t>Block N</t>
        </is>
      </c>
      <c r="C121">
        <f>IF(A121=FALSE, 1,SUMIFS('Cashflow Projection'!$C$33:$C$45, 'Cashflow Projection'!$B$33:$B$45, 'Updated Construction'!G121))</f>
        <v/>
      </c>
      <c r="D121" t="b">
        <v>0</v>
      </c>
      <c r="E121" s="7" t="n">
        <v>45626</v>
      </c>
      <c r="F121" t="n">
        <v>0</v>
      </c>
      <c r="G121" t="inlineStr">
        <is>
          <t>N</t>
        </is>
      </c>
      <c r="H121" s="7" t="n">
        <v>45688</v>
      </c>
    </row>
    <row r="122">
      <c r="A122" t="b">
        <v>0</v>
      </c>
      <c r="B122" t="inlineStr">
        <is>
          <t>Block N</t>
        </is>
      </c>
      <c r="C122">
        <f>IF(A122=FALSE, 1,SUMIFS('Cashflow Projection'!$C$33:$C$45, 'Cashflow Projection'!$B$33:$B$45, 'Updated Construction'!G122))</f>
        <v/>
      </c>
      <c r="D122" t="b">
        <v>0</v>
      </c>
      <c r="E122" s="7" t="n">
        <v>45657</v>
      </c>
      <c r="F122" t="n">
        <v>0</v>
      </c>
      <c r="G122" t="inlineStr">
        <is>
          <t>N</t>
        </is>
      </c>
      <c r="H122" s="7" t="n">
        <v>45688</v>
      </c>
    </row>
    <row r="123">
      <c r="A123" t="b">
        <v>0</v>
      </c>
      <c r="B123" t="inlineStr">
        <is>
          <t>Block N</t>
        </is>
      </c>
      <c r="C123">
        <f>IF(A123=FALSE, 1,SUMIFS('Cashflow Projection'!$C$33:$C$45, 'Cashflow Projection'!$B$33:$B$45, 'Updated Construction'!G123))</f>
        <v/>
      </c>
      <c r="D123" t="b">
        <v>0</v>
      </c>
      <c r="E123" s="7" t="n">
        <v>45688</v>
      </c>
      <c r="F123" t="n">
        <v>0</v>
      </c>
      <c r="G123" t="inlineStr">
        <is>
          <t>N</t>
        </is>
      </c>
      <c r="H123" s="7" t="n">
        <v>45747</v>
      </c>
    </row>
    <row r="124">
      <c r="A124" t="b">
        <v>0</v>
      </c>
      <c r="B124" t="inlineStr">
        <is>
          <t>Block O</t>
        </is>
      </c>
      <c r="C124">
        <f>IF(A124=FALSE, 1,SUMIFS('Cashflow Projection'!$C$33:$C$45, 'Cashflow Projection'!$B$33:$B$45, 'Updated Construction'!G124))</f>
        <v/>
      </c>
      <c r="D124" t="b">
        <v>1</v>
      </c>
      <c r="E124" s="7" t="n">
        <v>45382</v>
      </c>
      <c r="F124" t="n">
        <v>778739.38</v>
      </c>
      <c r="G124" t="inlineStr">
        <is>
          <t>O</t>
        </is>
      </c>
      <c r="H124" s="7" t="n">
        <v>45443</v>
      </c>
    </row>
    <row r="125">
      <c r="A125" t="b">
        <v>0</v>
      </c>
      <c r="B125" t="inlineStr">
        <is>
          <t>Block O</t>
        </is>
      </c>
      <c r="C125">
        <f>IF(A125=FALSE, 1,SUMIFS('Cashflow Projection'!$C$33:$C$45, 'Cashflow Projection'!$B$33:$B$45, 'Updated Construction'!G125))</f>
        <v/>
      </c>
      <c r="D125" t="b">
        <v>0</v>
      </c>
      <c r="E125" s="7" t="n">
        <v>45412</v>
      </c>
      <c r="F125" t="n">
        <v>795910.14</v>
      </c>
      <c r="G125" t="inlineStr">
        <is>
          <t>O</t>
        </is>
      </c>
      <c r="H125" s="7" t="n">
        <v>45443</v>
      </c>
    </row>
    <row r="126">
      <c r="A126" t="b">
        <v>0</v>
      </c>
      <c r="B126" t="inlineStr">
        <is>
          <t>Block O</t>
        </is>
      </c>
      <c r="C126">
        <f>IF(A126=FALSE, 1,SUMIFS('Cashflow Projection'!$C$33:$C$45, 'Cashflow Projection'!$B$33:$B$45, 'Updated Construction'!G126))</f>
        <v/>
      </c>
      <c r="D126" t="b">
        <v>0</v>
      </c>
      <c r="E126" s="7" t="n">
        <v>45442</v>
      </c>
      <c r="F126" t="n">
        <v>823189.9</v>
      </c>
      <c r="G126" t="inlineStr">
        <is>
          <t>O</t>
        </is>
      </c>
      <c r="H126" s="7" t="n">
        <v>45504</v>
      </c>
    </row>
    <row r="127">
      <c r="A127" t="b">
        <v>0</v>
      </c>
      <c r="B127" t="inlineStr">
        <is>
          <t>Block O</t>
        </is>
      </c>
      <c r="C127">
        <f>IF(A127=FALSE, 1,SUMIFS('Cashflow Projection'!$C$33:$C$45, 'Cashflow Projection'!$B$33:$B$45, 'Updated Construction'!G127))</f>
        <v/>
      </c>
      <c r="D127" t="b">
        <v>0</v>
      </c>
      <c r="E127" s="7" t="n">
        <v>45472</v>
      </c>
      <c r="F127" t="n">
        <v>264276.37</v>
      </c>
      <c r="G127" t="inlineStr">
        <is>
          <t>O</t>
        </is>
      </c>
      <c r="H127" s="7" t="n">
        <v>45504</v>
      </c>
    </row>
    <row r="128">
      <c r="A128" t="b">
        <v>0</v>
      </c>
      <c r="B128" t="inlineStr">
        <is>
          <t>Block O</t>
        </is>
      </c>
      <c r="C128">
        <f>IF(A128=FALSE, 1,SUMIFS('Cashflow Projection'!$C$33:$C$45, 'Cashflow Projection'!$B$33:$B$45, 'Updated Construction'!G128))</f>
        <v/>
      </c>
      <c r="D128" t="b">
        <v>0</v>
      </c>
      <c r="E128" s="7" t="n">
        <v>45502</v>
      </c>
      <c r="F128" t="n">
        <v>0</v>
      </c>
      <c r="G128" t="inlineStr">
        <is>
          <t>O</t>
        </is>
      </c>
      <c r="H128" s="7" t="n">
        <v>45565</v>
      </c>
    </row>
    <row r="129">
      <c r="A129" t="b">
        <v>0</v>
      </c>
      <c r="B129" t="inlineStr">
        <is>
          <t>Block O</t>
        </is>
      </c>
      <c r="C129">
        <f>IF(A129=FALSE, 1,SUMIFS('Cashflow Projection'!$C$33:$C$45, 'Cashflow Projection'!$B$33:$B$45, 'Updated Construction'!G129))</f>
        <v/>
      </c>
      <c r="D129" t="b">
        <v>0</v>
      </c>
      <c r="E129" s="7" t="n">
        <v>45532</v>
      </c>
      <c r="F129" t="n">
        <v>0</v>
      </c>
      <c r="G129" t="inlineStr">
        <is>
          <t>O</t>
        </is>
      </c>
      <c r="H129" s="7" t="n">
        <v>45565</v>
      </c>
    </row>
    <row r="130">
      <c r="A130" t="b">
        <v>0</v>
      </c>
      <c r="B130" t="inlineStr">
        <is>
          <t>Block O</t>
        </is>
      </c>
      <c r="C130">
        <f>IF(A130=FALSE, 1,SUMIFS('Cashflow Projection'!$C$33:$C$45, 'Cashflow Projection'!$B$33:$B$45, 'Updated Construction'!G130))</f>
        <v/>
      </c>
      <c r="D130" t="b">
        <v>0</v>
      </c>
      <c r="E130" s="7" t="n">
        <v>45562</v>
      </c>
      <c r="F130" t="n">
        <v>66153.60000000001</v>
      </c>
      <c r="G130" t="inlineStr">
        <is>
          <t>O</t>
        </is>
      </c>
      <c r="H130" s="7" t="n">
        <v>45626</v>
      </c>
    </row>
    <row r="131">
      <c r="A131" t="b">
        <v>0</v>
      </c>
      <c r="B131" t="inlineStr">
        <is>
          <t>Block O</t>
        </is>
      </c>
      <c r="C131">
        <f>IF(A131=FALSE, 1,SUMIFS('Cashflow Projection'!$C$33:$C$45, 'Cashflow Projection'!$B$33:$B$45, 'Updated Construction'!G131))</f>
        <v/>
      </c>
      <c r="D131" t="b">
        <v>0</v>
      </c>
      <c r="E131" s="7" t="n">
        <v>45596</v>
      </c>
      <c r="F131" t="n">
        <v>0</v>
      </c>
      <c r="G131" t="inlineStr">
        <is>
          <t>O</t>
        </is>
      </c>
      <c r="H131" s="7" t="n">
        <v>45626</v>
      </c>
    </row>
    <row r="132">
      <c r="A132" t="b">
        <v>0</v>
      </c>
      <c r="B132" t="inlineStr">
        <is>
          <t>Block O</t>
        </is>
      </c>
      <c r="C132">
        <f>IF(A132=FALSE, 1,SUMIFS('Cashflow Projection'!$C$33:$C$45, 'Cashflow Projection'!$B$33:$B$45, 'Updated Construction'!G132))</f>
        <v/>
      </c>
      <c r="D132" t="b">
        <v>0</v>
      </c>
      <c r="E132" s="7" t="n">
        <v>45626</v>
      </c>
      <c r="F132" t="n">
        <v>0</v>
      </c>
      <c r="G132" t="inlineStr">
        <is>
          <t>O</t>
        </is>
      </c>
      <c r="H132" s="7" t="n">
        <v>45688</v>
      </c>
    </row>
    <row r="133">
      <c r="A133" t="b">
        <v>0</v>
      </c>
      <c r="B133" t="inlineStr">
        <is>
          <t>Block O</t>
        </is>
      </c>
      <c r="C133">
        <f>IF(A133=FALSE, 1,SUMIFS('Cashflow Projection'!$C$33:$C$45, 'Cashflow Projection'!$B$33:$B$45, 'Updated Construction'!G133))</f>
        <v/>
      </c>
      <c r="D133" t="b">
        <v>0</v>
      </c>
      <c r="E133" s="7" t="n">
        <v>45657</v>
      </c>
      <c r="F133" t="n">
        <v>0</v>
      </c>
      <c r="G133" t="inlineStr">
        <is>
          <t>O</t>
        </is>
      </c>
      <c r="H133" s="7" t="n">
        <v>45688</v>
      </c>
    </row>
    <row r="134">
      <c r="A134" t="b">
        <v>0</v>
      </c>
      <c r="B134" t="inlineStr">
        <is>
          <t>Block O</t>
        </is>
      </c>
      <c r="C134">
        <f>IF(A134=FALSE, 1,SUMIFS('Cashflow Projection'!$C$33:$C$45, 'Cashflow Projection'!$B$33:$B$45, 'Updated Construction'!G134))</f>
        <v/>
      </c>
      <c r="D134" t="b">
        <v>0</v>
      </c>
      <c r="E134" s="7" t="n">
        <v>45688</v>
      </c>
      <c r="F134" t="n">
        <v>0</v>
      </c>
      <c r="G134" t="inlineStr">
        <is>
          <t>O</t>
        </is>
      </c>
      <c r="H134" s="7" t="n">
        <v>45747</v>
      </c>
    </row>
    <row r="135">
      <c r="A135" t="b">
        <v>0</v>
      </c>
      <c r="B135" t="inlineStr">
        <is>
          <t>Clubhouse</t>
        </is>
      </c>
      <c r="C135">
        <f>IF(A135=FALSE, 1,SUMIFS('Cashflow Projection'!$C$33:$C$45, 'Cashflow Projection'!$B$33:$B$45, 'Updated Construction'!G135))</f>
        <v/>
      </c>
      <c r="D135" t="b">
        <v>1</v>
      </c>
      <c r="E135" s="7" t="n">
        <v>45382</v>
      </c>
      <c r="F135" t="n">
        <v>323038.88</v>
      </c>
      <c r="G135" t="inlineStr">
        <is>
          <t>Clubhouse</t>
        </is>
      </c>
      <c r="H135" s="7" t="n">
        <v>45443</v>
      </c>
    </row>
    <row r="136">
      <c r="A136" t="b">
        <v>0</v>
      </c>
      <c r="B136" t="inlineStr">
        <is>
          <t>Clubhouse</t>
        </is>
      </c>
      <c r="C136">
        <f>IF(A136=FALSE, 1,SUMIFS('Cashflow Projection'!$C$33:$C$45, 'Cashflow Projection'!$B$33:$B$45, 'Updated Construction'!G136))</f>
        <v/>
      </c>
      <c r="D136" t="b">
        <v>0</v>
      </c>
      <c r="E136" s="7" t="n">
        <v>45412</v>
      </c>
      <c r="F136" t="n">
        <v>284556.15</v>
      </c>
      <c r="G136" t="inlineStr">
        <is>
          <t>Clubhouse</t>
        </is>
      </c>
      <c r="H136" s="7" t="n">
        <v>45443</v>
      </c>
    </row>
    <row r="137">
      <c r="A137" t="b">
        <v>0</v>
      </c>
      <c r="B137" t="inlineStr">
        <is>
          <t>Clubhouse</t>
        </is>
      </c>
      <c r="C137">
        <f>IF(A137=FALSE, 1,SUMIFS('Cashflow Projection'!$C$33:$C$45, 'Cashflow Projection'!$B$33:$B$45, 'Updated Construction'!G137))</f>
        <v/>
      </c>
      <c r="D137" t="b">
        <v>0</v>
      </c>
      <c r="E137" s="7" t="n">
        <v>45442</v>
      </c>
      <c r="F137" t="n">
        <v>498965.69</v>
      </c>
      <c r="G137" t="inlineStr">
        <is>
          <t>Clubhouse</t>
        </is>
      </c>
      <c r="H137" s="7" t="n">
        <v>45504</v>
      </c>
    </row>
    <row r="138">
      <c r="A138" t="b">
        <v>0</v>
      </c>
      <c r="B138" t="inlineStr">
        <is>
          <t>Clubhouse</t>
        </is>
      </c>
      <c r="C138">
        <f>IF(A138=FALSE, 1,SUMIFS('Cashflow Projection'!$C$33:$C$45, 'Cashflow Projection'!$B$33:$B$45, 'Updated Construction'!G138))</f>
        <v/>
      </c>
      <c r="D138" t="b">
        <v>0</v>
      </c>
      <c r="E138" s="7" t="n">
        <v>45472</v>
      </c>
      <c r="F138" t="n">
        <v>300350.16</v>
      </c>
      <c r="G138" t="inlineStr">
        <is>
          <t>Clubhouse</t>
        </is>
      </c>
      <c r="H138" s="7" t="n">
        <v>45504</v>
      </c>
    </row>
    <row r="139">
      <c r="A139" t="b">
        <v>0</v>
      </c>
      <c r="B139" t="inlineStr">
        <is>
          <t>Clubhouse</t>
        </is>
      </c>
      <c r="C139">
        <f>IF(A139=FALSE, 1,SUMIFS('Cashflow Projection'!$C$33:$C$45, 'Cashflow Projection'!$B$33:$B$45, 'Updated Construction'!G139))</f>
        <v/>
      </c>
      <c r="D139" t="b">
        <v>0</v>
      </c>
      <c r="E139" s="7" t="n">
        <v>45502</v>
      </c>
      <c r="F139" t="n">
        <v>165000</v>
      </c>
      <c r="G139" t="inlineStr">
        <is>
          <t>Clubhouse</t>
        </is>
      </c>
      <c r="H139" s="7" t="n">
        <v>45565</v>
      </c>
    </row>
    <row r="140">
      <c r="A140" t="b">
        <v>0</v>
      </c>
      <c r="B140" t="inlineStr">
        <is>
          <t>Clubhouse</t>
        </is>
      </c>
      <c r="C140">
        <f>IF(A140=FALSE, 1,SUMIFS('Cashflow Projection'!$C$33:$C$45, 'Cashflow Projection'!$B$33:$B$45, 'Updated Construction'!G140))</f>
        <v/>
      </c>
      <c r="D140" t="b">
        <v>0</v>
      </c>
      <c r="E140" s="7" t="n">
        <v>45532</v>
      </c>
      <c r="F140" t="n">
        <v>577797.8199999999</v>
      </c>
      <c r="G140" t="inlineStr">
        <is>
          <t>Clubhouse</t>
        </is>
      </c>
      <c r="H140" s="7" t="n">
        <v>45565</v>
      </c>
    </row>
    <row r="141">
      <c r="A141" t="b">
        <v>0</v>
      </c>
      <c r="B141" t="inlineStr">
        <is>
          <t>Clubhouse</t>
        </is>
      </c>
      <c r="C141">
        <f>IF(A141=FALSE, 1,SUMIFS('Cashflow Projection'!$C$33:$C$45, 'Cashflow Projection'!$B$33:$B$45, 'Updated Construction'!G141))</f>
        <v/>
      </c>
      <c r="D141" t="b">
        <v>0</v>
      </c>
      <c r="E141" s="7" t="n">
        <v>45562</v>
      </c>
      <c r="F141" t="n">
        <v>0</v>
      </c>
      <c r="G141" t="inlineStr">
        <is>
          <t>Clubhouse</t>
        </is>
      </c>
      <c r="H141" s="7" t="n">
        <v>45626</v>
      </c>
    </row>
    <row r="142">
      <c r="A142" t="b">
        <v>0</v>
      </c>
      <c r="B142" t="inlineStr">
        <is>
          <t>Clubhouse</t>
        </is>
      </c>
      <c r="C142">
        <f>IF(A142=FALSE, 1,SUMIFS('Cashflow Projection'!$C$33:$C$45, 'Cashflow Projection'!$B$33:$B$45, 'Updated Construction'!G142))</f>
        <v/>
      </c>
      <c r="D142" t="b">
        <v>0</v>
      </c>
      <c r="E142" s="7" t="n">
        <v>45596</v>
      </c>
      <c r="F142" t="n">
        <v>0</v>
      </c>
      <c r="G142" t="inlineStr">
        <is>
          <t>Clubhouse</t>
        </is>
      </c>
      <c r="H142" s="7" t="n">
        <v>45626</v>
      </c>
    </row>
    <row r="143">
      <c r="A143" t="b">
        <v>0</v>
      </c>
      <c r="B143" t="inlineStr">
        <is>
          <t>Clubhouse</t>
        </is>
      </c>
      <c r="C143">
        <f>IF(A143=FALSE, 1,SUMIFS('Cashflow Projection'!$C$33:$C$45, 'Cashflow Projection'!$B$33:$B$45, 'Updated Construction'!G143))</f>
        <v/>
      </c>
      <c r="D143" t="b">
        <v>0</v>
      </c>
      <c r="E143" s="7" t="n">
        <v>45626</v>
      </c>
      <c r="F143" t="n">
        <v>0</v>
      </c>
      <c r="G143" t="inlineStr">
        <is>
          <t>Clubhouse</t>
        </is>
      </c>
      <c r="H143" s="7" t="n">
        <v>45688</v>
      </c>
    </row>
    <row r="144">
      <c r="A144" t="b">
        <v>0</v>
      </c>
      <c r="B144" t="inlineStr">
        <is>
          <t>Clubhouse</t>
        </is>
      </c>
      <c r="C144">
        <f>IF(A144=FALSE, 1,SUMIFS('Cashflow Projection'!$C$33:$C$45, 'Cashflow Projection'!$B$33:$B$45, 'Updated Construction'!G144))</f>
        <v/>
      </c>
      <c r="D144" t="b">
        <v>0</v>
      </c>
      <c r="E144" s="7" t="n">
        <v>45657</v>
      </c>
      <c r="F144" t="n">
        <v>0</v>
      </c>
      <c r="G144" t="inlineStr">
        <is>
          <t>Clubhouse</t>
        </is>
      </c>
      <c r="H144" s="7" t="n">
        <v>45688</v>
      </c>
    </row>
    <row r="145">
      <c r="A145" t="b">
        <v>0</v>
      </c>
      <c r="B145" t="inlineStr">
        <is>
          <t>Clubhouse</t>
        </is>
      </c>
      <c r="C145">
        <f>IF(A145=FALSE, 1,SUMIFS('Cashflow Projection'!$C$33:$C$45, 'Cashflow Projection'!$B$33:$B$45, 'Updated Construction'!G145))</f>
        <v/>
      </c>
      <c r="D145" t="b">
        <v>0</v>
      </c>
      <c r="E145" s="7" t="n">
        <v>45688</v>
      </c>
      <c r="F145" t="n">
        <v>0</v>
      </c>
      <c r="G145" t="inlineStr">
        <is>
          <t>Clubhouse</t>
        </is>
      </c>
      <c r="H145" s="7" t="n">
        <v>45747</v>
      </c>
    </row>
    <row r="146">
      <c r="A146" t="b">
        <v>1</v>
      </c>
      <c r="B146" t="inlineStr">
        <is>
          <t>Block E - No option</t>
        </is>
      </c>
      <c r="C146">
        <f>IF(A146=FALSE, 1,SUMIFS('Cashflow Projection'!$C$33:$C$45, 'Cashflow Projection'!$B$33:$B$45, 'Updated Construction'!G146))</f>
        <v/>
      </c>
      <c r="D146" t="b">
        <v>1</v>
      </c>
      <c r="E146" s="7" t="n">
        <v>45382</v>
      </c>
      <c r="F146" t="n">
        <v>0</v>
      </c>
      <c r="G146" t="inlineStr">
        <is>
          <t>E</t>
        </is>
      </c>
      <c r="H146" s="7" t="n">
        <v>45443</v>
      </c>
    </row>
    <row r="147">
      <c r="A147" t="b">
        <v>1</v>
      </c>
      <c r="B147" t="inlineStr">
        <is>
          <t>Block E - No option</t>
        </is>
      </c>
      <c r="C147">
        <f>IF(A147=FALSE, 1,SUMIFS('Cashflow Projection'!$C$33:$C$45, 'Cashflow Projection'!$B$33:$B$45, 'Updated Construction'!G147))</f>
        <v/>
      </c>
      <c r="D147" t="b">
        <v>0</v>
      </c>
      <c r="E147" s="7" t="n">
        <v>45412</v>
      </c>
      <c r="F147" t="n">
        <v>0</v>
      </c>
      <c r="G147" t="inlineStr">
        <is>
          <t>E</t>
        </is>
      </c>
      <c r="H147" s="7" t="n">
        <v>45443</v>
      </c>
    </row>
    <row r="148">
      <c r="A148" t="b">
        <v>1</v>
      </c>
      <c r="B148" t="inlineStr">
        <is>
          <t>Block E - No option</t>
        </is>
      </c>
      <c r="C148">
        <f>IF(A148=FALSE, 1,SUMIFS('Cashflow Projection'!$C$33:$C$45, 'Cashflow Projection'!$B$33:$B$45, 'Updated Construction'!G148))</f>
        <v/>
      </c>
      <c r="D148" t="b">
        <v>0</v>
      </c>
      <c r="E148" s="7" t="n">
        <v>45442</v>
      </c>
      <c r="F148" t="n">
        <v>468726.95</v>
      </c>
      <c r="G148" t="inlineStr">
        <is>
          <t>E</t>
        </is>
      </c>
      <c r="H148" s="7" t="n">
        <v>45504</v>
      </c>
    </row>
    <row r="149">
      <c r="A149" t="b">
        <v>1</v>
      </c>
      <c r="B149" t="inlineStr">
        <is>
          <t>Block E - No option</t>
        </is>
      </c>
      <c r="C149">
        <f>IF(A149=FALSE, 1,SUMIFS('Cashflow Projection'!$C$33:$C$45, 'Cashflow Projection'!$B$33:$B$45, 'Updated Construction'!G149))</f>
        <v/>
      </c>
      <c r="D149" t="b">
        <v>0</v>
      </c>
      <c r="E149" s="7" t="n">
        <v>45472</v>
      </c>
      <c r="F149" t="n">
        <v>1093696.21</v>
      </c>
      <c r="G149" t="inlineStr">
        <is>
          <t>E</t>
        </is>
      </c>
      <c r="H149" s="7" t="n">
        <v>45504</v>
      </c>
    </row>
    <row r="150">
      <c r="A150" t="b">
        <v>1</v>
      </c>
      <c r="B150" t="inlineStr">
        <is>
          <t>Block E - No option</t>
        </is>
      </c>
      <c r="C150">
        <f>IF(A150=FALSE, 1,SUMIFS('Cashflow Projection'!$C$33:$C$45, 'Cashflow Projection'!$B$33:$B$45, 'Updated Construction'!G150))</f>
        <v/>
      </c>
      <c r="D150" t="b">
        <v>0</v>
      </c>
      <c r="E150" s="7" t="n">
        <v>45502</v>
      </c>
      <c r="F150" t="n">
        <v>1484302</v>
      </c>
      <c r="G150" t="inlineStr">
        <is>
          <t>E</t>
        </is>
      </c>
      <c r="H150" s="7" t="n">
        <v>45565</v>
      </c>
    </row>
    <row r="151">
      <c r="A151" t="b">
        <v>1</v>
      </c>
      <c r="B151" t="inlineStr">
        <is>
          <t>Block E - No option</t>
        </is>
      </c>
      <c r="C151">
        <f>IF(A151=FALSE, 1,SUMIFS('Cashflow Projection'!$C$33:$C$45, 'Cashflow Projection'!$B$33:$B$45, 'Updated Construction'!G151))</f>
        <v/>
      </c>
      <c r="D151" t="b">
        <v>0</v>
      </c>
      <c r="E151" s="7" t="n">
        <v>45532</v>
      </c>
      <c r="F151" t="n">
        <v>1562423.16</v>
      </c>
      <c r="G151" t="inlineStr">
        <is>
          <t>E</t>
        </is>
      </c>
      <c r="H151" s="7" t="n">
        <v>45565</v>
      </c>
    </row>
    <row r="152">
      <c r="A152" t="b">
        <v>1</v>
      </c>
      <c r="B152" t="inlineStr">
        <is>
          <t>Block E - No option</t>
        </is>
      </c>
      <c r="C152">
        <f>IF(A152=FALSE, 1,SUMIFS('Cashflow Projection'!$C$33:$C$45, 'Cashflow Projection'!$B$33:$B$45, 'Updated Construction'!G152))</f>
        <v/>
      </c>
      <c r="D152" t="b">
        <v>0</v>
      </c>
      <c r="E152" s="7" t="n">
        <v>45562</v>
      </c>
      <c r="F152" t="n">
        <v>1484302</v>
      </c>
      <c r="G152" t="inlineStr">
        <is>
          <t>E</t>
        </is>
      </c>
      <c r="H152" s="7" t="n">
        <v>45626</v>
      </c>
    </row>
    <row r="153">
      <c r="A153" t="b">
        <v>1</v>
      </c>
      <c r="B153" t="inlineStr">
        <is>
          <t>Block E - No option</t>
        </is>
      </c>
      <c r="C153">
        <f>IF(A153=FALSE, 1,SUMIFS('Cashflow Projection'!$C$33:$C$45, 'Cashflow Projection'!$B$33:$B$45, 'Updated Construction'!G153))</f>
        <v/>
      </c>
      <c r="D153" t="b">
        <v>0</v>
      </c>
      <c r="E153" s="7" t="n">
        <v>45596</v>
      </c>
      <c r="F153" t="n">
        <v>1249938.52</v>
      </c>
      <c r="G153" t="inlineStr">
        <is>
          <t>E</t>
        </is>
      </c>
      <c r="H153" s="7" t="n">
        <v>45626</v>
      </c>
    </row>
    <row r="154">
      <c r="A154" t="b">
        <v>1</v>
      </c>
      <c r="B154" t="inlineStr">
        <is>
          <t>Block E - No option</t>
        </is>
      </c>
      <c r="C154">
        <f>IF(A154=FALSE, 1,SUMIFS('Cashflow Projection'!$C$33:$C$45, 'Cashflow Projection'!$B$33:$B$45, 'Updated Construction'!G154))</f>
        <v/>
      </c>
      <c r="D154" t="b">
        <v>0</v>
      </c>
      <c r="E154" s="7" t="n">
        <v>45626</v>
      </c>
      <c r="F154" t="n">
        <v>468726.95</v>
      </c>
      <c r="G154" t="inlineStr">
        <is>
          <t>E</t>
        </is>
      </c>
      <c r="H154" s="7" t="n">
        <v>45688</v>
      </c>
    </row>
    <row r="155">
      <c r="A155" t="b">
        <v>1</v>
      </c>
      <c r="B155" t="inlineStr">
        <is>
          <t>Block E - No option</t>
        </is>
      </c>
      <c r="C155">
        <f>IF(A155=FALSE, 1,SUMIFS('Cashflow Projection'!$C$33:$C$45, 'Cashflow Projection'!$B$33:$B$45, 'Updated Construction'!G155))</f>
        <v/>
      </c>
      <c r="D155" t="b">
        <v>0</v>
      </c>
      <c r="E155" s="7" t="n">
        <v>45657</v>
      </c>
      <c r="F155" t="n">
        <v>0</v>
      </c>
      <c r="G155" t="inlineStr">
        <is>
          <t>E</t>
        </is>
      </c>
      <c r="H155" s="7" t="n">
        <v>45688</v>
      </c>
    </row>
    <row r="156">
      <c r="A156" t="b">
        <v>1</v>
      </c>
      <c r="B156" t="inlineStr">
        <is>
          <t>Block E - No option</t>
        </is>
      </c>
      <c r="C156">
        <f>IF(A156=FALSE, 1,SUMIFS('Cashflow Projection'!$C$33:$C$45, 'Cashflow Projection'!$B$33:$B$45, 'Updated Construction'!G156))</f>
        <v/>
      </c>
      <c r="D156" t="b">
        <v>0</v>
      </c>
      <c r="E156" s="7" t="n">
        <v>45688</v>
      </c>
      <c r="F156" t="n">
        <v>0</v>
      </c>
      <c r="G156" t="inlineStr">
        <is>
          <t>E</t>
        </is>
      </c>
      <c r="H156" s="7" t="n">
        <v>45747</v>
      </c>
    </row>
    <row r="157">
      <c r="A157" t="b">
        <v>1</v>
      </c>
      <c r="B157" t="inlineStr">
        <is>
          <t>Block F - No option</t>
        </is>
      </c>
      <c r="C157">
        <f>IF(A157=FALSE, 1,SUMIFS('Cashflow Projection'!$C$33:$C$45, 'Cashflow Projection'!$B$33:$B$45, 'Updated Construction'!G157))</f>
        <v/>
      </c>
      <c r="D157" t="b">
        <v>1</v>
      </c>
      <c r="E157" s="7" t="n">
        <v>45382</v>
      </c>
      <c r="F157" t="n">
        <v>0</v>
      </c>
      <c r="G157" t="inlineStr">
        <is>
          <t>F</t>
        </is>
      </c>
      <c r="H157" s="7" t="n">
        <v>45443</v>
      </c>
    </row>
    <row r="158">
      <c r="A158" t="b">
        <v>1</v>
      </c>
      <c r="B158" t="inlineStr">
        <is>
          <t>Block F - No option</t>
        </is>
      </c>
      <c r="C158">
        <f>IF(A158=FALSE, 1,SUMIFS('Cashflow Projection'!$C$33:$C$45, 'Cashflow Projection'!$B$33:$B$45, 'Updated Construction'!G158))</f>
        <v/>
      </c>
      <c r="D158" t="b">
        <v>0</v>
      </c>
      <c r="E158" s="7" t="n">
        <v>45412</v>
      </c>
      <c r="F158" t="n">
        <v>0</v>
      </c>
      <c r="G158" t="inlineStr">
        <is>
          <t>F</t>
        </is>
      </c>
      <c r="H158" s="7" t="n">
        <v>45443</v>
      </c>
    </row>
    <row r="159">
      <c r="A159" t="b">
        <v>1</v>
      </c>
      <c r="B159" t="inlineStr">
        <is>
          <t>Block F - No option</t>
        </is>
      </c>
      <c r="C159">
        <f>IF(A159=FALSE, 1,SUMIFS('Cashflow Projection'!$C$33:$C$45, 'Cashflow Projection'!$B$33:$B$45, 'Updated Construction'!G159))</f>
        <v/>
      </c>
      <c r="D159" t="b">
        <v>0</v>
      </c>
      <c r="E159" s="7" t="n">
        <v>45442</v>
      </c>
      <c r="F159" t="n">
        <v>346072.83</v>
      </c>
      <c r="G159" t="inlineStr">
        <is>
          <t>F</t>
        </is>
      </c>
      <c r="H159" s="7" t="n">
        <v>45504</v>
      </c>
    </row>
    <row r="160">
      <c r="A160" t="b">
        <v>1</v>
      </c>
      <c r="B160" t="inlineStr">
        <is>
          <t>Block F - No option</t>
        </is>
      </c>
      <c r="C160">
        <f>IF(A160=FALSE, 1,SUMIFS('Cashflow Projection'!$C$33:$C$45, 'Cashflow Projection'!$B$33:$B$45, 'Updated Construction'!G160))</f>
        <v/>
      </c>
      <c r="D160" t="b">
        <v>0</v>
      </c>
      <c r="E160" s="7" t="n">
        <v>45472</v>
      </c>
      <c r="F160" t="n">
        <v>889901.5600000001</v>
      </c>
      <c r="G160" t="inlineStr">
        <is>
          <t>F</t>
        </is>
      </c>
      <c r="H160" s="7" t="n">
        <v>45504</v>
      </c>
    </row>
    <row r="161">
      <c r="A161" t="b">
        <v>1</v>
      </c>
      <c r="B161" t="inlineStr">
        <is>
          <t>Block F - No option</t>
        </is>
      </c>
      <c r="C161">
        <f>IF(A161=FALSE, 1,SUMIFS('Cashflow Projection'!$C$33:$C$45, 'Cashflow Projection'!$B$33:$B$45, 'Updated Construction'!G161))</f>
        <v/>
      </c>
      <c r="D161" t="b">
        <v>0</v>
      </c>
      <c r="E161" s="7" t="n">
        <v>45502</v>
      </c>
      <c r="F161" t="n">
        <v>1186535.42</v>
      </c>
      <c r="G161" t="inlineStr">
        <is>
          <t>F</t>
        </is>
      </c>
      <c r="H161" s="7" t="n">
        <v>45565</v>
      </c>
    </row>
    <row r="162">
      <c r="A162" t="b">
        <v>1</v>
      </c>
      <c r="B162" t="inlineStr">
        <is>
          <t>Block F - No option</t>
        </is>
      </c>
      <c r="C162">
        <f>IF(A162=FALSE, 1,SUMIFS('Cashflow Projection'!$C$33:$C$45, 'Cashflow Projection'!$B$33:$B$45, 'Updated Construction'!G162))</f>
        <v/>
      </c>
      <c r="D162" t="b">
        <v>0</v>
      </c>
      <c r="E162" s="7" t="n">
        <v>45532</v>
      </c>
      <c r="F162" t="n">
        <v>1186535.42</v>
      </c>
      <c r="G162" t="inlineStr">
        <is>
          <t>F</t>
        </is>
      </c>
      <c r="H162" s="7" t="n">
        <v>45565</v>
      </c>
    </row>
    <row r="163">
      <c r="A163" t="b">
        <v>1</v>
      </c>
      <c r="B163" t="inlineStr">
        <is>
          <t>Block F - No option</t>
        </is>
      </c>
      <c r="C163">
        <f>IF(A163=FALSE, 1,SUMIFS('Cashflow Projection'!$C$33:$C$45, 'Cashflow Projection'!$B$33:$B$45, 'Updated Construction'!G163))</f>
        <v/>
      </c>
      <c r="D163" t="b">
        <v>0</v>
      </c>
      <c r="E163" s="7" t="n">
        <v>45562</v>
      </c>
      <c r="F163" t="n">
        <v>988779.51</v>
      </c>
      <c r="G163" t="inlineStr">
        <is>
          <t>F</t>
        </is>
      </c>
      <c r="H163" s="7" t="n">
        <v>45626</v>
      </c>
    </row>
    <row r="164">
      <c r="A164" t="b">
        <v>1</v>
      </c>
      <c r="B164" t="inlineStr">
        <is>
          <t>Block F - No option</t>
        </is>
      </c>
      <c r="C164">
        <f>IF(A164=FALSE, 1,SUMIFS('Cashflow Projection'!$C$33:$C$45, 'Cashflow Projection'!$B$33:$B$45, 'Updated Construction'!G164))</f>
        <v/>
      </c>
      <c r="D164" t="b">
        <v>0</v>
      </c>
      <c r="E164" s="7" t="n">
        <v>45596</v>
      </c>
      <c r="F164" t="n">
        <v>346072.83</v>
      </c>
      <c r="G164" t="inlineStr">
        <is>
          <t>F</t>
        </is>
      </c>
      <c r="H164" s="7" t="n">
        <v>45626</v>
      </c>
    </row>
    <row r="165">
      <c r="A165" t="b">
        <v>1</v>
      </c>
      <c r="B165" t="inlineStr">
        <is>
          <t>Block F - No option</t>
        </is>
      </c>
      <c r="C165">
        <f>IF(A165=FALSE, 1,SUMIFS('Cashflow Projection'!$C$33:$C$45, 'Cashflow Projection'!$B$33:$B$45, 'Updated Construction'!G165))</f>
        <v/>
      </c>
      <c r="D165" t="b">
        <v>0</v>
      </c>
      <c r="E165" s="7" t="n">
        <v>45626</v>
      </c>
      <c r="F165" t="n">
        <v>0</v>
      </c>
      <c r="G165" t="inlineStr">
        <is>
          <t>F</t>
        </is>
      </c>
      <c r="H165" s="7" t="n">
        <v>45688</v>
      </c>
    </row>
    <row r="166">
      <c r="A166" t="b">
        <v>1</v>
      </c>
      <c r="B166" t="inlineStr">
        <is>
          <t>Block F - No option</t>
        </is>
      </c>
      <c r="C166">
        <f>IF(A166=FALSE, 1,SUMIFS('Cashflow Projection'!$C$33:$C$45, 'Cashflow Projection'!$B$33:$B$45, 'Updated Construction'!G166))</f>
        <v/>
      </c>
      <c r="D166" t="b">
        <v>0</v>
      </c>
      <c r="E166" s="7" t="n">
        <v>45657</v>
      </c>
      <c r="F166" t="n">
        <v>0</v>
      </c>
      <c r="G166" t="inlineStr">
        <is>
          <t>F</t>
        </is>
      </c>
      <c r="H166" s="7" t="n">
        <v>45688</v>
      </c>
    </row>
    <row r="167">
      <c r="A167" t="b">
        <v>1</v>
      </c>
      <c r="B167" t="inlineStr">
        <is>
          <t>Block F - No option</t>
        </is>
      </c>
      <c r="C167">
        <f>IF(A167=FALSE, 1,SUMIFS('Cashflow Projection'!$C$33:$C$45, 'Cashflow Projection'!$B$33:$B$45, 'Updated Construction'!G167))</f>
        <v/>
      </c>
      <c r="D167" t="b">
        <v>0</v>
      </c>
      <c r="E167" s="7" t="n">
        <v>45688</v>
      </c>
      <c r="F167" t="n">
        <v>0</v>
      </c>
      <c r="G167" t="inlineStr">
        <is>
          <t>F</t>
        </is>
      </c>
      <c r="H167" s="7" t="n">
        <v>45747</v>
      </c>
    </row>
    <row r="168">
      <c r="A168" t="b">
        <v>1</v>
      </c>
      <c r="B168" t="inlineStr">
        <is>
          <t>Block G</t>
        </is>
      </c>
      <c r="C168">
        <f>IF(A168=FALSE, 1,SUMIFS('Cashflow Projection'!$C$33:$C$45, 'Cashflow Projection'!$B$33:$B$45, 'Updated Construction'!G168))</f>
        <v/>
      </c>
      <c r="D168" t="b">
        <v>1</v>
      </c>
      <c r="E168" s="7" t="n">
        <v>45382</v>
      </c>
      <c r="F168" t="n">
        <v>0</v>
      </c>
      <c r="G168" t="inlineStr">
        <is>
          <t>G</t>
        </is>
      </c>
      <c r="H168" s="7" t="n">
        <v>45443</v>
      </c>
    </row>
    <row r="169">
      <c r="A169" t="b">
        <v>1</v>
      </c>
      <c r="B169" t="inlineStr">
        <is>
          <t>Block G</t>
        </is>
      </c>
      <c r="C169">
        <f>IF(A169=FALSE, 1,SUMIFS('Cashflow Projection'!$C$33:$C$45, 'Cashflow Projection'!$B$33:$B$45, 'Updated Construction'!G169))</f>
        <v/>
      </c>
      <c r="D169" t="b">
        <v>0</v>
      </c>
      <c r="E169" s="7" t="n">
        <v>45412</v>
      </c>
      <c r="F169" t="n">
        <v>0</v>
      </c>
      <c r="G169" t="inlineStr">
        <is>
          <t>G</t>
        </is>
      </c>
      <c r="H169" s="7" t="n">
        <v>45443</v>
      </c>
    </row>
    <row r="170">
      <c r="A170" t="b">
        <v>1</v>
      </c>
      <c r="B170" t="inlineStr">
        <is>
          <t>Block G</t>
        </is>
      </c>
      <c r="C170">
        <f>IF(A170=FALSE, 1,SUMIFS('Cashflow Projection'!$C$33:$C$45, 'Cashflow Projection'!$B$33:$B$45, 'Updated Construction'!G170))</f>
        <v/>
      </c>
      <c r="D170" t="b">
        <v>0</v>
      </c>
      <c r="E170" s="7" t="n">
        <v>45442</v>
      </c>
      <c r="F170" t="n">
        <v>0</v>
      </c>
      <c r="G170" t="inlineStr">
        <is>
          <t>G</t>
        </is>
      </c>
      <c r="H170" s="7" t="n">
        <v>45504</v>
      </c>
    </row>
    <row r="171">
      <c r="A171" t="b">
        <v>1</v>
      </c>
      <c r="B171" t="inlineStr">
        <is>
          <t>Block G</t>
        </is>
      </c>
      <c r="C171">
        <f>IF(A171=FALSE, 1,SUMIFS('Cashflow Projection'!$C$33:$C$45, 'Cashflow Projection'!$B$33:$B$45, 'Updated Construction'!G171))</f>
        <v/>
      </c>
      <c r="D171" t="b">
        <v>0</v>
      </c>
      <c r="E171" s="7" t="n">
        <v>45472</v>
      </c>
      <c r="F171" t="n">
        <v>0</v>
      </c>
      <c r="G171" t="inlineStr">
        <is>
          <t>G</t>
        </is>
      </c>
      <c r="H171" s="7" t="n">
        <v>45504</v>
      </c>
    </row>
    <row r="172">
      <c r="A172" t="b">
        <v>1</v>
      </c>
      <c r="B172" t="inlineStr">
        <is>
          <t>Block G</t>
        </is>
      </c>
      <c r="C172">
        <f>IF(A172=FALSE, 1,SUMIFS('Cashflow Projection'!$C$33:$C$45, 'Cashflow Projection'!$B$33:$B$45, 'Updated Construction'!G172))</f>
        <v/>
      </c>
      <c r="D172" t="b">
        <v>0</v>
      </c>
      <c r="E172" s="7" t="n">
        <v>45502</v>
      </c>
      <c r="F172" t="n">
        <v>964959.89</v>
      </c>
      <c r="G172" t="inlineStr">
        <is>
          <t>G</t>
        </is>
      </c>
      <c r="H172" s="7" t="n">
        <v>45565</v>
      </c>
    </row>
    <row r="173">
      <c r="A173" t="b">
        <v>1</v>
      </c>
      <c r="B173" t="inlineStr">
        <is>
          <t>Block G</t>
        </is>
      </c>
      <c r="C173">
        <f>IF(A173=FALSE, 1,SUMIFS('Cashflow Projection'!$C$33:$C$45, 'Cashflow Projection'!$B$33:$B$45, 'Updated Construction'!G173))</f>
        <v/>
      </c>
      <c r="D173" t="b">
        <v>0</v>
      </c>
      <c r="E173" s="7" t="n">
        <v>45532</v>
      </c>
      <c r="F173" t="n">
        <v>964959.89</v>
      </c>
      <c r="G173" t="inlineStr">
        <is>
          <t>G</t>
        </is>
      </c>
      <c r="H173" s="7" t="n">
        <v>45565</v>
      </c>
    </row>
    <row r="174">
      <c r="A174" t="b">
        <v>1</v>
      </c>
      <c r="B174" t="inlineStr">
        <is>
          <t>Block G</t>
        </is>
      </c>
      <c r="C174">
        <f>IF(A174=FALSE, 1,SUMIFS('Cashflow Projection'!$C$33:$C$45, 'Cashflow Projection'!$B$33:$B$45, 'Updated Construction'!G174))</f>
        <v/>
      </c>
      <c r="D174" t="b">
        <v>0</v>
      </c>
      <c r="E174" s="7" t="n">
        <v>45562</v>
      </c>
      <c r="F174" t="n">
        <v>964959.89</v>
      </c>
      <c r="G174" t="inlineStr">
        <is>
          <t>G</t>
        </is>
      </c>
      <c r="H174" s="7" t="n">
        <v>45626</v>
      </c>
    </row>
    <row r="175">
      <c r="A175" t="b">
        <v>1</v>
      </c>
      <c r="B175" t="inlineStr">
        <is>
          <t>Block G</t>
        </is>
      </c>
      <c r="C175">
        <f>IF(A175=FALSE, 1,SUMIFS('Cashflow Projection'!$C$33:$C$45, 'Cashflow Projection'!$B$33:$B$45, 'Updated Construction'!G175))</f>
        <v/>
      </c>
      <c r="D175" t="b">
        <v>0</v>
      </c>
      <c r="E175" s="7" t="n">
        <v>45596</v>
      </c>
      <c r="F175" t="n">
        <v>0</v>
      </c>
      <c r="G175" t="inlineStr">
        <is>
          <t>G</t>
        </is>
      </c>
      <c r="H175" s="7" t="n">
        <v>45626</v>
      </c>
    </row>
    <row r="176">
      <c r="A176" t="b">
        <v>1</v>
      </c>
      <c r="B176" t="inlineStr">
        <is>
          <t>Block G</t>
        </is>
      </c>
      <c r="C176">
        <f>IF(A176=FALSE, 1,SUMIFS('Cashflow Projection'!$C$33:$C$45, 'Cashflow Projection'!$B$33:$B$45, 'Updated Construction'!G176))</f>
        <v/>
      </c>
      <c r="D176" t="b">
        <v>0</v>
      </c>
      <c r="E176" s="7" t="n">
        <v>45626</v>
      </c>
      <c r="F176" t="n">
        <v>0</v>
      </c>
      <c r="G176" t="inlineStr">
        <is>
          <t>G</t>
        </is>
      </c>
      <c r="H176" s="7" t="n">
        <v>45688</v>
      </c>
    </row>
    <row r="177">
      <c r="A177" t="b">
        <v>1</v>
      </c>
      <c r="B177" t="inlineStr">
        <is>
          <t>Block G</t>
        </is>
      </c>
      <c r="C177">
        <f>IF(A177=FALSE, 1,SUMIFS('Cashflow Projection'!$C$33:$C$45, 'Cashflow Projection'!$B$33:$B$45, 'Updated Construction'!G177))</f>
        <v/>
      </c>
      <c r="D177" t="b">
        <v>0</v>
      </c>
      <c r="E177" s="7" t="n">
        <v>45657</v>
      </c>
      <c r="F177" t="n">
        <v>0</v>
      </c>
      <c r="G177" t="inlineStr">
        <is>
          <t>G</t>
        </is>
      </c>
      <c r="H177" s="7" t="n">
        <v>45688</v>
      </c>
    </row>
    <row r="178">
      <c r="A178" t="b">
        <v>1</v>
      </c>
      <c r="B178" t="inlineStr">
        <is>
          <t>Block G</t>
        </is>
      </c>
      <c r="C178">
        <f>IF(A178=FALSE, 1,SUMIFS('Cashflow Projection'!$C$33:$C$45, 'Cashflow Projection'!$B$33:$B$45, 'Updated Construction'!G178))</f>
        <v/>
      </c>
      <c r="D178" t="b">
        <v>0</v>
      </c>
      <c r="E178" s="7" t="n">
        <v>45688</v>
      </c>
      <c r="F178" t="n">
        <v>0</v>
      </c>
      <c r="G178" t="inlineStr">
        <is>
          <t>G</t>
        </is>
      </c>
      <c r="H178" s="7" t="n">
        <v>45747</v>
      </c>
    </row>
    <row r="179">
      <c r="A179" t="b">
        <v>1</v>
      </c>
      <c r="B179" t="inlineStr">
        <is>
          <t>Block I</t>
        </is>
      </c>
      <c r="C179">
        <f>IF(A179=FALSE, 1,SUMIFS('Cashflow Projection'!$C$33:$C$45, 'Cashflow Projection'!$B$33:$B$45, 'Updated Construction'!G179))</f>
        <v/>
      </c>
      <c r="D179" t="b">
        <v>1</v>
      </c>
      <c r="E179" s="7" t="n">
        <v>45382</v>
      </c>
      <c r="F179" t="n">
        <v>0</v>
      </c>
      <c r="G179" t="inlineStr">
        <is>
          <t>I</t>
        </is>
      </c>
      <c r="H179" s="7" t="n">
        <v>45443</v>
      </c>
    </row>
    <row r="180">
      <c r="A180" t="b">
        <v>1</v>
      </c>
      <c r="B180" t="inlineStr">
        <is>
          <t>Block I</t>
        </is>
      </c>
      <c r="C180">
        <f>IF(A180=FALSE, 1,SUMIFS('Cashflow Projection'!$C$33:$C$45, 'Cashflow Projection'!$B$33:$B$45, 'Updated Construction'!G180))</f>
        <v/>
      </c>
      <c r="D180" t="b">
        <v>0</v>
      </c>
      <c r="E180" s="7" t="n">
        <v>45412</v>
      </c>
      <c r="F180" t="n">
        <v>0</v>
      </c>
      <c r="G180" t="inlineStr">
        <is>
          <t>I</t>
        </is>
      </c>
      <c r="H180" s="7" t="n">
        <v>45443</v>
      </c>
    </row>
    <row r="181">
      <c r="A181" t="b">
        <v>1</v>
      </c>
      <c r="B181" t="inlineStr">
        <is>
          <t>Block I</t>
        </is>
      </c>
      <c r="C181">
        <f>IF(A181=FALSE, 1,SUMIFS('Cashflow Projection'!$C$33:$C$45, 'Cashflow Projection'!$B$33:$B$45, 'Updated Construction'!G181))</f>
        <v/>
      </c>
      <c r="D181" t="b">
        <v>0</v>
      </c>
      <c r="E181" s="7" t="n">
        <v>45442</v>
      </c>
      <c r="F181" t="n">
        <v>0</v>
      </c>
      <c r="G181" t="inlineStr">
        <is>
          <t>I</t>
        </is>
      </c>
      <c r="H181" s="7" t="n">
        <v>45504</v>
      </c>
    </row>
    <row r="182">
      <c r="A182" t="b">
        <v>1</v>
      </c>
      <c r="B182" t="inlineStr">
        <is>
          <t>Block I</t>
        </is>
      </c>
      <c r="C182">
        <f>IF(A182=FALSE, 1,SUMIFS('Cashflow Projection'!$C$33:$C$45, 'Cashflow Projection'!$B$33:$B$45, 'Updated Construction'!G182))</f>
        <v/>
      </c>
      <c r="D182" t="b">
        <v>0</v>
      </c>
      <c r="E182" s="7" t="n">
        <v>45472</v>
      </c>
      <c r="F182" t="n">
        <v>854455.96</v>
      </c>
      <c r="G182" t="inlineStr">
        <is>
          <t>I</t>
        </is>
      </c>
      <c r="H182" s="7" t="n">
        <v>45504</v>
      </c>
    </row>
    <row r="183">
      <c r="A183" t="b">
        <v>1</v>
      </c>
      <c r="B183" t="inlineStr">
        <is>
          <t>Block I</t>
        </is>
      </c>
      <c r="C183">
        <f>IF(A183=FALSE, 1,SUMIFS('Cashflow Projection'!$C$33:$C$45, 'Cashflow Projection'!$B$33:$B$45, 'Updated Construction'!G183))</f>
        <v/>
      </c>
      <c r="D183" t="b">
        <v>0</v>
      </c>
      <c r="E183" s="7" t="n">
        <v>45502</v>
      </c>
      <c r="F183" t="n">
        <v>854455.96</v>
      </c>
      <c r="G183" t="inlineStr">
        <is>
          <t>I</t>
        </is>
      </c>
      <c r="H183" s="7" t="n">
        <v>45565</v>
      </c>
    </row>
    <row r="184">
      <c r="A184" t="b">
        <v>1</v>
      </c>
      <c r="B184" t="inlineStr">
        <is>
          <t>Block I</t>
        </is>
      </c>
      <c r="C184">
        <f>IF(A184=FALSE, 1,SUMIFS('Cashflow Projection'!$C$33:$C$45, 'Cashflow Projection'!$B$33:$B$45, 'Updated Construction'!G184))</f>
        <v/>
      </c>
      <c r="D184" t="b">
        <v>0</v>
      </c>
      <c r="E184" s="7" t="n">
        <v>45532</v>
      </c>
      <c r="F184" t="n">
        <v>854455.96</v>
      </c>
      <c r="G184" t="inlineStr">
        <is>
          <t>I</t>
        </is>
      </c>
      <c r="H184" s="7" t="n">
        <v>45565</v>
      </c>
    </row>
    <row r="185">
      <c r="A185" t="b">
        <v>1</v>
      </c>
      <c r="B185" t="inlineStr">
        <is>
          <t>Block I</t>
        </is>
      </c>
      <c r="C185">
        <f>IF(A185=FALSE, 1,SUMIFS('Cashflow Projection'!$C$33:$C$45, 'Cashflow Projection'!$B$33:$B$45, 'Updated Construction'!G185))</f>
        <v/>
      </c>
      <c r="D185" t="b">
        <v>0</v>
      </c>
      <c r="E185" s="7" t="n">
        <v>45562</v>
      </c>
      <c r="F185" t="n">
        <v>0</v>
      </c>
      <c r="G185" t="inlineStr">
        <is>
          <t>I</t>
        </is>
      </c>
      <c r="H185" s="7" t="n">
        <v>45626</v>
      </c>
    </row>
    <row r="186">
      <c r="A186" t="b">
        <v>1</v>
      </c>
      <c r="B186" t="inlineStr">
        <is>
          <t>Block I</t>
        </is>
      </c>
      <c r="C186">
        <f>IF(A186=FALSE, 1,SUMIFS('Cashflow Projection'!$C$33:$C$45, 'Cashflow Projection'!$B$33:$B$45, 'Updated Construction'!G186))</f>
        <v/>
      </c>
      <c r="D186" t="b">
        <v>0</v>
      </c>
      <c r="E186" s="7" t="n">
        <v>45596</v>
      </c>
      <c r="F186" t="n">
        <v>0</v>
      </c>
      <c r="G186" t="inlineStr">
        <is>
          <t>I</t>
        </is>
      </c>
      <c r="H186" s="7" t="n">
        <v>45626</v>
      </c>
    </row>
    <row r="187">
      <c r="A187" t="b">
        <v>1</v>
      </c>
      <c r="B187" t="inlineStr">
        <is>
          <t>Block I</t>
        </is>
      </c>
      <c r="C187">
        <f>IF(A187=FALSE, 1,SUMIFS('Cashflow Projection'!$C$33:$C$45, 'Cashflow Projection'!$B$33:$B$45, 'Updated Construction'!G187))</f>
        <v/>
      </c>
      <c r="D187" t="b">
        <v>0</v>
      </c>
      <c r="E187" s="7" t="n">
        <v>45626</v>
      </c>
      <c r="F187" t="n">
        <v>0</v>
      </c>
      <c r="G187" t="inlineStr">
        <is>
          <t>I</t>
        </is>
      </c>
      <c r="H187" s="7" t="n">
        <v>45688</v>
      </c>
    </row>
    <row r="188">
      <c r="A188" t="b">
        <v>1</v>
      </c>
      <c r="B188" t="inlineStr">
        <is>
          <t>Block I</t>
        </is>
      </c>
      <c r="C188">
        <f>IF(A188=FALSE, 1,SUMIFS('Cashflow Projection'!$C$33:$C$45, 'Cashflow Projection'!$B$33:$B$45, 'Updated Construction'!G188))</f>
        <v/>
      </c>
      <c r="D188" t="b">
        <v>0</v>
      </c>
      <c r="E188" s="7" t="n">
        <v>45657</v>
      </c>
      <c r="F188" t="n">
        <v>0</v>
      </c>
      <c r="G188" t="inlineStr">
        <is>
          <t>I</t>
        </is>
      </c>
      <c r="H188" s="7" t="n">
        <v>45688</v>
      </c>
    </row>
    <row r="189">
      <c r="A189" t="b">
        <v>1</v>
      </c>
      <c r="B189" t="inlineStr">
        <is>
          <t>Block I</t>
        </is>
      </c>
      <c r="C189">
        <f>IF(A189=FALSE, 1,SUMIFS('Cashflow Projection'!$C$33:$C$45, 'Cashflow Projection'!$B$33:$B$45, 'Updated Construction'!G189))</f>
        <v/>
      </c>
      <c r="D189" t="b">
        <v>0</v>
      </c>
      <c r="E189" s="7" t="n">
        <v>45688</v>
      </c>
      <c r="F189" t="n">
        <v>0</v>
      </c>
      <c r="G189" t="inlineStr">
        <is>
          <t>I</t>
        </is>
      </c>
      <c r="H189" s="7" t="n">
        <v>45747</v>
      </c>
    </row>
    <row r="190">
      <c r="A190" t="b">
        <v>1</v>
      </c>
      <c r="B190" t="inlineStr">
        <is>
          <t>Block J</t>
        </is>
      </c>
      <c r="C190">
        <f>IF(A190=FALSE, 1,SUMIFS('Cashflow Projection'!$C$33:$C$45, 'Cashflow Projection'!$B$33:$B$45, 'Updated Construction'!G190))</f>
        <v/>
      </c>
      <c r="D190" t="b">
        <v>1</v>
      </c>
      <c r="E190" s="7" t="n">
        <v>45382</v>
      </c>
      <c r="F190" t="n">
        <v>0</v>
      </c>
      <c r="G190" t="inlineStr">
        <is>
          <t>J</t>
        </is>
      </c>
      <c r="H190" s="7" t="n">
        <v>45443</v>
      </c>
    </row>
    <row r="191">
      <c r="A191" t="b">
        <v>1</v>
      </c>
      <c r="B191" t="inlineStr">
        <is>
          <t>Block J</t>
        </is>
      </c>
      <c r="C191">
        <f>IF(A191=FALSE, 1,SUMIFS('Cashflow Projection'!$C$33:$C$45, 'Cashflow Projection'!$B$33:$B$45, 'Updated Construction'!G191))</f>
        <v/>
      </c>
      <c r="D191" t="b">
        <v>0</v>
      </c>
      <c r="E191" s="7" t="n">
        <v>45412</v>
      </c>
      <c r="F191" t="n">
        <v>0</v>
      </c>
      <c r="G191" t="inlineStr">
        <is>
          <t>J</t>
        </is>
      </c>
      <c r="H191" s="7" t="n">
        <v>45443</v>
      </c>
    </row>
    <row r="192">
      <c r="A192" t="b">
        <v>1</v>
      </c>
      <c r="B192" t="inlineStr">
        <is>
          <t>Block J</t>
        </is>
      </c>
      <c r="C192">
        <f>IF(A192=FALSE, 1,SUMIFS('Cashflow Projection'!$C$33:$C$45, 'Cashflow Projection'!$B$33:$B$45, 'Updated Construction'!G192))</f>
        <v/>
      </c>
      <c r="D192" t="b">
        <v>0</v>
      </c>
      <c r="E192" s="7" t="n">
        <v>45442</v>
      </c>
      <c r="F192" t="n">
        <v>0</v>
      </c>
      <c r="G192" t="inlineStr">
        <is>
          <t>J</t>
        </is>
      </c>
      <c r="H192" s="7" t="n">
        <v>45504</v>
      </c>
    </row>
    <row r="193">
      <c r="A193" t="b">
        <v>1</v>
      </c>
      <c r="B193" t="inlineStr">
        <is>
          <t>Block J</t>
        </is>
      </c>
      <c r="C193">
        <f>IF(A193=FALSE, 1,SUMIFS('Cashflow Projection'!$C$33:$C$45, 'Cashflow Projection'!$B$33:$B$45, 'Updated Construction'!G193))</f>
        <v/>
      </c>
      <c r="D193" t="b">
        <v>0</v>
      </c>
      <c r="E193" s="7" t="n">
        <v>45472</v>
      </c>
      <c r="F193" t="n">
        <v>1284618</v>
      </c>
      <c r="G193" t="inlineStr">
        <is>
          <t>J</t>
        </is>
      </c>
      <c r="H193" s="7" t="n">
        <v>45504</v>
      </c>
    </row>
    <row r="194">
      <c r="A194" t="b">
        <v>1</v>
      </c>
      <c r="B194" t="inlineStr">
        <is>
          <t>Block J</t>
        </is>
      </c>
      <c r="C194">
        <f>IF(A194=FALSE, 1,SUMIFS('Cashflow Projection'!$C$33:$C$45, 'Cashflow Projection'!$B$33:$B$45, 'Updated Construction'!G194))</f>
        <v/>
      </c>
      <c r="D194" t="b">
        <v>0</v>
      </c>
      <c r="E194" s="7" t="n">
        <v>45502</v>
      </c>
      <c r="F194" t="n">
        <v>1164683.59</v>
      </c>
      <c r="G194" t="inlineStr">
        <is>
          <t>J</t>
        </is>
      </c>
      <c r="H194" s="7" t="n">
        <v>45565</v>
      </c>
    </row>
    <row r="195">
      <c r="A195" t="b">
        <v>1</v>
      </c>
      <c r="B195" t="inlineStr">
        <is>
          <t>Block J</t>
        </is>
      </c>
      <c r="C195">
        <f>IF(A195=FALSE, 1,SUMIFS('Cashflow Projection'!$C$33:$C$45, 'Cashflow Projection'!$B$33:$B$45, 'Updated Construction'!G195))</f>
        <v/>
      </c>
      <c r="D195" t="b">
        <v>0</v>
      </c>
      <c r="E195" s="7" t="n">
        <v>45532</v>
      </c>
      <c r="F195" t="n">
        <v>1042257.69</v>
      </c>
      <c r="G195" t="inlineStr">
        <is>
          <t>J</t>
        </is>
      </c>
      <c r="H195" s="7" t="n">
        <v>45565</v>
      </c>
    </row>
    <row r="196">
      <c r="A196" t="b">
        <v>1</v>
      </c>
      <c r="B196" t="inlineStr">
        <is>
          <t>Block J</t>
        </is>
      </c>
      <c r="C196">
        <f>IF(A196=FALSE, 1,SUMIFS('Cashflow Projection'!$C$33:$C$45, 'Cashflow Projection'!$B$33:$B$45, 'Updated Construction'!G196))</f>
        <v/>
      </c>
      <c r="D196" t="b">
        <v>0</v>
      </c>
      <c r="E196" s="7" t="n">
        <v>45562</v>
      </c>
      <c r="F196" t="n">
        <v>0</v>
      </c>
      <c r="G196" t="inlineStr">
        <is>
          <t>J</t>
        </is>
      </c>
      <c r="H196" s="7" t="n">
        <v>45626</v>
      </c>
    </row>
    <row r="197">
      <c r="A197" t="b">
        <v>1</v>
      </c>
      <c r="B197" t="inlineStr">
        <is>
          <t>Block J</t>
        </is>
      </c>
      <c r="C197">
        <f>IF(A197=FALSE, 1,SUMIFS('Cashflow Projection'!$C$33:$C$45, 'Cashflow Projection'!$B$33:$B$45, 'Updated Construction'!G197))</f>
        <v/>
      </c>
      <c r="D197" t="b">
        <v>0</v>
      </c>
      <c r="E197" s="7" t="n">
        <v>45596</v>
      </c>
      <c r="F197" t="n">
        <v>0</v>
      </c>
      <c r="G197" t="inlineStr">
        <is>
          <t>J</t>
        </is>
      </c>
      <c r="H197" s="7" t="n">
        <v>45626</v>
      </c>
    </row>
    <row r="198">
      <c r="A198" t="b">
        <v>1</v>
      </c>
      <c r="B198" t="inlineStr">
        <is>
          <t>Block J</t>
        </is>
      </c>
      <c r="C198">
        <f>IF(A198=FALSE, 1,SUMIFS('Cashflow Projection'!$C$33:$C$45, 'Cashflow Projection'!$B$33:$B$45, 'Updated Construction'!G198))</f>
        <v/>
      </c>
      <c r="D198" t="b">
        <v>0</v>
      </c>
      <c r="E198" s="7" t="n">
        <v>45626</v>
      </c>
      <c r="F198" t="n">
        <v>0</v>
      </c>
      <c r="G198" t="inlineStr">
        <is>
          <t>J</t>
        </is>
      </c>
      <c r="H198" s="7" t="n">
        <v>45688</v>
      </c>
    </row>
    <row r="199">
      <c r="A199" t="b">
        <v>1</v>
      </c>
      <c r="B199" t="inlineStr">
        <is>
          <t>Block J</t>
        </is>
      </c>
      <c r="C199">
        <f>IF(A199=FALSE, 1,SUMIFS('Cashflow Projection'!$C$33:$C$45, 'Cashflow Projection'!$B$33:$B$45, 'Updated Construction'!G199))</f>
        <v/>
      </c>
      <c r="D199" t="b">
        <v>0</v>
      </c>
      <c r="E199" s="7" t="n">
        <v>45657</v>
      </c>
      <c r="F199" t="n">
        <v>0</v>
      </c>
      <c r="G199" t="inlineStr">
        <is>
          <t>J</t>
        </is>
      </c>
      <c r="H199" s="7" t="n">
        <v>45688</v>
      </c>
    </row>
    <row r="200">
      <c r="A200" t="b">
        <v>1</v>
      </c>
      <c r="B200" t="inlineStr">
        <is>
          <t>Block J</t>
        </is>
      </c>
      <c r="C200">
        <f>IF(A200=FALSE, 1,SUMIFS('Cashflow Projection'!$C$33:$C$45, 'Cashflow Projection'!$B$33:$B$45, 'Updated Construction'!G200))</f>
        <v/>
      </c>
      <c r="D200" t="b">
        <v>0</v>
      </c>
      <c r="E200" s="7" t="n">
        <v>45688</v>
      </c>
      <c r="F200" t="n">
        <v>0</v>
      </c>
      <c r="G200" t="inlineStr">
        <is>
          <t>J</t>
        </is>
      </c>
      <c r="H200" s="7" t="n">
        <v>45747</v>
      </c>
    </row>
    <row r="201">
      <c r="A201" t="b">
        <v>1</v>
      </c>
      <c r="B201" t="inlineStr">
        <is>
          <t>Block K</t>
        </is>
      </c>
      <c r="C201">
        <f>IF(A201=FALSE, 1,SUMIFS('Cashflow Projection'!$C$33:$C$45, 'Cashflow Projection'!$B$33:$B$45, 'Updated Construction'!G201))</f>
        <v/>
      </c>
      <c r="D201" t="b">
        <v>1</v>
      </c>
      <c r="E201" s="7" t="n">
        <v>45382</v>
      </c>
      <c r="F201" t="n">
        <v>0</v>
      </c>
      <c r="G201" t="inlineStr">
        <is>
          <t>K</t>
        </is>
      </c>
      <c r="H201" s="7" t="n">
        <v>45443</v>
      </c>
    </row>
    <row r="202">
      <c r="A202" t="b">
        <v>1</v>
      </c>
      <c r="B202" t="inlineStr">
        <is>
          <t>Block K</t>
        </is>
      </c>
      <c r="C202">
        <f>IF(A202=FALSE, 1,SUMIFS('Cashflow Projection'!$C$33:$C$45, 'Cashflow Projection'!$B$33:$B$45, 'Updated Construction'!G202))</f>
        <v/>
      </c>
      <c r="D202" t="b">
        <v>0</v>
      </c>
      <c r="E202" s="7" t="n">
        <v>45412</v>
      </c>
      <c r="F202" t="n">
        <v>0</v>
      </c>
      <c r="G202" t="inlineStr">
        <is>
          <t>K</t>
        </is>
      </c>
      <c r="H202" s="7" t="n">
        <v>45443</v>
      </c>
    </row>
    <row r="203">
      <c r="A203" t="b">
        <v>1</v>
      </c>
      <c r="B203" t="inlineStr">
        <is>
          <t>Block K</t>
        </is>
      </c>
      <c r="C203">
        <f>IF(A203=FALSE, 1,SUMIFS('Cashflow Projection'!$C$33:$C$45, 'Cashflow Projection'!$B$33:$B$45, 'Updated Construction'!G203))</f>
        <v/>
      </c>
      <c r="D203" t="b">
        <v>0</v>
      </c>
      <c r="E203" s="7" t="n">
        <v>45442</v>
      </c>
      <c r="F203" t="n">
        <v>1686292.47</v>
      </c>
      <c r="G203" t="inlineStr">
        <is>
          <t>K</t>
        </is>
      </c>
      <c r="H203" s="7" t="n">
        <v>45504</v>
      </c>
    </row>
    <row r="204">
      <c r="A204" t="b">
        <v>1</v>
      </c>
      <c r="B204" t="inlineStr">
        <is>
          <t>Block K</t>
        </is>
      </c>
      <c r="C204">
        <f>IF(A204=FALSE, 1,SUMIFS('Cashflow Projection'!$C$33:$C$45, 'Cashflow Projection'!$B$33:$B$45, 'Updated Construction'!G204))</f>
        <v/>
      </c>
      <c r="D204" t="b">
        <v>0</v>
      </c>
      <c r="E204" s="7" t="n">
        <v>45472</v>
      </c>
      <c r="F204" t="n">
        <v>2267408.89</v>
      </c>
      <c r="G204" t="inlineStr">
        <is>
          <t>K</t>
        </is>
      </c>
      <c r="H204" s="7" t="n">
        <v>45504</v>
      </c>
    </row>
    <row r="205">
      <c r="A205" t="b">
        <v>1</v>
      </c>
      <c r="B205" t="inlineStr">
        <is>
          <t>Block K</t>
        </is>
      </c>
      <c r="C205">
        <f>IF(A205=FALSE, 1,SUMIFS('Cashflow Projection'!$C$33:$C$45, 'Cashflow Projection'!$B$33:$B$45, 'Updated Construction'!G205))</f>
        <v/>
      </c>
      <c r="D205" t="b">
        <v>0</v>
      </c>
      <c r="E205" s="7" t="n">
        <v>45502</v>
      </c>
      <c r="F205" t="n">
        <v>1549033.62</v>
      </c>
      <c r="G205" t="inlineStr">
        <is>
          <t>K</t>
        </is>
      </c>
      <c r="H205" s="7" t="n">
        <v>45565</v>
      </c>
    </row>
    <row r="206">
      <c r="A206" t="b">
        <v>1</v>
      </c>
      <c r="B206" t="inlineStr">
        <is>
          <t>Block K</t>
        </is>
      </c>
      <c r="C206">
        <f>IF(A206=FALSE, 1,SUMIFS('Cashflow Projection'!$C$33:$C$45, 'Cashflow Projection'!$B$33:$B$45, 'Updated Construction'!G206))</f>
        <v/>
      </c>
      <c r="D206" t="b">
        <v>0</v>
      </c>
      <c r="E206" s="7" t="n">
        <v>45532</v>
      </c>
      <c r="F206" t="n">
        <v>42841.81</v>
      </c>
      <c r="G206" t="inlineStr">
        <is>
          <t>K</t>
        </is>
      </c>
      <c r="H206" s="7" t="n">
        <v>45565</v>
      </c>
    </row>
    <row r="207">
      <c r="A207" t="b">
        <v>1</v>
      </c>
      <c r="B207" t="inlineStr">
        <is>
          <t>Block K</t>
        </is>
      </c>
      <c r="C207">
        <f>IF(A207=FALSE, 1,SUMIFS('Cashflow Projection'!$C$33:$C$45, 'Cashflow Projection'!$B$33:$B$45, 'Updated Construction'!G207))</f>
        <v/>
      </c>
      <c r="D207" t="b">
        <v>0</v>
      </c>
      <c r="E207" s="7" t="n">
        <v>45562</v>
      </c>
      <c r="F207" t="n">
        <v>0</v>
      </c>
      <c r="G207" t="inlineStr">
        <is>
          <t>K</t>
        </is>
      </c>
      <c r="H207" s="7" t="n">
        <v>45626</v>
      </c>
    </row>
    <row r="208">
      <c r="A208" t="b">
        <v>1</v>
      </c>
      <c r="B208" t="inlineStr">
        <is>
          <t>Block K</t>
        </is>
      </c>
      <c r="C208">
        <f>IF(A208=FALSE, 1,SUMIFS('Cashflow Projection'!$C$33:$C$45, 'Cashflow Projection'!$B$33:$B$45, 'Updated Construction'!G208))</f>
        <v/>
      </c>
      <c r="D208" t="b">
        <v>0</v>
      </c>
      <c r="E208" s="7" t="n">
        <v>45596</v>
      </c>
      <c r="F208" t="n">
        <v>0</v>
      </c>
      <c r="G208" t="inlineStr">
        <is>
          <t>K</t>
        </is>
      </c>
      <c r="H208" s="7" t="n">
        <v>45626</v>
      </c>
    </row>
    <row r="209">
      <c r="A209" t="b">
        <v>1</v>
      </c>
      <c r="B209" t="inlineStr">
        <is>
          <t>Block K</t>
        </is>
      </c>
      <c r="C209">
        <f>IF(A209=FALSE, 1,SUMIFS('Cashflow Projection'!$C$33:$C$45, 'Cashflow Projection'!$B$33:$B$45, 'Updated Construction'!G209))</f>
        <v/>
      </c>
      <c r="D209" t="b">
        <v>0</v>
      </c>
      <c r="E209" s="7" t="n">
        <v>45626</v>
      </c>
      <c r="F209" t="n">
        <v>0</v>
      </c>
      <c r="G209" t="inlineStr">
        <is>
          <t>K</t>
        </is>
      </c>
      <c r="H209" s="7" t="n">
        <v>45688</v>
      </c>
    </row>
    <row r="210">
      <c r="A210" t="b">
        <v>1</v>
      </c>
      <c r="B210" t="inlineStr">
        <is>
          <t>Block K</t>
        </is>
      </c>
      <c r="C210">
        <f>IF(A210=FALSE, 1,SUMIFS('Cashflow Projection'!$C$33:$C$45, 'Cashflow Projection'!$B$33:$B$45, 'Updated Construction'!G210))</f>
        <v/>
      </c>
      <c r="D210" t="b">
        <v>0</v>
      </c>
      <c r="E210" s="7" t="n">
        <v>45657</v>
      </c>
      <c r="F210" t="n">
        <v>0</v>
      </c>
      <c r="G210" t="inlineStr">
        <is>
          <t>K</t>
        </is>
      </c>
      <c r="H210" s="7" t="n">
        <v>45688</v>
      </c>
    </row>
    <row r="211">
      <c r="A211" t="b">
        <v>1</v>
      </c>
      <c r="B211" t="inlineStr">
        <is>
          <t>Block K</t>
        </is>
      </c>
      <c r="C211">
        <f>IF(A211=FALSE, 1,SUMIFS('Cashflow Projection'!$C$33:$C$45, 'Cashflow Projection'!$B$33:$B$45, 'Updated Construction'!G211))</f>
        <v/>
      </c>
      <c r="D211" t="b">
        <v>0</v>
      </c>
      <c r="E211" s="7" t="n">
        <v>45688</v>
      </c>
      <c r="F211" t="n">
        <v>0</v>
      </c>
      <c r="G211" t="inlineStr">
        <is>
          <t>K</t>
        </is>
      </c>
      <c r="H211" s="7" t="n">
        <v>45747</v>
      </c>
    </row>
    <row r="212">
      <c r="A212" t="b">
        <v>1</v>
      </c>
      <c r="B212" t="inlineStr">
        <is>
          <t>Block L</t>
        </is>
      </c>
      <c r="C212">
        <f>IF(A212=FALSE, 1,SUMIFS('Cashflow Projection'!$C$33:$C$45, 'Cashflow Projection'!$B$33:$B$45, 'Updated Construction'!G212))</f>
        <v/>
      </c>
      <c r="D212" t="b">
        <v>1</v>
      </c>
      <c r="E212" s="7" t="n">
        <v>45382</v>
      </c>
      <c r="F212" t="n">
        <v>0</v>
      </c>
      <c r="G212" t="inlineStr">
        <is>
          <t>L</t>
        </is>
      </c>
      <c r="H212" s="7" t="n">
        <v>45443</v>
      </c>
    </row>
    <row r="213">
      <c r="A213" t="b">
        <v>1</v>
      </c>
      <c r="B213" t="inlineStr">
        <is>
          <t>Block L</t>
        </is>
      </c>
      <c r="C213">
        <f>IF(A213=FALSE, 1,SUMIFS('Cashflow Projection'!$C$33:$C$45, 'Cashflow Projection'!$B$33:$B$45, 'Updated Construction'!G213))</f>
        <v/>
      </c>
      <c r="D213" t="b">
        <v>0</v>
      </c>
      <c r="E213" s="7" t="n">
        <v>45412</v>
      </c>
      <c r="F213" t="n">
        <v>0</v>
      </c>
      <c r="G213" t="inlineStr">
        <is>
          <t>L</t>
        </is>
      </c>
      <c r="H213" s="7" t="n">
        <v>45443</v>
      </c>
    </row>
    <row r="214">
      <c r="A214" t="b">
        <v>1</v>
      </c>
      <c r="B214" t="inlineStr">
        <is>
          <t>Block L</t>
        </is>
      </c>
      <c r="C214">
        <f>IF(A214=FALSE, 1,SUMIFS('Cashflow Projection'!$C$33:$C$45, 'Cashflow Projection'!$B$33:$B$45, 'Updated Construction'!G214))</f>
        <v/>
      </c>
      <c r="D214" t="b">
        <v>0</v>
      </c>
      <c r="E214" s="7" t="n">
        <v>45442</v>
      </c>
      <c r="F214" t="n">
        <v>0</v>
      </c>
      <c r="G214" t="inlineStr">
        <is>
          <t>L</t>
        </is>
      </c>
      <c r="H214" s="7" t="n">
        <v>45504</v>
      </c>
    </row>
    <row r="215">
      <c r="A215" t="b">
        <v>1</v>
      </c>
      <c r="B215" t="inlineStr">
        <is>
          <t>Block L</t>
        </is>
      </c>
      <c r="C215">
        <f>IF(A215=FALSE, 1,SUMIFS('Cashflow Projection'!$C$33:$C$45, 'Cashflow Projection'!$B$33:$B$45, 'Updated Construction'!G215))</f>
        <v/>
      </c>
      <c r="D215" t="b">
        <v>0</v>
      </c>
      <c r="E215" s="7" t="n">
        <v>45472</v>
      </c>
      <c r="F215" t="n">
        <v>0</v>
      </c>
      <c r="G215" t="inlineStr">
        <is>
          <t>L</t>
        </is>
      </c>
      <c r="H215" s="7" t="n">
        <v>45504</v>
      </c>
    </row>
    <row r="216">
      <c r="A216" t="b">
        <v>1</v>
      </c>
      <c r="B216" t="inlineStr">
        <is>
          <t>Block L</t>
        </is>
      </c>
      <c r="C216">
        <f>IF(A216=FALSE, 1,SUMIFS('Cashflow Projection'!$C$33:$C$45, 'Cashflow Projection'!$B$33:$B$45, 'Updated Construction'!G216))</f>
        <v/>
      </c>
      <c r="D216" t="b">
        <v>0</v>
      </c>
      <c r="E216" s="7" t="n">
        <v>45502</v>
      </c>
      <c r="F216" t="n">
        <v>531547.22</v>
      </c>
      <c r="G216" t="inlineStr">
        <is>
          <t>L</t>
        </is>
      </c>
      <c r="H216" s="7" t="n">
        <v>45565</v>
      </c>
    </row>
    <row r="217">
      <c r="A217" t="b">
        <v>1</v>
      </c>
      <c r="B217" t="inlineStr">
        <is>
          <t>Block L</t>
        </is>
      </c>
      <c r="C217">
        <f>IF(A217=FALSE, 1,SUMIFS('Cashflow Projection'!$C$33:$C$45, 'Cashflow Projection'!$B$33:$B$45, 'Updated Construction'!G217))</f>
        <v/>
      </c>
      <c r="D217" t="b">
        <v>0</v>
      </c>
      <c r="E217" s="7" t="n">
        <v>45532</v>
      </c>
      <c r="F217" t="n">
        <v>646412.5699999999</v>
      </c>
      <c r="G217" t="inlineStr">
        <is>
          <t>L</t>
        </is>
      </c>
      <c r="H217" s="7" t="n">
        <v>45565</v>
      </c>
    </row>
    <row r="218">
      <c r="A218" t="b">
        <v>1</v>
      </c>
      <c r="B218" t="inlineStr">
        <is>
          <t>Block L</t>
        </is>
      </c>
      <c r="C218">
        <f>IF(A218=FALSE, 1,SUMIFS('Cashflow Projection'!$C$33:$C$45, 'Cashflow Projection'!$B$33:$B$45, 'Updated Construction'!G218))</f>
        <v/>
      </c>
      <c r="D218" t="b">
        <v>0</v>
      </c>
      <c r="E218" s="7" t="n">
        <v>45562</v>
      </c>
      <c r="F218" t="n">
        <v>462538.43</v>
      </c>
      <c r="G218" t="inlineStr">
        <is>
          <t>L</t>
        </is>
      </c>
      <c r="H218" s="7" t="n">
        <v>45626</v>
      </c>
    </row>
    <row r="219">
      <c r="A219" t="b">
        <v>1</v>
      </c>
      <c r="B219" t="inlineStr">
        <is>
          <t>Block L</t>
        </is>
      </c>
      <c r="C219">
        <f>IF(A219=FALSE, 1,SUMIFS('Cashflow Projection'!$C$33:$C$45, 'Cashflow Projection'!$B$33:$B$45, 'Updated Construction'!G219))</f>
        <v/>
      </c>
      <c r="D219" t="b">
        <v>0</v>
      </c>
      <c r="E219" s="7" t="n">
        <v>45596</v>
      </c>
      <c r="F219" t="n">
        <v>7667.64</v>
      </c>
      <c r="G219" t="inlineStr">
        <is>
          <t>L</t>
        </is>
      </c>
      <c r="H219" s="7" t="n">
        <v>45626</v>
      </c>
    </row>
    <row r="220">
      <c r="A220" t="b">
        <v>1</v>
      </c>
      <c r="B220" t="inlineStr">
        <is>
          <t>Block L</t>
        </is>
      </c>
      <c r="C220">
        <f>IF(A220=FALSE, 1,SUMIFS('Cashflow Projection'!$C$33:$C$45, 'Cashflow Projection'!$B$33:$B$45, 'Updated Construction'!G220))</f>
        <v/>
      </c>
      <c r="D220" t="b">
        <v>0</v>
      </c>
      <c r="E220" s="7" t="n">
        <v>45626</v>
      </c>
      <c r="F220" t="n">
        <v>0</v>
      </c>
      <c r="G220" t="inlineStr">
        <is>
          <t>L</t>
        </is>
      </c>
      <c r="H220" s="7" t="n">
        <v>45688</v>
      </c>
    </row>
    <row r="221">
      <c r="A221" t="b">
        <v>1</v>
      </c>
      <c r="B221" t="inlineStr">
        <is>
          <t>Block L</t>
        </is>
      </c>
      <c r="C221">
        <f>IF(A221=FALSE, 1,SUMIFS('Cashflow Projection'!$C$33:$C$45, 'Cashflow Projection'!$B$33:$B$45, 'Updated Construction'!G221))</f>
        <v/>
      </c>
      <c r="D221" t="b">
        <v>0</v>
      </c>
      <c r="E221" s="7" t="n">
        <v>45657</v>
      </c>
      <c r="F221" t="n">
        <v>0</v>
      </c>
      <c r="G221" t="inlineStr">
        <is>
          <t>L</t>
        </is>
      </c>
      <c r="H221" s="7" t="n">
        <v>45688</v>
      </c>
    </row>
    <row r="222">
      <c r="A222" t="b">
        <v>1</v>
      </c>
      <c r="B222" t="inlineStr">
        <is>
          <t>Block L</t>
        </is>
      </c>
      <c r="C222">
        <f>IF(A222=FALSE, 1,SUMIFS('Cashflow Projection'!$C$33:$C$45, 'Cashflow Projection'!$B$33:$B$45, 'Updated Construction'!G222))</f>
        <v/>
      </c>
      <c r="D222" t="b">
        <v>0</v>
      </c>
      <c r="E222" s="7" t="n">
        <v>45688</v>
      </c>
      <c r="F222" t="n">
        <v>0</v>
      </c>
      <c r="G222" t="inlineStr">
        <is>
          <t>L</t>
        </is>
      </c>
      <c r="H222" s="7" t="n">
        <v>45747</v>
      </c>
    </row>
    <row r="223">
      <c r="A223" t="b">
        <v>1</v>
      </c>
      <c r="B223" t="inlineStr">
        <is>
          <t>Block M</t>
        </is>
      </c>
      <c r="C223">
        <f>IF(A223=FALSE, 1,SUMIFS('Cashflow Projection'!$C$33:$C$45, 'Cashflow Projection'!$B$33:$B$45, 'Updated Construction'!G223))</f>
        <v/>
      </c>
      <c r="D223" t="b">
        <v>1</v>
      </c>
      <c r="E223" s="7" t="n">
        <v>45382</v>
      </c>
      <c r="F223" t="n">
        <v>0</v>
      </c>
      <c r="G223" t="inlineStr">
        <is>
          <t>M</t>
        </is>
      </c>
      <c r="H223" s="7" t="n">
        <v>45443</v>
      </c>
    </row>
    <row r="224">
      <c r="A224" t="b">
        <v>1</v>
      </c>
      <c r="B224" t="inlineStr">
        <is>
          <t>Block M</t>
        </is>
      </c>
      <c r="C224">
        <f>IF(A224=FALSE, 1,SUMIFS('Cashflow Projection'!$C$33:$C$45, 'Cashflow Projection'!$B$33:$B$45, 'Updated Construction'!G224))</f>
        <v/>
      </c>
      <c r="D224" t="b">
        <v>0</v>
      </c>
      <c r="E224" s="7" t="n">
        <v>45412</v>
      </c>
      <c r="F224" t="n">
        <v>636753.83</v>
      </c>
      <c r="G224" t="inlineStr">
        <is>
          <t>M</t>
        </is>
      </c>
      <c r="H224" s="7" t="n">
        <v>45443</v>
      </c>
    </row>
    <row r="225">
      <c r="A225" t="b">
        <v>1</v>
      </c>
      <c r="B225" t="inlineStr">
        <is>
          <t>Block M</t>
        </is>
      </c>
      <c r="C225">
        <f>IF(A225=FALSE, 1,SUMIFS('Cashflow Projection'!$C$33:$C$45, 'Cashflow Projection'!$B$33:$B$45, 'Updated Construction'!G225))</f>
        <v/>
      </c>
      <c r="D225" t="b">
        <v>0</v>
      </c>
      <c r="E225" s="7" t="n">
        <v>45442</v>
      </c>
      <c r="F225" t="n">
        <v>502025.9</v>
      </c>
      <c r="G225" t="inlineStr">
        <is>
          <t>M</t>
        </is>
      </c>
      <c r="H225" s="7" t="n">
        <v>45504</v>
      </c>
    </row>
    <row r="226">
      <c r="A226" t="b">
        <v>1</v>
      </c>
      <c r="B226" t="inlineStr">
        <is>
          <t>Block M</t>
        </is>
      </c>
      <c r="C226">
        <f>IF(A226=FALSE, 1,SUMIFS('Cashflow Projection'!$C$33:$C$45, 'Cashflow Projection'!$B$33:$B$45, 'Updated Construction'!G226))</f>
        <v/>
      </c>
      <c r="D226" t="b">
        <v>0</v>
      </c>
      <c r="E226" s="7" t="n">
        <v>45472</v>
      </c>
      <c r="F226" t="n">
        <v>322849.47</v>
      </c>
      <c r="G226" t="inlineStr">
        <is>
          <t>M</t>
        </is>
      </c>
      <c r="H226" s="7" t="n">
        <v>45504</v>
      </c>
    </row>
    <row r="227">
      <c r="A227" t="b">
        <v>1</v>
      </c>
      <c r="B227" t="inlineStr">
        <is>
          <t>Block M</t>
        </is>
      </c>
      <c r="C227">
        <f>IF(A227=FALSE, 1,SUMIFS('Cashflow Projection'!$C$33:$C$45, 'Cashflow Projection'!$B$33:$B$45, 'Updated Construction'!G227))</f>
        <v/>
      </c>
      <c r="D227" t="b">
        <v>0</v>
      </c>
      <c r="E227" s="7" t="n">
        <v>45502</v>
      </c>
      <c r="F227" t="n">
        <v>381338.35</v>
      </c>
      <c r="G227" t="inlineStr">
        <is>
          <t>M</t>
        </is>
      </c>
      <c r="H227" s="7" t="n">
        <v>45565</v>
      </c>
    </row>
    <row r="228">
      <c r="A228" t="b">
        <v>1</v>
      </c>
      <c r="B228" t="inlineStr">
        <is>
          <t>Block M</t>
        </is>
      </c>
      <c r="C228">
        <f>IF(A228=FALSE, 1,SUMIFS('Cashflow Projection'!$C$33:$C$45, 'Cashflow Projection'!$B$33:$B$45, 'Updated Construction'!G228))</f>
        <v/>
      </c>
      <c r="D228" t="b">
        <v>0</v>
      </c>
      <c r="E228" s="7" t="n">
        <v>45532</v>
      </c>
      <c r="F228" t="n">
        <v>101359.46</v>
      </c>
      <c r="G228" t="inlineStr">
        <is>
          <t>M</t>
        </is>
      </c>
      <c r="H228" s="7" t="n">
        <v>45565</v>
      </c>
    </row>
    <row r="229">
      <c r="A229" t="b">
        <v>1</v>
      </c>
      <c r="B229" t="inlineStr">
        <is>
          <t>Block M</t>
        </is>
      </c>
      <c r="C229">
        <f>IF(A229=FALSE, 1,SUMIFS('Cashflow Projection'!$C$33:$C$45, 'Cashflow Projection'!$B$33:$B$45, 'Updated Construction'!G229))</f>
        <v/>
      </c>
      <c r="D229" t="b">
        <v>0</v>
      </c>
      <c r="E229" s="7" t="n">
        <v>45562</v>
      </c>
      <c r="F229" t="n">
        <v>0</v>
      </c>
      <c r="G229" t="inlineStr">
        <is>
          <t>M</t>
        </is>
      </c>
      <c r="H229" s="7" t="n">
        <v>45626</v>
      </c>
    </row>
    <row r="230">
      <c r="A230" t="b">
        <v>1</v>
      </c>
      <c r="B230" t="inlineStr">
        <is>
          <t>Block M</t>
        </is>
      </c>
      <c r="C230">
        <f>IF(A230=FALSE, 1,SUMIFS('Cashflow Projection'!$C$33:$C$45, 'Cashflow Projection'!$B$33:$B$45, 'Updated Construction'!G230))</f>
        <v/>
      </c>
      <c r="D230" t="b">
        <v>0</v>
      </c>
      <c r="E230" s="7" t="n">
        <v>45596</v>
      </c>
      <c r="F230" t="n">
        <v>0</v>
      </c>
      <c r="G230" t="inlineStr">
        <is>
          <t>M</t>
        </is>
      </c>
      <c r="H230" s="7" t="n">
        <v>45626</v>
      </c>
    </row>
    <row r="231">
      <c r="A231" t="b">
        <v>1</v>
      </c>
      <c r="B231" t="inlineStr">
        <is>
          <t>Block M</t>
        </is>
      </c>
      <c r="C231">
        <f>IF(A231=FALSE, 1,SUMIFS('Cashflow Projection'!$C$33:$C$45, 'Cashflow Projection'!$B$33:$B$45, 'Updated Construction'!G231))</f>
        <v/>
      </c>
      <c r="D231" t="b">
        <v>0</v>
      </c>
      <c r="E231" s="7" t="n">
        <v>45626</v>
      </c>
      <c r="F231" t="n">
        <v>0</v>
      </c>
      <c r="G231" t="inlineStr">
        <is>
          <t>M</t>
        </is>
      </c>
      <c r="H231" s="7" t="n">
        <v>45688</v>
      </c>
    </row>
    <row r="232">
      <c r="A232" t="b">
        <v>1</v>
      </c>
      <c r="B232" t="inlineStr">
        <is>
          <t>Block M</t>
        </is>
      </c>
      <c r="C232">
        <f>IF(A232=FALSE, 1,SUMIFS('Cashflow Projection'!$C$33:$C$45, 'Cashflow Projection'!$B$33:$B$45, 'Updated Construction'!G232))</f>
        <v/>
      </c>
      <c r="D232" t="b">
        <v>0</v>
      </c>
      <c r="E232" s="7" t="n">
        <v>45657</v>
      </c>
      <c r="F232" t="n">
        <v>0</v>
      </c>
      <c r="G232" t="inlineStr">
        <is>
          <t>M</t>
        </is>
      </c>
      <c r="H232" s="7" t="n">
        <v>45688</v>
      </c>
    </row>
    <row r="233">
      <c r="A233" t="b">
        <v>1</v>
      </c>
      <c r="B233" t="inlineStr">
        <is>
          <t>Block M</t>
        </is>
      </c>
      <c r="C233">
        <f>IF(A233=FALSE, 1,SUMIFS('Cashflow Projection'!$C$33:$C$45, 'Cashflow Projection'!$B$33:$B$45, 'Updated Construction'!G233))</f>
        <v/>
      </c>
      <c r="D233" t="b">
        <v>0</v>
      </c>
      <c r="E233" s="7" t="n">
        <v>45688</v>
      </c>
      <c r="F233" t="n">
        <v>0</v>
      </c>
      <c r="G233" t="inlineStr">
        <is>
          <t>M</t>
        </is>
      </c>
      <c r="H233" s="7" t="n">
        <v>45747</v>
      </c>
    </row>
    <row r="234">
      <c r="A234" t="b">
        <v>1</v>
      </c>
      <c r="B234" t="inlineStr">
        <is>
          <t>Block O</t>
        </is>
      </c>
      <c r="C234">
        <f>IF(A234=FALSE, 1,SUMIFS('Cashflow Projection'!$C$33:$C$45, 'Cashflow Projection'!$B$33:$B$45, 'Updated Construction'!G234))</f>
        <v/>
      </c>
      <c r="D234" t="b">
        <v>1</v>
      </c>
      <c r="E234" s="7" t="n">
        <v>45382</v>
      </c>
      <c r="F234" t="n">
        <v>0</v>
      </c>
      <c r="G234" t="inlineStr">
        <is>
          <t>O</t>
        </is>
      </c>
      <c r="H234" s="7" t="n">
        <v>45443</v>
      </c>
    </row>
    <row r="235">
      <c r="A235" t="b">
        <v>1</v>
      </c>
      <c r="B235" t="inlineStr">
        <is>
          <t>Block O</t>
        </is>
      </c>
      <c r="C235">
        <f>IF(A235=FALSE, 1,SUMIFS('Cashflow Projection'!$C$33:$C$45, 'Cashflow Projection'!$B$33:$B$45, 'Updated Construction'!G235))</f>
        <v/>
      </c>
      <c r="D235" t="b">
        <v>0</v>
      </c>
      <c r="E235" s="7" t="n">
        <v>45412</v>
      </c>
      <c r="F235" t="n">
        <v>859144.1800000001</v>
      </c>
      <c r="G235" t="inlineStr">
        <is>
          <t>O</t>
        </is>
      </c>
      <c r="H235" s="7" t="n">
        <v>45443</v>
      </c>
    </row>
    <row r="236">
      <c r="A236" t="b">
        <v>1</v>
      </c>
      <c r="B236" t="inlineStr">
        <is>
          <t>Block O</t>
        </is>
      </c>
      <c r="C236">
        <f>IF(A236=FALSE, 1,SUMIFS('Cashflow Projection'!$C$33:$C$45, 'Cashflow Projection'!$B$33:$B$45, 'Updated Construction'!G236))</f>
        <v/>
      </c>
      <c r="D236" t="b">
        <v>0</v>
      </c>
      <c r="E236" s="7" t="n">
        <v>45442</v>
      </c>
      <c r="F236" t="n">
        <v>672347.25</v>
      </c>
      <c r="G236" t="inlineStr">
        <is>
          <t>O</t>
        </is>
      </c>
      <c r="H236" s="7" t="n">
        <v>45504</v>
      </c>
    </row>
    <row r="237">
      <c r="A237" t="b">
        <v>1</v>
      </c>
      <c r="B237" t="inlineStr">
        <is>
          <t>Block O</t>
        </is>
      </c>
      <c r="C237">
        <f>IF(A237=FALSE, 1,SUMIFS('Cashflow Projection'!$C$33:$C$45, 'Cashflow Projection'!$B$33:$B$45, 'Updated Construction'!G237))</f>
        <v/>
      </c>
      <c r="D237" t="b">
        <v>0</v>
      </c>
      <c r="E237" s="7" t="n">
        <v>45472</v>
      </c>
      <c r="F237" t="n">
        <v>501838.42</v>
      </c>
      <c r="G237" t="inlineStr">
        <is>
          <t>O</t>
        </is>
      </c>
      <c r="H237" s="7" t="n">
        <v>45504</v>
      </c>
    </row>
    <row r="238">
      <c r="A238" t="b">
        <v>1</v>
      </c>
      <c r="B238" t="inlineStr">
        <is>
          <t>Block O</t>
        </is>
      </c>
      <c r="C238">
        <f>IF(A238=FALSE, 1,SUMIFS('Cashflow Projection'!$C$33:$C$45, 'Cashflow Projection'!$B$33:$B$45, 'Updated Construction'!G238))</f>
        <v/>
      </c>
      <c r="D238" t="b">
        <v>0</v>
      </c>
      <c r="E238" s="7" t="n">
        <v>45502</v>
      </c>
      <c r="F238" t="n">
        <v>501838.42</v>
      </c>
      <c r="G238" t="inlineStr">
        <is>
          <t>O</t>
        </is>
      </c>
      <c r="H238" s="7" t="n">
        <v>45565</v>
      </c>
    </row>
    <row r="239">
      <c r="A239" t="b">
        <v>1</v>
      </c>
      <c r="B239" t="inlineStr">
        <is>
          <t>Block O</t>
        </is>
      </c>
      <c r="C239">
        <f>IF(A239=FALSE, 1,SUMIFS('Cashflow Projection'!$C$33:$C$45, 'Cashflow Projection'!$B$33:$B$45, 'Updated Construction'!G239))</f>
        <v/>
      </c>
      <c r="D239" t="b">
        <v>0</v>
      </c>
      <c r="E239" s="7" t="n">
        <v>45532</v>
      </c>
      <c r="F239" t="n">
        <v>0</v>
      </c>
      <c r="G239" t="inlineStr">
        <is>
          <t>O</t>
        </is>
      </c>
      <c r="H239" s="7" t="n">
        <v>45565</v>
      </c>
    </row>
    <row r="240">
      <c r="A240" t="b">
        <v>1</v>
      </c>
      <c r="B240" t="inlineStr">
        <is>
          <t>Block O</t>
        </is>
      </c>
      <c r="C240">
        <f>IF(A240=FALSE, 1,SUMIFS('Cashflow Projection'!$C$33:$C$45, 'Cashflow Projection'!$B$33:$B$45, 'Updated Construction'!G240))</f>
        <v/>
      </c>
      <c r="D240" t="b">
        <v>0</v>
      </c>
      <c r="E240" s="7" t="n">
        <v>45562</v>
      </c>
      <c r="F240" t="n">
        <v>0</v>
      </c>
      <c r="G240" t="inlineStr">
        <is>
          <t>O</t>
        </is>
      </c>
      <c r="H240" s="7" t="n">
        <v>45626</v>
      </c>
    </row>
    <row r="241">
      <c r="A241" t="b">
        <v>1</v>
      </c>
      <c r="B241" t="inlineStr">
        <is>
          <t>Block O</t>
        </is>
      </c>
      <c r="C241">
        <f>IF(A241=FALSE, 1,SUMIFS('Cashflow Projection'!$C$33:$C$45, 'Cashflow Projection'!$B$33:$B$45, 'Updated Construction'!G241))</f>
        <v/>
      </c>
      <c r="D241" t="b">
        <v>0</v>
      </c>
      <c r="E241" s="7" t="n">
        <v>45596</v>
      </c>
      <c r="F241" t="n">
        <v>0</v>
      </c>
      <c r="G241" t="inlineStr">
        <is>
          <t>O</t>
        </is>
      </c>
      <c r="H241" s="7" t="n">
        <v>45626</v>
      </c>
    </row>
    <row r="242">
      <c r="A242" t="b">
        <v>1</v>
      </c>
      <c r="B242" t="inlineStr">
        <is>
          <t>Block O</t>
        </is>
      </c>
      <c r="C242">
        <f>IF(A242=FALSE, 1,SUMIFS('Cashflow Projection'!$C$33:$C$45, 'Cashflow Projection'!$B$33:$B$45, 'Updated Construction'!G242))</f>
        <v/>
      </c>
      <c r="D242" t="b">
        <v>0</v>
      </c>
      <c r="E242" s="7" t="n">
        <v>45626</v>
      </c>
      <c r="F242" t="n">
        <v>0</v>
      </c>
      <c r="G242" t="inlineStr">
        <is>
          <t>O</t>
        </is>
      </c>
      <c r="H242" s="7" t="n">
        <v>45688</v>
      </c>
    </row>
    <row r="243">
      <c r="A243" t="b">
        <v>1</v>
      </c>
      <c r="B243" t="inlineStr">
        <is>
          <t>Block O</t>
        </is>
      </c>
      <c r="C243">
        <f>IF(A243=FALSE, 1,SUMIFS('Cashflow Projection'!$C$33:$C$45, 'Cashflow Projection'!$B$33:$B$45, 'Updated Construction'!G243))</f>
        <v/>
      </c>
      <c r="D243" t="b">
        <v>0</v>
      </c>
      <c r="E243" s="7" t="n">
        <v>45657</v>
      </c>
      <c r="F243" t="n">
        <v>0</v>
      </c>
      <c r="G243" t="inlineStr">
        <is>
          <t>O</t>
        </is>
      </c>
      <c r="H243" s="7" t="n">
        <v>45688</v>
      </c>
    </row>
    <row r="244">
      <c r="A244" t="b">
        <v>1</v>
      </c>
      <c r="B244" t="inlineStr">
        <is>
          <t>Block O</t>
        </is>
      </c>
      <c r="C244">
        <f>IF(A244=FALSE, 1,SUMIFS('Cashflow Projection'!$C$33:$C$45, 'Cashflow Projection'!$B$33:$B$45, 'Updated Construction'!G244))</f>
        <v/>
      </c>
      <c r="D244" t="b">
        <v>0</v>
      </c>
      <c r="E244" s="7" t="n">
        <v>45688</v>
      </c>
      <c r="F244" t="n">
        <v>0</v>
      </c>
      <c r="G244" t="inlineStr">
        <is>
          <t>O</t>
        </is>
      </c>
      <c r="H244" s="7" t="n">
        <v>45747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1:V29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0" customWidth="1" min="2" max="2"/>
    <col width="30" customWidth="1" min="6" max="6"/>
    <col width="30" customWidth="1" min="7" max="7"/>
    <col width="30" customWidth="1" min="8" max="8"/>
  </cols>
  <sheetData>
    <row r="1">
      <c r="A1" t="inlineStr">
        <is>
          <t>Sales</t>
        </is>
      </c>
    </row>
    <row r="2">
      <c r="I2" s="1">
        <f>SUBTOTAL(9,I5:I290)</f>
        <v/>
      </c>
      <c r="J2" s="1">
        <f>SUBTOTAL(9,J5:J290)</f>
        <v/>
      </c>
      <c r="K2" s="1">
        <f>SUBTOTAL(9,K5:K290)</f>
        <v/>
      </c>
      <c r="L2" s="1">
        <f>SUBTOTAL(9,L5:L290)</f>
        <v/>
      </c>
      <c r="M2" s="1">
        <f>SUBTOTAL(9,M5:M290)</f>
        <v/>
      </c>
      <c r="N2" s="1">
        <f>SUBTOTAL(9,N5:N290)</f>
        <v/>
      </c>
      <c r="O2" s="1">
        <f>SUBTOTAL(9,O5:O290)</f>
        <v/>
      </c>
      <c r="P2" s="1">
        <f>SUBTOTAL(9,P5:P290)</f>
        <v/>
      </c>
      <c r="Q2" s="1">
        <f>SUBTOTAL(9,Q5:Q290)</f>
        <v/>
      </c>
      <c r="R2" s="1">
        <f>SUBTOTAL(9,R5:R290)</f>
        <v/>
      </c>
      <c r="S2" s="1">
        <f>SUBTOTAL(9,S5:S290)</f>
        <v/>
      </c>
    </row>
    <row r="4">
      <c r="A4" s="2" t="inlineStr">
        <is>
          <t>Category</t>
        </is>
      </c>
      <c r="B4" s="2" t="inlineStr">
        <is>
          <t>Block</t>
        </is>
      </c>
      <c r="C4" s="2" t="inlineStr">
        <is>
          <t>Opportunity Code</t>
        </is>
      </c>
      <c r="D4" s="2" t="inlineStr">
        <is>
          <t>Sold</t>
        </is>
      </c>
      <c r="E4" s="2" t="inlineStr">
        <is>
          <t>Transferred</t>
        </is>
      </c>
      <c r="F4" s="2" t="inlineStr">
        <is>
          <t>Complete Build</t>
        </is>
      </c>
      <c r="G4" s="2" t="inlineStr">
        <is>
          <t>Original Planned Transfer Date</t>
        </is>
      </c>
      <c r="H4" s="2" t="inlineStr">
        <is>
          <t>Forecast Transfer Date</t>
        </is>
      </c>
      <c r="I4" s="2" t="inlineStr">
        <is>
          <t>Sale Price</t>
        </is>
      </c>
      <c r="J4" s="2" t="inlineStr">
        <is>
          <t>Vat</t>
        </is>
      </c>
      <c r="K4" s="2" t="inlineStr">
        <is>
          <t>Nett</t>
        </is>
      </c>
      <c r="L4" s="2" t="inlineStr">
        <is>
          <t>Opportunity Transfer Fees</t>
        </is>
      </c>
      <c r="M4" s="2" t="inlineStr">
        <is>
          <t>Opportunity Trust Release Fee</t>
        </is>
      </c>
      <c r="N4" s="2" t="inlineStr">
        <is>
          <t>Opportunity Unforseen</t>
        </is>
      </c>
      <c r="O4" s="2" t="inlineStr">
        <is>
          <t>Opportunity Commission</t>
        </is>
      </c>
      <c r="P4" s="2" t="inlineStr">
        <is>
          <t>Opportunity Bond Registration</t>
        </is>
      </c>
      <c r="Q4" s="2" t="inlineStr">
        <is>
          <t>Transfer Income</t>
        </is>
      </c>
      <c r="R4" s="2" t="inlineStr">
        <is>
          <t>Due To Investors</t>
        </is>
      </c>
      <c r="S4" s="2" t="inlineStr">
        <is>
          <t>Profit Loss</t>
        </is>
      </c>
      <c r="T4" s="2" t="inlineStr">
        <is>
          <t>Refinanced</t>
        </is>
      </c>
      <c r="U4" s="2" t="inlineStr">
        <is>
          <t>Vat Date</t>
        </is>
      </c>
      <c r="V4" s="2" t="inlineStr">
        <is>
          <t>Refanced Value</t>
        </is>
      </c>
    </row>
    <row r="5">
      <c r="A5" s="3" t="inlineStr">
        <is>
          <t>Endulini</t>
        </is>
      </c>
      <c r="B5" s="3" t="inlineStr">
        <is>
          <t>A</t>
        </is>
      </c>
      <c r="C5" s="3" t="inlineStr">
        <is>
          <t>EA209</t>
        </is>
      </c>
      <c r="D5" s="3" t="b">
        <v>1</v>
      </c>
      <c r="E5" s="3" t="b">
        <v>1</v>
      </c>
      <c r="F5" s="3">
        <f>SUMIFS('Cashflow Projection'!$C$7:$C$23,'Cashflow Projection'!$B$7:$B$23,Sales!$B5,'Cashflow Projection'!$A$7:$A$23,Sales!$A5)</f>
        <v/>
      </c>
      <c r="G5" s="4" t="n">
        <v>45259</v>
      </c>
      <c r="H5" s="4" t="n">
        <v>45688</v>
      </c>
      <c r="I5" s="3" t="n">
        <v>1549900</v>
      </c>
      <c r="J5" s="3" t="n">
        <v>202160.8695652174</v>
      </c>
      <c r="K5" s="3" t="n">
        <v>1347739.130434783</v>
      </c>
      <c r="L5" s="3" t="n">
        <v>18502.08</v>
      </c>
      <c r="M5" s="3" t="n">
        <v>1789</v>
      </c>
      <c r="N5" s="3" t="n">
        <v>7749.5</v>
      </c>
      <c r="O5" s="3" t="n">
        <v>77495</v>
      </c>
      <c r="P5" s="3" t="n">
        <v>19224.37</v>
      </c>
      <c r="Q5" s="3" t="n">
        <v>1425140.05</v>
      </c>
      <c r="R5" s="9">
        <f>(SUMIFS(Investors!$M:$M,Investors!$E:$E,Sales!$C5,Investors!$O:$O,FALSE)+SUMIFS(Investors!$S:$S,Investors!$E:$E,Sales!$C5,Investors!$O:$O,FALSE))*$F5</f>
        <v/>
      </c>
      <c r="S5" s="9">
        <f>IF(T5=FALSE,Q5-R5,+V5)</f>
        <v/>
      </c>
      <c r="T5" s="3" t="b">
        <v>0</v>
      </c>
      <c r="U5" s="4" t="n">
        <v>45747</v>
      </c>
      <c r="V5" s="9" t="n">
        <v>285658.2006849311</v>
      </c>
    </row>
    <row r="6">
      <c r="A6" s="3" t="inlineStr">
        <is>
          <t>Endulini</t>
        </is>
      </c>
      <c r="B6" s="3" t="inlineStr">
        <is>
          <t>A</t>
        </is>
      </c>
      <c r="C6" s="3" t="inlineStr">
        <is>
          <t>EA201</t>
        </is>
      </c>
      <c r="D6" s="3" t="b">
        <v>0</v>
      </c>
      <c r="E6" s="3" t="b">
        <v>0</v>
      </c>
      <c r="F6" s="3">
        <f>SUMIFS('Cashflow Projection'!$C$7:$C$23,'Cashflow Projection'!$B$7:$B$23,Sales!$B6,'Cashflow Projection'!$A$7:$A$23,Sales!$A6)</f>
        <v/>
      </c>
      <c r="G6" s="4" t="n">
        <v>45442</v>
      </c>
      <c r="H6" s="4" t="n">
        <v>45442</v>
      </c>
      <c r="I6" s="3" t="n">
        <v>1499900</v>
      </c>
      <c r="J6" s="3" t="n">
        <v>0</v>
      </c>
      <c r="K6" s="3" t="n">
        <v>1304260.869565218</v>
      </c>
      <c r="L6" s="3" t="n">
        <v>18502.08</v>
      </c>
      <c r="M6" s="3" t="n">
        <v>1789</v>
      </c>
      <c r="N6" s="3" t="n">
        <v>7499.5</v>
      </c>
      <c r="O6" s="3" t="n">
        <v>74995</v>
      </c>
      <c r="P6" s="3" t="n">
        <v>19224.37</v>
      </c>
      <c r="Q6" s="3" t="n">
        <v>1377890.05</v>
      </c>
      <c r="R6" s="9">
        <f>(SUMIFS(Investors!$M:$M,Investors!$E:$E,Sales!$C6,Investors!$O:$O,FALSE)+SUMIFS(Investors!$S:$S,Investors!$E:$E,Sales!$C6,Investors!$O:$O,FALSE))*$F6</f>
        <v/>
      </c>
      <c r="S6" s="9">
        <f>IF(T6=FALSE,Q6-R6,+V6)</f>
        <v/>
      </c>
      <c r="T6" s="3" t="b">
        <v>1</v>
      </c>
      <c r="U6" s="4" t="n">
        <v>45504</v>
      </c>
      <c r="V6" s="9" t="n">
        <v>824500</v>
      </c>
    </row>
    <row r="7">
      <c r="A7" s="3" t="inlineStr">
        <is>
          <t>Endulini</t>
        </is>
      </c>
      <c r="B7" s="3" t="inlineStr">
        <is>
          <t>A</t>
        </is>
      </c>
      <c r="C7" s="3" t="inlineStr">
        <is>
          <t>EA202</t>
        </is>
      </c>
      <c r="D7" s="3" t="b">
        <v>1</v>
      </c>
      <c r="E7" s="3" t="b">
        <v>1</v>
      </c>
      <c r="F7" s="3">
        <f>SUMIFS('Cashflow Projection'!$C$7:$C$23,'Cashflow Projection'!$B$7:$B$23,Sales!$B7,'Cashflow Projection'!$A$7:$A$23,Sales!$A7)</f>
        <v/>
      </c>
      <c r="G7" s="4" t="n">
        <v>45272</v>
      </c>
      <c r="H7" s="4" t="n">
        <v>45688</v>
      </c>
      <c r="I7" s="3" t="n">
        <v>1579900</v>
      </c>
      <c r="J7" s="3" t="n">
        <v>206073.9130434782</v>
      </c>
      <c r="K7" s="3" t="n">
        <v>1373826.086956522</v>
      </c>
      <c r="L7" s="3" t="n">
        <v>18502.08</v>
      </c>
      <c r="M7" s="3" t="n">
        <v>1789</v>
      </c>
      <c r="N7" s="3" t="n">
        <v>7899.5</v>
      </c>
      <c r="O7" s="3" t="n">
        <v>78995</v>
      </c>
      <c r="P7" s="3" t="n">
        <v>19224.37</v>
      </c>
      <c r="Q7" s="3" t="n">
        <v>1453490.05</v>
      </c>
      <c r="R7" s="9">
        <f>(SUMIFS(Investors!$M:$M,Investors!$E:$E,Sales!$C7,Investors!$O:$O,FALSE)+SUMIFS(Investors!$S:$S,Investors!$E:$E,Sales!$C7,Investors!$O:$O,FALSE))*$F7</f>
        <v/>
      </c>
      <c r="S7" s="9">
        <f>IF(T7=FALSE,Q7-R7,+V7)</f>
        <v/>
      </c>
      <c r="T7" s="3" t="b">
        <v>0</v>
      </c>
      <c r="U7" s="4" t="n">
        <v>45747</v>
      </c>
      <c r="V7" s="9" t="n">
        <v>190757.1732876711</v>
      </c>
    </row>
    <row r="8">
      <c r="A8" s="3" t="inlineStr">
        <is>
          <t>Endulini</t>
        </is>
      </c>
      <c r="B8" s="3" t="inlineStr">
        <is>
          <t>E</t>
        </is>
      </c>
      <c r="C8" s="3" t="inlineStr">
        <is>
          <t>EE202</t>
        </is>
      </c>
      <c r="D8" s="3" t="b">
        <v>1</v>
      </c>
      <c r="E8" s="3" t="b">
        <v>1</v>
      </c>
      <c r="F8" s="3">
        <f>SUMIFS('Cashflow Projection'!$C$7:$C$23,'Cashflow Projection'!$B$7:$B$23,Sales!$B8,'Cashflow Projection'!$A$7:$A$23,Sales!$A8)</f>
        <v/>
      </c>
      <c r="G8" s="4" t="n">
        <v>44690</v>
      </c>
      <c r="H8" s="4" t="n">
        <v>45688</v>
      </c>
      <c r="I8" s="3" t="n">
        <v>1479900</v>
      </c>
      <c r="J8" s="3" t="n">
        <v>193030.4347826087</v>
      </c>
      <c r="K8" s="3" t="n">
        <v>1286869.565217391</v>
      </c>
      <c r="L8" s="3" t="n">
        <v>18502.08</v>
      </c>
      <c r="M8" s="3" t="n">
        <v>1789</v>
      </c>
      <c r="N8" s="3" t="n">
        <v>7399.5</v>
      </c>
      <c r="O8" s="3" t="n">
        <v>73995</v>
      </c>
      <c r="P8" s="3" t="n">
        <v>19224.37</v>
      </c>
      <c r="Q8" s="3" t="n">
        <v>1358990.05</v>
      </c>
      <c r="R8" s="9">
        <f>(SUMIFS(Investors!$M:$M,Investors!$E:$E,Sales!$C8,Investors!$O:$O,FALSE)+SUMIFS(Investors!$S:$S,Investors!$E:$E,Sales!$C8,Investors!$O:$O,FALSE))*$F8</f>
        <v/>
      </c>
      <c r="S8" s="9">
        <f>IF(T8=FALSE,Q8-R8,+V8)</f>
        <v/>
      </c>
      <c r="T8" s="3" t="b">
        <v>0</v>
      </c>
      <c r="U8" s="4" t="n">
        <v>45747</v>
      </c>
      <c r="V8" s="9" t="n">
        <v>150393.9589598631</v>
      </c>
    </row>
    <row r="9">
      <c r="A9" s="3" t="inlineStr">
        <is>
          <t>Endulini</t>
        </is>
      </c>
      <c r="B9" s="3" t="inlineStr">
        <is>
          <t>E</t>
        </is>
      </c>
      <c r="C9" s="3" t="inlineStr">
        <is>
          <t>EE102</t>
        </is>
      </c>
      <c r="D9" s="3" t="b">
        <v>1</v>
      </c>
      <c r="E9" s="3" t="b">
        <v>1</v>
      </c>
      <c r="F9" s="3">
        <f>SUMIFS('Cashflow Projection'!$C$7:$C$23,'Cashflow Projection'!$B$7:$B$23,Sales!$B9,'Cashflow Projection'!$A$7:$A$23,Sales!$A9)</f>
        <v/>
      </c>
      <c r="G9" s="4" t="n">
        <v>44657</v>
      </c>
      <c r="H9" s="4" t="n">
        <v>45688</v>
      </c>
      <c r="I9" s="3" t="n">
        <v>1449900</v>
      </c>
      <c r="J9" s="3" t="n">
        <v>189117.3913043478</v>
      </c>
      <c r="K9" s="3" t="n">
        <v>1260782.608695652</v>
      </c>
      <c r="L9" s="3" t="n">
        <v>18502.08</v>
      </c>
      <c r="M9" s="3" t="n">
        <v>1789</v>
      </c>
      <c r="N9" s="3" t="n">
        <v>7249.5</v>
      </c>
      <c r="O9" s="3" t="n">
        <v>72495</v>
      </c>
      <c r="P9" s="3" t="n">
        <v>19224.37</v>
      </c>
      <c r="Q9" s="3" t="n">
        <v>1330640.05</v>
      </c>
      <c r="R9" s="9">
        <f>(SUMIFS(Investors!$M:$M,Investors!$E:$E,Sales!$C9,Investors!$O:$O,FALSE)+SUMIFS(Investors!$S:$S,Investors!$E:$E,Sales!$C9,Investors!$O:$O,FALSE))*$F9</f>
        <v/>
      </c>
      <c r="S9" s="9">
        <f>IF(T9=FALSE,Q9-R9,+V9)</f>
        <v/>
      </c>
      <c r="T9" s="3" t="b">
        <v>0</v>
      </c>
      <c r="U9" s="4" t="n">
        <v>45747</v>
      </c>
      <c r="V9" s="9" t="n">
        <v>166567.6572410958</v>
      </c>
    </row>
    <row r="10">
      <c r="A10" s="3" t="inlineStr">
        <is>
          <t>Endulini</t>
        </is>
      </c>
      <c r="B10" s="3" t="inlineStr">
        <is>
          <t>A</t>
        </is>
      </c>
      <c r="C10" s="3" t="inlineStr">
        <is>
          <t>EA205</t>
        </is>
      </c>
      <c r="D10" s="3" t="b">
        <v>0</v>
      </c>
      <c r="E10" s="3" t="b">
        <v>0</v>
      </c>
      <c r="F10" s="3">
        <f>SUMIFS('Cashflow Projection'!$C$7:$C$23,'Cashflow Projection'!$B$7:$B$23,Sales!$B10,'Cashflow Projection'!$A$7:$A$23,Sales!$A10)</f>
        <v/>
      </c>
      <c r="G10" s="4" t="n">
        <v>45442</v>
      </c>
      <c r="H10" s="4" t="n">
        <v>45442</v>
      </c>
      <c r="I10" s="3" t="n">
        <v>1499900</v>
      </c>
      <c r="J10" s="3" t="n">
        <v>0</v>
      </c>
      <c r="K10" s="3" t="n">
        <v>1304260.869565218</v>
      </c>
      <c r="L10" s="3" t="n">
        <v>18502.08</v>
      </c>
      <c r="M10" s="3" t="n">
        <v>1789</v>
      </c>
      <c r="N10" s="3" t="n">
        <v>7499.5</v>
      </c>
      <c r="O10" s="3" t="n">
        <v>74995</v>
      </c>
      <c r="P10" s="3" t="n">
        <v>19224.37</v>
      </c>
      <c r="Q10" s="3" t="n">
        <v>1377890.05</v>
      </c>
      <c r="R10" s="9">
        <f>(SUMIFS(Investors!$M:$M,Investors!$E:$E,Sales!$C10,Investors!$O:$O,FALSE)+SUMIFS(Investors!$S:$S,Investors!$E:$E,Sales!$C10,Investors!$O:$O,FALSE))*$F10</f>
        <v/>
      </c>
      <c r="S10" s="9">
        <f>IF(T10=FALSE,Q10-R10,+V10)</f>
        <v/>
      </c>
      <c r="T10" s="3" t="b">
        <v>1</v>
      </c>
      <c r="U10" s="4" t="n">
        <v>45504</v>
      </c>
      <c r="V10" s="9" t="n">
        <v>902100</v>
      </c>
    </row>
    <row r="11">
      <c r="A11" s="3" t="inlineStr">
        <is>
          <t>Endulini</t>
        </is>
      </c>
      <c r="B11" s="3" t="inlineStr">
        <is>
          <t>A</t>
        </is>
      </c>
      <c r="C11" s="3" t="inlineStr">
        <is>
          <t>EA206</t>
        </is>
      </c>
      <c r="D11" s="3" t="b">
        <v>0</v>
      </c>
      <c r="E11" s="3" t="b">
        <v>0</v>
      </c>
      <c r="F11" s="3">
        <f>SUMIFS('Cashflow Projection'!$C$7:$C$23,'Cashflow Projection'!$B$7:$B$23,Sales!$B11,'Cashflow Projection'!$A$7:$A$23,Sales!$A11)</f>
        <v/>
      </c>
      <c r="G11" s="4" t="n">
        <v>45442</v>
      </c>
      <c r="H11" s="4" t="n">
        <v>45442</v>
      </c>
      <c r="I11" s="3" t="n">
        <v>1529900</v>
      </c>
      <c r="J11" s="3" t="n">
        <v>0</v>
      </c>
      <c r="K11" s="3" t="n">
        <v>1330347.826086957</v>
      </c>
      <c r="L11" s="3" t="n">
        <v>18502.08</v>
      </c>
      <c r="M11" s="3" t="n">
        <v>1789</v>
      </c>
      <c r="N11" s="3" t="n">
        <v>7649.5</v>
      </c>
      <c r="O11" s="3" t="n">
        <v>76495</v>
      </c>
      <c r="P11" s="3" t="n">
        <v>19224.37</v>
      </c>
      <c r="Q11" s="3" t="n">
        <v>1406240.05</v>
      </c>
      <c r="R11" s="9">
        <f>(SUMIFS(Investors!$M:$M,Investors!$E:$E,Sales!$C11,Investors!$O:$O,FALSE)+SUMIFS(Investors!$S:$S,Investors!$E:$E,Sales!$C11,Investors!$O:$O,FALSE))*$F11</f>
        <v/>
      </c>
      <c r="S11" s="9">
        <f>IF(T11=FALSE,Q11-R11,+V11)</f>
        <v/>
      </c>
      <c r="T11" s="3" t="b">
        <v>1</v>
      </c>
      <c r="U11" s="4" t="n">
        <v>45504</v>
      </c>
      <c r="V11" s="9" t="n">
        <v>911800</v>
      </c>
    </row>
    <row r="12">
      <c r="A12" s="3" t="inlineStr">
        <is>
          <t>Endulini</t>
        </is>
      </c>
      <c r="B12" s="3" t="inlineStr">
        <is>
          <t>A</t>
        </is>
      </c>
      <c r="C12" s="3" t="inlineStr">
        <is>
          <t>EA105</t>
        </is>
      </c>
      <c r="D12" s="3" t="b">
        <v>1</v>
      </c>
      <c r="E12" s="3" t="b">
        <v>1</v>
      </c>
      <c r="F12" s="3">
        <f>SUMIFS('Cashflow Projection'!$C$7:$C$23,'Cashflow Projection'!$B$7:$B$23,Sales!$B12,'Cashflow Projection'!$A$7:$A$23,Sales!$A12)</f>
        <v/>
      </c>
      <c r="G12" s="4" t="n">
        <v>44831</v>
      </c>
      <c r="H12" s="4" t="n">
        <v>45688</v>
      </c>
      <c r="I12" s="3" t="n">
        <v>1559900</v>
      </c>
      <c r="J12" s="3" t="n">
        <v>203465.2173913044</v>
      </c>
      <c r="K12" s="3" t="n">
        <v>1356434.782608696</v>
      </c>
      <c r="L12" s="3" t="n">
        <v>18502.08</v>
      </c>
      <c r="M12" s="3" t="n">
        <v>1789</v>
      </c>
      <c r="N12" s="3" t="n">
        <v>7799.5</v>
      </c>
      <c r="O12" s="3" t="n">
        <v>77995</v>
      </c>
      <c r="P12" s="3" t="n">
        <v>19224.37</v>
      </c>
      <c r="Q12" s="3" t="n">
        <v>1434590.05</v>
      </c>
      <c r="R12" s="9">
        <f>(SUMIFS(Investors!$M:$M,Investors!$E:$E,Sales!$C12,Investors!$O:$O,FALSE)+SUMIFS(Investors!$S:$S,Investors!$E:$E,Sales!$C12,Investors!$O:$O,FALSE))*$F12</f>
        <v/>
      </c>
      <c r="S12" s="9">
        <f>IF(T12=FALSE,Q12-R12,+V12)</f>
        <v/>
      </c>
      <c r="T12" s="3" t="b">
        <v>0</v>
      </c>
      <c r="U12" s="4" t="n">
        <v>45747</v>
      </c>
      <c r="V12" s="9" t="n">
        <v>220103.7486301367</v>
      </c>
    </row>
    <row r="13">
      <c r="A13" s="3" t="inlineStr">
        <is>
          <t>Endulini</t>
        </is>
      </c>
      <c r="B13" s="3" t="inlineStr">
        <is>
          <t>A</t>
        </is>
      </c>
      <c r="C13" s="3" t="inlineStr">
        <is>
          <t>EA305</t>
        </is>
      </c>
      <c r="D13" s="3" t="b">
        <v>1</v>
      </c>
      <c r="E13" s="3" t="b">
        <v>0</v>
      </c>
      <c r="F13" s="3">
        <f>SUMIFS('Cashflow Projection'!$C$7:$C$23,'Cashflow Projection'!$B$7:$B$23,Sales!$B13,'Cashflow Projection'!$A$7:$A$23,Sales!$A13)</f>
        <v/>
      </c>
      <c r="G13" s="4" t="n">
        <v>45478</v>
      </c>
      <c r="H13" s="4" t="n">
        <v>45478</v>
      </c>
      <c r="I13" s="3" t="n">
        <v>1559900</v>
      </c>
      <c r="J13" s="3" t="n">
        <v>203465.2173913044</v>
      </c>
      <c r="K13" s="3" t="n">
        <v>1356434.782608696</v>
      </c>
      <c r="L13" s="3" t="n">
        <v>18502.08</v>
      </c>
      <c r="M13" s="3" t="n">
        <v>1789</v>
      </c>
      <c r="N13" s="3" t="n">
        <v>7799.5</v>
      </c>
      <c r="O13" s="3" t="n">
        <v>77995</v>
      </c>
      <c r="P13" s="3" t="n">
        <v>19224.37</v>
      </c>
      <c r="Q13" s="3" t="n">
        <v>1434590.05</v>
      </c>
      <c r="R13" s="9">
        <f>(SUMIFS(Investors!$M:$M,Investors!$E:$E,Sales!$C13,Investors!$O:$O,FALSE)+SUMIFS(Investors!$S:$S,Investors!$E:$E,Sales!$C13,Investors!$O:$O,FALSE))*$F13</f>
        <v/>
      </c>
      <c r="S13" s="9">
        <f>IF(T13=FALSE,Q13-R13,+V13)</f>
        <v/>
      </c>
      <c r="T13" s="3" t="b">
        <v>0</v>
      </c>
      <c r="U13" s="4" t="n">
        <v>45565</v>
      </c>
      <c r="V13" s="9" t="n">
        <v>130005.1184931505</v>
      </c>
    </row>
    <row r="14">
      <c r="A14" s="3" t="inlineStr">
        <is>
          <t>Endulini</t>
        </is>
      </c>
      <c r="B14" s="3" t="inlineStr">
        <is>
          <t>A</t>
        </is>
      </c>
      <c r="C14" s="3" t="inlineStr">
        <is>
          <t>EA101</t>
        </is>
      </c>
      <c r="D14" s="3" t="b">
        <v>1</v>
      </c>
      <c r="E14" s="3" t="b">
        <v>1</v>
      </c>
      <c r="F14" s="3">
        <f>SUMIFS('Cashflow Projection'!$C$7:$C$23,'Cashflow Projection'!$B$7:$B$23,Sales!$B14,'Cashflow Projection'!$A$7:$A$23,Sales!$A14)</f>
        <v/>
      </c>
      <c r="G14" s="4" t="n">
        <v>44858</v>
      </c>
      <c r="H14" s="4" t="n">
        <v>45688</v>
      </c>
      <c r="I14" s="3" t="n">
        <v>1549900</v>
      </c>
      <c r="J14" s="3" t="n">
        <v>202160.8695652174</v>
      </c>
      <c r="K14" s="3" t="n">
        <v>1347739.130434783</v>
      </c>
      <c r="L14" s="3" t="n">
        <v>18502.08</v>
      </c>
      <c r="M14" s="3" t="n">
        <v>1789</v>
      </c>
      <c r="N14" s="3" t="n">
        <v>7749.5</v>
      </c>
      <c r="O14" s="3" t="n">
        <v>77495</v>
      </c>
      <c r="P14" s="3" t="n">
        <v>19224.37</v>
      </c>
      <c r="Q14" s="3" t="n">
        <v>1425140.05</v>
      </c>
      <c r="R14" s="9">
        <f>(SUMIFS(Investors!$M:$M,Investors!$E:$E,Sales!$C14,Investors!$O:$O,FALSE)+SUMIFS(Investors!$S:$S,Investors!$E:$E,Sales!$C14,Investors!$O:$O,FALSE))*$F14</f>
        <v/>
      </c>
      <c r="S14" s="9">
        <f>IF(T14=FALSE,Q14-R14,+V14)</f>
        <v/>
      </c>
      <c r="T14" s="3" t="b">
        <v>0</v>
      </c>
      <c r="U14" s="4" t="n">
        <v>45747</v>
      </c>
      <c r="V14" s="9" t="n">
        <v>224923.6116438354</v>
      </c>
    </row>
    <row r="15">
      <c r="A15" s="3" t="inlineStr">
        <is>
          <t>Endulini</t>
        </is>
      </c>
      <c r="B15" s="3" t="inlineStr">
        <is>
          <t>B</t>
        </is>
      </c>
      <c r="C15" s="3" t="inlineStr">
        <is>
          <t>EB102</t>
        </is>
      </c>
      <c r="D15" s="3" t="b">
        <v>0</v>
      </c>
      <c r="E15" s="3" t="b">
        <v>0</v>
      </c>
      <c r="F15" s="3">
        <f>SUMIFS('Cashflow Projection'!$C$7:$C$23,'Cashflow Projection'!$B$7:$B$23,Sales!$B15,'Cashflow Projection'!$A$7:$A$23,Sales!$A15)</f>
        <v/>
      </c>
      <c r="G15" s="4" t="n">
        <v>45505</v>
      </c>
      <c r="H15" s="4" t="n">
        <v>45505</v>
      </c>
      <c r="I15" s="3" t="n">
        <v>1519900</v>
      </c>
      <c r="J15" s="3" t="n">
        <v>0</v>
      </c>
      <c r="K15" s="3" t="n">
        <v>1321652.173913044</v>
      </c>
      <c r="L15" s="3" t="n">
        <v>18502.08</v>
      </c>
      <c r="M15" s="3" t="n">
        <v>1789</v>
      </c>
      <c r="N15" s="3" t="n">
        <v>7599.5</v>
      </c>
      <c r="O15" s="3" t="n">
        <v>75995</v>
      </c>
      <c r="P15" s="3" t="n">
        <v>19224.37</v>
      </c>
      <c r="Q15" s="3" t="n">
        <v>1396790.05</v>
      </c>
      <c r="R15" s="9">
        <f>(SUMIFS(Investors!$M:$M,Investors!$E:$E,Sales!$C15,Investors!$O:$O,FALSE)+SUMIFS(Investors!$S:$S,Investors!$E:$E,Sales!$C15,Investors!$O:$O,FALSE))*$F15</f>
        <v/>
      </c>
      <c r="S15" s="9">
        <f>IF(T15=FALSE,Q15-R15,+V15)</f>
        <v/>
      </c>
      <c r="T15" s="3" t="b">
        <v>1</v>
      </c>
      <c r="U15" s="4" t="n">
        <v>45565</v>
      </c>
      <c r="V15" s="9" t="n">
        <v>911800</v>
      </c>
    </row>
    <row r="16">
      <c r="A16" s="3" t="inlineStr">
        <is>
          <t>Endulini</t>
        </is>
      </c>
      <c r="B16" s="3" t="inlineStr">
        <is>
          <t>D</t>
        </is>
      </c>
      <c r="C16" s="3" t="inlineStr">
        <is>
          <t>ED302</t>
        </is>
      </c>
      <c r="D16" s="3" t="b">
        <v>1</v>
      </c>
      <c r="E16" s="3" t="b">
        <v>1</v>
      </c>
      <c r="F16" s="3">
        <f>SUMIFS('Cashflow Projection'!$C$7:$C$23,'Cashflow Projection'!$B$7:$B$23,Sales!$B16,'Cashflow Projection'!$A$7:$A$23,Sales!$A16)</f>
        <v/>
      </c>
      <c r="G16" s="4" t="n">
        <v>44732</v>
      </c>
      <c r="H16" s="4" t="n">
        <v>45688</v>
      </c>
      <c r="I16" s="3" t="n">
        <v>1424900</v>
      </c>
      <c r="J16" s="3" t="n">
        <v>185856.5217391304</v>
      </c>
      <c r="K16" s="3" t="n">
        <v>1239043.47826087</v>
      </c>
      <c r="L16" s="3" t="n">
        <v>18502.08</v>
      </c>
      <c r="M16" s="3" t="n">
        <v>1789</v>
      </c>
      <c r="N16" s="3" t="n">
        <v>7124.5</v>
      </c>
      <c r="O16" s="3" t="n">
        <v>71245</v>
      </c>
      <c r="P16" s="3" t="n">
        <v>19224.37</v>
      </c>
      <c r="Q16" s="3" t="n">
        <v>1307015.05</v>
      </c>
      <c r="R16" s="9">
        <f>(SUMIFS(Investors!$M:$M,Investors!$E:$E,Sales!$C16,Investors!$O:$O,FALSE)+SUMIFS(Investors!$S:$S,Investors!$E:$E,Sales!$C16,Investors!$O:$O,FALSE))*$F16</f>
        <v/>
      </c>
      <c r="S16" s="9">
        <f>IF(T16=FALSE,Q16-R16,+V16)</f>
        <v/>
      </c>
      <c r="T16" s="3" t="b">
        <v>0</v>
      </c>
      <c r="U16" s="4" t="n">
        <v>45747</v>
      </c>
      <c r="V16" s="9" t="n">
        <v>63234.22808219166</v>
      </c>
    </row>
    <row r="17">
      <c r="A17" s="3" t="inlineStr">
        <is>
          <t>Endulini</t>
        </is>
      </c>
      <c r="B17" s="3" t="inlineStr">
        <is>
          <t>D</t>
        </is>
      </c>
      <c r="C17" s="3" t="inlineStr">
        <is>
          <t>ED303</t>
        </is>
      </c>
      <c r="D17" s="3" t="b">
        <v>1</v>
      </c>
      <c r="E17" s="3" t="b">
        <v>1</v>
      </c>
      <c r="F17" s="3">
        <f>SUMIFS('Cashflow Projection'!$C$7:$C$23,'Cashflow Projection'!$B$7:$B$23,Sales!$B17,'Cashflow Projection'!$A$7:$A$23,Sales!$A17)</f>
        <v/>
      </c>
      <c r="G17" s="4" t="n">
        <v>44704</v>
      </c>
      <c r="H17" s="4" t="n">
        <v>45688</v>
      </c>
      <c r="I17" s="3" t="n">
        <v>1299900</v>
      </c>
      <c r="J17" s="3" t="n">
        <v>169552.1739130435</v>
      </c>
      <c r="K17" s="3" t="n">
        <v>1130347.826086957</v>
      </c>
      <c r="L17" s="3" t="n">
        <v>18502.08</v>
      </c>
      <c r="M17" s="3" t="n">
        <v>1789</v>
      </c>
      <c r="N17" s="3" t="n">
        <v>6499.5</v>
      </c>
      <c r="O17" s="3" t="n">
        <v>64995</v>
      </c>
      <c r="P17" s="3" t="n">
        <v>19224.37</v>
      </c>
      <c r="Q17" s="3" t="n">
        <v>1188890.05</v>
      </c>
      <c r="R17" s="9">
        <f>(SUMIFS(Investors!$M:$M,Investors!$E:$E,Sales!$C17,Investors!$O:$O,FALSE)+SUMIFS(Investors!$S:$S,Investors!$E:$E,Sales!$C17,Investors!$O:$O,FALSE))*$F17</f>
        <v/>
      </c>
      <c r="S17" s="9">
        <f>IF(T17=FALSE,Q17-R17,+V17)</f>
        <v/>
      </c>
      <c r="T17" s="3" t="b">
        <v>0</v>
      </c>
      <c r="U17" s="4" t="n">
        <v>45747</v>
      </c>
      <c r="V17" s="9" t="n">
        <v>-41082.55273972615</v>
      </c>
    </row>
    <row r="18">
      <c r="A18" s="3" t="inlineStr">
        <is>
          <t>Endulini</t>
        </is>
      </c>
      <c r="B18" s="3" t="inlineStr">
        <is>
          <t>F</t>
        </is>
      </c>
      <c r="C18" s="3" t="inlineStr">
        <is>
          <t>EF103</t>
        </is>
      </c>
      <c r="D18" s="3" t="b">
        <v>1</v>
      </c>
      <c r="E18" s="3" t="b">
        <v>1</v>
      </c>
      <c r="F18" s="3">
        <f>SUMIFS('Cashflow Projection'!$C$7:$C$23,'Cashflow Projection'!$B$7:$B$23,Sales!$B18,'Cashflow Projection'!$A$7:$A$23,Sales!$A18)</f>
        <v/>
      </c>
      <c r="G18" s="4" t="n">
        <v>44711</v>
      </c>
      <c r="H18" s="4" t="n">
        <v>45688</v>
      </c>
      <c r="I18" s="3" t="n">
        <v>1479000</v>
      </c>
      <c r="J18" s="3" t="n">
        <v>192913.0434782609</v>
      </c>
      <c r="K18" s="3" t="n">
        <v>1286086.956521739</v>
      </c>
      <c r="L18" s="3" t="n">
        <v>18502.08</v>
      </c>
      <c r="M18" s="3" t="n">
        <v>1789</v>
      </c>
      <c r="N18" s="3" t="n">
        <v>7395</v>
      </c>
      <c r="O18" s="3" t="n">
        <v>73950</v>
      </c>
      <c r="P18" s="3" t="n">
        <v>19224.37</v>
      </c>
      <c r="Q18" s="3" t="n">
        <v>1358139.55</v>
      </c>
      <c r="R18" s="9">
        <f>(SUMIFS(Investors!$M:$M,Investors!$E:$E,Sales!$C18,Investors!$O:$O,FALSE)+SUMIFS(Investors!$S:$S,Investors!$E:$E,Sales!$C18,Investors!$O:$O,FALSE))*$F18</f>
        <v/>
      </c>
      <c r="S18" s="9">
        <f>IF(T18=FALSE,Q18-R18,+V18)</f>
        <v/>
      </c>
      <c r="T18" s="3" t="b">
        <v>0</v>
      </c>
      <c r="U18" s="4" t="n">
        <v>45747</v>
      </c>
      <c r="V18" s="9" t="n">
        <v>147455.6225892464</v>
      </c>
    </row>
    <row r="19">
      <c r="A19" s="3" t="inlineStr">
        <is>
          <t>Heron Fields</t>
        </is>
      </c>
      <c r="B19" s="3" t="inlineStr">
        <is>
          <t>A</t>
        </is>
      </c>
      <c r="C19" s="3" t="inlineStr">
        <is>
          <t>HFA201</t>
        </is>
      </c>
      <c r="D19" s="3" t="b">
        <v>1</v>
      </c>
      <c r="E19" s="3" t="b">
        <v>1</v>
      </c>
      <c r="F19" s="3">
        <f>SUMIFS('Cashflow Projection'!$C$7:$C$23,'Cashflow Projection'!$B$7:$B$23,Sales!$B19,'Cashflow Projection'!$A$7:$A$23,Sales!$A19)</f>
        <v/>
      </c>
      <c r="G19" s="4" t="n">
        <v>44887</v>
      </c>
      <c r="H19" s="4" t="n">
        <v>45688</v>
      </c>
      <c r="I19" s="3" t="n">
        <v>1279900</v>
      </c>
      <c r="J19" s="3" t="n">
        <v>166943.4782608696</v>
      </c>
      <c r="K19" s="3" t="n">
        <v>1112956.521739131</v>
      </c>
      <c r="L19" s="3" t="n">
        <v>18502.08</v>
      </c>
      <c r="M19" s="3" t="n">
        <v>1789</v>
      </c>
      <c r="N19" s="3" t="n">
        <v>6399.5</v>
      </c>
      <c r="O19" s="3" t="n">
        <v>63995</v>
      </c>
      <c r="P19" s="3" t="n">
        <v>19224.37</v>
      </c>
      <c r="Q19" s="3" t="n">
        <v>1169990.05</v>
      </c>
      <c r="R19" s="9">
        <f>(SUMIFS(Investors!$M:$M,Investors!$E:$E,Sales!$C19,Investors!$O:$O,FALSE)+SUMIFS(Investors!$S:$S,Investors!$E:$E,Sales!$C19,Investors!$O:$O,FALSE))*$F19</f>
        <v/>
      </c>
      <c r="S19" s="9">
        <f>IF(T19=FALSE,Q19-R19,+V19)</f>
        <v/>
      </c>
      <c r="T19" s="3" t="b">
        <v>0</v>
      </c>
      <c r="U19" s="4" t="n">
        <v>45747</v>
      </c>
      <c r="V19" s="9" t="n">
        <v>-613.5349545208737</v>
      </c>
    </row>
    <row r="20">
      <c r="A20" s="3" t="inlineStr">
        <is>
          <t>Heron Fields</t>
        </is>
      </c>
      <c r="B20" s="3" t="inlineStr">
        <is>
          <t>B</t>
        </is>
      </c>
      <c r="C20" s="3" t="inlineStr">
        <is>
          <t>HFB111</t>
        </is>
      </c>
      <c r="D20" s="3" t="b">
        <v>1</v>
      </c>
      <c r="E20" s="3" t="b">
        <v>1</v>
      </c>
      <c r="F20" s="3">
        <f>SUMIFS('Cashflow Projection'!$C$7:$C$23,'Cashflow Projection'!$B$7:$B$23,Sales!$B20,'Cashflow Projection'!$A$7:$A$23,Sales!$A20)</f>
        <v/>
      </c>
      <c r="G20" s="4" t="n">
        <v>45027</v>
      </c>
      <c r="H20" s="4" t="n">
        <v>45688</v>
      </c>
      <c r="I20" s="3" t="n">
        <v>1574900</v>
      </c>
      <c r="J20" s="3" t="n">
        <v>205421.7391304348</v>
      </c>
      <c r="K20" s="3" t="n">
        <v>1369478.260869565</v>
      </c>
      <c r="L20" s="3" t="n">
        <v>18502.08</v>
      </c>
      <c r="M20" s="3" t="n">
        <v>1789</v>
      </c>
      <c r="N20" s="3" t="n">
        <v>7874.5</v>
      </c>
      <c r="O20" s="3" t="n">
        <v>78745</v>
      </c>
      <c r="P20" s="3" t="n">
        <v>19224.37</v>
      </c>
      <c r="Q20" s="3" t="n">
        <v>1448765.05</v>
      </c>
      <c r="R20" s="9">
        <f>(SUMIFS(Investors!$M:$M,Investors!$E:$E,Sales!$C20,Investors!$O:$O,FALSE)+SUMIFS(Investors!$S:$S,Investors!$E:$E,Sales!$C20,Investors!$O:$O,FALSE))*$F20</f>
        <v/>
      </c>
      <c r="S20" s="9">
        <f>IF(T20=FALSE,Q20-R20,+V20)</f>
        <v/>
      </c>
      <c r="T20" s="3" t="b">
        <v>0</v>
      </c>
      <c r="U20" s="4" t="n">
        <v>45747</v>
      </c>
      <c r="V20" s="9" t="n">
        <v>273720.5294520545</v>
      </c>
    </row>
    <row r="21">
      <c r="A21" s="3" t="inlineStr">
        <is>
          <t>Heron Fields</t>
        </is>
      </c>
      <c r="B21" s="3" t="inlineStr">
        <is>
          <t>B</t>
        </is>
      </c>
      <c r="C21" s="3" t="inlineStr">
        <is>
          <t>HFB201</t>
        </is>
      </c>
      <c r="D21" s="3" t="b">
        <v>1</v>
      </c>
      <c r="E21" s="3" t="b">
        <v>1</v>
      </c>
      <c r="F21" s="3">
        <f>SUMIFS('Cashflow Projection'!$C$7:$C$23,'Cashflow Projection'!$B$7:$B$23,Sales!$B21,'Cashflow Projection'!$A$7:$A$23,Sales!$A21)</f>
        <v/>
      </c>
      <c r="G21" s="4" t="n">
        <v>44936</v>
      </c>
      <c r="H21" s="4" t="n">
        <v>45688</v>
      </c>
      <c r="I21" s="3" t="n">
        <v>1449900</v>
      </c>
      <c r="J21" s="3" t="n">
        <v>189117.3913043478</v>
      </c>
      <c r="K21" s="3" t="n">
        <v>1260782.608695652</v>
      </c>
      <c r="L21" s="3" t="n">
        <v>18502.08</v>
      </c>
      <c r="M21" s="3" t="n">
        <v>1789</v>
      </c>
      <c r="N21" s="3" t="n">
        <v>7249.5</v>
      </c>
      <c r="O21" s="3" t="n">
        <v>72495</v>
      </c>
      <c r="P21" s="3" t="n">
        <v>19224.37</v>
      </c>
      <c r="Q21" s="3" t="n">
        <v>1330640.05</v>
      </c>
      <c r="R21" s="9">
        <f>(SUMIFS(Investors!$M:$M,Investors!$E:$E,Sales!$C21,Investors!$O:$O,FALSE)+SUMIFS(Investors!$S:$S,Investors!$E:$E,Sales!$C21,Investors!$O:$O,FALSE))*$F21</f>
        <v/>
      </c>
      <c r="S21" s="9">
        <f>IF(T21=FALSE,Q21-R21,+V21)</f>
        <v/>
      </c>
      <c r="T21" s="3" t="b">
        <v>0</v>
      </c>
      <c r="U21" s="4" t="n">
        <v>45747</v>
      </c>
      <c r="V21" s="9" t="n">
        <v>171292.1047945204</v>
      </c>
    </row>
    <row r="22">
      <c r="A22" s="3" t="inlineStr">
        <is>
          <t>Heron View</t>
        </is>
      </c>
      <c r="B22" s="3" t="inlineStr">
        <is>
          <t>D</t>
        </is>
      </c>
      <c r="C22" s="3" t="inlineStr">
        <is>
          <t>HVD301</t>
        </is>
      </c>
      <c r="D22" s="3" t="b">
        <v>1</v>
      </c>
      <c r="E22" s="3" t="b">
        <v>1</v>
      </c>
      <c r="F22" s="3">
        <f>SUMIFS('Cashflow Projection'!$C$7:$C$23,'Cashflow Projection'!$B$7:$B$23,Sales!$B22,'Cashflow Projection'!$A$7:$A$23,Sales!$A22)</f>
        <v/>
      </c>
      <c r="G22" s="4" t="n">
        <v>45341</v>
      </c>
      <c r="H22" s="4" t="n">
        <v>45341</v>
      </c>
      <c r="I22" s="3" t="n">
        <v>1599900</v>
      </c>
      <c r="J22" s="3" t="n">
        <v>208682.6086956522</v>
      </c>
      <c r="K22" s="3" t="n">
        <v>1391217.391304348</v>
      </c>
      <c r="L22" s="3" t="n">
        <v>18502.08</v>
      </c>
      <c r="M22" s="3" t="n">
        <v>1789</v>
      </c>
      <c r="N22" s="3" t="n">
        <v>7999.5</v>
      </c>
      <c r="O22" s="3" t="n">
        <v>79995</v>
      </c>
      <c r="P22" s="3" t="n">
        <v>19224.37</v>
      </c>
      <c r="Q22" s="3" t="n">
        <v>1472390.05</v>
      </c>
      <c r="R22" s="9">
        <f>(SUMIFS(Investors!$M:$M,Investors!$E:$E,Sales!$C22,Investors!$O:$O,FALSE)+SUMIFS(Investors!$S:$S,Investors!$E:$E,Sales!$C22,Investors!$O:$O,FALSE))*$F22</f>
        <v/>
      </c>
      <c r="S22" s="9">
        <f>IF(T22=FALSE,Q22-R22,+V22)</f>
        <v/>
      </c>
      <c r="T22" s="3" t="b">
        <v>0</v>
      </c>
      <c r="U22" s="4" t="n">
        <v>45382</v>
      </c>
      <c r="V22" s="9" t="n">
        <v>188568.1321917807</v>
      </c>
    </row>
    <row r="23">
      <c r="A23" s="3" t="inlineStr">
        <is>
          <t>Heron View</t>
        </is>
      </c>
      <c r="B23" s="3" t="inlineStr">
        <is>
          <t>N</t>
        </is>
      </c>
      <c r="C23" s="3" t="inlineStr">
        <is>
          <t>HVN304</t>
        </is>
      </c>
      <c r="D23" s="3" t="b">
        <v>0</v>
      </c>
      <c r="E23" s="3" t="b">
        <v>0</v>
      </c>
      <c r="F23" s="3">
        <f>SUMIFS('Cashflow Projection'!$C$7:$C$23,'Cashflow Projection'!$B$7:$B$23,Sales!$B23,'Cashflow Projection'!$A$7:$A$23,Sales!$A23)</f>
        <v/>
      </c>
      <c r="G23" s="4" t="n">
        <v>45464</v>
      </c>
      <c r="H23" s="4" t="n">
        <v>45464</v>
      </c>
      <c r="I23" s="3" t="n">
        <v>1499900</v>
      </c>
      <c r="J23" s="3" t="n">
        <v>195639.1304347826</v>
      </c>
      <c r="K23" s="3" t="n">
        <v>1304260.869565218</v>
      </c>
      <c r="L23" s="3" t="n">
        <v>18502.08</v>
      </c>
      <c r="M23" s="3" t="n">
        <v>1789</v>
      </c>
      <c r="N23" s="3" t="n">
        <v>7499.5</v>
      </c>
      <c r="O23" s="3" t="n">
        <v>74995</v>
      </c>
      <c r="P23" s="3" t="n">
        <v>19224.37</v>
      </c>
      <c r="Q23" s="3" t="n">
        <v>1377890.05</v>
      </c>
      <c r="R23" s="9">
        <f>(SUMIFS(Investors!$M:$M,Investors!$E:$E,Sales!$C23,Investors!$O:$O,FALSE)+SUMIFS(Investors!$S:$S,Investors!$E:$E,Sales!$C23,Investors!$O:$O,FALSE))*$F23</f>
        <v/>
      </c>
      <c r="S23" s="9">
        <f>IF(T23=FALSE,Q23-R23,+V23)</f>
        <v/>
      </c>
      <c r="T23" s="3" t="b">
        <v>0</v>
      </c>
      <c r="U23" s="4" t="n">
        <v>45504</v>
      </c>
      <c r="V23" s="9" t="n">
        <v>38167.76955506834</v>
      </c>
    </row>
    <row r="24">
      <c r="A24" s="3" t="inlineStr">
        <is>
          <t>Heron View</t>
        </is>
      </c>
      <c r="B24" s="3" t="inlineStr">
        <is>
          <t>J</t>
        </is>
      </c>
      <c r="C24" s="3" t="inlineStr">
        <is>
          <t>HVJ302</t>
        </is>
      </c>
      <c r="D24" s="3" t="b">
        <v>0</v>
      </c>
      <c r="E24" s="3" t="b">
        <v>0</v>
      </c>
      <c r="F24" s="3">
        <f>SUMIFS('Cashflow Projection'!$C$7:$C$23,'Cashflow Projection'!$B$7:$B$23,Sales!$B24,'Cashflow Projection'!$A$7:$A$23,Sales!$A24)</f>
        <v/>
      </c>
      <c r="G24" s="4" t="n">
        <v>45552</v>
      </c>
      <c r="H24" s="4" t="n">
        <v>45552</v>
      </c>
      <c r="I24" s="3" t="n">
        <v>1649900</v>
      </c>
      <c r="J24" s="3" t="n">
        <v>215204.3478260869</v>
      </c>
      <c r="K24" s="3" t="n">
        <v>1434695.652173913</v>
      </c>
      <c r="L24" s="3" t="n">
        <v>18502.08</v>
      </c>
      <c r="M24" s="3" t="n">
        <v>1789</v>
      </c>
      <c r="N24" s="3" t="n">
        <v>8249.5</v>
      </c>
      <c r="O24" s="3" t="n">
        <v>82495</v>
      </c>
      <c r="P24" s="3" t="n">
        <v>19224.37</v>
      </c>
      <c r="Q24" s="3" t="n">
        <v>1519640.05</v>
      </c>
      <c r="R24" s="9">
        <f>(SUMIFS(Investors!$M:$M,Investors!$E:$E,Sales!$C24,Investors!$O:$O,FALSE)+SUMIFS(Investors!$S:$S,Investors!$E:$E,Sales!$C24,Investors!$O:$O,FALSE))*$F24</f>
        <v/>
      </c>
      <c r="S24" s="9">
        <f>IF(T24=FALSE,Q24-R24,+V24)</f>
        <v/>
      </c>
      <c r="T24" s="3" t="b">
        <v>0</v>
      </c>
      <c r="U24" s="4" t="n">
        <v>45626</v>
      </c>
      <c r="V24" s="9" t="n">
        <v>141013.3376712326</v>
      </c>
    </row>
    <row r="25">
      <c r="A25" s="3" t="inlineStr">
        <is>
          <t>Heron View</t>
        </is>
      </c>
      <c r="B25" s="3" t="inlineStr">
        <is>
          <t>J</t>
        </is>
      </c>
      <c r="C25" s="3" t="inlineStr">
        <is>
          <t>HVJ303</t>
        </is>
      </c>
      <c r="D25" s="3" t="b">
        <v>0</v>
      </c>
      <c r="E25" s="3" t="b">
        <v>0</v>
      </c>
      <c r="F25" s="3">
        <f>SUMIFS('Cashflow Projection'!$C$7:$C$23,'Cashflow Projection'!$B$7:$B$23,Sales!$B25,'Cashflow Projection'!$A$7:$A$23,Sales!$A25)</f>
        <v/>
      </c>
      <c r="G25" s="4" t="n">
        <v>45552</v>
      </c>
      <c r="H25" s="4" t="n">
        <v>45552</v>
      </c>
      <c r="I25" s="3" t="n">
        <v>1649900</v>
      </c>
      <c r="J25" s="3" t="n">
        <v>215204.3478260869</v>
      </c>
      <c r="K25" s="3" t="n">
        <v>1434695.652173913</v>
      </c>
      <c r="L25" s="3" t="n">
        <v>18502.08</v>
      </c>
      <c r="M25" s="3" t="n">
        <v>1789</v>
      </c>
      <c r="N25" s="3" t="n">
        <v>8249.5</v>
      </c>
      <c r="O25" s="3" t="n">
        <v>82495</v>
      </c>
      <c r="P25" s="3" t="n">
        <v>19224.37</v>
      </c>
      <c r="Q25" s="3" t="n">
        <v>1519640.05</v>
      </c>
      <c r="R25" s="9">
        <f>(SUMIFS(Investors!$M:$M,Investors!$E:$E,Sales!$C25,Investors!$O:$O,FALSE)+SUMIFS(Investors!$S:$S,Investors!$E:$E,Sales!$C25,Investors!$O:$O,FALSE))*$F25</f>
        <v/>
      </c>
      <c r="S25" s="9">
        <f>IF(T25=FALSE,Q25-R25,+V25)</f>
        <v/>
      </c>
      <c r="T25" s="3" t="b">
        <v>0</v>
      </c>
      <c r="U25" s="4" t="n">
        <v>45626</v>
      </c>
      <c r="V25" s="9" t="n">
        <v>138455.1184931505</v>
      </c>
    </row>
    <row r="26">
      <c r="A26" s="3" t="inlineStr">
        <is>
          <t>Heron View</t>
        </is>
      </c>
      <c r="B26" s="3" t="inlineStr">
        <is>
          <t>J</t>
        </is>
      </c>
      <c r="C26" s="3" t="inlineStr">
        <is>
          <t>HVJ402</t>
        </is>
      </c>
      <c r="D26" s="3" t="b">
        <v>0</v>
      </c>
      <c r="E26" s="3" t="b">
        <v>0</v>
      </c>
      <c r="F26" s="3">
        <f>SUMIFS('Cashflow Projection'!$C$7:$C$23,'Cashflow Projection'!$B$7:$B$23,Sales!$B26,'Cashflow Projection'!$A$7:$A$23,Sales!$A26)</f>
        <v/>
      </c>
      <c r="G26" s="4" t="n">
        <v>45552</v>
      </c>
      <c r="H26" s="4" t="n">
        <v>45552</v>
      </c>
      <c r="I26" s="3" t="n">
        <v>1699900</v>
      </c>
      <c r="J26" s="3" t="n">
        <v>221726.0869565217</v>
      </c>
      <c r="K26" s="3" t="n">
        <v>1478173.913043478</v>
      </c>
      <c r="L26" s="3" t="n">
        <v>18502.08</v>
      </c>
      <c r="M26" s="3" t="n">
        <v>1789</v>
      </c>
      <c r="N26" s="3" t="n">
        <v>8499.5</v>
      </c>
      <c r="O26" s="3" t="n">
        <v>84995</v>
      </c>
      <c r="P26" s="3" t="n">
        <v>19224.37</v>
      </c>
      <c r="Q26" s="3" t="n">
        <v>1566890.05</v>
      </c>
      <c r="R26" s="9">
        <f>(SUMIFS(Investors!$M:$M,Investors!$E:$E,Sales!$C26,Investors!$O:$O,FALSE)+SUMIFS(Investors!$S:$S,Investors!$E:$E,Sales!$C26,Investors!$O:$O,FALSE))*$F26</f>
        <v/>
      </c>
      <c r="S26" s="9">
        <f>IF(T26=FALSE,Q26-R26,+V26)</f>
        <v/>
      </c>
      <c r="T26" s="3" t="b">
        <v>0</v>
      </c>
      <c r="U26" s="4" t="n">
        <v>45626</v>
      </c>
      <c r="V26" s="9" t="n">
        <v>190410.5979452054</v>
      </c>
    </row>
    <row r="27">
      <c r="A27" s="3" t="inlineStr">
        <is>
          <t>Heron View</t>
        </is>
      </c>
      <c r="B27" s="3" t="inlineStr">
        <is>
          <t>P</t>
        </is>
      </c>
      <c r="C27" s="3" t="inlineStr">
        <is>
          <t>HVP101</t>
        </is>
      </c>
      <c r="D27" s="3" t="b">
        <v>1</v>
      </c>
      <c r="E27" s="3" t="b">
        <v>1</v>
      </c>
      <c r="F27" s="3">
        <f>SUMIFS('Cashflow Projection'!$C$7:$C$23,'Cashflow Projection'!$B$7:$B$23,Sales!$B27,'Cashflow Projection'!$A$7:$A$23,Sales!$A27)</f>
        <v/>
      </c>
      <c r="G27" s="4" t="n">
        <v>45177</v>
      </c>
      <c r="H27" s="4" t="n">
        <v>45688</v>
      </c>
      <c r="I27" s="3" t="n">
        <v>1749900</v>
      </c>
      <c r="J27" s="3" t="n">
        <v>228247.8260869565</v>
      </c>
      <c r="K27" s="3" t="n">
        <v>1521652.173913044</v>
      </c>
      <c r="L27" s="3" t="n">
        <v>18502.08</v>
      </c>
      <c r="M27" s="3" t="n">
        <v>1789</v>
      </c>
      <c r="N27" s="3" t="n">
        <v>8749.5</v>
      </c>
      <c r="O27" s="3" t="n">
        <v>87495</v>
      </c>
      <c r="P27" s="3" t="n">
        <v>19224.37</v>
      </c>
      <c r="Q27" s="3" t="n">
        <v>1614140.05</v>
      </c>
      <c r="R27" s="9">
        <f>(SUMIFS(Investors!$M:$M,Investors!$E:$E,Sales!$C27,Investors!$O:$O,FALSE)+SUMIFS(Investors!$S:$S,Investors!$E:$E,Sales!$C27,Investors!$O:$O,FALSE))*$F27</f>
        <v/>
      </c>
      <c r="S27" s="9">
        <f>IF(T27=FALSE,Q27-R27,+V27)</f>
        <v/>
      </c>
      <c r="T27" s="3" t="b">
        <v>0</v>
      </c>
      <c r="U27" s="4" t="n">
        <v>45747</v>
      </c>
      <c r="V27" s="9" t="n">
        <v>325883.2006849311</v>
      </c>
    </row>
    <row r="28">
      <c r="A28" s="3" t="inlineStr">
        <is>
          <t>Heron View</t>
        </is>
      </c>
      <c r="B28" s="3" t="inlineStr">
        <is>
          <t>G</t>
        </is>
      </c>
      <c r="C28" s="3" t="inlineStr">
        <is>
          <t>HVG103</t>
        </is>
      </c>
      <c r="D28" s="3" t="b">
        <v>0</v>
      </c>
      <c r="E28" s="3" t="b">
        <v>0</v>
      </c>
      <c r="F28" s="3">
        <f>SUMIFS('Cashflow Projection'!$C$7:$C$23,'Cashflow Projection'!$B$7:$B$23,Sales!$B28,'Cashflow Projection'!$A$7:$A$23,Sales!$A28)</f>
        <v/>
      </c>
      <c r="G28" s="4" t="n">
        <v>45523</v>
      </c>
      <c r="H28" s="4" t="n">
        <v>45523</v>
      </c>
      <c r="I28" s="3" t="n">
        <v>1649900</v>
      </c>
      <c r="J28" s="3" t="n">
        <v>215204.3478260869</v>
      </c>
      <c r="K28" s="3" t="n">
        <v>1434695.652173913</v>
      </c>
      <c r="L28" s="3" t="n">
        <v>18502.08</v>
      </c>
      <c r="M28" s="3" t="n">
        <v>1789</v>
      </c>
      <c r="N28" s="3" t="n">
        <v>8249.5</v>
      </c>
      <c r="O28" s="3" t="n">
        <v>82495</v>
      </c>
      <c r="P28" s="3" t="n">
        <v>19224.37</v>
      </c>
      <c r="Q28" s="3" t="n">
        <v>1519640.05</v>
      </c>
      <c r="R28" s="9">
        <f>(SUMIFS(Investors!$M:$M,Investors!$E:$E,Sales!$C28,Investors!$O:$O,FALSE)+SUMIFS(Investors!$S:$S,Investors!$E:$E,Sales!$C28,Investors!$O:$O,FALSE))*$F28</f>
        <v/>
      </c>
      <c r="S28" s="9">
        <f>IF(T28=FALSE,Q28-R28,+V28)</f>
        <v/>
      </c>
      <c r="T28" s="3" t="b">
        <v>0</v>
      </c>
      <c r="U28" s="4" t="n">
        <v>45565</v>
      </c>
      <c r="V28" s="9" t="n">
        <v>200679.7760273973</v>
      </c>
    </row>
    <row r="29">
      <c r="A29" s="3" t="inlineStr">
        <is>
          <t>Heron View</t>
        </is>
      </c>
      <c r="B29" s="3" t="inlineStr">
        <is>
          <t>C</t>
        </is>
      </c>
      <c r="C29" s="3" t="inlineStr">
        <is>
          <t>HVC204</t>
        </is>
      </c>
      <c r="D29" s="3" t="b">
        <v>0</v>
      </c>
      <c r="E29" s="3" t="b">
        <v>0</v>
      </c>
      <c r="F29" s="3">
        <f>SUMIFS('Cashflow Projection'!$C$7:$C$23,'Cashflow Projection'!$B$7:$B$23,Sales!$B29,'Cashflow Projection'!$A$7:$A$23,Sales!$A29)</f>
        <v/>
      </c>
      <c r="G29" s="4" t="n">
        <v>45485</v>
      </c>
      <c r="H29" s="4" t="n">
        <v>45485</v>
      </c>
      <c r="I29" s="3" t="n">
        <v>1429900</v>
      </c>
      <c r="J29" s="3" t="n">
        <v>186508.6956521739</v>
      </c>
      <c r="K29" s="3" t="n">
        <v>1243391.304347826</v>
      </c>
      <c r="L29" s="3" t="n">
        <v>18502.08</v>
      </c>
      <c r="M29" s="3" t="n">
        <v>1789</v>
      </c>
      <c r="N29" s="3" t="n">
        <v>7149.5</v>
      </c>
      <c r="O29" s="3" t="n">
        <v>71495</v>
      </c>
      <c r="P29" s="3" t="n">
        <v>19224.37</v>
      </c>
      <c r="Q29" s="3" t="n">
        <v>1311740.05</v>
      </c>
      <c r="R29" s="9">
        <f>(SUMIFS(Investors!$M:$M,Investors!$E:$E,Sales!$C29,Investors!$O:$O,FALSE)+SUMIFS(Investors!$S:$S,Investors!$E:$E,Sales!$C29,Investors!$O:$O,FALSE))*$F29</f>
        <v/>
      </c>
      <c r="S29" s="9">
        <f>IF(T29=FALSE,Q29-R29,+V29)</f>
        <v/>
      </c>
      <c r="T29" s="3" t="b">
        <v>0</v>
      </c>
      <c r="U29" s="4" t="n">
        <v>45565</v>
      </c>
      <c r="V29" s="9" t="n">
        <v>-59785.28313773987</v>
      </c>
    </row>
    <row r="30">
      <c r="A30" s="3" t="inlineStr">
        <is>
          <t>Heron View</t>
        </is>
      </c>
      <c r="B30" s="3" t="inlineStr">
        <is>
          <t>O</t>
        </is>
      </c>
      <c r="C30" s="3" t="inlineStr">
        <is>
          <t>HVO105</t>
        </is>
      </c>
      <c r="D30" s="3" t="b">
        <v>1</v>
      </c>
      <c r="E30" s="3" t="b">
        <v>0</v>
      </c>
      <c r="F30" s="3">
        <f>SUMIFS('Cashflow Projection'!$C$7:$C$23,'Cashflow Projection'!$B$7:$B$23,Sales!$B30,'Cashflow Projection'!$A$7:$A$23,Sales!$A30)</f>
        <v/>
      </c>
      <c r="G30" s="4" t="n">
        <v>45518</v>
      </c>
      <c r="H30" s="4" t="n">
        <v>45518</v>
      </c>
      <c r="I30" s="3" t="n">
        <v>1739900</v>
      </c>
      <c r="J30" s="3" t="n">
        <v>226943.4782608696</v>
      </c>
      <c r="K30" s="3" t="n">
        <v>1512956.521739131</v>
      </c>
      <c r="L30" s="3" t="n">
        <v>18502.08</v>
      </c>
      <c r="M30" s="3" t="n">
        <v>1789</v>
      </c>
      <c r="N30" s="3" t="n">
        <v>8699.5</v>
      </c>
      <c r="O30" s="3" t="n">
        <v>86995</v>
      </c>
      <c r="P30" s="3" t="n">
        <v>19224.37</v>
      </c>
      <c r="Q30" s="3" t="n">
        <v>1604690.05</v>
      </c>
      <c r="R30" s="9">
        <f>(SUMIFS(Investors!$M:$M,Investors!$E:$E,Sales!$C30,Investors!$O:$O,FALSE)+SUMIFS(Investors!$S:$S,Investors!$E:$E,Sales!$C30,Investors!$O:$O,FALSE))*$F30</f>
        <v/>
      </c>
      <c r="S30" s="9">
        <f>IF(T30=FALSE,Q30-R30,+V30)</f>
        <v/>
      </c>
      <c r="T30" s="3" t="b">
        <v>0</v>
      </c>
      <c r="U30" s="4" t="n">
        <v>45565</v>
      </c>
      <c r="V30" s="9" t="n">
        <v>210830.0659984243</v>
      </c>
    </row>
    <row r="31">
      <c r="A31" s="3" t="inlineStr">
        <is>
          <t>Heron View</t>
        </is>
      </c>
      <c r="B31" s="3" t="inlineStr">
        <is>
          <t>C</t>
        </is>
      </c>
      <c r="C31" s="3" t="inlineStr">
        <is>
          <t>HVC201</t>
        </is>
      </c>
      <c r="D31" s="3" t="b">
        <v>1</v>
      </c>
      <c r="E31" s="3" t="b">
        <v>1</v>
      </c>
      <c r="F31" s="3">
        <f>SUMIFS('Cashflow Projection'!$C$7:$C$23,'Cashflow Projection'!$B$7:$B$23,Sales!$B31,'Cashflow Projection'!$A$7:$A$23,Sales!$A31)</f>
        <v/>
      </c>
      <c r="G31" s="4" t="n">
        <v>45177</v>
      </c>
      <c r="H31" s="4" t="n">
        <v>45688</v>
      </c>
      <c r="I31" s="3" t="n">
        <v>1529900</v>
      </c>
      <c r="J31" s="3" t="n">
        <v>199552.1739130435</v>
      </c>
      <c r="K31" s="3" t="n">
        <v>1330347.826086957</v>
      </c>
      <c r="L31" s="3" t="n">
        <v>18502.08</v>
      </c>
      <c r="M31" s="3" t="n">
        <v>1789</v>
      </c>
      <c r="N31" s="3" t="n">
        <v>7649.5</v>
      </c>
      <c r="O31" s="3" t="n">
        <v>76495</v>
      </c>
      <c r="P31" s="3" t="n">
        <v>19224.37</v>
      </c>
      <c r="Q31" s="3" t="n">
        <v>1406240.05</v>
      </c>
      <c r="R31" s="9">
        <f>(SUMIFS(Investors!$M:$M,Investors!$E:$E,Sales!$C31,Investors!$O:$O,FALSE)+SUMIFS(Investors!$S:$S,Investors!$E:$E,Sales!$C31,Investors!$O:$O,FALSE))*$F31</f>
        <v/>
      </c>
      <c r="S31" s="9">
        <f>IF(T31=FALSE,Q31-R31,+V31)</f>
        <v/>
      </c>
      <c r="T31" s="3" t="b">
        <v>0</v>
      </c>
      <c r="U31" s="4" t="n">
        <v>45747</v>
      </c>
      <c r="V31" s="9" t="n">
        <v>177717.2514810958</v>
      </c>
    </row>
    <row r="32">
      <c r="A32" s="3" t="inlineStr">
        <is>
          <t>Heron View</t>
        </is>
      </c>
      <c r="B32" s="3" t="inlineStr">
        <is>
          <t>E</t>
        </is>
      </c>
      <c r="C32" s="3" t="inlineStr">
        <is>
          <t>HVE304</t>
        </is>
      </c>
      <c r="D32" s="3" t="b">
        <v>0</v>
      </c>
      <c r="E32" s="3" t="b">
        <v>0</v>
      </c>
      <c r="F32" s="3">
        <f>SUMIFS('Cashflow Projection'!$C$7:$C$23,'Cashflow Projection'!$B$7:$B$23,Sales!$B32,'Cashflow Projection'!$A$7:$A$23,Sales!$A32)</f>
        <v/>
      </c>
      <c r="G32" s="4" t="n">
        <v>45685</v>
      </c>
      <c r="H32" s="4" t="n">
        <v>45685</v>
      </c>
      <c r="I32" s="3" t="n">
        <v>1499900</v>
      </c>
      <c r="J32" s="3" t="n">
        <v>195639.1304347826</v>
      </c>
      <c r="K32" s="3" t="n">
        <v>1304260.869565218</v>
      </c>
      <c r="L32" s="3" t="n">
        <v>18502.08</v>
      </c>
      <c r="M32" s="3" t="n">
        <v>1789</v>
      </c>
      <c r="N32" s="3" t="n">
        <v>7499.5</v>
      </c>
      <c r="O32" s="3" t="n">
        <v>74995</v>
      </c>
      <c r="P32" s="3" t="n">
        <v>19224.37</v>
      </c>
      <c r="Q32" s="3" t="n">
        <v>1377890.05</v>
      </c>
      <c r="R32" s="9">
        <f>(SUMIFS(Investors!$M:$M,Investors!$E:$E,Sales!$C32,Investors!$O:$O,FALSE)+SUMIFS(Investors!$S:$S,Investors!$E:$E,Sales!$C32,Investors!$O:$O,FALSE))*$F32</f>
        <v/>
      </c>
      <c r="S32" s="9">
        <f>IF(T32=FALSE,Q32-R32,+V32)</f>
        <v/>
      </c>
      <c r="T32" s="3" t="b">
        <v>0</v>
      </c>
      <c r="U32" s="4" t="n">
        <v>45747</v>
      </c>
      <c r="V32" s="9" t="n">
        <v>-78942.82671232894</v>
      </c>
    </row>
    <row r="33">
      <c r="A33" s="3" t="inlineStr">
        <is>
          <t>Heron View</t>
        </is>
      </c>
      <c r="B33" s="3" t="inlineStr">
        <is>
          <t>K</t>
        </is>
      </c>
      <c r="C33" s="3" t="inlineStr">
        <is>
          <t>HVK204</t>
        </is>
      </c>
      <c r="D33" s="3" t="b">
        <v>0</v>
      </c>
      <c r="E33" s="3" t="b">
        <v>0</v>
      </c>
      <c r="F33" s="3">
        <f>SUMIFS('Cashflow Projection'!$C$7:$C$23,'Cashflow Projection'!$B$7:$B$23,Sales!$B33,'Cashflow Projection'!$A$7:$A$23,Sales!$A33)</f>
        <v/>
      </c>
      <c r="G33" s="4" t="n">
        <v>45510</v>
      </c>
      <c r="H33" s="4" t="n">
        <v>45510</v>
      </c>
      <c r="I33" s="3" t="n">
        <v>1499900</v>
      </c>
      <c r="J33" s="3" t="n">
        <v>195639.1304347826</v>
      </c>
      <c r="K33" s="3" t="n">
        <v>1304260.869565218</v>
      </c>
      <c r="L33" s="3" t="n">
        <v>18502.08</v>
      </c>
      <c r="M33" s="3" t="n">
        <v>1789</v>
      </c>
      <c r="N33" s="3" t="n">
        <v>7499.5</v>
      </c>
      <c r="O33" s="3" t="n">
        <v>74995</v>
      </c>
      <c r="P33" s="3" t="n">
        <v>19224.37</v>
      </c>
      <c r="Q33" s="3" t="n">
        <v>1377890.05</v>
      </c>
      <c r="R33" s="9">
        <f>(SUMIFS(Investors!$M:$M,Investors!$E:$E,Sales!$C33,Investors!$O:$O,FALSE)+SUMIFS(Investors!$S:$S,Investors!$E:$E,Sales!$C33,Investors!$O:$O,FALSE))*$F33</f>
        <v/>
      </c>
      <c r="S33" s="9">
        <f>IF(T33=FALSE,Q33-R33,+V33)</f>
        <v/>
      </c>
      <c r="T33" s="3" t="b">
        <v>0</v>
      </c>
      <c r="U33" s="4" t="n">
        <v>45565</v>
      </c>
      <c r="V33" s="9" t="n">
        <v>-10865.33463609591</v>
      </c>
    </row>
    <row r="34">
      <c r="A34" s="3" t="inlineStr">
        <is>
          <t>Heron View</t>
        </is>
      </c>
      <c r="B34" s="3" t="inlineStr">
        <is>
          <t>K</t>
        </is>
      </c>
      <c r="C34" s="3" t="inlineStr">
        <is>
          <t>HVK403</t>
        </is>
      </c>
      <c r="D34" s="3" t="b">
        <v>0</v>
      </c>
      <c r="E34" s="3" t="b">
        <v>0</v>
      </c>
      <c r="F34" s="3">
        <f>SUMIFS('Cashflow Projection'!$C$7:$C$23,'Cashflow Projection'!$B$7:$B$23,Sales!$B34,'Cashflow Projection'!$A$7:$A$23,Sales!$A34)</f>
        <v/>
      </c>
      <c r="G34" s="4" t="n">
        <v>45510</v>
      </c>
      <c r="H34" s="4" t="n">
        <v>45510</v>
      </c>
      <c r="I34" s="3" t="n">
        <v>1749900</v>
      </c>
      <c r="J34" s="3" t="n">
        <v>228247.8260869565</v>
      </c>
      <c r="K34" s="3" t="n">
        <v>1521652.173913044</v>
      </c>
      <c r="L34" s="3" t="n">
        <v>18502.08</v>
      </c>
      <c r="M34" s="3" t="n">
        <v>1789</v>
      </c>
      <c r="N34" s="3" t="n">
        <v>8749.5</v>
      </c>
      <c r="O34" s="3" t="n">
        <v>87495</v>
      </c>
      <c r="P34" s="3" t="n">
        <v>19224.37</v>
      </c>
      <c r="Q34" s="3" t="n">
        <v>1614140.05</v>
      </c>
      <c r="R34" s="9">
        <f>(SUMIFS(Investors!$M:$M,Investors!$E:$E,Sales!$C34,Investors!$O:$O,FALSE)+SUMIFS(Investors!$S:$S,Investors!$E:$E,Sales!$C34,Investors!$O:$O,FALSE))*$F34</f>
        <v/>
      </c>
      <c r="S34" s="9">
        <f>IF(T34=FALSE,Q34-R34,+V34)</f>
        <v/>
      </c>
      <c r="T34" s="3" t="b">
        <v>0</v>
      </c>
      <c r="U34" s="4" t="n">
        <v>45565</v>
      </c>
      <c r="V34" s="9" t="n">
        <v>243164.749769863</v>
      </c>
    </row>
    <row r="35">
      <c r="A35" s="3" t="inlineStr">
        <is>
          <t>Endulini</t>
        </is>
      </c>
      <c r="B35" s="3" t="inlineStr">
        <is>
          <t>A</t>
        </is>
      </c>
      <c r="C35" s="3" t="inlineStr">
        <is>
          <t>EA303</t>
        </is>
      </c>
      <c r="D35" s="3" t="b">
        <v>1</v>
      </c>
      <c r="E35" s="3" t="b">
        <v>1</v>
      </c>
      <c r="F35" s="3">
        <f>SUMIFS('Cashflow Projection'!$C$7:$C$23,'Cashflow Projection'!$B$7:$B$23,Sales!$B35,'Cashflow Projection'!$A$7:$A$23,Sales!$A35)</f>
        <v/>
      </c>
      <c r="G35" s="4" t="n">
        <v>45079</v>
      </c>
      <c r="H35" s="4" t="n">
        <v>45688</v>
      </c>
      <c r="I35" s="3" t="n">
        <v>1559900</v>
      </c>
      <c r="J35" s="3" t="n">
        <v>203465.2173913044</v>
      </c>
      <c r="K35" s="3" t="n">
        <v>1356434.782608696</v>
      </c>
      <c r="L35" s="3" t="n">
        <v>18502.08</v>
      </c>
      <c r="M35" s="3" t="n">
        <v>1789</v>
      </c>
      <c r="N35" s="3" t="n">
        <v>7799.5</v>
      </c>
      <c r="O35" s="3" t="n">
        <v>77995</v>
      </c>
      <c r="P35" s="3" t="n">
        <v>19224.37</v>
      </c>
      <c r="Q35" s="3" t="n">
        <v>1434590.05</v>
      </c>
      <c r="R35" s="9">
        <f>(SUMIFS(Investors!$M:$M,Investors!$E:$E,Sales!$C35,Investors!$O:$O,FALSE)+SUMIFS(Investors!$S:$S,Investors!$E:$E,Sales!$C35,Investors!$O:$O,FALSE))*$F35</f>
        <v/>
      </c>
      <c r="S35" s="9">
        <f>IF(T35=FALSE,Q35-R35,+V35)</f>
        <v/>
      </c>
      <c r="T35" s="3" t="b">
        <v>0</v>
      </c>
      <c r="U35" s="4" t="n">
        <v>45747</v>
      </c>
      <c r="V35" s="9" t="n">
        <v>397481.1458904108</v>
      </c>
    </row>
    <row r="36">
      <c r="A36" s="3" t="inlineStr">
        <is>
          <t>Endulini</t>
        </is>
      </c>
      <c r="B36" s="3" t="inlineStr">
        <is>
          <t>A</t>
        </is>
      </c>
      <c r="C36" s="3" t="inlineStr">
        <is>
          <t>EA103</t>
        </is>
      </c>
      <c r="D36" s="3" t="b">
        <v>1</v>
      </c>
      <c r="E36" s="3" t="b">
        <v>1</v>
      </c>
      <c r="F36" s="3">
        <f>SUMIFS('Cashflow Projection'!$C$7:$C$23,'Cashflow Projection'!$B$7:$B$23,Sales!$B36,'Cashflow Projection'!$A$7:$A$23,Sales!$A36)</f>
        <v/>
      </c>
      <c r="G36" s="4" t="n">
        <v>44869</v>
      </c>
      <c r="H36" s="4" t="n">
        <v>45688</v>
      </c>
      <c r="I36" s="3" t="n">
        <v>1549900</v>
      </c>
      <c r="J36" s="3" t="n">
        <v>202160.8695652174</v>
      </c>
      <c r="K36" s="3" t="n">
        <v>1347739.130434783</v>
      </c>
      <c r="L36" s="3" t="n">
        <v>18502.08</v>
      </c>
      <c r="M36" s="3" t="n">
        <v>1789</v>
      </c>
      <c r="N36" s="3" t="n">
        <v>7749.5</v>
      </c>
      <c r="O36" s="3" t="n">
        <v>77495</v>
      </c>
      <c r="P36" s="3" t="n">
        <v>19224.37</v>
      </c>
      <c r="Q36" s="3" t="n">
        <v>1425140.05</v>
      </c>
      <c r="R36" s="9">
        <f>(SUMIFS(Investors!$M:$M,Investors!$E:$E,Sales!$C36,Investors!$O:$O,FALSE)+SUMIFS(Investors!$S:$S,Investors!$E:$E,Sales!$C36,Investors!$O:$O,FALSE))*$F36</f>
        <v/>
      </c>
      <c r="S36" s="9">
        <f>IF(T36=FALSE,Q36-R36,+V36)</f>
        <v/>
      </c>
      <c r="T36" s="3" t="b">
        <v>0</v>
      </c>
      <c r="U36" s="4" t="n">
        <v>45747</v>
      </c>
      <c r="V36" s="9" t="n">
        <v>196095.5294520545</v>
      </c>
    </row>
    <row r="37">
      <c r="A37" s="3" t="inlineStr">
        <is>
          <t>Endulini</t>
        </is>
      </c>
      <c r="B37" s="3" t="inlineStr">
        <is>
          <t>A</t>
        </is>
      </c>
      <c r="C37" s="3" t="inlineStr">
        <is>
          <t>EA104</t>
        </is>
      </c>
      <c r="D37" s="3" t="b">
        <v>1</v>
      </c>
      <c r="E37" s="3" t="b">
        <v>1</v>
      </c>
      <c r="F37" s="3">
        <f>SUMIFS('Cashflow Projection'!$C$7:$C$23,'Cashflow Projection'!$B$7:$B$23,Sales!$B37,'Cashflow Projection'!$A$7:$A$23,Sales!$A37)</f>
        <v/>
      </c>
      <c r="G37" s="4" t="n">
        <v>44960</v>
      </c>
      <c r="H37" s="4" t="n">
        <v>45688</v>
      </c>
      <c r="I37" s="3" t="n">
        <v>1559900</v>
      </c>
      <c r="J37" s="3" t="n">
        <v>203465.2173913044</v>
      </c>
      <c r="K37" s="3" t="n">
        <v>1356434.782608696</v>
      </c>
      <c r="L37" s="3" t="n">
        <v>18502.08</v>
      </c>
      <c r="M37" s="3" t="n">
        <v>1789</v>
      </c>
      <c r="N37" s="3" t="n">
        <v>7799.5</v>
      </c>
      <c r="O37" s="3" t="n">
        <v>77995</v>
      </c>
      <c r="P37" s="3" t="n">
        <v>19224.37</v>
      </c>
      <c r="Q37" s="3" t="n">
        <v>1434590.05</v>
      </c>
      <c r="R37" s="9">
        <f>(SUMIFS(Investors!$M:$M,Investors!$E:$E,Sales!$C37,Investors!$O:$O,FALSE)+SUMIFS(Investors!$S:$S,Investors!$E:$E,Sales!$C37,Investors!$O:$O,FALSE))*$F37</f>
        <v/>
      </c>
      <c r="S37" s="9">
        <f>IF(T37=FALSE,Q37-R37,+V37)</f>
        <v/>
      </c>
      <c r="T37" s="3" t="b">
        <v>0</v>
      </c>
      <c r="U37" s="4" t="n">
        <v>45747</v>
      </c>
      <c r="V37" s="9" t="n">
        <v>156487.3102739723</v>
      </c>
    </row>
    <row r="38">
      <c r="A38" s="3" t="inlineStr">
        <is>
          <t>Endulini</t>
        </is>
      </c>
      <c r="B38" s="3" t="inlineStr">
        <is>
          <t>A</t>
        </is>
      </c>
      <c r="C38" s="3" t="inlineStr">
        <is>
          <t>EA302</t>
        </is>
      </c>
      <c r="D38" s="3" t="b">
        <v>0</v>
      </c>
      <c r="E38" s="3" t="b">
        <v>0</v>
      </c>
      <c r="F38" s="3">
        <f>SUMIFS('Cashflow Projection'!$C$7:$C$23,'Cashflow Projection'!$B$7:$B$23,Sales!$B38,'Cashflow Projection'!$A$7:$A$23,Sales!$A38)</f>
        <v/>
      </c>
      <c r="G38" s="4" t="n">
        <v>45478</v>
      </c>
      <c r="H38" s="4" t="n">
        <v>45478</v>
      </c>
      <c r="I38" s="3" t="n">
        <v>1559900</v>
      </c>
      <c r="J38" s="3" t="n">
        <v>0</v>
      </c>
      <c r="K38" s="3" t="n">
        <v>1356434.782608696</v>
      </c>
      <c r="L38" s="3" t="n">
        <v>18502.08</v>
      </c>
      <c r="M38" s="3" t="n">
        <v>1789</v>
      </c>
      <c r="N38" s="3" t="n">
        <v>7799.5</v>
      </c>
      <c r="O38" s="3" t="n">
        <v>77995</v>
      </c>
      <c r="P38" s="3" t="n">
        <v>19224.37</v>
      </c>
      <c r="Q38" s="3" t="n">
        <v>1434590.05</v>
      </c>
      <c r="R38" s="9">
        <f>(SUMIFS(Investors!$M:$M,Investors!$E:$E,Sales!$C38,Investors!$O:$O,FALSE)+SUMIFS(Investors!$S:$S,Investors!$E:$E,Sales!$C38,Investors!$O:$O,FALSE))*$F38</f>
        <v/>
      </c>
      <c r="S38" s="9">
        <f>IF(T38=FALSE,Q38-R38,+V38)</f>
        <v/>
      </c>
      <c r="T38" s="3" t="b">
        <v>1</v>
      </c>
      <c r="U38" s="4" t="n">
        <v>45565</v>
      </c>
      <c r="V38" s="9" t="n">
        <v>921500</v>
      </c>
    </row>
    <row r="39">
      <c r="A39" s="3" t="inlineStr">
        <is>
          <t>Endulini</t>
        </is>
      </c>
      <c r="B39" s="3" t="inlineStr">
        <is>
          <t>A</t>
        </is>
      </c>
      <c r="C39" s="3" t="inlineStr">
        <is>
          <t>EA109</t>
        </is>
      </c>
      <c r="D39" s="3" t="b">
        <v>1</v>
      </c>
      <c r="E39" s="3" t="b">
        <v>1</v>
      </c>
      <c r="F39" s="3">
        <f>SUMIFS('Cashflow Projection'!$C$7:$C$23,'Cashflow Projection'!$B$7:$B$23,Sales!$B39,'Cashflow Projection'!$A$7:$A$23,Sales!$A39)</f>
        <v/>
      </c>
      <c r="G39" s="4" t="n">
        <v>44845</v>
      </c>
      <c r="H39" s="4" t="n">
        <v>45688</v>
      </c>
      <c r="I39" s="3" t="n">
        <v>1599900</v>
      </c>
      <c r="J39" s="3" t="n">
        <v>208682.6086956522</v>
      </c>
      <c r="K39" s="3" t="n">
        <v>1391217.391304348</v>
      </c>
      <c r="L39" s="3" t="n">
        <v>18502.08</v>
      </c>
      <c r="M39" s="3" t="n">
        <v>1789</v>
      </c>
      <c r="N39" s="3" t="n">
        <v>7999.5</v>
      </c>
      <c r="O39" s="3" t="n">
        <v>79995</v>
      </c>
      <c r="P39" s="3" t="n">
        <v>19224.37</v>
      </c>
      <c r="Q39" s="3" t="n">
        <v>1472390.05</v>
      </c>
      <c r="R39" s="9">
        <f>(SUMIFS(Investors!$M:$M,Investors!$E:$E,Sales!$C39,Investors!$O:$O,FALSE)+SUMIFS(Investors!$S:$S,Investors!$E:$E,Sales!$C39,Investors!$O:$O,FALSE))*$F39</f>
        <v/>
      </c>
      <c r="S39" s="9">
        <f>IF(T39=FALSE,Q39-R39,+V39)</f>
        <v/>
      </c>
      <c r="T39" s="3" t="b">
        <v>0</v>
      </c>
      <c r="U39" s="4" t="n">
        <v>45747</v>
      </c>
      <c r="V39" s="9" t="n">
        <v>288141.4198630136</v>
      </c>
    </row>
    <row r="40">
      <c r="A40" s="3" t="inlineStr">
        <is>
          <t>Endulini</t>
        </is>
      </c>
      <c r="B40" s="3" t="inlineStr">
        <is>
          <t>C</t>
        </is>
      </c>
      <c r="C40" s="3" t="inlineStr">
        <is>
          <t>EC201</t>
        </is>
      </c>
      <c r="D40" s="3" t="b">
        <v>1</v>
      </c>
      <c r="E40" s="3" t="b">
        <v>1</v>
      </c>
      <c r="F40" s="3">
        <f>SUMIFS('Cashflow Projection'!$C$7:$C$23,'Cashflow Projection'!$B$7:$B$23,Sales!$B40,'Cashflow Projection'!$A$7:$A$23,Sales!$A40)</f>
        <v/>
      </c>
      <c r="G40" s="4" t="n">
        <v>44848</v>
      </c>
      <c r="H40" s="4" t="n">
        <v>45688</v>
      </c>
      <c r="I40" s="3" t="n">
        <v>1479900</v>
      </c>
      <c r="J40" s="3" t="n">
        <v>193030.4347826087</v>
      </c>
      <c r="K40" s="3" t="n">
        <v>1286869.565217391</v>
      </c>
      <c r="L40" s="3" t="n">
        <v>18502.08</v>
      </c>
      <c r="M40" s="3" t="n">
        <v>1789</v>
      </c>
      <c r="N40" s="3" t="n">
        <v>7399.5</v>
      </c>
      <c r="O40" s="3" t="n">
        <v>73995</v>
      </c>
      <c r="P40" s="3" t="n">
        <v>19224.37</v>
      </c>
      <c r="Q40" s="3" t="n">
        <v>1358990.05</v>
      </c>
      <c r="R40" s="9">
        <f>(SUMIFS(Investors!$M:$M,Investors!$E:$E,Sales!$C40,Investors!$O:$O,FALSE)+SUMIFS(Investors!$S:$S,Investors!$E:$E,Sales!$C40,Investors!$O:$O,FALSE))*$F40</f>
        <v/>
      </c>
      <c r="S40" s="9">
        <f>IF(T40=FALSE,Q40-R40,+V40)</f>
        <v/>
      </c>
      <c r="T40" s="3" t="b">
        <v>0</v>
      </c>
      <c r="U40" s="4" t="n">
        <v>45747</v>
      </c>
      <c r="V40" s="9" t="n">
        <v>166868.4524613698</v>
      </c>
    </row>
    <row r="41">
      <c r="A41" s="3" t="inlineStr">
        <is>
          <t>Endulini</t>
        </is>
      </c>
      <c r="B41" s="3" t="inlineStr">
        <is>
          <t>D</t>
        </is>
      </c>
      <c r="C41" s="3" t="inlineStr">
        <is>
          <t>ED102</t>
        </is>
      </c>
      <c r="D41" s="3" t="b">
        <v>1</v>
      </c>
      <c r="E41" s="3" t="b">
        <v>1</v>
      </c>
      <c r="F41" s="3">
        <f>SUMIFS('Cashflow Projection'!$C$7:$C$23,'Cashflow Projection'!$B$7:$B$23,Sales!$B41,'Cashflow Projection'!$A$7:$A$23,Sales!$A41)</f>
        <v/>
      </c>
      <c r="G41" s="4" t="n">
        <v>44687</v>
      </c>
      <c r="H41" s="4" t="n">
        <v>45688</v>
      </c>
      <c r="I41" s="3" t="n">
        <v>1349900</v>
      </c>
      <c r="J41" s="3" t="n">
        <v>176073.9130434782</v>
      </c>
      <c r="K41" s="3" t="n">
        <v>1173826.086956522</v>
      </c>
      <c r="L41" s="3" t="n">
        <v>18502.08</v>
      </c>
      <c r="M41" s="3" t="n">
        <v>1789</v>
      </c>
      <c r="N41" s="3" t="n">
        <v>6749.5</v>
      </c>
      <c r="O41" s="3" t="n">
        <v>67495</v>
      </c>
      <c r="P41" s="3" t="n">
        <v>19224.37</v>
      </c>
      <c r="Q41" s="3" t="n">
        <v>1236140.05</v>
      </c>
      <c r="R41" s="9">
        <f>(SUMIFS(Investors!$M:$M,Investors!$E:$E,Sales!$C41,Investors!$O:$O,FALSE)+SUMIFS(Investors!$S:$S,Investors!$E:$E,Sales!$C41,Investors!$O:$O,FALSE))*$F41</f>
        <v/>
      </c>
      <c r="S41" s="9">
        <f>IF(T41=FALSE,Q41-R41,+V41)</f>
        <v/>
      </c>
      <c r="T41" s="3" t="b">
        <v>0</v>
      </c>
      <c r="U41" s="4" t="n">
        <v>45747</v>
      </c>
      <c r="V41" s="9" t="n">
        <v>33144.35634356132</v>
      </c>
    </row>
    <row r="42">
      <c r="A42" s="3" t="inlineStr">
        <is>
          <t>Endulini</t>
        </is>
      </c>
      <c r="B42" s="3" t="inlineStr">
        <is>
          <t>E</t>
        </is>
      </c>
      <c r="C42" s="3" t="inlineStr">
        <is>
          <t>EE101</t>
        </is>
      </c>
      <c r="D42" s="3" t="b">
        <v>1</v>
      </c>
      <c r="E42" s="3" t="b">
        <v>1</v>
      </c>
      <c r="F42" s="3">
        <f>SUMIFS('Cashflow Projection'!$C$7:$C$23,'Cashflow Projection'!$B$7:$B$23,Sales!$B42,'Cashflow Projection'!$A$7:$A$23,Sales!$A42)</f>
        <v/>
      </c>
      <c r="G42" s="4" t="n">
        <v>44657</v>
      </c>
      <c r="H42" s="4" t="n">
        <v>45688</v>
      </c>
      <c r="I42" s="3" t="n">
        <v>1434900</v>
      </c>
      <c r="J42" s="3" t="n">
        <v>187160.8695652174</v>
      </c>
      <c r="K42" s="3" t="n">
        <v>1247739.130434783</v>
      </c>
      <c r="L42" s="3" t="n">
        <v>18502.08</v>
      </c>
      <c r="M42" s="3" t="n">
        <v>1789</v>
      </c>
      <c r="N42" s="3" t="n">
        <v>7174.5</v>
      </c>
      <c r="O42" s="3" t="n">
        <v>71745</v>
      </c>
      <c r="P42" s="3" t="n">
        <v>19224.37</v>
      </c>
      <c r="Q42" s="3" t="n">
        <v>1316465.05</v>
      </c>
      <c r="R42" s="9">
        <f>(SUMIFS(Investors!$M:$M,Investors!$E:$E,Sales!$C42,Investors!$O:$O,FALSE)+SUMIFS(Investors!$S:$S,Investors!$E:$E,Sales!$C42,Investors!$O:$O,FALSE))*$F42</f>
        <v/>
      </c>
      <c r="S42" s="9">
        <f>IF(T42=FALSE,Q42-R42,+V42)</f>
        <v/>
      </c>
      <c r="T42" s="3" t="b">
        <v>0</v>
      </c>
      <c r="U42" s="4" t="n">
        <v>45747</v>
      </c>
      <c r="V42" s="9" t="n">
        <v>82555.46095890389</v>
      </c>
    </row>
    <row r="43">
      <c r="A43" s="3" t="inlineStr">
        <is>
          <t>Heron Fields</t>
        </is>
      </c>
      <c r="B43" s="3" t="inlineStr">
        <is>
          <t>A</t>
        </is>
      </c>
      <c r="C43" s="3" t="inlineStr">
        <is>
          <t>HFA101</t>
        </is>
      </c>
      <c r="D43" s="3" t="b">
        <v>1</v>
      </c>
      <c r="E43" s="3" t="b">
        <v>1</v>
      </c>
      <c r="F43" s="3">
        <f>SUMIFS('Cashflow Projection'!$C$7:$C$23,'Cashflow Projection'!$B$7:$B$23,Sales!$B43,'Cashflow Projection'!$A$7:$A$23,Sales!$A43)</f>
        <v/>
      </c>
      <c r="G43" s="4" t="n">
        <v>44887</v>
      </c>
      <c r="H43" s="4" t="n">
        <v>45688</v>
      </c>
      <c r="I43" s="3" t="n">
        <v>1479900</v>
      </c>
      <c r="J43" s="3" t="n">
        <v>193030.4347826087</v>
      </c>
      <c r="K43" s="3" t="n">
        <v>1286869.565217391</v>
      </c>
      <c r="L43" s="3" t="n">
        <v>18502.08</v>
      </c>
      <c r="M43" s="3" t="n">
        <v>1789</v>
      </c>
      <c r="N43" s="3" t="n">
        <v>7399.5</v>
      </c>
      <c r="O43" s="3" t="n">
        <v>73995</v>
      </c>
      <c r="P43" s="3" t="n">
        <v>19224.37</v>
      </c>
      <c r="Q43" s="3" t="n">
        <v>1358990.05</v>
      </c>
      <c r="R43" s="9">
        <f>(SUMIFS(Investors!$M:$M,Investors!$E:$E,Sales!$C43,Investors!$O:$O,FALSE)+SUMIFS(Investors!$S:$S,Investors!$E:$E,Sales!$C43,Investors!$O:$O,FALSE))*$F43</f>
        <v/>
      </c>
      <c r="S43" s="9">
        <f>IF(T43=FALSE,Q43-R43,+V43)</f>
        <v/>
      </c>
      <c r="T43" s="3" t="b">
        <v>0</v>
      </c>
      <c r="U43" s="4" t="n">
        <v>45747</v>
      </c>
      <c r="V43" s="9" t="n">
        <v>206805.4259752054</v>
      </c>
    </row>
    <row r="44">
      <c r="A44" s="3" t="inlineStr">
        <is>
          <t>Heron Fields</t>
        </is>
      </c>
      <c r="B44" s="3" t="inlineStr">
        <is>
          <t>A</t>
        </is>
      </c>
      <c r="C44" s="3" t="inlineStr">
        <is>
          <t>HFA205</t>
        </is>
      </c>
      <c r="D44" s="3" t="b">
        <v>1</v>
      </c>
      <c r="E44" s="3" t="b">
        <v>1</v>
      </c>
      <c r="F44" s="3">
        <f>SUMIFS('Cashflow Projection'!$C$7:$C$23,'Cashflow Projection'!$B$7:$B$23,Sales!$B44,'Cashflow Projection'!$A$7:$A$23,Sales!$A44)</f>
        <v/>
      </c>
      <c r="G44" s="4" t="n">
        <v>44943</v>
      </c>
      <c r="H44" s="4" t="n">
        <v>45688</v>
      </c>
      <c r="I44" s="3" t="n">
        <v>1279900</v>
      </c>
      <c r="J44" s="3" t="n">
        <v>166943.4782608696</v>
      </c>
      <c r="K44" s="3" t="n">
        <v>1112956.521739131</v>
      </c>
      <c r="L44" s="3" t="n">
        <v>18502.08</v>
      </c>
      <c r="M44" s="3" t="n">
        <v>1789</v>
      </c>
      <c r="N44" s="3" t="n">
        <v>6399.5</v>
      </c>
      <c r="O44" s="3" t="n">
        <v>63995</v>
      </c>
      <c r="P44" s="3" t="n">
        <v>19224.37</v>
      </c>
      <c r="Q44" s="3" t="n">
        <v>1169990.05</v>
      </c>
      <c r="R44" s="9">
        <f>(SUMIFS(Investors!$M:$M,Investors!$E:$E,Sales!$C44,Investors!$O:$O,FALSE)+SUMIFS(Investors!$S:$S,Investors!$E:$E,Sales!$C44,Investors!$O:$O,FALSE))*$F44</f>
        <v/>
      </c>
      <c r="S44" s="9">
        <f>IF(T44=FALSE,Q44-R44,+V44)</f>
        <v/>
      </c>
      <c r="T44" s="3" t="b">
        <v>0</v>
      </c>
      <c r="U44" s="4" t="n">
        <v>45747</v>
      </c>
      <c r="V44" s="9" t="n">
        <v>3265.925640958594</v>
      </c>
    </row>
    <row r="45">
      <c r="A45" s="3" t="inlineStr">
        <is>
          <t>Heron Fields</t>
        </is>
      </c>
      <c r="B45" s="3" t="inlineStr">
        <is>
          <t>A</t>
        </is>
      </c>
      <c r="C45" s="3" t="inlineStr">
        <is>
          <t>HFA106</t>
        </is>
      </c>
      <c r="D45" s="3" t="b">
        <v>1</v>
      </c>
      <c r="E45" s="3" t="b">
        <v>1</v>
      </c>
      <c r="F45" s="3">
        <f>SUMIFS('Cashflow Projection'!$C$7:$C$23,'Cashflow Projection'!$B$7:$B$23,Sales!$B45,'Cashflow Projection'!$A$7:$A$23,Sales!$A45)</f>
        <v/>
      </c>
      <c r="G45" s="4" t="n">
        <v>44887</v>
      </c>
      <c r="H45" s="4" t="n">
        <v>45688</v>
      </c>
      <c r="I45" s="3" t="n">
        <v>1549900</v>
      </c>
      <c r="J45" s="3" t="n">
        <v>202160.8695652174</v>
      </c>
      <c r="K45" s="3" t="n">
        <v>1347739.130434783</v>
      </c>
      <c r="L45" s="3" t="n">
        <v>18502.08</v>
      </c>
      <c r="M45" s="3" t="n">
        <v>1789</v>
      </c>
      <c r="N45" s="3" t="n">
        <v>7749.5</v>
      </c>
      <c r="O45" s="3" t="n">
        <v>77495</v>
      </c>
      <c r="P45" s="3" t="n">
        <v>19224.37</v>
      </c>
      <c r="Q45" s="3" t="n">
        <v>1425140.05</v>
      </c>
      <c r="R45" s="9">
        <f>(SUMIFS(Investors!$M:$M,Investors!$E:$E,Sales!$C45,Investors!$O:$O,FALSE)+SUMIFS(Investors!$S:$S,Investors!$E:$E,Sales!$C45,Investors!$O:$O,FALSE))*$F45</f>
        <v/>
      </c>
      <c r="S45" s="9">
        <f>IF(T45=FALSE,Q45-R45,+V45)</f>
        <v/>
      </c>
      <c r="T45" s="3" t="b">
        <v>0</v>
      </c>
      <c r="U45" s="4" t="n">
        <v>45747</v>
      </c>
      <c r="V45" s="9" t="n">
        <v>265790.1212876712</v>
      </c>
    </row>
    <row r="46">
      <c r="A46" s="3" t="inlineStr">
        <is>
          <t>Heron View</t>
        </is>
      </c>
      <c r="B46" s="3" t="inlineStr">
        <is>
          <t>N</t>
        </is>
      </c>
      <c r="C46" s="3" t="inlineStr">
        <is>
          <t>HVN103</t>
        </is>
      </c>
      <c r="D46" s="3" t="b">
        <v>1</v>
      </c>
      <c r="E46" s="3" t="b">
        <v>1</v>
      </c>
      <c r="F46" s="3">
        <f>SUMIFS('Cashflow Projection'!$C$7:$C$23,'Cashflow Projection'!$B$7:$B$23,Sales!$B46,'Cashflow Projection'!$A$7:$A$23,Sales!$A46)</f>
        <v/>
      </c>
      <c r="G46" s="4" t="n">
        <v>45308</v>
      </c>
      <c r="H46" s="4" t="n">
        <v>45688</v>
      </c>
      <c r="I46" s="3" t="n">
        <v>1689900</v>
      </c>
      <c r="J46" s="3" t="n">
        <v>220421.7391304348</v>
      </c>
      <c r="K46" s="3" t="n">
        <v>1469478.260869565</v>
      </c>
      <c r="L46" s="3" t="n">
        <v>18502.08</v>
      </c>
      <c r="M46" s="3" t="n">
        <v>1789</v>
      </c>
      <c r="N46" s="3" t="n">
        <v>8449.5</v>
      </c>
      <c r="O46" s="3" t="n">
        <v>84495</v>
      </c>
      <c r="P46" s="3" t="n">
        <v>19224.37</v>
      </c>
      <c r="Q46" s="3" t="n">
        <v>1557440.05</v>
      </c>
      <c r="R46" s="9">
        <f>(SUMIFS(Investors!$M:$M,Investors!$E:$E,Sales!$C46,Investors!$O:$O,FALSE)+SUMIFS(Investors!$S:$S,Investors!$E:$E,Sales!$C46,Investors!$O:$O,FALSE))*$F46</f>
        <v/>
      </c>
      <c r="S46" s="9">
        <f>IF(T46=FALSE,Q46-R46,+V46)</f>
        <v/>
      </c>
      <c r="T46" s="3" t="b">
        <v>0</v>
      </c>
      <c r="U46" s="4" t="n">
        <v>45747</v>
      </c>
      <c r="V46" s="9" t="n">
        <v>348866.465127534</v>
      </c>
    </row>
    <row r="47">
      <c r="A47" s="3" t="inlineStr">
        <is>
          <t>Heron View</t>
        </is>
      </c>
      <c r="B47" s="3" t="inlineStr">
        <is>
          <t>N</t>
        </is>
      </c>
      <c r="C47" s="3" t="inlineStr">
        <is>
          <t>HVN302</t>
        </is>
      </c>
      <c r="D47" s="3" t="b">
        <v>0</v>
      </c>
      <c r="E47" s="3" t="b">
        <v>0</v>
      </c>
      <c r="F47" s="3">
        <f>SUMIFS('Cashflow Projection'!$C$7:$C$23,'Cashflow Projection'!$B$7:$B$23,Sales!$B47,'Cashflow Projection'!$A$7:$A$23,Sales!$A47)</f>
        <v/>
      </c>
      <c r="G47" s="4" t="n">
        <v>45422</v>
      </c>
      <c r="H47" s="4" t="n">
        <v>45422</v>
      </c>
      <c r="I47" s="3" t="n">
        <v>1489900</v>
      </c>
      <c r="J47" s="3" t="n">
        <v>194334.7826086956</v>
      </c>
      <c r="K47" s="3" t="n">
        <v>1295565.217391304</v>
      </c>
      <c r="L47" s="3" t="n">
        <v>18502.08</v>
      </c>
      <c r="M47" s="3" t="n">
        <v>1789</v>
      </c>
      <c r="N47" s="3" t="n">
        <v>7449.5</v>
      </c>
      <c r="O47" s="3" t="n">
        <v>74495</v>
      </c>
      <c r="P47" s="3" t="n">
        <v>19224.37</v>
      </c>
      <c r="Q47" s="3" t="n">
        <v>1368440.05</v>
      </c>
      <c r="R47" s="9">
        <f>(SUMIFS(Investors!$M:$M,Investors!$E:$E,Sales!$C47,Investors!$O:$O,FALSE)+SUMIFS(Investors!$S:$S,Investors!$E:$E,Sales!$C47,Investors!$O:$O,FALSE))*$F47</f>
        <v/>
      </c>
      <c r="S47" s="9">
        <f>IF(T47=FALSE,Q47-R47,+V47)</f>
        <v/>
      </c>
      <c r="T47" s="3" t="b">
        <v>0</v>
      </c>
      <c r="U47" s="4" t="n">
        <v>45504</v>
      </c>
      <c r="V47" s="9" t="n">
        <v>34412.65273972577</v>
      </c>
    </row>
    <row r="48">
      <c r="A48" s="3" t="inlineStr">
        <is>
          <t>Heron View</t>
        </is>
      </c>
      <c r="B48" s="3" t="inlineStr">
        <is>
          <t>J</t>
        </is>
      </c>
      <c r="C48" s="3" t="inlineStr">
        <is>
          <t>HVJ103</t>
        </is>
      </c>
      <c r="D48" s="3" t="b">
        <v>0</v>
      </c>
      <c r="E48" s="3" t="b">
        <v>0</v>
      </c>
      <c r="F48" s="3">
        <f>SUMIFS('Cashflow Projection'!$C$7:$C$23,'Cashflow Projection'!$B$7:$B$23,Sales!$B48,'Cashflow Projection'!$A$7:$A$23,Sales!$A48)</f>
        <v/>
      </c>
      <c r="G48" s="4" t="n">
        <v>45552</v>
      </c>
      <c r="H48" s="4" t="n">
        <v>45552</v>
      </c>
      <c r="I48" s="3" t="n">
        <v>1749900</v>
      </c>
      <c r="J48" s="3" t="n">
        <v>228247.8260869565</v>
      </c>
      <c r="K48" s="3" t="n">
        <v>1521652.173913044</v>
      </c>
      <c r="L48" s="3" t="n">
        <v>18502.08</v>
      </c>
      <c r="M48" s="3" t="n">
        <v>1789</v>
      </c>
      <c r="N48" s="3" t="n">
        <v>8749.5</v>
      </c>
      <c r="O48" s="3" t="n">
        <v>87495</v>
      </c>
      <c r="P48" s="3" t="n">
        <v>19224.37</v>
      </c>
      <c r="Q48" s="3" t="n">
        <v>1614140.05</v>
      </c>
      <c r="R48" s="9">
        <f>(SUMIFS(Investors!$M:$M,Investors!$E:$E,Sales!$C48,Investors!$O:$O,FALSE)+SUMIFS(Investors!$S:$S,Investors!$E:$E,Sales!$C48,Investors!$O:$O,FALSE))*$F48</f>
        <v/>
      </c>
      <c r="S48" s="9">
        <f>IF(T48=FALSE,Q48-R48,+V48)</f>
        <v/>
      </c>
      <c r="T48" s="3" t="b">
        <v>0</v>
      </c>
      <c r="U48" s="4" t="n">
        <v>45626</v>
      </c>
      <c r="V48" s="9" t="n">
        <v>267553.0636986298</v>
      </c>
    </row>
    <row r="49">
      <c r="A49" s="3" t="inlineStr">
        <is>
          <t>Heron View</t>
        </is>
      </c>
      <c r="B49" s="3" t="inlineStr">
        <is>
          <t>J</t>
        </is>
      </c>
      <c r="C49" s="3" t="inlineStr">
        <is>
          <t>HVJ301</t>
        </is>
      </c>
      <c r="D49" s="3" t="b">
        <v>0</v>
      </c>
      <c r="E49" s="3" t="b">
        <v>0</v>
      </c>
      <c r="F49" s="3">
        <f>SUMIFS('Cashflow Projection'!$C$7:$C$23,'Cashflow Projection'!$B$7:$B$23,Sales!$B49,'Cashflow Projection'!$A$7:$A$23,Sales!$A49)</f>
        <v/>
      </c>
      <c r="G49" s="4" t="n">
        <v>45552</v>
      </c>
      <c r="H49" s="4" t="n">
        <v>45552</v>
      </c>
      <c r="I49" s="3" t="n">
        <v>1649900</v>
      </c>
      <c r="J49" s="3" t="n">
        <v>215204.3478260869</v>
      </c>
      <c r="K49" s="3" t="n">
        <v>1434695.652173913</v>
      </c>
      <c r="L49" s="3" t="n">
        <v>18502.08</v>
      </c>
      <c r="M49" s="3" t="n">
        <v>1789</v>
      </c>
      <c r="N49" s="3" t="n">
        <v>8249.5</v>
      </c>
      <c r="O49" s="3" t="n">
        <v>82495</v>
      </c>
      <c r="P49" s="3" t="n">
        <v>19224.37</v>
      </c>
      <c r="Q49" s="3" t="n">
        <v>1519640.05</v>
      </c>
      <c r="R49" s="9">
        <f>(SUMIFS(Investors!$M:$M,Investors!$E:$E,Sales!$C49,Investors!$O:$O,FALSE)+SUMIFS(Investors!$S:$S,Investors!$E:$E,Sales!$C49,Investors!$O:$O,FALSE))*$F49</f>
        <v/>
      </c>
      <c r="S49" s="9">
        <f>IF(T49=FALSE,Q49-R49,+V49)</f>
        <v/>
      </c>
      <c r="T49" s="3" t="b">
        <v>0</v>
      </c>
      <c r="U49" s="4" t="n">
        <v>45626</v>
      </c>
      <c r="V49" s="9" t="n">
        <v>200421.4342457533</v>
      </c>
    </row>
    <row r="50">
      <c r="A50" s="3" t="inlineStr">
        <is>
          <t>Heron View</t>
        </is>
      </c>
      <c r="B50" s="3" t="inlineStr">
        <is>
          <t>J</t>
        </is>
      </c>
      <c r="C50" s="3" t="inlineStr">
        <is>
          <t>HVJ202</t>
        </is>
      </c>
      <c r="D50" s="3" t="b">
        <v>0</v>
      </c>
      <c r="E50" s="3" t="b">
        <v>0</v>
      </c>
      <c r="F50" s="3">
        <f>SUMIFS('Cashflow Projection'!$C$7:$C$23,'Cashflow Projection'!$B$7:$B$23,Sales!$B50,'Cashflow Projection'!$A$7:$A$23,Sales!$A50)</f>
        <v/>
      </c>
      <c r="G50" s="4" t="n">
        <v>45552</v>
      </c>
      <c r="H50" s="4" t="n">
        <v>45552</v>
      </c>
      <c r="I50" s="3" t="n">
        <v>1599900</v>
      </c>
      <c r="J50" s="3" t="n">
        <v>208682.6086956522</v>
      </c>
      <c r="K50" s="3" t="n">
        <v>1391217.391304348</v>
      </c>
      <c r="L50" s="3" t="n">
        <v>18502.08</v>
      </c>
      <c r="M50" s="3" t="n">
        <v>1789</v>
      </c>
      <c r="N50" s="3" t="n">
        <v>7999.5</v>
      </c>
      <c r="O50" s="3" t="n">
        <v>79995</v>
      </c>
      <c r="P50" s="3" t="n">
        <v>19224.37</v>
      </c>
      <c r="Q50" s="3" t="n">
        <v>1472390.05</v>
      </c>
      <c r="R50" s="9">
        <f>(SUMIFS(Investors!$M:$M,Investors!$E:$E,Sales!$C50,Investors!$O:$O,FALSE)+SUMIFS(Investors!$S:$S,Investors!$E:$E,Sales!$C50,Investors!$O:$O,FALSE))*$F50</f>
        <v/>
      </c>
      <c r="S50" s="9">
        <f>IF(T50=FALSE,Q50-R50,+V50)</f>
        <v/>
      </c>
      <c r="T50" s="3" t="b">
        <v>0</v>
      </c>
      <c r="U50" s="4" t="n">
        <v>45626</v>
      </c>
      <c r="V50" s="9" t="n">
        <v>96321.55684931483</v>
      </c>
    </row>
    <row r="51">
      <c r="A51" s="3" t="inlineStr">
        <is>
          <t>Heron View</t>
        </is>
      </c>
      <c r="B51" s="3" t="inlineStr">
        <is>
          <t>C</t>
        </is>
      </c>
      <c r="C51" s="3" t="inlineStr">
        <is>
          <t>HVC105</t>
        </is>
      </c>
      <c r="D51" s="3" t="b">
        <v>1</v>
      </c>
      <c r="E51" s="3" t="b">
        <v>1</v>
      </c>
      <c r="F51" s="3">
        <f>SUMIFS('Cashflow Projection'!$C$7:$C$23,'Cashflow Projection'!$B$7:$B$23,Sales!$B51,'Cashflow Projection'!$A$7:$A$23,Sales!$A51)</f>
        <v/>
      </c>
      <c r="G51" s="4" t="n">
        <v>45175</v>
      </c>
      <c r="H51" s="4" t="n">
        <v>45688</v>
      </c>
      <c r="I51" s="3" t="n">
        <v>1619900</v>
      </c>
      <c r="J51" s="3" t="n">
        <v>211291.3043478261</v>
      </c>
      <c r="K51" s="3" t="n">
        <v>1408608.695652174</v>
      </c>
      <c r="L51" s="3" t="n">
        <v>18502.08</v>
      </c>
      <c r="M51" s="3" t="n">
        <v>1789</v>
      </c>
      <c r="N51" s="3" t="n">
        <v>8099.5</v>
      </c>
      <c r="O51" s="3" t="n">
        <v>80995</v>
      </c>
      <c r="P51" s="3" t="n">
        <v>19224.37</v>
      </c>
      <c r="Q51" s="3" t="n">
        <v>1491290.05</v>
      </c>
      <c r="R51" s="9">
        <f>(SUMIFS(Investors!$M:$M,Investors!$E:$E,Sales!$C51,Investors!$O:$O,FALSE)+SUMIFS(Investors!$S:$S,Investors!$E:$E,Sales!$C51,Investors!$O:$O,FALSE))*$F51</f>
        <v/>
      </c>
      <c r="S51" s="9">
        <f>IF(T51=FALSE,Q51-R51,+V51)</f>
        <v/>
      </c>
      <c r="T51" s="3" t="b">
        <v>0</v>
      </c>
      <c r="U51" s="4" t="n">
        <v>45747</v>
      </c>
      <c r="V51" s="9" t="n">
        <v>198815.4802572601</v>
      </c>
    </row>
    <row r="52">
      <c r="A52" s="3" t="inlineStr">
        <is>
          <t>Heron View</t>
        </is>
      </c>
      <c r="B52" s="3" t="inlineStr">
        <is>
          <t>C</t>
        </is>
      </c>
      <c r="C52" s="3" t="inlineStr">
        <is>
          <t>HVC104</t>
        </is>
      </c>
      <c r="D52" s="3" t="b">
        <v>1</v>
      </c>
      <c r="E52" s="3" t="b">
        <v>1</v>
      </c>
      <c r="F52" s="3">
        <f>SUMIFS('Cashflow Projection'!$C$7:$C$23,'Cashflow Projection'!$B$7:$B$23,Sales!$B52,'Cashflow Projection'!$A$7:$A$23,Sales!$A52)</f>
        <v/>
      </c>
      <c r="G52" s="4" t="n">
        <v>45167</v>
      </c>
      <c r="H52" s="4" t="n">
        <v>45688</v>
      </c>
      <c r="I52" s="3" t="n">
        <v>1579900</v>
      </c>
      <c r="J52" s="3" t="n">
        <v>206073.9130434782</v>
      </c>
      <c r="K52" s="3" t="n">
        <v>1373826.086956522</v>
      </c>
      <c r="L52" s="3" t="n">
        <v>18502.08</v>
      </c>
      <c r="M52" s="3" t="n">
        <v>1789</v>
      </c>
      <c r="N52" s="3" t="n">
        <v>7899.5</v>
      </c>
      <c r="O52" s="3" t="n">
        <v>78995</v>
      </c>
      <c r="P52" s="3" t="n">
        <v>19224.37</v>
      </c>
      <c r="Q52" s="3" t="n">
        <v>1453490.05</v>
      </c>
      <c r="R52" s="9">
        <f>(SUMIFS(Investors!$M:$M,Investors!$E:$E,Sales!$C52,Investors!$O:$O,FALSE)+SUMIFS(Investors!$S:$S,Investors!$E:$E,Sales!$C52,Investors!$O:$O,FALSE))*$F52</f>
        <v/>
      </c>
      <c r="S52" s="9">
        <f>IF(T52=FALSE,Q52-R52,+V52)</f>
        <v/>
      </c>
      <c r="T52" s="3" t="b">
        <v>0</v>
      </c>
      <c r="U52" s="4" t="n">
        <v>45747</v>
      </c>
      <c r="V52" s="9" t="n">
        <v>215929.5020547942</v>
      </c>
    </row>
    <row r="53">
      <c r="A53" s="3" t="inlineStr">
        <is>
          <t>Heron View</t>
        </is>
      </c>
      <c r="B53" s="3" t="inlineStr">
        <is>
          <t>K</t>
        </is>
      </c>
      <c r="C53" s="3" t="inlineStr">
        <is>
          <t>HVK305</t>
        </is>
      </c>
      <c r="D53" s="3" t="b">
        <v>0</v>
      </c>
      <c r="E53" s="3" t="b">
        <v>0</v>
      </c>
      <c r="F53" s="3">
        <f>SUMIFS('Cashflow Projection'!$C$7:$C$23,'Cashflow Projection'!$B$7:$B$23,Sales!$B53,'Cashflow Projection'!$A$7:$A$23,Sales!$A53)</f>
        <v/>
      </c>
      <c r="G53" s="4" t="n">
        <v>45510</v>
      </c>
      <c r="H53" s="4" t="n">
        <v>45510</v>
      </c>
      <c r="I53" s="3" t="n">
        <v>1529900</v>
      </c>
      <c r="J53" s="3" t="n">
        <v>199552.1739130435</v>
      </c>
      <c r="K53" s="3" t="n">
        <v>1330347.826086957</v>
      </c>
      <c r="L53" s="3" t="n">
        <v>18502.08</v>
      </c>
      <c r="M53" s="3" t="n">
        <v>1789</v>
      </c>
      <c r="N53" s="3" t="n">
        <v>7649.5</v>
      </c>
      <c r="O53" s="3" t="n">
        <v>76495</v>
      </c>
      <c r="P53" s="3" t="n">
        <v>19224.37</v>
      </c>
      <c r="Q53" s="3" t="n">
        <v>1406240.05</v>
      </c>
      <c r="R53" s="9">
        <f>(SUMIFS(Investors!$M:$M,Investors!$E:$E,Sales!$C53,Investors!$O:$O,FALSE)+SUMIFS(Investors!$S:$S,Investors!$E:$E,Sales!$C53,Investors!$O:$O,FALSE))*$F53</f>
        <v/>
      </c>
      <c r="S53" s="9">
        <f>IF(T53=FALSE,Q53-R53,+V53)</f>
        <v/>
      </c>
      <c r="T53" s="3" t="b">
        <v>0</v>
      </c>
      <c r="U53" s="4" t="n">
        <v>45565</v>
      </c>
      <c r="V53" s="9" t="n">
        <v>9381.796663972549</v>
      </c>
    </row>
    <row r="54">
      <c r="A54" s="3" t="inlineStr">
        <is>
          <t>Heron View</t>
        </is>
      </c>
      <c r="B54" s="3" t="inlineStr">
        <is>
          <t>H</t>
        </is>
      </c>
      <c r="C54" s="3" t="inlineStr">
        <is>
          <t>HVH202</t>
        </is>
      </c>
      <c r="D54" s="3" t="b">
        <v>1</v>
      </c>
      <c r="E54" s="3" t="b">
        <v>0</v>
      </c>
      <c r="F54" s="3">
        <f>SUMIFS('Cashflow Projection'!$C$7:$C$23,'Cashflow Projection'!$B$7:$B$23,Sales!$B54,'Cashflow Projection'!$A$7:$A$23,Sales!$A54)</f>
        <v/>
      </c>
      <c r="G54" s="4" t="n">
        <v>45490</v>
      </c>
      <c r="H54" s="4" t="n">
        <v>45490</v>
      </c>
      <c r="I54" s="3" t="n">
        <v>1690999</v>
      </c>
      <c r="J54" s="3" t="n">
        <v>220565.0869565217</v>
      </c>
      <c r="K54" s="3" t="n">
        <v>1470433.913043478</v>
      </c>
      <c r="L54" s="3" t="n">
        <v>18502.08</v>
      </c>
      <c r="M54" s="3" t="n">
        <v>1789</v>
      </c>
      <c r="N54" s="3" t="n">
        <v>8454.995000000001</v>
      </c>
      <c r="O54" s="3" t="n">
        <v>84549.95000000001</v>
      </c>
      <c r="P54" s="3" t="n">
        <v>19224.37</v>
      </c>
      <c r="Q54" s="3" t="n">
        <v>1558478.605</v>
      </c>
      <c r="R54" s="9">
        <f>(SUMIFS(Investors!$M:$M,Investors!$E:$E,Sales!$C54,Investors!$O:$O,FALSE)+SUMIFS(Investors!$S:$S,Investors!$E:$E,Sales!$C54,Investors!$O:$O,FALSE))*$F54</f>
        <v/>
      </c>
      <c r="S54" s="9">
        <f>IF(T54=FALSE,Q54-R54,+V54)</f>
        <v/>
      </c>
      <c r="T54" s="3" t="b">
        <v>0</v>
      </c>
      <c r="U54" s="4" t="n">
        <v>45565</v>
      </c>
      <c r="V54" s="9" t="n">
        <v>334464.9063698628</v>
      </c>
    </row>
    <row r="55">
      <c r="A55" s="3" t="inlineStr">
        <is>
          <t>Heron View</t>
        </is>
      </c>
      <c r="B55" s="3" t="inlineStr">
        <is>
          <t>K</t>
        </is>
      </c>
      <c r="C55" s="3" t="inlineStr">
        <is>
          <t>HVK106</t>
        </is>
      </c>
      <c r="D55" s="3" t="b">
        <v>0</v>
      </c>
      <c r="E55" s="3" t="b">
        <v>0</v>
      </c>
      <c r="F55" s="3">
        <f>SUMIFS('Cashflow Projection'!$C$7:$C$23,'Cashflow Projection'!$B$7:$B$23,Sales!$B55,'Cashflow Projection'!$A$7:$A$23,Sales!$A55)</f>
        <v/>
      </c>
      <c r="G55" s="4" t="n">
        <v>45510</v>
      </c>
      <c r="H55" s="4" t="n">
        <v>45510</v>
      </c>
      <c r="I55" s="3" t="n">
        <v>1739900</v>
      </c>
      <c r="J55" s="3" t="n">
        <v>226943.4782608696</v>
      </c>
      <c r="K55" s="3" t="n">
        <v>1512956.521739131</v>
      </c>
      <c r="L55" s="3" t="n">
        <v>18502.08</v>
      </c>
      <c r="M55" s="3" t="n">
        <v>1789</v>
      </c>
      <c r="N55" s="3" t="n">
        <v>8699.5</v>
      </c>
      <c r="O55" s="3" t="n">
        <v>86995</v>
      </c>
      <c r="P55" s="3" t="n">
        <v>19224.37</v>
      </c>
      <c r="Q55" s="3" t="n">
        <v>1604690.05</v>
      </c>
      <c r="R55" s="9">
        <f>(SUMIFS(Investors!$M:$M,Investors!$E:$E,Sales!$C55,Investors!$O:$O,FALSE)+SUMIFS(Investors!$S:$S,Investors!$E:$E,Sales!$C55,Investors!$O:$O,FALSE))*$F55</f>
        <v/>
      </c>
      <c r="S55" s="9">
        <f>IF(T55=FALSE,Q55-R55,+V55)</f>
        <v/>
      </c>
      <c r="T55" s="3" t="b">
        <v>0</v>
      </c>
      <c r="U55" s="4" t="n">
        <v>45565</v>
      </c>
      <c r="V55" s="9" t="n">
        <v>167543.0838911643</v>
      </c>
    </row>
    <row r="56">
      <c r="A56" s="3" t="inlineStr">
        <is>
          <t>Heron Fields</t>
        </is>
      </c>
      <c r="B56" s="3" t="inlineStr">
        <is>
          <t>A</t>
        </is>
      </c>
      <c r="C56" s="3" t="inlineStr">
        <is>
          <t>HFA304</t>
        </is>
      </c>
      <c r="D56" s="3" t="b">
        <v>1</v>
      </c>
      <c r="E56" s="3" t="b">
        <v>1</v>
      </c>
      <c r="F56" s="3">
        <f>SUMIFS('Cashflow Projection'!$C$7:$C$23,'Cashflow Projection'!$B$7:$B$23,Sales!$B56,'Cashflow Projection'!$A$7:$A$23,Sales!$A56)</f>
        <v/>
      </c>
      <c r="G56" s="4" t="n">
        <v>45056</v>
      </c>
      <c r="H56" s="4" t="n">
        <v>45688</v>
      </c>
      <c r="I56" s="3" t="n">
        <v>1379900</v>
      </c>
      <c r="J56" s="3" t="n">
        <v>179986.9565217391</v>
      </c>
      <c r="K56" s="3" t="n">
        <v>1199913.043478261</v>
      </c>
      <c r="L56" s="3" t="n">
        <v>18502.08</v>
      </c>
      <c r="M56" s="3" t="n">
        <v>1789</v>
      </c>
      <c r="N56" s="3" t="n">
        <v>6899.5</v>
      </c>
      <c r="O56" s="3" t="n">
        <v>68995</v>
      </c>
      <c r="P56" s="3" t="n">
        <v>19224.37</v>
      </c>
      <c r="Q56" s="3" t="n">
        <v>1264490.05</v>
      </c>
      <c r="R56" s="9">
        <f>(SUMIFS(Investors!$M:$M,Investors!$E:$E,Sales!$C56,Investors!$O:$O,FALSE)+SUMIFS(Investors!$S:$S,Investors!$E:$E,Sales!$C56,Investors!$O:$O,FALSE))*$F56</f>
        <v/>
      </c>
      <c r="S56" s="9">
        <f>IF(T56=FALSE,Q56-R56,+V56)</f>
        <v/>
      </c>
      <c r="T56" s="3" t="b">
        <v>0</v>
      </c>
      <c r="U56" s="4" t="n">
        <v>45747</v>
      </c>
      <c r="V56" s="9" t="n">
        <v>306409.5705479451</v>
      </c>
    </row>
    <row r="57">
      <c r="A57" s="3" t="inlineStr">
        <is>
          <t>Heron Fields</t>
        </is>
      </c>
      <c r="B57" s="3" t="inlineStr">
        <is>
          <t>B</t>
        </is>
      </c>
      <c r="C57" s="3" t="inlineStr">
        <is>
          <t>HFB303</t>
        </is>
      </c>
      <c r="D57" s="3" t="b">
        <v>1</v>
      </c>
      <c r="E57" s="3" t="b">
        <v>1</v>
      </c>
      <c r="F57" s="3">
        <f>SUMIFS('Cashflow Projection'!$C$7:$C$23,'Cashflow Projection'!$B$7:$B$23,Sales!$B57,'Cashflow Projection'!$A$7:$A$23,Sales!$A57)</f>
        <v/>
      </c>
      <c r="G57" s="4" t="n">
        <v>44942</v>
      </c>
      <c r="H57" s="4" t="n">
        <v>45688</v>
      </c>
      <c r="I57" s="3" t="n">
        <v>1379900</v>
      </c>
      <c r="J57" s="3" t="n">
        <v>179986.9565217391</v>
      </c>
      <c r="K57" s="3" t="n">
        <v>1199913.043478261</v>
      </c>
      <c r="L57" s="3" t="n">
        <v>18502.08</v>
      </c>
      <c r="M57" s="3" t="n">
        <v>1789</v>
      </c>
      <c r="N57" s="3" t="n">
        <v>6899.5</v>
      </c>
      <c r="O57" s="3" t="n">
        <v>68995</v>
      </c>
      <c r="P57" s="3" t="n">
        <v>19224.37</v>
      </c>
      <c r="Q57" s="3" t="n">
        <v>1264490.05</v>
      </c>
      <c r="R57" s="9">
        <f>(SUMIFS(Investors!$M:$M,Investors!$E:$E,Sales!$C57,Investors!$O:$O,FALSE)+SUMIFS(Investors!$S:$S,Investors!$E:$E,Sales!$C57,Investors!$O:$O,FALSE))*$F57</f>
        <v/>
      </c>
      <c r="S57" s="9">
        <f>IF(T57=FALSE,Q57-R57,+V57)</f>
        <v/>
      </c>
      <c r="T57" s="3" t="b">
        <v>0</v>
      </c>
      <c r="U57" s="4" t="n">
        <v>45747</v>
      </c>
      <c r="V57" s="9" t="n">
        <v>702474.6390410957</v>
      </c>
    </row>
    <row r="58">
      <c r="A58" s="3" t="inlineStr">
        <is>
          <t>Heron Fields</t>
        </is>
      </c>
      <c r="B58" s="3" t="inlineStr">
        <is>
          <t>B</t>
        </is>
      </c>
      <c r="C58" s="3" t="inlineStr">
        <is>
          <t>HFB302</t>
        </is>
      </c>
      <c r="D58" s="3" t="b">
        <v>1</v>
      </c>
      <c r="E58" s="3" t="b">
        <v>1</v>
      </c>
      <c r="F58" s="3">
        <f>SUMIFS('Cashflow Projection'!$C$7:$C$23,'Cashflow Projection'!$B$7:$B$23,Sales!$B58,'Cashflow Projection'!$A$7:$A$23,Sales!$A58)</f>
        <v/>
      </c>
      <c r="G58" s="4" t="n">
        <v>44952</v>
      </c>
      <c r="H58" s="4" t="n">
        <v>45688</v>
      </c>
      <c r="I58" s="3" t="n">
        <v>1449900</v>
      </c>
      <c r="J58" s="3" t="n">
        <v>189117.3913043478</v>
      </c>
      <c r="K58" s="3" t="n">
        <v>1260782.608695652</v>
      </c>
      <c r="L58" s="3" t="n">
        <v>18502.08</v>
      </c>
      <c r="M58" s="3" t="n">
        <v>1789</v>
      </c>
      <c r="N58" s="3" t="n">
        <v>7249.5</v>
      </c>
      <c r="O58" s="3" t="n">
        <v>72495</v>
      </c>
      <c r="P58" s="3" t="n">
        <v>19224.37</v>
      </c>
      <c r="Q58" s="3" t="n">
        <v>1330640.05</v>
      </c>
      <c r="R58" s="9">
        <f>(SUMIFS(Investors!$M:$M,Investors!$E:$E,Sales!$C58,Investors!$O:$O,FALSE)+SUMIFS(Investors!$S:$S,Investors!$E:$E,Sales!$C58,Investors!$O:$O,FALSE))*$F58</f>
        <v/>
      </c>
      <c r="S58" s="9">
        <f>IF(T58=FALSE,Q58-R58,+V58)</f>
        <v/>
      </c>
      <c r="T58" s="3" t="b">
        <v>0</v>
      </c>
      <c r="U58" s="4" t="n">
        <v>45747</v>
      </c>
      <c r="V58" s="9" t="n">
        <v>121640.0499999998</v>
      </c>
    </row>
    <row r="59">
      <c r="A59" s="3" t="inlineStr">
        <is>
          <t>Heron Fields</t>
        </is>
      </c>
      <c r="B59" s="3" t="inlineStr">
        <is>
          <t>B</t>
        </is>
      </c>
      <c r="C59" s="3" t="inlineStr">
        <is>
          <t>HFB308</t>
        </is>
      </c>
      <c r="D59" s="3" t="b">
        <v>1</v>
      </c>
      <c r="E59" s="3" t="b">
        <v>1</v>
      </c>
      <c r="F59" s="3">
        <f>SUMIFS('Cashflow Projection'!$C$7:$C$23,'Cashflow Projection'!$B$7:$B$23,Sales!$B59,'Cashflow Projection'!$A$7:$A$23,Sales!$A59)</f>
        <v/>
      </c>
      <c r="G59" s="4" t="n">
        <v>45027</v>
      </c>
      <c r="H59" s="4" t="n">
        <v>45688</v>
      </c>
      <c r="I59" s="3" t="n">
        <v>1459900</v>
      </c>
      <c r="J59" s="3" t="n">
        <v>190421.7391304348</v>
      </c>
      <c r="K59" s="3" t="n">
        <v>1269478.260869565</v>
      </c>
      <c r="L59" s="3" t="n">
        <v>18502.08</v>
      </c>
      <c r="M59" s="3" t="n">
        <v>1789</v>
      </c>
      <c r="N59" s="3" t="n">
        <v>7299.5</v>
      </c>
      <c r="O59" s="3" t="n">
        <v>72995</v>
      </c>
      <c r="P59" s="3" t="n">
        <v>19224.37</v>
      </c>
      <c r="Q59" s="3" t="n">
        <v>1340090.05</v>
      </c>
      <c r="R59" s="9">
        <f>(SUMIFS(Investors!$M:$M,Investors!$E:$E,Sales!$C59,Investors!$O:$O,FALSE)+SUMIFS(Investors!$S:$S,Investors!$E:$E,Sales!$C59,Investors!$O:$O,FALSE))*$F59</f>
        <v/>
      </c>
      <c r="S59" s="9">
        <f>IF(T59=FALSE,Q59-R59,+V59)</f>
        <v/>
      </c>
      <c r="T59" s="3" t="b">
        <v>0</v>
      </c>
      <c r="U59" s="4" t="n">
        <v>45747</v>
      </c>
      <c r="V59" s="9" t="n">
        <v>138829.776027397</v>
      </c>
    </row>
    <row r="60">
      <c r="A60" s="3" t="inlineStr">
        <is>
          <t>Heron Fields</t>
        </is>
      </c>
      <c r="B60" s="3" t="inlineStr">
        <is>
          <t>B</t>
        </is>
      </c>
      <c r="C60" s="3" t="inlineStr">
        <is>
          <t>HFB312</t>
        </is>
      </c>
      <c r="D60" s="3" t="b">
        <v>1</v>
      </c>
      <c r="E60" s="3" t="b">
        <v>1</v>
      </c>
      <c r="F60" s="3">
        <f>SUMIFS('Cashflow Projection'!$C$7:$C$23,'Cashflow Projection'!$B$7:$B$23,Sales!$B60,'Cashflow Projection'!$A$7:$A$23,Sales!$A60)</f>
        <v/>
      </c>
      <c r="G60" s="4" t="n">
        <v>45027</v>
      </c>
      <c r="H60" s="4" t="n">
        <v>45688</v>
      </c>
      <c r="I60" s="3" t="n">
        <v>1399900</v>
      </c>
      <c r="J60" s="3" t="n">
        <v>182595.6521739131</v>
      </c>
      <c r="K60" s="3" t="n">
        <v>1217304.347826087</v>
      </c>
      <c r="L60" s="3" t="n">
        <v>18502.08</v>
      </c>
      <c r="M60" s="3" t="n">
        <v>1789</v>
      </c>
      <c r="N60" s="3" t="n">
        <v>6999.5</v>
      </c>
      <c r="O60" s="3" t="n">
        <v>69995</v>
      </c>
      <c r="P60" s="3" t="n">
        <v>19224.37</v>
      </c>
      <c r="Q60" s="3" t="n">
        <v>1283390.05</v>
      </c>
      <c r="R60" s="9">
        <f>(SUMIFS(Investors!$M:$M,Investors!$E:$E,Sales!$C60,Investors!$O:$O,FALSE)+SUMIFS(Investors!$S:$S,Investors!$E:$E,Sales!$C60,Investors!$O:$O,FALSE))*$F60</f>
        <v/>
      </c>
      <c r="S60" s="9">
        <f>IF(T60=FALSE,Q60-R60,+V60)</f>
        <v/>
      </c>
      <c r="T60" s="3" t="b">
        <v>0</v>
      </c>
      <c r="U60" s="4" t="n">
        <v>45747</v>
      </c>
      <c r="V60" s="9" t="n">
        <v>42376.35136986291</v>
      </c>
    </row>
    <row r="61">
      <c r="A61" s="3" t="inlineStr">
        <is>
          <t>Heron View</t>
        </is>
      </c>
      <c r="B61" s="3" t="inlineStr">
        <is>
          <t>D</t>
        </is>
      </c>
      <c r="C61" s="3" t="inlineStr">
        <is>
          <t>HVD102</t>
        </is>
      </c>
      <c r="D61" s="3" t="b">
        <v>1</v>
      </c>
      <c r="E61" s="3" t="b">
        <v>1</v>
      </c>
      <c r="F61" s="3">
        <f>SUMIFS('Cashflow Projection'!$C$7:$C$23,'Cashflow Projection'!$B$7:$B$23,Sales!$B61,'Cashflow Projection'!$A$7:$A$23,Sales!$A61)</f>
        <v/>
      </c>
      <c r="G61" s="4" t="n">
        <v>45341</v>
      </c>
      <c r="H61" s="4" t="n">
        <v>45341</v>
      </c>
      <c r="I61" s="3" t="n">
        <v>1699900</v>
      </c>
      <c r="J61" s="3" t="n">
        <v>221726.0869565217</v>
      </c>
      <c r="K61" s="3" t="n">
        <v>1478173.913043478</v>
      </c>
      <c r="L61" s="3" t="n">
        <v>18502.08</v>
      </c>
      <c r="M61" s="3" t="n">
        <v>1789</v>
      </c>
      <c r="N61" s="3" t="n">
        <v>8499.5</v>
      </c>
      <c r="O61" s="3" t="n">
        <v>84995</v>
      </c>
      <c r="P61" s="3" t="n">
        <v>19224.37</v>
      </c>
      <c r="Q61" s="3" t="n">
        <v>1566890.05</v>
      </c>
      <c r="R61" s="9">
        <f>(SUMIFS(Investors!$M:$M,Investors!$E:$E,Sales!$C61,Investors!$O:$O,FALSE)+SUMIFS(Investors!$S:$S,Investors!$E:$E,Sales!$C61,Investors!$O:$O,FALSE))*$F61</f>
        <v/>
      </c>
      <c r="S61" s="9">
        <f>IF(T61=FALSE,Q61-R61,+V61)</f>
        <v/>
      </c>
      <c r="T61" s="3" t="b">
        <v>0</v>
      </c>
      <c r="U61" s="4" t="n">
        <v>45382</v>
      </c>
      <c r="V61" s="9" t="n">
        <v>303985.9404109586</v>
      </c>
    </row>
    <row r="62">
      <c r="A62" s="3" t="inlineStr">
        <is>
          <t>Heron View</t>
        </is>
      </c>
      <c r="B62" s="3" t="inlineStr">
        <is>
          <t>N</t>
        </is>
      </c>
      <c r="C62" s="3" t="inlineStr">
        <is>
          <t>HVN102</t>
        </is>
      </c>
      <c r="D62" s="3" t="b">
        <v>1</v>
      </c>
      <c r="E62" s="3" t="b">
        <v>0</v>
      </c>
      <c r="F62" s="3">
        <f>SUMIFS('Cashflow Projection'!$C$7:$C$23,'Cashflow Projection'!$B$7:$B$23,Sales!$B62,'Cashflow Projection'!$A$7:$A$23,Sales!$A62)</f>
        <v/>
      </c>
      <c r="G62" s="4" t="n">
        <v>45428</v>
      </c>
      <c r="H62" s="4" t="n">
        <v>45428</v>
      </c>
      <c r="I62" s="3" t="n">
        <v>1689900</v>
      </c>
      <c r="J62" s="3" t="n">
        <v>220421.7391304348</v>
      </c>
      <c r="K62" s="3" t="n">
        <v>1469478.260869565</v>
      </c>
      <c r="L62" s="3" t="n">
        <v>18502.08</v>
      </c>
      <c r="M62" s="3" t="n">
        <v>1789</v>
      </c>
      <c r="N62" s="3" t="n">
        <v>8449.5</v>
      </c>
      <c r="O62" s="3" t="n">
        <v>84495</v>
      </c>
      <c r="P62" s="3" t="n">
        <v>19224.37</v>
      </c>
      <c r="Q62" s="3" t="n">
        <v>1557440.05</v>
      </c>
      <c r="R62" s="9">
        <f>(SUMIFS(Investors!$M:$M,Investors!$E:$E,Sales!$C62,Investors!$O:$O,FALSE)+SUMIFS(Investors!$S:$S,Investors!$E:$E,Sales!$C62,Investors!$O:$O,FALSE))*$F62</f>
        <v/>
      </c>
      <c r="S62" s="9">
        <f>IF(T62=FALSE,Q62-R62,+V62)</f>
        <v/>
      </c>
      <c r="T62" s="3" t="b">
        <v>0</v>
      </c>
      <c r="U62" s="4" t="n">
        <v>45504</v>
      </c>
      <c r="V62" s="9" t="n">
        <v>223905.8034246573</v>
      </c>
    </row>
    <row r="63">
      <c r="A63" s="3" t="inlineStr">
        <is>
          <t>Heron View</t>
        </is>
      </c>
      <c r="B63" s="3" t="inlineStr">
        <is>
          <t>N</t>
        </is>
      </c>
      <c r="C63" s="3" t="inlineStr">
        <is>
          <t>HVN203</t>
        </is>
      </c>
      <c r="D63" s="3" t="b">
        <v>1</v>
      </c>
      <c r="E63" s="3" t="b">
        <v>1</v>
      </c>
      <c r="F63" s="3">
        <f>SUMIFS('Cashflow Projection'!$C$7:$C$23,'Cashflow Projection'!$B$7:$B$23,Sales!$B63,'Cashflow Projection'!$A$7:$A$23,Sales!$A63)</f>
        <v/>
      </c>
      <c r="G63" s="4" t="n">
        <v>45336</v>
      </c>
      <c r="H63" s="4" t="n">
        <v>45688</v>
      </c>
      <c r="I63" s="3" t="n">
        <v>1469900</v>
      </c>
      <c r="J63" s="3" t="n">
        <v>191726.0869565217</v>
      </c>
      <c r="K63" s="3" t="n">
        <v>1278173.913043478</v>
      </c>
      <c r="L63" s="3" t="n">
        <v>18502.08</v>
      </c>
      <c r="M63" s="3" t="n">
        <v>1789</v>
      </c>
      <c r="N63" s="3" t="n">
        <v>7349.5</v>
      </c>
      <c r="O63" s="3" t="n">
        <v>73495</v>
      </c>
      <c r="P63" s="3" t="n">
        <v>19224.37</v>
      </c>
      <c r="Q63" s="3" t="n">
        <v>1349540.05</v>
      </c>
      <c r="R63" s="9">
        <f>(SUMIFS(Investors!$M:$M,Investors!$E:$E,Sales!$C63,Investors!$O:$O,FALSE)+SUMIFS(Investors!$S:$S,Investors!$E:$E,Sales!$C63,Investors!$O:$O,FALSE))*$F63</f>
        <v/>
      </c>
      <c r="S63" s="9">
        <f>IF(T63=FALSE,Q63-R63,+V63)</f>
        <v/>
      </c>
      <c r="T63" s="3" t="b">
        <v>0</v>
      </c>
      <c r="U63" s="4" t="n">
        <v>45747</v>
      </c>
      <c r="V63" s="9" t="n">
        <v>56485.25547945197</v>
      </c>
    </row>
    <row r="64">
      <c r="A64" s="3" t="inlineStr">
        <is>
          <t>Heron View</t>
        </is>
      </c>
      <c r="B64" s="3" t="inlineStr">
        <is>
          <t>P</t>
        </is>
      </c>
      <c r="C64" s="3" t="inlineStr">
        <is>
          <t>HVP302</t>
        </is>
      </c>
      <c r="D64" s="3" t="b">
        <v>1</v>
      </c>
      <c r="E64" s="3" t="b">
        <v>1</v>
      </c>
      <c r="F64" s="3">
        <f>SUMIFS('Cashflow Projection'!$C$7:$C$23,'Cashflow Projection'!$B$7:$B$23,Sales!$B64,'Cashflow Projection'!$A$7:$A$23,Sales!$A64)</f>
        <v/>
      </c>
      <c r="G64" s="4" t="n">
        <v>45271</v>
      </c>
      <c r="H64" s="4" t="n">
        <v>45688</v>
      </c>
      <c r="I64" s="3" t="n">
        <v>1779900</v>
      </c>
      <c r="J64" s="3" t="n">
        <v>232160.8695652174</v>
      </c>
      <c r="K64" s="3" t="n">
        <v>1547739.130434783</v>
      </c>
      <c r="L64" s="3" t="n">
        <v>18502.08</v>
      </c>
      <c r="M64" s="3" t="n">
        <v>1789</v>
      </c>
      <c r="N64" s="3" t="n">
        <v>8899.5</v>
      </c>
      <c r="O64" s="3" t="n">
        <v>88995</v>
      </c>
      <c r="P64" s="3" t="n">
        <v>19224.37</v>
      </c>
      <c r="Q64" s="3" t="n">
        <v>1642490.05</v>
      </c>
      <c r="R64" s="9">
        <f>(SUMIFS(Investors!$M:$M,Investors!$E:$E,Sales!$C64,Investors!$O:$O,FALSE)+SUMIFS(Investors!$S:$S,Investors!$E:$E,Sales!$C64,Investors!$O:$O,FALSE))*$F64</f>
        <v/>
      </c>
      <c r="S64" s="9">
        <f>IF(T64=FALSE,Q64-R64,+V64)</f>
        <v/>
      </c>
      <c r="T64" s="3" t="b">
        <v>0</v>
      </c>
      <c r="U64" s="4" t="n">
        <v>45747</v>
      </c>
      <c r="V64" s="9" t="n">
        <v>385098.9285599999</v>
      </c>
    </row>
    <row r="65">
      <c r="A65" s="3" t="inlineStr">
        <is>
          <t>Heron View</t>
        </is>
      </c>
      <c r="B65" s="3" t="inlineStr">
        <is>
          <t>K</t>
        </is>
      </c>
      <c r="C65" s="3" t="inlineStr">
        <is>
          <t>HVK404</t>
        </is>
      </c>
      <c r="D65" s="3" t="b">
        <v>0</v>
      </c>
      <c r="E65" s="3" t="b">
        <v>0</v>
      </c>
      <c r="F65" s="3">
        <f>SUMIFS('Cashflow Projection'!$C$7:$C$23,'Cashflow Projection'!$B$7:$B$23,Sales!$B65,'Cashflow Projection'!$A$7:$A$23,Sales!$A65)</f>
        <v/>
      </c>
      <c r="G65" s="4" t="n">
        <v>45510</v>
      </c>
      <c r="H65" s="4" t="n">
        <v>45510</v>
      </c>
      <c r="I65" s="3" t="n">
        <v>1499900</v>
      </c>
      <c r="J65" s="3" t="n">
        <v>195639.1304347826</v>
      </c>
      <c r="K65" s="3" t="n">
        <v>1304260.869565218</v>
      </c>
      <c r="L65" s="3" t="n">
        <v>18502.08</v>
      </c>
      <c r="M65" s="3" t="n">
        <v>1789</v>
      </c>
      <c r="N65" s="3" t="n">
        <v>7499.5</v>
      </c>
      <c r="O65" s="3" t="n">
        <v>74995</v>
      </c>
      <c r="P65" s="3" t="n">
        <v>19224.37</v>
      </c>
      <c r="Q65" s="3" t="n">
        <v>1377890.05</v>
      </c>
      <c r="R65" s="9">
        <f>(SUMIFS(Investors!$M:$M,Investors!$E:$E,Sales!$C65,Investors!$O:$O,FALSE)+SUMIFS(Investors!$S:$S,Investors!$E:$E,Sales!$C65,Investors!$O:$O,FALSE))*$F65</f>
        <v/>
      </c>
      <c r="S65" s="9">
        <f>IF(T65=FALSE,Q65-R65,+V65)</f>
        <v/>
      </c>
      <c r="T65" s="3" t="b">
        <v>0</v>
      </c>
      <c r="U65" s="4" t="n">
        <v>45565</v>
      </c>
      <c r="V65" s="9" t="n">
        <v>5391.419863013551</v>
      </c>
    </row>
    <row r="66">
      <c r="A66" s="3" t="inlineStr">
        <is>
          <t>Heron View</t>
        </is>
      </c>
      <c r="B66" s="3" t="inlineStr">
        <is>
          <t>G</t>
        </is>
      </c>
      <c r="C66" s="3" t="inlineStr">
        <is>
          <t>HVG204</t>
        </is>
      </c>
      <c r="D66" s="3" t="b">
        <v>0</v>
      </c>
      <c r="E66" s="3" t="b">
        <v>0</v>
      </c>
      <c r="F66" s="3">
        <f>SUMIFS('Cashflow Projection'!$C$7:$C$23,'Cashflow Projection'!$B$7:$B$23,Sales!$B66,'Cashflow Projection'!$A$7:$A$23,Sales!$A66)</f>
        <v/>
      </c>
      <c r="G66" s="4" t="n">
        <v>45523</v>
      </c>
      <c r="H66" s="4" t="n">
        <v>45523</v>
      </c>
      <c r="I66" s="3" t="n">
        <v>1449900</v>
      </c>
      <c r="J66" s="3" t="n">
        <v>189117.3913043478</v>
      </c>
      <c r="K66" s="3" t="n">
        <v>1260782.608695652</v>
      </c>
      <c r="L66" s="3" t="n">
        <v>18502.08</v>
      </c>
      <c r="M66" s="3" t="n">
        <v>1789</v>
      </c>
      <c r="N66" s="3" t="n">
        <v>7249.5</v>
      </c>
      <c r="O66" s="3" t="n">
        <v>72495</v>
      </c>
      <c r="P66" s="3" t="n">
        <v>19224.37</v>
      </c>
      <c r="Q66" s="3" t="n">
        <v>1330640.05</v>
      </c>
      <c r="R66" s="9">
        <f>(SUMIFS(Investors!$M:$M,Investors!$E:$E,Sales!$C66,Investors!$O:$O,FALSE)+SUMIFS(Investors!$S:$S,Investors!$E:$E,Sales!$C66,Investors!$O:$O,FALSE))*$F66</f>
        <v/>
      </c>
      <c r="S66" s="9">
        <f>IF(T66=FALSE,Q66-R66,+V66)</f>
        <v/>
      </c>
      <c r="T66" s="3" t="b">
        <v>0</v>
      </c>
      <c r="U66" s="4" t="n">
        <v>45565</v>
      </c>
      <c r="V66" s="9" t="n">
        <v>28879.09109589015</v>
      </c>
    </row>
    <row r="67">
      <c r="A67" s="3" t="inlineStr">
        <is>
          <t>Heron View</t>
        </is>
      </c>
      <c r="B67" s="3" t="inlineStr">
        <is>
          <t>K</t>
        </is>
      </c>
      <c r="C67" s="3" t="inlineStr">
        <is>
          <t>HVK206</t>
        </is>
      </c>
      <c r="D67" s="3" t="b">
        <v>0</v>
      </c>
      <c r="E67" s="3" t="b">
        <v>0</v>
      </c>
      <c r="F67" s="3">
        <f>SUMIFS('Cashflow Projection'!$C$7:$C$23,'Cashflow Projection'!$B$7:$B$23,Sales!$B67,'Cashflow Projection'!$A$7:$A$23,Sales!$A67)</f>
        <v/>
      </c>
      <c r="G67" s="4" t="n">
        <v>45510</v>
      </c>
      <c r="H67" s="4" t="n">
        <v>45510</v>
      </c>
      <c r="I67" s="3" t="n">
        <v>1499900</v>
      </c>
      <c r="J67" s="3" t="n">
        <v>195639.1304347826</v>
      </c>
      <c r="K67" s="3" t="n">
        <v>1304260.869565218</v>
      </c>
      <c r="L67" s="3" t="n">
        <v>18502.08</v>
      </c>
      <c r="M67" s="3" t="n">
        <v>1789</v>
      </c>
      <c r="N67" s="3" t="n">
        <v>7499.5</v>
      </c>
      <c r="O67" s="3" t="n">
        <v>74995</v>
      </c>
      <c r="P67" s="3" t="n">
        <v>19224.37</v>
      </c>
      <c r="Q67" s="3" t="n">
        <v>1377890.05</v>
      </c>
      <c r="R67" s="9">
        <f>(SUMIFS(Investors!$M:$M,Investors!$E:$E,Sales!$C67,Investors!$O:$O,FALSE)+SUMIFS(Investors!$S:$S,Investors!$E:$E,Sales!$C67,Investors!$O:$O,FALSE))*$F67</f>
        <v/>
      </c>
      <c r="S67" s="9">
        <f>IF(T67=FALSE,Q67-R67,+V67)</f>
        <v/>
      </c>
      <c r="T67" s="3" t="b">
        <v>0</v>
      </c>
      <c r="U67" s="4" t="n">
        <v>45565</v>
      </c>
      <c r="V67" s="9" t="n">
        <v>-15585.21300739748</v>
      </c>
    </row>
    <row r="68">
      <c r="A68" s="3" t="inlineStr">
        <is>
          <t>Heron View</t>
        </is>
      </c>
      <c r="B68" s="3" t="inlineStr">
        <is>
          <t>G</t>
        </is>
      </c>
      <c r="C68" s="3" t="inlineStr">
        <is>
          <t>HVG101</t>
        </is>
      </c>
      <c r="D68" s="3" t="b">
        <v>0</v>
      </c>
      <c r="E68" s="3" t="b">
        <v>0</v>
      </c>
      <c r="F68" s="3">
        <f>SUMIFS('Cashflow Projection'!$C$7:$C$23,'Cashflow Projection'!$B$7:$B$23,Sales!$B68,'Cashflow Projection'!$A$7:$A$23,Sales!$A68)</f>
        <v/>
      </c>
      <c r="G68" s="4" t="n">
        <v>45523</v>
      </c>
      <c r="H68" s="4" t="n">
        <v>45523</v>
      </c>
      <c r="I68" s="3" t="n">
        <v>1649900</v>
      </c>
      <c r="J68" s="3" t="n">
        <v>215204.3478260869</v>
      </c>
      <c r="K68" s="3" t="n">
        <v>1434695.652173913</v>
      </c>
      <c r="L68" s="3" t="n">
        <v>18502.08</v>
      </c>
      <c r="M68" s="3" t="n">
        <v>1789</v>
      </c>
      <c r="N68" s="3" t="n">
        <v>8249.5</v>
      </c>
      <c r="O68" s="3" t="n">
        <v>82495</v>
      </c>
      <c r="P68" s="3" t="n">
        <v>19224.37</v>
      </c>
      <c r="Q68" s="3" t="n">
        <v>1519640.05</v>
      </c>
      <c r="R68" s="9">
        <f>(SUMIFS(Investors!$M:$M,Investors!$E:$E,Sales!$C68,Investors!$O:$O,FALSE)+SUMIFS(Investors!$S:$S,Investors!$E:$E,Sales!$C68,Investors!$O:$O,FALSE))*$F68</f>
        <v/>
      </c>
      <c r="S68" s="9">
        <f>IF(T68=FALSE,Q68-R68,+V68)</f>
        <v/>
      </c>
      <c r="T68" s="3" t="b">
        <v>0</v>
      </c>
      <c r="U68" s="4" t="n">
        <v>45565</v>
      </c>
      <c r="V68" s="9" t="n">
        <v>170000.0499999998</v>
      </c>
    </row>
    <row r="69">
      <c r="A69" s="3" t="inlineStr">
        <is>
          <t>Heron View</t>
        </is>
      </c>
      <c r="B69" s="3" t="inlineStr">
        <is>
          <t>I</t>
        </is>
      </c>
      <c r="C69" s="3" t="inlineStr">
        <is>
          <t>HVI202</t>
        </is>
      </c>
      <c r="D69" s="3" t="b">
        <v>0</v>
      </c>
      <c r="E69" s="3" t="b">
        <v>0</v>
      </c>
      <c r="F69" s="3">
        <f>SUMIFS('Cashflow Projection'!$C$7:$C$23,'Cashflow Projection'!$B$7:$B$23,Sales!$B69,'Cashflow Projection'!$A$7:$A$23,Sales!$A69)</f>
        <v/>
      </c>
      <c r="G69" s="4" t="n">
        <v>45491</v>
      </c>
      <c r="H69" s="4" t="n">
        <v>45491</v>
      </c>
      <c r="I69" s="3" t="n">
        <v>1549900</v>
      </c>
      <c r="J69" s="3" t="n">
        <v>202160.8695652174</v>
      </c>
      <c r="K69" s="3" t="n">
        <v>1347739.130434783</v>
      </c>
      <c r="L69" s="3" t="n">
        <v>18502.08</v>
      </c>
      <c r="M69" s="3" t="n">
        <v>1789</v>
      </c>
      <c r="N69" s="3" t="n">
        <v>7749.5</v>
      </c>
      <c r="O69" s="3" t="n">
        <v>77495</v>
      </c>
      <c r="P69" s="3" t="n">
        <v>19224.37</v>
      </c>
      <c r="Q69" s="3" t="n">
        <v>1425140.05</v>
      </c>
      <c r="R69" s="9">
        <f>(SUMIFS(Investors!$M:$M,Investors!$E:$E,Sales!$C69,Investors!$O:$O,FALSE)+SUMIFS(Investors!$S:$S,Investors!$E:$E,Sales!$C69,Investors!$O:$O,FALSE))*$F69</f>
        <v/>
      </c>
      <c r="S69" s="9">
        <f>IF(T69=FALSE,Q69-R69,+V69)</f>
        <v/>
      </c>
      <c r="T69" s="3" t="b">
        <v>0</v>
      </c>
      <c r="U69" s="4" t="n">
        <v>45565</v>
      </c>
      <c r="V69" s="9" t="n">
        <v>145583.8856164382</v>
      </c>
    </row>
    <row r="70">
      <c r="A70" s="3" t="inlineStr">
        <is>
          <t>Heron View</t>
        </is>
      </c>
      <c r="B70" s="3" t="inlineStr">
        <is>
          <t>O</t>
        </is>
      </c>
      <c r="C70" s="3" t="inlineStr">
        <is>
          <t>HVO302</t>
        </is>
      </c>
      <c r="D70" s="3" t="b">
        <v>0</v>
      </c>
      <c r="E70" s="3" t="b">
        <v>0</v>
      </c>
      <c r="F70" s="3">
        <f>SUMIFS('Cashflow Projection'!$C$7:$C$23,'Cashflow Projection'!$B$7:$B$23,Sales!$B70,'Cashflow Projection'!$A$7:$A$23,Sales!$A70)</f>
        <v/>
      </c>
      <c r="G70" s="4" t="n">
        <v>45518</v>
      </c>
      <c r="H70" s="4" t="n">
        <v>45518</v>
      </c>
      <c r="I70" s="3" t="n">
        <v>1689900</v>
      </c>
      <c r="J70" s="3" t="n">
        <v>220421.7391304348</v>
      </c>
      <c r="K70" s="3" t="n">
        <v>1469478.260869565</v>
      </c>
      <c r="L70" s="3" t="n">
        <v>18502.08</v>
      </c>
      <c r="M70" s="3" t="n">
        <v>1789</v>
      </c>
      <c r="N70" s="3" t="n">
        <v>8449.5</v>
      </c>
      <c r="O70" s="3" t="n">
        <v>84495</v>
      </c>
      <c r="P70" s="3" t="n">
        <v>19224.37</v>
      </c>
      <c r="Q70" s="3" t="n">
        <v>1557440.05</v>
      </c>
      <c r="R70" s="9">
        <f>(SUMIFS(Investors!$M:$M,Investors!$E:$E,Sales!$C70,Investors!$O:$O,FALSE)+SUMIFS(Investors!$S:$S,Investors!$E:$E,Sales!$C70,Investors!$O:$O,FALSE))*$F70</f>
        <v/>
      </c>
      <c r="S70" s="9">
        <f>IF(T70=FALSE,Q70-R70,+V70)</f>
        <v/>
      </c>
      <c r="T70" s="3" t="b">
        <v>0</v>
      </c>
      <c r="U70" s="4" t="n">
        <v>45565</v>
      </c>
      <c r="V70" s="9" t="n">
        <v>211700.1850468493</v>
      </c>
    </row>
    <row r="71">
      <c r="A71" s="3" t="inlineStr">
        <is>
          <t>Heron View</t>
        </is>
      </c>
      <c r="B71" s="3" t="inlineStr">
        <is>
          <t>O</t>
        </is>
      </c>
      <c r="C71" s="3" t="inlineStr">
        <is>
          <t>HVO203</t>
        </is>
      </c>
      <c r="D71" s="3" t="b">
        <v>0</v>
      </c>
      <c r="E71" s="3" t="b">
        <v>0</v>
      </c>
      <c r="F71" s="3">
        <f>SUMIFS('Cashflow Projection'!$C$7:$C$23,'Cashflow Projection'!$B$7:$B$23,Sales!$B71,'Cashflow Projection'!$A$7:$A$23,Sales!$A71)</f>
        <v/>
      </c>
      <c r="G71" s="4" t="n">
        <v>45518</v>
      </c>
      <c r="H71" s="4" t="n">
        <v>45518</v>
      </c>
      <c r="I71" s="3" t="n">
        <v>1679900</v>
      </c>
      <c r="J71" s="3" t="n">
        <v>219117.3913043478</v>
      </c>
      <c r="K71" s="3" t="n">
        <v>1460782.608695652</v>
      </c>
      <c r="L71" s="3" t="n">
        <v>18502.08</v>
      </c>
      <c r="M71" s="3" t="n">
        <v>1789</v>
      </c>
      <c r="N71" s="3" t="n">
        <v>8399.5</v>
      </c>
      <c r="O71" s="3" t="n">
        <v>83995</v>
      </c>
      <c r="P71" s="3" t="n">
        <v>19224.37</v>
      </c>
      <c r="Q71" s="3" t="n">
        <v>1547990.05</v>
      </c>
      <c r="R71" s="9">
        <f>(SUMIFS(Investors!$M:$M,Investors!$E:$E,Sales!$C71,Investors!$O:$O,FALSE)+SUMIFS(Investors!$S:$S,Investors!$E:$E,Sales!$C71,Investors!$O:$O,FALSE))*$F71</f>
        <v/>
      </c>
      <c r="S71" s="9">
        <f>IF(T71=FALSE,Q71-R71,+V71)</f>
        <v/>
      </c>
      <c r="T71" s="3" t="b">
        <v>0</v>
      </c>
      <c r="U71" s="4" t="n">
        <v>45565</v>
      </c>
      <c r="V71" s="9" t="n">
        <v>158670.6552241091</v>
      </c>
    </row>
    <row r="72">
      <c r="A72" s="3" t="inlineStr">
        <is>
          <t>Heron View</t>
        </is>
      </c>
      <c r="B72" s="3" t="inlineStr">
        <is>
          <t>E</t>
        </is>
      </c>
      <c r="C72" s="3" t="inlineStr">
        <is>
          <t>HVE303</t>
        </is>
      </c>
      <c r="D72" s="3" t="b">
        <v>0</v>
      </c>
      <c r="E72" s="3" t="b">
        <v>0</v>
      </c>
      <c r="F72" s="3">
        <f>SUMIFS('Cashflow Projection'!$C$7:$C$23,'Cashflow Projection'!$B$7:$B$23,Sales!$B72,'Cashflow Projection'!$A$7:$A$23,Sales!$A72)</f>
        <v/>
      </c>
      <c r="G72" s="4" t="n">
        <v>45685</v>
      </c>
      <c r="H72" s="4" t="n">
        <v>45685</v>
      </c>
      <c r="I72" s="3" t="n">
        <v>1499900</v>
      </c>
      <c r="J72" s="3" t="n">
        <v>195639.1304347826</v>
      </c>
      <c r="K72" s="3" t="n">
        <v>1304260.869565218</v>
      </c>
      <c r="L72" s="3" t="n">
        <v>18502.08</v>
      </c>
      <c r="M72" s="3" t="n">
        <v>1789</v>
      </c>
      <c r="N72" s="3" t="n">
        <v>7499.5</v>
      </c>
      <c r="O72" s="3" t="n">
        <v>74995</v>
      </c>
      <c r="P72" s="3" t="n">
        <v>19224.37</v>
      </c>
      <c r="Q72" s="3" t="n">
        <v>1377890.05</v>
      </c>
      <c r="R72" s="9">
        <f>(SUMIFS(Investors!$M:$M,Investors!$E:$E,Sales!$C72,Investors!$O:$O,FALSE)+SUMIFS(Investors!$S:$S,Investors!$E:$E,Sales!$C72,Investors!$O:$O,FALSE))*$F72</f>
        <v/>
      </c>
      <c r="S72" s="9">
        <f>IF(T72=FALSE,Q72-R72,+V72)</f>
        <v/>
      </c>
      <c r="T72" s="3" t="b">
        <v>0</v>
      </c>
      <c r="U72" s="4" t="n">
        <v>45747</v>
      </c>
      <c r="V72" s="9" t="n">
        <v>511532.7897260272</v>
      </c>
    </row>
    <row r="73">
      <c r="A73" s="3" t="inlineStr">
        <is>
          <t>Endulini</t>
        </is>
      </c>
      <c r="B73" s="3" t="inlineStr">
        <is>
          <t>A</t>
        </is>
      </c>
      <c r="C73" s="3" t="inlineStr">
        <is>
          <t>EA306</t>
        </is>
      </c>
      <c r="D73" s="3" t="b">
        <v>1</v>
      </c>
      <c r="E73" s="3" t="b">
        <v>1</v>
      </c>
      <c r="F73" s="3">
        <f>SUMIFS('Cashflow Projection'!$C$7:$C$23,'Cashflow Projection'!$B$7:$B$23,Sales!$B73,'Cashflow Projection'!$A$7:$A$23,Sales!$A73)</f>
        <v/>
      </c>
      <c r="G73" s="4" t="n">
        <v>45279</v>
      </c>
      <c r="H73" s="4" t="n">
        <v>45688</v>
      </c>
      <c r="I73" s="3" t="n">
        <v>1599900</v>
      </c>
      <c r="J73" s="3" t="n">
        <v>208682.6086956522</v>
      </c>
      <c r="K73" s="3" t="n">
        <v>1391217.391304348</v>
      </c>
      <c r="L73" s="3" t="n">
        <v>18502.08</v>
      </c>
      <c r="M73" s="3" t="n">
        <v>1789</v>
      </c>
      <c r="N73" s="3" t="n">
        <v>7999.5</v>
      </c>
      <c r="O73" s="3" t="n">
        <v>79995</v>
      </c>
      <c r="P73" s="3" t="n">
        <v>19224.37</v>
      </c>
      <c r="Q73" s="3" t="n">
        <v>1472390.05</v>
      </c>
      <c r="R73" s="9">
        <f>(SUMIFS(Investors!$M:$M,Investors!$E:$E,Sales!$C73,Investors!$O:$O,FALSE)+SUMIFS(Investors!$S:$S,Investors!$E:$E,Sales!$C73,Investors!$O:$O,FALSE))*$F73</f>
        <v/>
      </c>
      <c r="S73" s="9">
        <f>IF(T73=FALSE,Q73-R73,+V73)</f>
        <v/>
      </c>
      <c r="T73" s="3" t="b">
        <v>0</v>
      </c>
      <c r="U73" s="4" t="n">
        <v>45747</v>
      </c>
      <c r="V73" s="9" t="n">
        <v>161890.0499999998</v>
      </c>
    </row>
    <row r="74">
      <c r="A74" s="3" t="inlineStr">
        <is>
          <t>Endulini</t>
        </is>
      </c>
      <c r="B74" s="3" t="inlineStr">
        <is>
          <t>E</t>
        </is>
      </c>
      <c r="C74" s="3" t="inlineStr">
        <is>
          <t>EE201</t>
        </is>
      </c>
      <c r="D74" s="3" t="b">
        <v>1</v>
      </c>
      <c r="E74" s="3" t="b">
        <v>1</v>
      </c>
      <c r="F74" s="3">
        <f>SUMIFS('Cashflow Projection'!$C$7:$C$23,'Cashflow Projection'!$B$7:$B$23,Sales!$B74,'Cashflow Projection'!$A$7:$A$23,Sales!$A74)</f>
        <v/>
      </c>
      <c r="G74" s="4" t="n">
        <v>44687</v>
      </c>
      <c r="H74" s="4" t="n">
        <v>45688</v>
      </c>
      <c r="I74" s="3" t="n">
        <v>1414900</v>
      </c>
      <c r="J74" s="3" t="n">
        <v>184552.1739130435</v>
      </c>
      <c r="K74" s="3" t="n">
        <v>1230347.826086957</v>
      </c>
      <c r="L74" s="3" t="n">
        <v>18502.08</v>
      </c>
      <c r="M74" s="3" t="n">
        <v>1789</v>
      </c>
      <c r="N74" s="3" t="n">
        <v>7074.5</v>
      </c>
      <c r="O74" s="3" t="n">
        <v>70745</v>
      </c>
      <c r="P74" s="3" t="n">
        <v>19224.37</v>
      </c>
      <c r="Q74" s="3" t="n">
        <v>1297565.05</v>
      </c>
      <c r="R74" s="9">
        <f>(SUMIFS(Investors!$M:$M,Investors!$E:$E,Sales!$C74,Investors!$O:$O,FALSE)+SUMIFS(Investors!$S:$S,Investors!$E:$E,Sales!$C74,Investors!$O:$O,FALSE))*$F74</f>
        <v/>
      </c>
      <c r="S74" s="9">
        <f>IF(T74=FALSE,Q74-R74,+V74)</f>
        <v/>
      </c>
      <c r="T74" s="3" t="b">
        <v>0</v>
      </c>
      <c r="U74" s="4" t="n">
        <v>45747</v>
      </c>
      <c r="V74" s="9" t="n">
        <v>86580.59173582168</v>
      </c>
    </row>
    <row r="75">
      <c r="A75" s="3" t="inlineStr">
        <is>
          <t>Endulini</t>
        </is>
      </c>
      <c r="B75" s="3" t="inlineStr">
        <is>
          <t>C</t>
        </is>
      </c>
      <c r="C75" s="3" t="inlineStr">
        <is>
          <t>EC301</t>
        </is>
      </c>
      <c r="D75" s="3" t="b">
        <v>1</v>
      </c>
      <c r="E75" s="3" t="b">
        <v>1</v>
      </c>
      <c r="F75" s="3">
        <f>SUMIFS('Cashflow Projection'!$C$7:$C$23,'Cashflow Projection'!$B$7:$B$23,Sales!$B75,'Cashflow Projection'!$A$7:$A$23,Sales!$A75)</f>
        <v/>
      </c>
      <c r="G75" s="4" t="n">
        <v>45259</v>
      </c>
      <c r="H75" s="4" t="n">
        <v>45688</v>
      </c>
      <c r="I75" s="3" t="n">
        <v>1499900</v>
      </c>
      <c r="J75" s="3" t="n">
        <v>195639.1304347826</v>
      </c>
      <c r="K75" s="3" t="n">
        <v>1304260.869565218</v>
      </c>
      <c r="L75" s="3" t="n">
        <v>18502.08</v>
      </c>
      <c r="M75" s="3" t="n">
        <v>1789</v>
      </c>
      <c r="N75" s="3" t="n">
        <v>7499.5</v>
      </c>
      <c r="O75" s="3" t="n">
        <v>74995</v>
      </c>
      <c r="P75" s="3" t="n">
        <v>19224.37</v>
      </c>
      <c r="Q75" s="3" t="n">
        <v>1377890.05</v>
      </c>
      <c r="R75" s="9">
        <f>(SUMIFS(Investors!$M:$M,Investors!$E:$E,Sales!$C75,Investors!$O:$O,FALSE)+SUMIFS(Investors!$S:$S,Investors!$E:$E,Sales!$C75,Investors!$O:$O,FALSE))*$F75</f>
        <v/>
      </c>
      <c r="S75" s="9">
        <f>IF(T75=FALSE,Q75-R75,+V75)</f>
        <v/>
      </c>
      <c r="T75" s="3" t="b">
        <v>0</v>
      </c>
      <c r="U75" s="4" t="n">
        <v>45747</v>
      </c>
      <c r="V75" s="9" t="n">
        <v>67850.74232328753</v>
      </c>
    </row>
    <row r="76">
      <c r="A76" s="3" t="inlineStr">
        <is>
          <t>Heron Fields</t>
        </is>
      </c>
      <c r="B76" s="3" t="inlineStr">
        <is>
          <t>A</t>
        </is>
      </c>
      <c r="C76" s="3" t="inlineStr">
        <is>
          <t>HFA103</t>
        </is>
      </c>
      <c r="D76" s="3" t="b">
        <v>1</v>
      </c>
      <c r="E76" s="3" t="b">
        <v>1</v>
      </c>
      <c r="F76" s="3">
        <f>SUMIFS('Cashflow Projection'!$C$7:$C$23,'Cashflow Projection'!$B$7:$B$23,Sales!$B76,'Cashflow Projection'!$A$7:$A$23,Sales!$A76)</f>
        <v/>
      </c>
      <c r="G76" s="4" t="n">
        <v>44887</v>
      </c>
      <c r="H76" s="4" t="n">
        <v>45688</v>
      </c>
      <c r="I76" s="3" t="n">
        <v>1549900</v>
      </c>
      <c r="J76" s="3" t="n">
        <v>202160.8695652174</v>
      </c>
      <c r="K76" s="3" t="n">
        <v>1347739.130434783</v>
      </c>
      <c r="L76" s="3" t="n">
        <v>18502.08</v>
      </c>
      <c r="M76" s="3" t="n">
        <v>1789</v>
      </c>
      <c r="N76" s="3" t="n">
        <v>7749.5</v>
      </c>
      <c r="O76" s="3" t="n">
        <v>77495</v>
      </c>
      <c r="P76" s="3" t="n">
        <v>19224.37</v>
      </c>
      <c r="Q76" s="3" t="n">
        <v>1425140.05</v>
      </c>
      <c r="R76" s="9">
        <f>(SUMIFS(Investors!$M:$M,Investors!$E:$E,Sales!$C76,Investors!$O:$O,FALSE)+SUMIFS(Investors!$S:$S,Investors!$E:$E,Sales!$C76,Investors!$O:$O,FALSE))*$F76</f>
        <v/>
      </c>
      <c r="S76" s="9">
        <f>IF(T76=FALSE,Q76-R76,+V76)</f>
        <v/>
      </c>
      <c r="T76" s="3" t="b">
        <v>0</v>
      </c>
      <c r="U76" s="4" t="n">
        <v>45747</v>
      </c>
      <c r="V76" s="9" t="n">
        <v>275537.3102739723</v>
      </c>
    </row>
    <row r="77">
      <c r="A77" s="3" t="inlineStr">
        <is>
          <t>Endulini</t>
        </is>
      </c>
      <c r="B77" s="3" t="inlineStr">
        <is>
          <t>B</t>
        </is>
      </c>
      <c r="C77" s="3" t="inlineStr">
        <is>
          <t>EB103</t>
        </is>
      </c>
      <c r="D77" s="3" t="b">
        <v>1</v>
      </c>
      <c r="E77" s="3" t="b">
        <v>1</v>
      </c>
      <c r="F77" s="3">
        <f>SUMIFS('Cashflow Projection'!$C$7:$C$23,'Cashflow Projection'!$B$7:$B$23,Sales!$B77,'Cashflow Projection'!$A$7:$A$23,Sales!$A77)</f>
        <v/>
      </c>
      <c r="G77" s="4" t="n">
        <v>44832</v>
      </c>
      <c r="H77" s="4" t="n">
        <v>45688</v>
      </c>
      <c r="I77" s="3" t="n">
        <v>1519900</v>
      </c>
      <c r="J77" s="3" t="n">
        <v>198247.8260869565</v>
      </c>
      <c r="K77" s="3" t="n">
        <v>1321652.173913044</v>
      </c>
      <c r="L77" s="3" t="n">
        <v>18502.08</v>
      </c>
      <c r="M77" s="3" t="n">
        <v>1789</v>
      </c>
      <c r="N77" s="3" t="n">
        <v>7599.5</v>
      </c>
      <c r="O77" s="3" t="n">
        <v>75995</v>
      </c>
      <c r="P77" s="3" t="n">
        <v>19224.37</v>
      </c>
      <c r="Q77" s="3" t="n">
        <v>1396790.05</v>
      </c>
      <c r="R77" s="9">
        <f>(SUMIFS(Investors!$M:$M,Investors!$E:$E,Sales!$C77,Investors!$O:$O,FALSE)+SUMIFS(Investors!$S:$S,Investors!$E:$E,Sales!$C77,Investors!$O:$O,FALSE))*$F77</f>
        <v/>
      </c>
      <c r="S77" s="9">
        <f>IF(T77=FALSE,Q77-R77,+V77)</f>
        <v/>
      </c>
      <c r="T77" s="3" t="b">
        <v>0</v>
      </c>
      <c r="U77" s="4" t="n">
        <v>45747</v>
      </c>
      <c r="V77" s="9" t="n">
        <v>210442.1158383559</v>
      </c>
    </row>
    <row r="78">
      <c r="A78" s="3" t="inlineStr">
        <is>
          <t>Heron Fields</t>
        </is>
      </c>
      <c r="B78" s="3" t="inlineStr">
        <is>
          <t>A</t>
        </is>
      </c>
      <c r="C78" s="3" t="inlineStr">
        <is>
          <t>HFA204</t>
        </is>
      </c>
      <c r="D78" s="3" t="b">
        <v>1</v>
      </c>
      <c r="E78" s="3" t="b">
        <v>1</v>
      </c>
      <c r="F78" s="3">
        <f>SUMIFS('Cashflow Projection'!$C$7:$C$23,'Cashflow Projection'!$B$7:$B$23,Sales!$B78,'Cashflow Projection'!$A$7:$A$23,Sales!$A78)</f>
        <v/>
      </c>
      <c r="G78" s="4" t="n">
        <v>44887</v>
      </c>
      <c r="H78" s="4" t="n">
        <v>45688</v>
      </c>
      <c r="I78" s="3" t="n">
        <v>1299900</v>
      </c>
      <c r="J78" s="3" t="n">
        <v>169552.1739130435</v>
      </c>
      <c r="K78" s="3" t="n">
        <v>1130347.826086957</v>
      </c>
      <c r="L78" s="3" t="n">
        <v>18502.08</v>
      </c>
      <c r="M78" s="3" t="n">
        <v>1789</v>
      </c>
      <c r="N78" s="3" t="n">
        <v>6499.5</v>
      </c>
      <c r="O78" s="3" t="n">
        <v>64995</v>
      </c>
      <c r="P78" s="3" t="n">
        <v>19224.37</v>
      </c>
      <c r="Q78" s="3" t="n">
        <v>1188890.05</v>
      </c>
      <c r="R78" s="9">
        <f>(SUMIFS(Investors!$M:$M,Investors!$E:$E,Sales!$C78,Investors!$O:$O,FALSE)+SUMIFS(Investors!$S:$S,Investors!$E:$E,Sales!$C78,Investors!$O:$O,FALSE))*$F78</f>
        <v/>
      </c>
      <c r="S78" s="9">
        <f>IF(T78=FALSE,Q78-R78,+V78)</f>
        <v/>
      </c>
      <c r="T78" s="3" t="b">
        <v>0</v>
      </c>
      <c r="U78" s="4" t="n">
        <v>45747</v>
      </c>
      <c r="V78" s="9" t="n">
        <v>43564.70753424638</v>
      </c>
    </row>
    <row r="79">
      <c r="A79" s="3" t="inlineStr">
        <is>
          <t>Endulini</t>
        </is>
      </c>
      <c r="B79" s="3" t="inlineStr">
        <is>
          <t>D</t>
        </is>
      </c>
      <c r="C79" s="3" t="inlineStr">
        <is>
          <t>ED101</t>
        </is>
      </c>
      <c r="D79" s="3" t="b">
        <v>1</v>
      </c>
      <c r="E79" s="3" t="b">
        <v>1</v>
      </c>
      <c r="F79" s="3">
        <f>SUMIFS('Cashflow Projection'!$C$7:$C$23,'Cashflow Projection'!$B$7:$B$23,Sales!$B79,'Cashflow Projection'!$A$7:$A$23,Sales!$A79)</f>
        <v/>
      </c>
      <c r="G79" s="4" t="n">
        <v>44657</v>
      </c>
      <c r="H79" s="4" t="n">
        <v>45688</v>
      </c>
      <c r="I79" s="3" t="n">
        <v>1349900</v>
      </c>
      <c r="J79" s="3" t="n">
        <v>176073.9130434782</v>
      </c>
      <c r="K79" s="3" t="n">
        <v>1173826.086956522</v>
      </c>
      <c r="L79" s="3" t="n">
        <v>18502.08</v>
      </c>
      <c r="M79" s="3" t="n">
        <v>1789</v>
      </c>
      <c r="N79" s="3" t="n">
        <v>6749.5</v>
      </c>
      <c r="O79" s="3" t="n">
        <v>67495</v>
      </c>
      <c r="P79" s="3" t="n">
        <v>19224.37</v>
      </c>
      <c r="Q79" s="3" t="n">
        <v>1236140.05</v>
      </c>
      <c r="R79" s="9">
        <f>(SUMIFS(Investors!$M:$M,Investors!$E:$E,Sales!$C79,Investors!$O:$O,FALSE)+SUMIFS(Investors!$S:$S,Investors!$E:$E,Sales!$C79,Investors!$O:$O,FALSE))*$F79</f>
        <v/>
      </c>
      <c r="S79" s="9">
        <f>IF(T79=FALSE,Q79-R79,+V79)</f>
        <v/>
      </c>
      <c r="T79" s="3" t="b">
        <v>0</v>
      </c>
      <c r="U79" s="4" t="n">
        <v>45747</v>
      </c>
      <c r="V79" s="9" t="n">
        <v>52561.70052315039</v>
      </c>
    </row>
    <row r="80">
      <c r="A80" s="3" t="inlineStr">
        <is>
          <t>Heron Fields</t>
        </is>
      </c>
      <c r="B80" s="3" t="inlineStr">
        <is>
          <t>A</t>
        </is>
      </c>
      <c r="C80" s="3" t="inlineStr">
        <is>
          <t>HFA206</t>
        </is>
      </c>
      <c r="D80" s="3" t="b">
        <v>1</v>
      </c>
      <c r="E80" s="3" t="b">
        <v>1</v>
      </c>
      <c r="F80" s="3">
        <f>SUMIFS('Cashflow Projection'!$C$7:$C$23,'Cashflow Projection'!$B$7:$B$23,Sales!$B80,'Cashflow Projection'!$A$7:$A$23,Sales!$A80)</f>
        <v/>
      </c>
      <c r="G80" s="4" t="n">
        <v>44887</v>
      </c>
      <c r="H80" s="4" t="n">
        <v>45688</v>
      </c>
      <c r="I80" s="3" t="n">
        <v>1329900</v>
      </c>
      <c r="J80" s="3" t="n">
        <v>173465.2173913044</v>
      </c>
      <c r="K80" s="3" t="n">
        <v>1156434.782608696</v>
      </c>
      <c r="L80" s="3" t="n">
        <v>18502.08</v>
      </c>
      <c r="M80" s="3" t="n">
        <v>1789</v>
      </c>
      <c r="N80" s="3" t="n">
        <v>6649.5</v>
      </c>
      <c r="O80" s="3" t="n">
        <v>66495</v>
      </c>
      <c r="P80" s="3" t="n">
        <v>19224.37</v>
      </c>
      <c r="Q80" s="3" t="n">
        <v>1217240.05</v>
      </c>
      <c r="R80" s="9">
        <f>(SUMIFS(Investors!$M:$M,Investors!$E:$E,Sales!$C80,Investors!$O:$O,FALSE)+SUMIFS(Investors!$S:$S,Investors!$E:$E,Sales!$C80,Investors!$O:$O,FALSE))*$F80</f>
        <v/>
      </c>
      <c r="S80" s="9">
        <f>IF(T80=FALSE,Q80-R80,+V80)</f>
        <v/>
      </c>
      <c r="T80" s="3" t="b">
        <v>0</v>
      </c>
      <c r="U80" s="4" t="n">
        <v>45747</v>
      </c>
      <c r="V80" s="9" t="n">
        <v>236666.8782342463</v>
      </c>
    </row>
    <row r="81">
      <c r="A81" s="3" t="inlineStr">
        <is>
          <t>Endulini</t>
        </is>
      </c>
      <c r="B81" s="3" t="inlineStr">
        <is>
          <t>F</t>
        </is>
      </c>
      <c r="C81" s="3" t="inlineStr">
        <is>
          <t>EF102</t>
        </is>
      </c>
      <c r="D81" s="3" t="b">
        <v>1</v>
      </c>
      <c r="E81" s="3" t="b">
        <v>1</v>
      </c>
      <c r="F81" s="3">
        <f>SUMIFS('Cashflow Projection'!$C$7:$C$23,'Cashflow Projection'!$B$7:$B$23,Sales!$B81,'Cashflow Projection'!$A$7:$A$23,Sales!$A81)</f>
        <v/>
      </c>
      <c r="G81" s="4" t="n">
        <v>44657</v>
      </c>
      <c r="H81" s="4" t="n">
        <v>45688</v>
      </c>
      <c r="I81" s="3" t="n">
        <v>1424900</v>
      </c>
      <c r="J81" s="3" t="n">
        <v>185856.5217391304</v>
      </c>
      <c r="K81" s="3" t="n">
        <v>1239043.47826087</v>
      </c>
      <c r="L81" s="3" t="n">
        <v>18502.08</v>
      </c>
      <c r="M81" s="3" t="n">
        <v>1789</v>
      </c>
      <c r="N81" s="3" t="n">
        <v>7124.5</v>
      </c>
      <c r="O81" s="3" t="n">
        <v>71245</v>
      </c>
      <c r="P81" s="3" t="n">
        <v>19224.37</v>
      </c>
      <c r="Q81" s="3" t="n">
        <v>1307015.05</v>
      </c>
      <c r="R81" s="9">
        <f>(SUMIFS(Investors!$M:$M,Investors!$E:$E,Sales!$C81,Investors!$O:$O,FALSE)+SUMIFS(Investors!$S:$S,Investors!$E:$E,Sales!$C81,Investors!$O:$O,FALSE))*$F81</f>
        <v/>
      </c>
      <c r="S81" s="9">
        <f>IF(T81=FALSE,Q81-R81,+V81)</f>
        <v/>
      </c>
      <c r="T81" s="3" t="b">
        <v>0</v>
      </c>
      <c r="U81" s="4" t="n">
        <v>45747</v>
      </c>
      <c r="V81" s="9" t="n">
        <v>87788.91897630133</v>
      </c>
    </row>
    <row r="82">
      <c r="A82" s="3" t="inlineStr">
        <is>
          <t>Heron Fields</t>
        </is>
      </c>
      <c r="B82" s="3" t="inlineStr">
        <is>
          <t>A</t>
        </is>
      </c>
      <c r="C82" s="3" t="inlineStr">
        <is>
          <t>HFA202</t>
        </is>
      </c>
      <c r="D82" s="3" t="b">
        <v>1</v>
      </c>
      <c r="E82" s="3" t="b">
        <v>1</v>
      </c>
      <c r="F82" s="3">
        <f>SUMIFS('Cashflow Projection'!$C$7:$C$23,'Cashflow Projection'!$B$7:$B$23,Sales!$B82,'Cashflow Projection'!$A$7:$A$23,Sales!$A82)</f>
        <v/>
      </c>
      <c r="G82" s="4" t="n">
        <v>44943</v>
      </c>
      <c r="H82" s="4" t="n">
        <v>45688</v>
      </c>
      <c r="I82" s="3" t="n">
        <v>1279900</v>
      </c>
      <c r="J82" s="3" t="n">
        <v>166943.4782608696</v>
      </c>
      <c r="K82" s="3" t="n">
        <v>1112956.521739131</v>
      </c>
      <c r="L82" s="3" t="n">
        <v>18502.08</v>
      </c>
      <c r="M82" s="3" t="n">
        <v>1789</v>
      </c>
      <c r="N82" s="3" t="n">
        <v>6399.5</v>
      </c>
      <c r="O82" s="3" t="n">
        <v>63995</v>
      </c>
      <c r="P82" s="3" t="n">
        <v>19224.37</v>
      </c>
      <c r="Q82" s="3" t="n">
        <v>1169990.05</v>
      </c>
      <c r="R82" s="9">
        <f>(SUMIFS(Investors!$M:$M,Investors!$E:$E,Sales!$C82,Investors!$O:$O,FALSE)+SUMIFS(Investors!$S:$S,Investors!$E:$E,Sales!$C82,Investors!$O:$O,FALSE))*$F82</f>
        <v/>
      </c>
      <c r="S82" s="9">
        <f>IF(T82=FALSE,Q82-R82,+V82)</f>
        <v/>
      </c>
      <c r="T82" s="3" t="b">
        <v>0</v>
      </c>
      <c r="U82" s="4" t="n">
        <v>45747</v>
      </c>
      <c r="V82" s="9" t="n">
        <v>-40329.6589853426</v>
      </c>
    </row>
    <row r="83">
      <c r="A83" s="3" t="inlineStr">
        <is>
          <t>Heron Fields</t>
        </is>
      </c>
      <c r="B83" s="3" t="inlineStr">
        <is>
          <t>B</t>
        </is>
      </c>
      <c r="C83" s="3" t="inlineStr">
        <is>
          <t>HFB214</t>
        </is>
      </c>
      <c r="D83" s="3" t="b">
        <v>1</v>
      </c>
      <c r="E83" s="3" t="b">
        <v>1</v>
      </c>
      <c r="F83" s="3">
        <f>SUMIFS('Cashflow Projection'!$C$7:$C$23,'Cashflow Projection'!$B$7:$B$23,Sales!$B83,'Cashflow Projection'!$A$7:$A$23,Sales!$A83)</f>
        <v/>
      </c>
      <c r="G83" s="4" t="n">
        <v>45128</v>
      </c>
      <c r="H83" s="4" t="n">
        <v>45688</v>
      </c>
      <c r="I83" s="3" t="n">
        <v>1439900</v>
      </c>
      <c r="J83" s="3" t="n">
        <v>187813.0434782609</v>
      </c>
      <c r="K83" s="3" t="n">
        <v>1252086.956521739</v>
      </c>
      <c r="L83" s="3" t="n">
        <v>18502.08</v>
      </c>
      <c r="M83" s="3" t="n">
        <v>1789</v>
      </c>
      <c r="N83" s="3" t="n">
        <v>7199.5</v>
      </c>
      <c r="O83" s="3" t="n">
        <v>71995</v>
      </c>
      <c r="P83" s="3" t="n">
        <v>19224.37</v>
      </c>
      <c r="Q83" s="3" t="n">
        <v>1321190.05</v>
      </c>
      <c r="R83" s="9">
        <f>(SUMIFS(Investors!$M:$M,Investors!$E:$E,Sales!$C83,Investors!$O:$O,FALSE)+SUMIFS(Investors!$S:$S,Investors!$E:$E,Sales!$C83,Investors!$O:$O,FALSE))*$F83</f>
        <v/>
      </c>
      <c r="S83" s="9">
        <f>IF(T83=FALSE,Q83-R83,+V83)</f>
        <v/>
      </c>
      <c r="T83" s="3" t="b">
        <v>0</v>
      </c>
      <c r="U83" s="4" t="n">
        <v>45747</v>
      </c>
      <c r="V83" s="9" t="n">
        <v>44073.61164383544</v>
      </c>
    </row>
    <row r="84">
      <c r="A84" s="3" t="inlineStr">
        <is>
          <t>Heron Fields</t>
        </is>
      </c>
      <c r="B84" s="3" t="inlineStr">
        <is>
          <t>B</t>
        </is>
      </c>
      <c r="C84" s="3" t="inlineStr">
        <is>
          <t>HFB313</t>
        </is>
      </c>
      <c r="D84" s="3" t="b">
        <v>1</v>
      </c>
      <c r="E84" s="3" t="b">
        <v>1</v>
      </c>
      <c r="F84" s="3">
        <f>SUMIFS('Cashflow Projection'!$C$7:$C$23,'Cashflow Projection'!$B$7:$B$23,Sales!$B84,'Cashflow Projection'!$A$7:$A$23,Sales!$A84)</f>
        <v/>
      </c>
      <c r="G84" s="4" t="n">
        <v>45051</v>
      </c>
      <c r="H84" s="4" t="n">
        <v>45688</v>
      </c>
      <c r="I84" s="3" t="n">
        <v>1399900</v>
      </c>
      <c r="J84" s="3" t="n">
        <v>182595.6521739131</v>
      </c>
      <c r="K84" s="3" t="n">
        <v>1217304.347826087</v>
      </c>
      <c r="L84" s="3" t="n">
        <v>18502.08</v>
      </c>
      <c r="M84" s="3" t="n">
        <v>1789</v>
      </c>
      <c r="N84" s="3" t="n">
        <v>6999.5</v>
      </c>
      <c r="O84" s="3" t="n">
        <v>69995</v>
      </c>
      <c r="P84" s="3" t="n">
        <v>19224.37</v>
      </c>
      <c r="Q84" s="3" t="n">
        <v>1283390.05</v>
      </c>
      <c r="R84" s="9">
        <f>(SUMIFS(Investors!$M:$M,Investors!$E:$E,Sales!$C84,Investors!$O:$O,FALSE)+SUMIFS(Investors!$S:$S,Investors!$E:$E,Sales!$C84,Investors!$O:$O,FALSE))*$F84</f>
        <v/>
      </c>
      <c r="S84" s="9">
        <f>IF(T84=FALSE,Q84-R84,+V84)</f>
        <v/>
      </c>
      <c r="T84" s="3" t="b">
        <v>0</v>
      </c>
      <c r="U84" s="4" t="n">
        <v>45747</v>
      </c>
      <c r="V84" s="9" t="n">
        <v>50597.88917808188</v>
      </c>
    </row>
    <row r="85">
      <c r="A85" s="3" t="inlineStr">
        <is>
          <t>Heron Fields</t>
        </is>
      </c>
      <c r="B85" s="3" t="inlineStr">
        <is>
          <t>B</t>
        </is>
      </c>
      <c r="C85" s="3" t="inlineStr">
        <is>
          <t>HFB311</t>
        </is>
      </c>
      <c r="D85" s="3" t="b">
        <v>1</v>
      </c>
      <c r="E85" s="3" t="b">
        <v>1</v>
      </c>
      <c r="F85" s="3">
        <f>SUMIFS('Cashflow Projection'!$C$7:$C$23,'Cashflow Projection'!$B$7:$B$23,Sales!$B85,'Cashflow Projection'!$A$7:$A$23,Sales!$A85)</f>
        <v/>
      </c>
      <c r="G85" s="4" t="n">
        <v>45035</v>
      </c>
      <c r="H85" s="4" t="n">
        <v>45688</v>
      </c>
      <c r="I85" s="3" t="n">
        <v>1459900</v>
      </c>
      <c r="J85" s="3" t="n">
        <v>190421.7391304348</v>
      </c>
      <c r="K85" s="3" t="n">
        <v>1269478.260869565</v>
      </c>
      <c r="L85" s="3" t="n">
        <v>18502.08</v>
      </c>
      <c r="M85" s="3" t="n">
        <v>1789</v>
      </c>
      <c r="N85" s="3" t="n">
        <v>7299.5</v>
      </c>
      <c r="O85" s="3" t="n">
        <v>72995</v>
      </c>
      <c r="P85" s="3" t="n">
        <v>19224.37</v>
      </c>
      <c r="Q85" s="3" t="n">
        <v>1340090.05</v>
      </c>
      <c r="R85" s="9">
        <f>(SUMIFS(Investors!$M:$M,Investors!$E:$E,Sales!$C85,Investors!$O:$O,FALSE)+SUMIFS(Investors!$S:$S,Investors!$E:$E,Sales!$C85,Investors!$O:$O,FALSE))*$F85</f>
        <v/>
      </c>
      <c r="S85" s="9">
        <f>IF(T85=FALSE,Q85-R85,+V85)</f>
        <v/>
      </c>
      <c r="T85" s="3" t="b">
        <v>0</v>
      </c>
      <c r="U85" s="4" t="n">
        <v>45747</v>
      </c>
      <c r="V85" s="9" t="n">
        <v>601605.8034246573</v>
      </c>
    </row>
    <row r="86">
      <c r="A86" s="3" t="inlineStr">
        <is>
          <t>Heron View</t>
        </is>
      </c>
      <c r="B86" s="3" t="inlineStr">
        <is>
          <t>D</t>
        </is>
      </c>
      <c r="C86" s="3" t="inlineStr">
        <is>
          <t>HVD101</t>
        </is>
      </c>
      <c r="D86" s="3" t="b">
        <v>1</v>
      </c>
      <c r="E86" s="3" t="b">
        <v>1</v>
      </c>
      <c r="F86" s="3">
        <f>SUMIFS('Cashflow Projection'!$C$7:$C$23,'Cashflow Projection'!$B$7:$B$23,Sales!$B86,'Cashflow Projection'!$A$7:$A$23,Sales!$A86)</f>
        <v/>
      </c>
      <c r="G86" s="4" t="n">
        <v>45308</v>
      </c>
      <c r="H86" s="4" t="n">
        <v>45688</v>
      </c>
      <c r="I86" s="3" t="n">
        <v>1699900</v>
      </c>
      <c r="J86" s="3" t="n">
        <v>221726.0869565217</v>
      </c>
      <c r="K86" s="3" t="n">
        <v>1478173.913043478</v>
      </c>
      <c r="L86" s="3" t="n">
        <v>18502.08</v>
      </c>
      <c r="M86" s="3" t="n">
        <v>1789</v>
      </c>
      <c r="N86" s="3" t="n">
        <v>8499.5</v>
      </c>
      <c r="O86" s="3" t="n">
        <v>84995</v>
      </c>
      <c r="P86" s="3" t="n">
        <v>19224.37</v>
      </c>
      <c r="Q86" s="3" t="n">
        <v>1566890.05</v>
      </c>
      <c r="R86" s="9">
        <f>(SUMIFS(Investors!$M:$M,Investors!$E:$E,Sales!$C86,Investors!$O:$O,FALSE)+SUMIFS(Investors!$S:$S,Investors!$E:$E,Sales!$C86,Investors!$O:$O,FALSE))*$F86</f>
        <v/>
      </c>
      <c r="S86" s="9">
        <f>IF(T86=FALSE,Q86-R86,+V86)</f>
        <v/>
      </c>
      <c r="T86" s="3" t="b">
        <v>0</v>
      </c>
      <c r="U86" s="4" t="n">
        <v>45747</v>
      </c>
      <c r="V86" s="9" t="n">
        <v>264034.9722779451</v>
      </c>
    </row>
    <row r="87">
      <c r="A87" s="3" t="inlineStr">
        <is>
          <t>Heron View</t>
        </is>
      </c>
      <c r="B87" s="3" t="inlineStr">
        <is>
          <t>D</t>
        </is>
      </c>
      <c r="C87" s="3" t="inlineStr">
        <is>
          <t>HVD303</t>
        </is>
      </c>
      <c r="D87" s="3" t="b">
        <v>0</v>
      </c>
      <c r="E87" s="3" t="b">
        <v>0</v>
      </c>
      <c r="F87" s="3">
        <f>SUMIFS('Cashflow Projection'!$C$7:$C$23,'Cashflow Projection'!$B$7:$B$23,Sales!$B87,'Cashflow Projection'!$A$7:$A$23,Sales!$A87)</f>
        <v/>
      </c>
      <c r="G87" s="4" t="n">
        <v>45407</v>
      </c>
      <c r="H87" s="4" t="n">
        <v>45407</v>
      </c>
      <c r="I87" s="3" t="n">
        <v>1539900</v>
      </c>
      <c r="J87" s="3" t="n">
        <v>200856.5217391304</v>
      </c>
      <c r="K87" s="3" t="n">
        <v>1339043.47826087</v>
      </c>
      <c r="L87" s="3" t="n">
        <v>18502.08</v>
      </c>
      <c r="M87" s="3" t="n">
        <v>1789</v>
      </c>
      <c r="N87" s="3" t="n">
        <v>7699.5</v>
      </c>
      <c r="O87" s="3" t="n">
        <v>76995</v>
      </c>
      <c r="P87" s="3" t="n">
        <v>19224.37</v>
      </c>
      <c r="Q87" s="3" t="n">
        <v>1415690.05</v>
      </c>
      <c r="R87" s="9">
        <f>(SUMIFS(Investors!$M:$M,Investors!$E:$E,Sales!$C87,Investors!$O:$O,FALSE)+SUMIFS(Investors!$S:$S,Investors!$E:$E,Sales!$C87,Investors!$O:$O,FALSE))*$F87</f>
        <v/>
      </c>
      <c r="S87" s="9">
        <f>IF(T87=FALSE,Q87-R87,+V87)</f>
        <v/>
      </c>
      <c r="T87" s="3" t="b">
        <v>0</v>
      </c>
      <c r="U87" s="4" t="n">
        <v>45443</v>
      </c>
      <c r="V87" s="9" t="n">
        <v>73386.09300328745</v>
      </c>
    </row>
    <row r="88">
      <c r="A88" s="3" t="inlineStr">
        <is>
          <t>Heron View</t>
        </is>
      </c>
      <c r="B88" s="3" t="inlineStr">
        <is>
          <t>D</t>
        </is>
      </c>
      <c r="C88" s="3" t="inlineStr">
        <is>
          <t>HVD202</t>
        </is>
      </c>
      <c r="D88" s="3" t="b">
        <v>1</v>
      </c>
      <c r="E88" s="3" t="b">
        <v>0</v>
      </c>
      <c r="F88" s="3">
        <f>SUMIFS('Cashflow Projection'!$C$7:$C$23,'Cashflow Projection'!$B$7:$B$23,Sales!$B88,'Cashflow Projection'!$A$7:$A$23,Sales!$A88)</f>
        <v/>
      </c>
      <c r="G88" s="4" t="n">
        <v>45415</v>
      </c>
      <c r="H88" s="4" t="n">
        <v>45415</v>
      </c>
      <c r="I88" s="3" t="n">
        <v>1519900</v>
      </c>
      <c r="J88" s="3" t="n">
        <v>198247.8260869565</v>
      </c>
      <c r="K88" s="3" t="n">
        <v>1321652.173913044</v>
      </c>
      <c r="L88" s="3" t="n">
        <v>18502.08</v>
      </c>
      <c r="M88" s="3" t="n">
        <v>1789</v>
      </c>
      <c r="N88" s="3" t="n">
        <v>7599.5</v>
      </c>
      <c r="O88" s="3" t="n">
        <v>75995</v>
      </c>
      <c r="P88" s="3" t="n">
        <v>19224.37</v>
      </c>
      <c r="Q88" s="3" t="n">
        <v>1396790.05</v>
      </c>
      <c r="R88" s="9">
        <f>(SUMIFS(Investors!$M:$M,Investors!$E:$E,Sales!$C88,Investors!$O:$O,FALSE)+SUMIFS(Investors!$S:$S,Investors!$E:$E,Sales!$C88,Investors!$O:$O,FALSE))*$F88</f>
        <v/>
      </c>
      <c r="S88" s="9">
        <f>IF(T88=FALSE,Q88-R88,+V88)</f>
        <v/>
      </c>
      <c r="T88" s="3" t="b">
        <v>0</v>
      </c>
      <c r="U88" s="4" t="n">
        <v>45504</v>
      </c>
      <c r="V88" s="9" t="n">
        <v>101802.850768219</v>
      </c>
    </row>
    <row r="89">
      <c r="A89" s="3" t="inlineStr">
        <is>
          <t>Heron View</t>
        </is>
      </c>
      <c r="B89" s="3" t="inlineStr">
        <is>
          <t>N</t>
        </is>
      </c>
      <c r="C89" s="3" t="inlineStr">
        <is>
          <t>HVN204</t>
        </is>
      </c>
      <c r="D89" s="3" t="b">
        <v>1</v>
      </c>
      <c r="E89" s="3" t="b">
        <v>1</v>
      </c>
      <c r="F89" s="3">
        <f>SUMIFS('Cashflow Projection'!$C$7:$C$23,'Cashflow Projection'!$B$7:$B$23,Sales!$B89,'Cashflow Projection'!$A$7:$A$23,Sales!$A89)</f>
        <v/>
      </c>
      <c r="G89" s="4" t="n">
        <v>45314</v>
      </c>
      <c r="H89" s="4" t="n">
        <v>45688</v>
      </c>
      <c r="I89" s="3" t="n">
        <v>1479900</v>
      </c>
      <c r="J89" s="3" t="n">
        <v>193030.4347826087</v>
      </c>
      <c r="K89" s="3" t="n">
        <v>1286869.565217391</v>
      </c>
      <c r="L89" s="3" t="n">
        <v>18502.08</v>
      </c>
      <c r="M89" s="3" t="n">
        <v>1789</v>
      </c>
      <c r="N89" s="3" t="n">
        <v>7399.5</v>
      </c>
      <c r="O89" s="3" t="n">
        <v>73995</v>
      </c>
      <c r="P89" s="3" t="n">
        <v>19224.37</v>
      </c>
      <c r="Q89" s="3" t="n">
        <v>1358990.05</v>
      </c>
      <c r="R89" s="9">
        <f>(SUMIFS(Investors!$M:$M,Investors!$E:$E,Sales!$C89,Investors!$O:$O,FALSE)+SUMIFS(Investors!$S:$S,Investors!$E:$E,Sales!$C89,Investors!$O:$O,FALSE))*$F89</f>
        <v/>
      </c>
      <c r="S89" s="9">
        <f>IF(T89=FALSE,Q89-R89,+V89)</f>
        <v/>
      </c>
      <c r="T89" s="3" t="b">
        <v>0</v>
      </c>
      <c r="U89" s="4" t="n">
        <v>45747</v>
      </c>
      <c r="V89" s="9" t="n">
        <v>78222.92671232857</v>
      </c>
    </row>
    <row r="90">
      <c r="A90" s="3" t="inlineStr">
        <is>
          <t>Heron View</t>
        </is>
      </c>
      <c r="B90" s="3" t="inlineStr">
        <is>
          <t>I</t>
        </is>
      </c>
      <c r="C90" s="3" t="inlineStr">
        <is>
          <t>HVI201</t>
        </is>
      </c>
      <c r="D90" s="3" t="b">
        <v>0</v>
      </c>
      <c r="E90" s="3" t="b">
        <v>0</v>
      </c>
      <c r="F90" s="3">
        <f>SUMIFS('Cashflow Projection'!$C$7:$C$23,'Cashflow Projection'!$B$7:$B$23,Sales!$B90,'Cashflow Projection'!$A$7:$A$23,Sales!$A90)</f>
        <v/>
      </c>
      <c r="G90" s="4" t="n">
        <v>45491</v>
      </c>
      <c r="H90" s="4" t="n">
        <v>45491</v>
      </c>
      <c r="I90" s="3" t="n">
        <v>1549900</v>
      </c>
      <c r="J90" s="3" t="n">
        <v>202160.8695652174</v>
      </c>
      <c r="K90" s="3" t="n">
        <v>1347739.130434783</v>
      </c>
      <c r="L90" s="3" t="n">
        <v>18502.08</v>
      </c>
      <c r="M90" s="3" t="n">
        <v>1789</v>
      </c>
      <c r="N90" s="3" t="n">
        <v>7749.5</v>
      </c>
      <c r="O90" s="3" t="n">
        <v>77495</v>
      </c>
      <c r="P90" s="3" t="n">
        <v>19224.37</v>
      </c>
      <c r="Q90" s="3" t="n">
        <v>1425140.05</v>
      </c>
      <c r="R90" s="9">
        <f>(SUMIFS(Investors!$M:$M,Investors!$E:$E,Sales!$C90,Investors!$O:$O,FALSE)+SUMIFS(Investors!$S:$S,Investors!$E:$E,Sales!$C90,Investors!$O:$O,FALSE))*$F90</f>
        <v/>
      </c>
      <c r="S90" s="9">
        <f>IF(T90=FALSE,Q90-R90,+V90)</f>
        <v/>
      </c>
      <c r="T90" s="3" t="b">
        <v>0</v>
      </c>
      <c r="U90" s="4" t="n">
        <v>45565</v>
      </c>
      <c r="V90" s="9" t="n">
        <v>157600.3239726024</v>
      </c>
    </row>
    <row r="91">
      <c r="A91" s="3" t="inlineStr">
        <is>
          <t>Heron View</t>
        </is>
      </c>
      <c r="B91" s="3" t="inlineStr">
        <is>
          <t>P</t>
        </is>
      </c>
      <c r="C91" s="3" t="inlineStr">
        <is>
          <t>HVP102</t>
        </is>
      </c>
      <c r="D91" s="3" t="b">
        <v>1</v>
      </c>
      <c r="E91" s="3" t="b">
        <v>1</v>
      </c>
      <c r="F91" s="3">
        <f>SUMIFS('Cashflow Projection'!$C$7:$C$23,'Cashflow Projection'!$B$7:$B$23,Sales!$B91,'Cashflow Projection'!$A$7:$A$23,Sales!$A91)</f>
        <v/>
      </c>
      <c r="G91" s="4" t="n">
        <v>45177</v>
      </c>
      <c r="H91" s="4" t="n">
        <v>45688</v>
      </c>
      <c r="I91" s="3" t="n">
        <v>1799900</v>
      </c>
      <c r="J91" s="3" t="n">
        <v>234769.5652173913</v>
      </c>
      <c r="K91" s="3" t="n">
        <v>1565130.434782609</v>
      </c>
      <c r="L91" s="3" t="n">
        <v>18502.08</v>
      </c>
      <c r="M91" s="3" t="n">
        <v>1789</v>
      </c>
      <c r="N91" s="3" t="n">
        <v>8999.5</v>
      </c>
      <c r="O91" s="3" t="n">
        <v>89995</v>
      </c>
      <c r="P91" s="3" t="n">
        <v>19224.37</v>
      </c>
      <c r="Q91" s="3" t="n">
        <v>1661390.05</v>
      </c>
      <c r="R91" s="9">
        <f>(SUMIFS(Investors!$M:$M,Investors!$E:$E,Sales!$C91,Investors!$O:$O,FALSE)+SUMIFS(Investors!$S:$S,Investors!$E:$E,Sales!$C91,Investors!$O:$O,FALSE))*$F91</f>
        <v/>
      </c>
      <c r="S91" s="9">
        <f>IF(T91=FALSE,Q91-R91,+V91)</f>
        <v/>
      </c>
      <c r="T91" s="3" t="b">
        <v>0</v>
      </c>
      <c r="U91" s="4" t="n">
        <v>45747</v>
      </c>
      <c r="V91" s="9" t="n">
        <v>366851.0089041092</v>
      </c>
    </row>
    <row r="92">
      <c r="A92" s="3" t="inlineStr">
        <is>
          <t>Heron View</t>
        </is>
      </c>
      <c r="B92" s="3" t="inlineStr">
        <is>
          <t>K</t>
        </is>
      </c>
      <c r="C92" s="3" t="inlineStr">
        <is>
          <t>HVK101</t>
        </is>
      </c>
      <c r="D92" s="3" t="b">
        <v>0</v>
      </c>
      <c r="E92" s="3" t="b">
        <v>0</v>
      </c>
      <c r="F92" s="3">
        <f>SUMIFS('Cashflow Projection'!$C$7:$C$23,'Cashflow Projection'!$B$7:$B$23,Sales!$B92,'Cashflow Projection'!$A$7:$A$23,Sales!$A92)</f>
        <v/>
      </c>
      <c r="G92" s="4" t="n">
        <v>45510</v>
      </c>
      <c r="H92" s="4" t="n">
        <v>45510</v>
      </c>
      <c r="I92" s="3" t="n">
        <v>1739900</v>
      </c>
      <c r="J92" s="3" t="n">
        <v>226943.4782608696</v>
      </c>
      <c r="K92" s="3" t="n">
        <v>1512956.521739131</v>
      </c>
      <c r="L92" s="3" t="n">
        <v>18502.08</v>
      </c>
      <c r="M92" s="3" t="n">
        <v>1789</v>
      </c>
      <c r="N92" s="3" t="n">
        <v>8699.5</v>
      </c>
      <c r="O92" s="3" t="n">
        <v>86995</v>
      </c>
      <c r="P92" s="3" t="n">
        <v>19224.37</v>
      </c>
      <c r="Q92" s="3" t="n">
        <v>1604690.05</v>
      </c>
      <c r="R92" s="9">
        <f>(SUMIFS(Investors!$M:$M,Investors!$E:$E,Sales!$C92,Investors!$O:$O,FALSE)+SUMIFS(Investors!$S:$S,Investors!$E:$E,Sales!$C92,Investors!$O:$O,FALSE))*$F92</f>
        <v/>
      </c>
      <c r="S92" s="9">
        <f>IF(T92=FALSE,Q92-R92,+V92)</f>
        <v/>
      </c>
      <c r="T92" s="3" t="b">
        <v>0</v>
      </c>
      <c r="U92" s="4" t="n">
        <v>45565</v>
      </c>
      <c r="V92" s="9" t="n">
        <v>302096.3513698627</v>
      </c>
    </row>
    <row r="93">
      <c r="A93" s="3" t="inlineStr">
        <is>
          <t>Heron View</t>
        </is>
      </c>
      <c r="B93" s="3" t="inlineStr">
        <is>
          <t>P</t>
        </is>
      </c>
      <c r="C93" s="3" t="inlineStr">
        <is>
          <t>HVP103</t>
        </is>
      </c>
      <c r="D93" s="3" t="b">
        <v>1</v>
      </c>
      <c r="E93" s="3" t="b">
        <v>1</v>
      </c>
      <c r="F93" s="3">
        <f>SUMIFS('Cashflow Projection'!$C$7:$C$23,'Cashflow Projection'!$B$7:$B$23,Sales!$B93,'Cashflow Projection'!$A$7:$A$23,Sales!$A93)</f>
        <v/>
      </c>
      <c r="G93" s="4" t="n">
        <v>45177</v>
      </c>
      <c r="H93" s="4" t="n">
        <v>45688</v>
      </c>
      <c r="I93" s="3" t="n">
        <v>1769900</v>
      </c>
      <c r="J93" s="3" t="n">
        <v>230856.5217391304</v>
      </c>
      <c r="K93" s="3" t="n">
        <v>1539043.47826087</v>
      </c>
      <c r="L93" s="3" t="n">
        <v>18502.08</v>
      </c>
      <c r="M93" s="3" t="n">
        <v>1789</v>
      </c>
      <c r="N93" s="3" t="n">
        <v>8849.5</v>
      </c>
      <c r="O93" s="3" t="n">
        <v>88495</v>
      </c>
      <c r="P93" s="3" t="n">
        <v>19224.37</v>
      </c>
      <c r="Q93" s="3" t="n">
        <v>1633040.05</v>
      </c>
      <c r="R93" s="9">
        <f>(SUMIFS(Investors!$M:$M,Investors!$E:$E,Sales!$C93,Investors!$O:$O,FALSE)+SUMIFS(Investors!$S:$S,Investors!$E:$E,Sales!$C93,Investors!$O:$O,FALSE))*$F93</f>
        <v/>
      </c>
      <c r="S93" s="9">
        <f>IF(T93=FALSE,Q93-R93,+V93)</f>
        <v/>
      </c>
      <c r="T93" s="3" t="b">
        <v>0</v>
      </c>
      <c r="U93" s="4" t="n">
        <v>45747</v>
      </c>
      <c r="V93" s="9" t="n">
        <v>337232.5157534245</v>
      </c>
    </row>
    <row r="94">
      <c r="A94" s="3" t="inlineStr">
        <is>
          <t>Heron View</t>
        </is>
      </c>
      <c r="B94" s="3" t="inlineStr">
        <is>
          <t>E</t>
        </is>
      </c>
      <c r="C94" s="3" t="inlineStr">
        <is>
          <t>HVE204</t>
        </is>
      </c>
      <c r="D94" s="3" t="b">
        <v>0</v>
      </c>
      <c r="E94" s="3" t="b">
        <v>0</v>
      </c>
      <c r="F94" s="3">
        <f>SUMIFS('Cashflow Projection'!$C$7:$C$23,'Cashflow Projection'!$B$7:$B$23,Sales!$B94,'Cashflow Projection'!$A$7:$A$23,Sales!$A94)</f>
        <v/>
      </c>
      <c r="G94" s="4" t="n">
        <v>45685</v>
      </c>
      <c r="H94" s="4" t="n">
        <v>45685</v>
      </c>
      <c r="I94" s="3" t="n">
        <v>1499900</v>
      </c>
      <c r="J94" s="3" t="n">
        <v>195639.1304347826</v>
      </c>
      <c r="K94" s="3" t="n">
        <v>1304260.869565218</v>
      </c>
      <c r="L94" s="3" t="n">
        <v>18502.08</v>
      </c>
      <c r="M94" s="3" t="n">
        <v>1789</v>
      </c>
      <c r="N94" s="3" t="n">
        <v>7499.5</v>
      </c>
      <c r="O94" s="3" t="n">
        <v>74995</v>
      </c>
      <c r="P94" s="3" t="n">
        <v>19224.37</v>
      </c>
      <c r="Q94" s="3" t="n">
        <v>1377890.05</v>
      </c>
      <c r="R94" s="9">
        <f>(SUMIFS(Investors!$M:$M,Investors!$E:$E,Sales!$C94,Investors!$O:$O,FALSE)+SUMIFS(Investors!$S:$S,Investors!$E:$E,Sales!$C94,Investors!$O:$O,FALSE))*$F94</f>
        <v/>
      </c>
      <c r="S94" s="9">
        <f>IF(T94=FALSE,Q94-R94,+V94)</f>
        <v/>
      </c>
      <c r="T94" s="3" t="b">
        <v>0</v>
      </c>
      <c r="U94" s="4" t="n">
        <v>45747</v>
      </c>
      <c r="V94" s="9" t="n">
        <v>-74109.95000000019</v>
      </c>
    </row>
    <row r="95">
      <c r="A95" s="3" t="inlineStr">
        <is>
          <t>Heron View</t>
        </is>
      </c>
      <c r="B95" s="3" t="inlineStr">
        <is>
          <t>E</t>
        </is>
      </c>
      <c r="C95" s="3" t="inlineStr">
        <is>
          <t>HVE201</t>
        </is>
      </c>
      <c r="D95" s="3" t="b">
        <v>0</v>
      </c>
      <c r="E95" s="3" t="b">
        <v>0</v>
      </c>
      <c r="F95" s="3">
        <f>SUMIFS('Cashflow Projection'!$C$7:$C$23,'Cashflow Projection'!$B$7:$B$23,Sales!$B95,'Cashflow Projection'!$A$7:$A$23,Sales!$A95)</f>
        <v/>
      </c>
      <c r="G95" s="4" t="n">
        <v>45685</v>
      </c>
      <c r="H95" s="4" t="n">
        <v>45685</v>
      </c>
      <c r="I95" s="3" t="n">
        <v>1529900</v>
      </c>
      <c r="J95" s="3" t="n">
        <v>199552.1739130435</v>
      </c>
      <c r="K95" s="3" t="n">
        <v>1330347.826086957</v>
      </c>
      <c r="L95" s="3" t="n">
        <v>18502.08</v>
      </c>
      <c r="M95" s="3" t="n">
        <v>1789</v>
      </c>
      <c r="N95" s="3" t="n">
        <v>7649.5</v>
      </c>
      <c r="O95" s="3" t="n">
        <v>76495</v>
      </c>
      <c r="P95" s="3" t="n">
        <v>19224.37</v>
      </c>
      <c r="Q95" s="3" t="n">
        <v>1406240.05</v>
      </c>
      <c r="R95" s="9">
        <f>(SUMIFS(Investors!$M:$M,Investors!$E:$E,Sales!$C95,Investors!$O:$O,FALSE)+SUMIFS(Investors!$S:$S,Investors!$E:$E,Sales!$C95,Investors!$O:$O,FALSE))*$F95</f>
        <v/>
      </c>
      <c r="S95" s="9">
        <f>IF(T95=FALSE,Q95-R95,+V95)</f>
        <v/>
      </c>
      <c r="T95" s="3" t="b">
        <v>0</v>
      </c>
      <c r="U95" s="4" t="n">
        <v>45747</v>
      </c>
      <c r="V95" s="9" t="n">
        <v>-40155.89124164404</v>
      </c>
    </row>
    <row r="96">
      <c r="A96" s="3" t="inlineStr">
        <is>
          <t>Heron View</t>
        </is>
      </c>
      <c r="B96" s="3" t="inlineStr">
        <is>
          <t>O</t>
        </is>
      </c>
      <c r="C96" s="3" t="inlineStr">
        <is>
          <t>HVO204</t>
        </is>
      </c>
      <c r="D96" s="3" t="b">
        <v>0</v>
      </c>
      <c r="E96" s="3" t="b">
        <v>0</v>
      </c>
      <c r="F96" s="3">
        <f>SUMIFS('Cashflow Projection'!$C$7:$C$23,'Cashflow Projection'!$B$7:$B$23,Sales!$B96,'Cashflow Projection'!$A$7:$A$23,Sales!$A96)</f>
        <v/>
      </c>
      <c r="G96" s="4" t="n">
        <v>45518</v>
      </c>
      <c r="H96" s="4" t="n">
        <v>45518</v>
      </c>
      <c r="I96" s="3" t="n">
        <v>1679900</v>
      </c>
      <c r="J96" s="3" t="n">
        <v>219117.3913043478</v>
      </c>
      <c r="K96" s="3" t="n">
        <v>1460782.608695652</v>
      </c>
      <c r="L96" s="3" t="n">
        <v>18502.08</v>
      </c>
      <c r="M96" s="3" t="n">
        <v>1789</v>
      </c>
      <c r="N96" s="3" t="n">
        <v>8399.5</v>
      </c>
      <c r="O96" s="3" t="n">
        <v>83995</v>
      </c>
      <c r="P96" s="3" t="n">
        <v>19224.37</v>
      </c>
      <c r="Q96" s="3" t="n">
        <v>1547990.05</v>
      </c>
      <c r="R96" s="9">
        <f>(SUMIFS(Investors!$M:$M,Investors!$E:$E,Sales!$C96,Investors!$O:$O,FALSE)+SUMIFS(Investors!$S:$S,Investors!$E:$E,Sales!$C96,Investors!$O:$O,FALSE))*$F96</f>
        <v/>
      </c>
      <c r="S96" s="9">
        <f>IF(T96=FALSE,Q96-R96,+V96)</f>
        <v/>
      </c>
      <c r="T96" s="3" t="b">
        <v>0</v>
      </c>
      <c r="U96" s="4" t="n">
        <v>45565</v>
      </c>
      <c r="V96" s="9" t="n">
        <v>196291.8213084929</v>
      </c>
    </row>
    <row r="97">
      <c r="A97" s="3" t="inlineStr">
        <is>
          <t>Heron View</t>
        </is>
      </c>
      <c r="B97" s="3" t="inlineStr">
        <is>
          <t>K</t>
        </is>
      </c>
      <c r="C97" s="3" t="inlineStr">
        <is>
          <t>HVK105</t>
        </is>
      </c>
      <c r="D97" s="3" t="b">
        <v>0</v>
      </c>
      <c r="E97" s="3" t="b">
        <v>0</v>
      </c>
      <c r="F97" s="3">
        <f>SUMIFS('Cashflow Projection'!$C$7:$C$23,'Cashflow Projection'!$B$7:$B$23,Sales!$B97,'Cashflow Projection'!$A$7:$A$23,Sales!$A97)</f>
        <v/>
      </c>
      <c r="G97" s="4" t="n">
        <v>45510</v>
      </c>
      <c r="H97" s="4" t="n">
        <v>45510</v>
      </c>
      <c r="I97" s="3" t="n">
        <v>1739900</v>
      </c>
      <c r="J97" s="3" t="n">
        <v>226943.4782608696</v>
      </c>
      <c r="K97" s="3" t="n">
        <v>1512956.521739131</v>
      </c>
      <c r="L97" s="3" t="n">
        <v>18502.08</v>
      </c>
      <c r="M97" s="3" t="n">
        <v>1789</v>
      </c>
      <c r="N97" s="3" t="n">
        <v>8699.5</v>
      </c>
      <c r="O97" s="3" t="n">
        <v>86995</v>
      </c>
      <c r="P97" s="3" t="n">
        <v>19224.37</v>
      </c>
      <c r="Q97" s="3" t="n">
        <v>1604690.05</v>
      </c>
      <c r="R97" s="9">
        <f>(SUMIFS(Investors!$M:$M,Investors!$E:$E,Sales!$C97,Investors!$O:$O,FALSE)+SUMIFS(Investors!$S:$S,Investors!$E:$E,Sales!$C97,Investors!$O:$O,FALSE))*$F97</f>
        <v/>
      </c>
      <c r="S97" s="9">
        <f>IF(T97=FALSE,Q97-R97,+V97)</f>
        <v/>
      </c>
      <c r="T97" s="3" t="b">
        <v>0</v>
      </c>
      <c r="U97" s="4" t="n">
        <v>45565</v>
      </c>
      <c r="V97" s="9" t="n">
        <v>162011.6938356163</v>
      </c>
    </row>
    <row r="98">
      <c r="A98" s="3" t="inlineStr">
        <is>
          <t>Heron View</t>
        </is>
      </c>
      <c r="B98" s="3" t="inlineStr">
        <is>
          <t>K</t>
        </is>
      </c>
      <c r="C98" s="3" t="inlineStr">
        <is>
          <t>HVK402</t>
        </is>
      </c>
      <c r="D98" s="3" t="b">
        <v>0</v>
      </c>
      <c r="E98" s="3" t="b">
        <v>0</v>
      </c>
      <c r="F98" s="3">
        <f>SUMIFS('Cashflow Projection'!$C$7:$C$23,'Cashflow Projection'!$B$7:$B$23,Sales!$B98,'Cashflow Projection'!$A$7:$A$23,Sales!$A98)</f>
        <v/>
      </c>
      <c r="G98" s="4" t="n">
        <v>45510</v>
      </c>
      <c r="H98" s="4" t="n">
        <v>45510</v>
      </c>
      <c r="I98" s="3" t="n">
        <v>1499900</v>
      </c>
      <c r="J98" s="3" t="n">
        <v>195639.1304347826</v>
      </c>
      <c r="K98" s="3" t="n">
        <v>1304260.869565218</v>
      </c>
      <c r="L98" s="3" t="n">
        <v>18502.08</v>
      </c>
      <c r="M98" s="3" t="n">
        <v>1789</v>
      </c>
      <c r="N98" s="3" t="n">
        <v>7499.5</v>
      </c>
      <c r="O98" s="3" t="n">
        <v>74995</v>
      </c>
      <c r="P98" s="3" t="n">
        <v>19224.37</v>
      </c>
      <c r="Q98" s="3" t="n">
        <v>1377890.05</v>
      </c>
      <c r="R98" s="9">
        <f>(SUMIFS(Investors!$M:$M,Investors!$E:$E,Sales!$C98,Investors!$O:$O,FALSE)+SUMIFS(Investors!$S:$S,Investors!$E:$E,Sales!$C98,Investors!$O:$O,FALSE))*$F98</f>
        <v/>
      </c>
      <c r="S98" s="9">
        <f>IF(T98=FALSE,Q98-R98,+V98)</f>
        <v/>
      </c>
      <c r="T98" s="3" t="b">
        <v>0</v>
      </c>
      <c r="U98" s="4" t="n">
        <v>45565</v>
      </c>
      <c r="V98" s="9" t="n">
        <v>-36370.52015835652</v>
      </c>
    </row>
    <row r="99">
      <c r="A99" s="3" t="inlineStr">
        <is>
          <t>Heron View</t>
        </is>
      </c>
      <c r="B99" s="3" t="inlineStr">
        <is>
          <t>K</t>
        </is>
      </c>
      <c r="C99" s="3" t="inlineStr">
        <is>
          <t>HVK405</t>
        </is>
      </c>
      <c r="D99" s="3" t="b">
        <v>0</v>
      </c>
      <c r="E99" s="3" t="b">
        <v>0</v>
      </c>
      <c r="F99" s="3">
        <f>SUMIFS('Cashflow Projection'!$C$7:$C$23,'Cashflow Projection'!$B$7:$B$23,Sales!$B99,'Cashflow Projection'!$A$7:$A$23,Sales!$A99)</f>
        <v/>
      </c>
      <c r="G99" s="4" t="n">
        <v>45510</v>
      </c>
      <c r="H99" s="4" t="n">
        <v>45510</v>
      </c>
      <c r="I99" s="3" t="n">
        <v>1499900</v>
      </c>
      <c r="J99" s="3" t="n">
        <v>195639.1304347826</v>
      </c>
      <c r="K99" s="3" t="n">
        <v>1304260.869565218</v>
      </c>
      <c r="L99" s="3" t="n">
        <v>18502.08</v>
      </c>
      <c r="M99" s="3" t="n">
        <v>1789</v>
      </c>
      <c r="N99" s="3" t="n">
        <v>7499.5</v>
      </c>
      <c r="O99" s="3" t="n">
        <v>74995</v>
      </c>
      <c r="P99" s="3" t="n">
        <v>19224.37</v>
      </c>
      <c r="Q99" s="3" t="n">
        <v>1377890.05</v>
      </c>
      <c r="R99" s="9">
        <f>(SUMIFS(Investors!$M:$M,Investors!$E:$E,Sales!$C99,Investors!$O:$O,FALSE)+SUMIFS(Investors!$S:$S,Investors!$E:$E,Sales!$C99,Investors!$O:$O,FALSE))*$F99</f>
        <v/>
      </c>
      <c r="S99" s="9">
        <f>IF(T99=FALSE,Q99-R99,+V99)</f>
        <v/>
      </c>
      <c r="T99" s="3" t="b">
        <v>0</v>
      </c>
      <c r="U99" s="4" t="n">
        <v>45565</v>
      </c>
      <c r="V99" s="9" t="n">
        <v>-8950.089331506984</v>
      </c>
    </row>
    <row r="100">
      <c r="A100" s="3" t="inlineStr">
        <is>
          <t>Heron View</t>
        </is>
      </c>
      <c r="B100" s="3" t="inlineStr">
        <is>
          <t>O</t>
        </is>
      </c>
      <c r="C100" s="3" t="inlineStr">
        <is>
          <t>HVO303</t>
        </is>
      </c>
      <c r="D100" s="3" t="b">
        <v>0</v>
      </c>
      <c r="E100" s="3" t="b">
        <v>0</v>
      </c>
      <c r="F100" s="3">
        <f>SUMIFS('Cashflow Projection'!$C$7:$C$23,'Cashflow Projection'!$B$7:$B$23,Sales!$B100,'Cashflow Projection'!$A$7:$A$23,Sales!$A100)</f>
        <v/>
      </c>
      <c r="G100" s="4" t="n">
        <v>45518</v>
      </c>
      <c r="H100" s="4" t="n">
        <v>45518</v>
      </c>
      <c r="I100" s="3" t="n">
        <v>1689900</v>
      </c>
      <c r="J100" s="3" t="n">
        <v>220421.7391304348</v>
      </c>
      <c r="K100" s="3" t="n">
        <v>1469478.260869565</v>
      </c>
      <c r="L100" s="3" t="n">
        <v>18502.08</v>
      </c>
      <c r="M100" s="3" t="n">
        <v>1789</v>
      </c>
      <c r="N100" s="3" t="n">
        <v>8449.5</v>
      </c>
      <c r="O100" s="3" t="n">
        <v>84495</v>
      </c>
      <c r="P100" s="3" t="n">
        <v>19224.37</v>
      </c>
      <c r="Q100" s="3" t="n">
        <v>1557440.05</v>
      </c>
      <c r="R100" s="9">
        <f>(SUMIFS(Investors!$M:$M,Investors!$E:$E,Sales!$C100,Investors!$O:$O,FALSE)+SUMIFS(Investors!$S:$S,Investors!$E:$E,Sales!$C100,Investors!$O:$O,FALSE))*$F100</f>
        <v/>
      </c>
      <c r="S100" s="9">
        <f>IF(T100=FALSE,Q100-R100,+V100)</f>
        <v/>
      </c>
      <c r="T100" s="3" t="b">
        <v>0</v>
      </c>
      <c r="U100" s="4" t="n">
        <v>45565</v>
      </c>
      <c r="V100" s="9" t="n">
        <v>194087.9952054792</v>
      </c>
    </row>
    <row r="101">
      <c r="A101" s="3" t="inlineStr">
        <is>
          <t>Heron View</t>
        </is>
      </c>
      <c r="B101" s="3" t="inlineStr">
        <is>
          <t>E</t>
        </is>
      </c>
      <c r="C101" s="3" t="inlineStr">
        <is>
          <t>HVE302</t>
        </is>
      </c>
      <c r="D101" s="3" t="b">
        <v>0</v>
      </c>
      <c r="E101" s="3" t="b">
        <v>0</v>
      </c>
      <c r="F101" s="3">
        <f>SUMIFS('Cashflow Projection'!$C$7:$C$23,'Cashflow Projection'!$B$7:$B$23,Sales!$B101,'Cashflow Projection'!$A$7:$A$23,Sales!$A101)</f>
        <v/>
      </c>
      <c r="G101" s="4" t="n">
        <v>45685</v>
      </c>
      <c r="H101" s="4" t="n">
        <v>45685</v>
      </c>
      <c r="I101" s="3" t="n">
        <v>1499900</v>
      </c>
      <c r="J101" s="3" t="n">
        <v>195639.1304347826</v>
      </c>
      <c r="K101" s="3" t="n">
        <v>1304260.869565218</v>
      </c>
      <c r="L101" s="3" t="n">
        <v>18502.08</v>
      </c>
      <c r="M101" s="3" t="n">
        <v>1789</v>
      </c>
      <c r="N101" s="3" t="n">
        <v>7499.5</v>
      </c>
      <c r="O101" s="3" t="n">
        <v>74995</v>
      </c>
      <c r="P101" s="3" t="n">
        <v>19224.37</v>
      </c>
      <c r="Q101" s="3" t="n">
        <v>1377890.05</v>
      </c>
      <c r="R101" s="9">
        <f>(SUMIFS(Investors!$M:$M,Investors!$E:$E,Sales!$C101,Investors!$O:$O,FALSE)+SUMIFS(Investors!$S:$S,Investors!$E:$E,Sales!$C101,Investors!$O:$O,FALSE))*$F101</f>
        <v/>
      </c>
      <c r="S101" s="9">
        <f>IF(T101=FALSE,Q101-R101,+V101)</f>
        <v/>
      </c>
      <c r="T101" s="3" t="b">
        <v>0</v>
      </c>
      <c r="U101" s="4" t="n">
        <v>45747</v>
      </c>
      <c r="V101" s="9" t="n">
        <v>-83085.29246575362</v>
      </c>
    </row>
    <row r="102">
      <c r="A102" s="3" t="inlineStr">
        <is>
          <t>Heron View</t>
        </is>
      </c>
      <c r="B102" s="3" t="inlineStr">
        <is>
          <t>F</t>
        </is>
      </c>
      <c r="C102" s="3" t="inlineStr">
        <is>
          <t>HVF103</t>
        </is>
      </c>
      <c r="D102" s="3" t="b">
        <v>0</v>
      </c>
      <c r="E102" s="3" t="b">
        <v>0</v>
      </c>
      <c r="F102" s="3">
        <f>SUMIFS('Cashflow Projection'!$C$7:$C$23,'Cashflow Projection'!$B$7:$B$23,Sales!$B102,'Cashflow Projection'!$A$7:$A$23,Sales!$A102)</f>
        <v/>
      </c>
      <c r="G102" s="4" t="n">
        <v>45517</v>
      </c>
      <c r="H102" s="4" t="n">
        <v>45722</v>
      </c>
      <c r="I102" s="3" t="n">
        <v>1619900</v>
      </c>
      <c r="J102" s="3" t="n">
        <v>211291.3043478261</v>
      </c>
      <c r="K102" s="3" t="n">
        <v>1408608.695652174</v>
      </c>
      <c r="L102" s="3" t="n">
        <v>18502.08</v>
      </c>
      <c r="M102" s="3" t="n">
        <v>1789</v>
      </c>
      <c r="N102" s="3" t="n">
        <v>8099.5</v>
      </c>
      <c r="O102" s="3" t="n">
        <v>80995</v>
      </c>
      <c r="P102" s="3" t="n">
        <v>19224.37</v>
      </c>
      <c r="Q102" s="3" t="n">
        <v>1491290.05</v>
      </c>
      <c r="R102" s="9">
        <f>(SUMIFS(Investors!$M:$M,Investors!$E:$E,Sales!$C102,Investors!$O:$O,FALSE)+SUMIFS(Investors!$S:$S,Investors!$E:$E,Sales!$C102,Investors!$O:$O,FALSE))*$F102</f>
        <v/>
      </c>
      <c r="S102" s="9">
        <f>IF(T102=FALSE,Q102-R102,+V102)</f>
        <v/>
      </c>
      <c r="T102" s="3" t="b">
        <v>0</v>
      </c>
      <c r="U102" s="4" t="n">
        <v>45808</v>
      </c>
      <c r="V102" s="9" t="n">
        <v>413041.4087967121</v>
      </c>
    </row>
    <row r="103">
      <c r="A103" s="3" t="inlineStr">
        <is>
          <t>Heron View</t>
        </is>
      </c>
      <c r="B103" s="3" t="inlineStr">
        <is>
          <t>K</t>
        </is>
      </c>
      <c r="C103" s="3" t="inlineStr">
        <is>
          <t>HVK303</t>
        </is>
      </c>
      <c r="D103" s="3" t="b">
        <v>0</v>
      </c>
      <c r="E103" s="3" t="b">
        <v>0</v>
      </c>
      <c r="F103" s="3">
        <f>SUMIFS('Cashflow Projection'!$C$7:$C$23,'Cashflow Projection'!$B$7:$B$23,Sales!$B103,'Cashflow Projection'!$A$7:$A$23,Sales!$A103)</f>
        <v/>
      </c>
      <c r="G103" s="4" t="n">
        <v>45510</v>
      </c>
      <c r="H103" s="4" t="n">
        <v>45510</v>
      </c>
      <c r="I103" s="3" t="n">
        <v>1729900</v>
      </c>
      <c r="J103" s="3" t="n">
        <v>225639.1304347826</v>
      </c>
      <c r="K103" s="3" t="n">
        <v>1504260.869565218</v>
      </c>
      <c r="L103" s="3" t="n">
        <v>18502.08</v>
      </c>
      <c r="M103" s="3" t="n">
        <v>1789</v>
      </c>
      <c r="N103" s="3" t="n">
        <v>8649.5</v>
      </c>
      <c r="O103" s="3" t="n">
        <v>86495</v>
      </c>
      <c r="P103" s="3" t="n">
        <v>19224.37</v>
      </c>
      <c r="Q103" s="3" t="n">
        <v>1595240.05</v>
      </c>
      <c r="R103" s="9">
        <f>(SUMIFS(Investors!$M:$M,Investors!$E:$E,Sales!$C103,Investors!$O:$O,FALSE)+SUMIFS(Investors!$S:$S,Investors!$E:$E,Sales!$C103,Investors!$O:$O,FALSE))*$F103</f>
        <v/>
      </c>
      <c r="S103" s="9">
        <f>IF(T103=FALSE,Q103-R103,+V103)</f>
        <v/>
      </c>
      <c r="T103" s="3" t="b">
        <v>0</v>
      </c>
      <c r="U103" s="4" t="n">
        <v>45565</v>
      </c>
      <c r="V103" s="9" t="n">
        <v>186082.2551719176</v>
      </c>
    </row>
    <row r="104">
      <c r="A104" s="3" t="inlineStr">
        <is>
          <t>Heron View</t>
        </is>
      </c>
      <c r="B104" s="3" t="inlineStr">
        <is>
          <t>C</t>
        </is>
      </c>
      <c r="C104" s="3" t="inlineStr">
        <is>
          <t>HVC202</t>
        </is>
      </c>
      <c r="D104" s="3" t="b">
        <v>0</v>
      </c>
      <c r="E104" s="3" t="b">
        <v>0</v>
      </c>
      <c r="F104" s="3">
        <f>SUMIFS('Cashflow Projection'!$C$7:$C$23,'Cashflow Projection'!$B$7:$B$23,Sales!$B104,'Cashflow Projection'!$A$7:$A$23,Sales!$A104)</f>
        <v/>
      </c>
      <c r="G104" s="4" t="n">
        <v>45485</v>
      </c>
      <c r="H104" s="4" t="n">
        <v>45485</v>
      </c>
      <c r="I104" s="3" t="n">
        <v>1499900</v>
      </c>
      <c r="J104" s="3" t="n">
        <v>195639.1304347826</v>
      </c>
      <c r="K104" s="3" t="n">
        <v>1304260.869565218</v>
      </c>
      <c r="L104" s="3" t="n">
        <v>18502.08</v>
      </c>
      <c r="M104" s="3" t="n">
        <v>1789</v>
      </c>
      <c r="N104" s="3" t="n">
        <v>7499.5</v>
      </c>
      <c r="O104" s="3" t="n">
        <v>74995</v>
      </c>
      <c r="P104" s="3" t="n">
        <v>19224.37</v>
      </c>
      <c r="Q104" s="3" t="n">
        <v>1377890.05</v>
      </c>
      <c r="R104" s="9">
        <f>(SUMIFS(Investors!$M:$M,Investors!$E:$E,Sales!$C104,Investors!$O:$O,FALSE)+SUMIFS(Investors!$S:$S,Investors!$E:$E,Sales!$C104,Investors!$O:$O,FALSE))*$F104</f>
        <v/>
      </c>
      <c r="S104" s="9">
        <f>IF(T104=FALSE,Q104-R104,+V104)</f>
        <v/>
      </c>
      <c r="T104" s="3" t="b">
        <v>0</v>
      </c>
      <c r="U104" s="4" t="n">
        <v>45565</v>
      </c>
      <c r="V104" s="9" t="n">
        <v>-1138.032191781094</v>
      </c>
    </row>
    <row r="105">
      <c r="A105" s="3" t="inlineStr">
        <is>
          <t>Heron View</t>
        </is>
      </c>
      <c r="B105" s="3" t="inlineStr">
        <is>
          <t>L</t>
        </is>
      </c>
      <c r="C105" s="3" t="inlineStr">
        <is>
          <t>HVL102</t>
        </is>
      </c>
      <c r="D105" s="3" t="b">
        <v>0</v>
      </c>
      <c r="E105" s="3" t="b">
        <v>0</v>
      </c>
      <c r="F105" s="3">
        <f>SUMIFS('Cashflow Projection'!$C$7:$C$23,'Cashflow Projection'!$B$7:$B$23,Sales!$B105,'Cashflow Projection'!$A$7:$A$23,Sales!$A105)</f>
        <v/>
      </c>
      <c r="G105" s="4" t="n">
        <v>45499</v>
      </c>
      <c r="H105" s="4" t="n">
        <v>45516</v>
      </c>
      <c r="I105" s="3" t="n">
        <v>1499900</v>
      </c>
      <c r="J105" s="3" t="n">
        <v>195639.1304347826</v>
      </c>
      <c r="K105" s="3" t="n">
        <v>1304260.869565218</v>
      </c>
      <c r="L105" s="3" t="n">
        <v>18502.08</v>
      </c>
      <c r="M105" s="3" t="n">
        <v>1789</v>
      </c>
      <c r="N105" s="3" t="n">
        <v>7499.5</v>
      </c>
      <c r="O105" s="3" t="n">
        <v>74995</v>
      </c>
      <c r="P105" s="3" t="n">
        <v>19224.37</v>
      </c>
      <c r="Q105" s="3" t="n">
        <v>1377890.05</v>
      </c>
      <c r="R105" s="9">
        <f>(SUMIFS(Investors!$M:$M,Investors!$E:$E,Sales!$C105,Investors!$O:$O,FALSE)+SUMIFS(Investors!$S:$S,Investors!$E:$E,Sales!$C105,Investors!$O:$O,FALSE))*$F105</f>
        <v/>
      </c>
      <c r="S105" s="9">
        <f>IF(T105=FALSE,Q105-R105,+V105)</f>
        <v/>
      </c>
      <c r="T105" s="3" t="b">
        <v>0</v>
      </c>
      <c r="U105" s="4" t="n">
        <v>45565</v>
      </c>
      <c r="V105" s="9" t="n">
        <v>155102.378767123</v>
      </c>
    </row>
    <row r="106">
      <c r="A106" s="3" t="inlineStr">
        <is>
          <t>Heron View</t>
        </is>
      </c>
      <c r="B106" s="3" t="inlineStr">
        <is>
          <t>O</t>
        </is>
      </c>
      <c r="C106" s="3" t="inlineStr">
        <is>
          <t>HVO101</t>
        </is>
      </c>
      <c r="D106" s="3" t="b">
        <v>1</v>
      </c>
      <c r="E106" s="3" t="b">
        <v>0</v>
      </c>
      <c r="F106" s="3">
        <f>SUMIFS('Cashflow Projection'!$C$7:$C$23,'Cashflow Projection'!$B$7:$B$23,Sales!$B106,'Cashflow Projection'!$A$7:$A$23,Sales!$A106)</f>
        <v/>
      </c>
      <c r="G106" s="4" t="n">
        <v>45518</v>
      </c>
      <c r="H106" s="4" t="n">
        <v>45518</v>
      </c>
      <c r="I106" s="3" t="n">
        <v>1679900</v>
      </c>
      <c r="J106" s="3" t="n">
        <v>219117.3913043478</v>
      </c>
      <c r="K106" s="3" t="n">
        <v>1460782.608695652</v>
      </c>
      <c r="L106" s="3" t="n">
        <v>18502.08</v>
      </c>
      <c r="M106" s="3" t="n">
        <v>1789</v>
      </c>
      <c r="N106" s="3" t="n">
        <v>8399.5</v>
      </c>
      <c r="O106" s="3" t="n">
        <v>83995</v>
      </c>
      <c r="P106" s="3" t="n">
        <v>19224.37</v>
      </c>
      <c r="Q106" s="3" t="n">
        <v>1547990.05</v>
      </c>
      <c r="R106" s="9">
        <f>(SUMIFS(Investors!$M:$M,Investors!$E:$E,Sales!$C106,Investors!$O:$O,FALSE)+SUMIFS(Investors!$S:$S,Investors!$E:$E,Sales!$C106,Investors!$O:$O,FALSE))*$F106</f>
        <v/>
      </c>
      <c r="S106" s="9">
        <f>IF(T106=FALSE,Q106-R106,+V106)</f>
        <v/>
      </c>
      <c r="T106" s="3" t="b">
        <v>0</v>
      </c>
      <c r="U106" s="4" t="n">
        <v>45565</v>
      </c>
      <c r="V106" s="9" t="n">
        <v>177320.0485332874</v>
      </c>
    </row>
    <row r="107">
      <c r="A107" s="3" t="inlineStr">
        <is>
          <t>Heron View</t>
        </is>
      </c>
      <c r="B107" s="3" t="inlineStr">
        <is>
          <t>P</t>
        </is>
      </c>
      <c r="C107" s="3" t="inlineStr">
        <is>
          <t>HVP202</t>
        </is>
      </c>
      <c r="D107" s="3" t="b">
        <v>1</v>
      </c>
      <c r="E107" s="3" t="b">
        <v>1</v>
      </c>
      <c r="F107" s="3">
        <f>SUMIFS('Cashflow Projection'!$C$7:$C$23,'Cashflow Projection'!$B$7:$B$23,Sales!$B107,'Cashflow Projection'!$A$7:$A$23,Sales!$A107)</f>
        <v/>
      </c>
      <c r="G107" s="4" t="n">
        <v>45191</v>
      </c>
      <c r="H107" s="4" t="n">
        <v>45688</v>
      </c>
      <c r="I107" s="3" t="n">
        <v>1769900</v>
      </c>
      <c r="J107" s="3" t="n">
        <v>230856.5217391304</v>
      </c>
      <c r="K107" s="3" t="n">
        <v>1539043.47826087</v>
      </c>
      <c r="L107" s="3" t="n">
        <v>18502.08</v>
      </c>
      <c r="M107" s="3" t="n">
        <v>1789</v>
      </c>
      <c r="N107" s="3" t="n">
        <v>8849.5</v>
      </c>
      <c r="O107" s="3" t="n">
        <v>88495</v>
      </c>
      <c r="P107" s="3" t="n">
        <v>19224.37</v>
      </c>
      <c r="Q107" s="3" t="n">
        <v>1633040.05</v>
      </c>
      <c r="R107" s="9">
        <f>(SUMIFS(Investors!$M:$M,Investors!$E:$E,Sales!$C107,Investors!$O:$O,FALSE)+SUMIFS(Investors!$S:$S,Investors!$E:$E,Sales!$C107,Investors!$O:$O,FALSE))*$F107</f>
        <v/>
      </c>
      <c r="S107" s="9">
        <f>IF(T107=FALSE,Q107-R107,+V107)</f>
        <v/>
      </c>
      <c r="T107" s="3" t="b">
        <v>0</v>
      </c>
      <c r="U107" s="4" t="n">
        <v>45747</v>
      </c>
      <c r="V107" s="9" t="n">
        <v>438716.0773972599</v>
      </c>
    </row>
    <row r="108">
      <c r="A108" s="3" t="inlineStr">
        <is>
          <t>Heron View</t>
        </is>
      </c>
      <c r="B108" s="3" t="inlineStr">
        <is>
          <t>G</t>
        </is>
      </c>
      <c r="C108" s="3" t="inlineStr">
        <is>
          <t>HVG302</t>
        </is>
      </c>
      <c r="D108" s="3" t="b">
        <v>0</v>
      </c>
      <c r="E108" s="3" t="b">
        <v>0</v>
      </c>
      <c r="F108" s="3">
        <f>SUMIFS('Cashflow Projection'!$C$7:$C$23,'Cashflow Projection'!$B$7:$B$23,Sales!$B108,'Cashflow Projection'!$A$7:$A$23,Sales!$A108)</f>
        <v/>
      </c>
      <c r="G108" s="4" t="n">
        <v>45523</v>
      </c>
      <c r="H108" s="4" t="n">
        <v>45523</v>
      </c>
      <c r="I108" s="3" t="n">
        <v>1499900</v>
      </c>
      <c r="J108" s="3" t="n">
        <v>195639.1304347826</v>
      </c>
      <c r="K108" s="3" t="n">
        <v>1304260.869565218</v>
      </c>
      <c r="L108" s="3" t="n">
        <v>18502.08</v>
      </c>
      <c r="M108" s="3" t="n">
        <v>1789</v>
      </c>
      <c r="N108" s="3" t="n">
        <v>7499.5</v>
      </c>
      <c r="O108" s="3" t="n">
        <v>74995</v>
      </c>
      <c r="P108" s="3" t="n">
        <v>19224.37</v>
      </c>
      <c r="Q108" s="3" t="n">
        <v>1377890.05</v>
      </c>
      <c r="R108" s="9">
        <f>(SUMIFS(Investors!$M:$M,Investors!$E:$E,Sales!$C108,Investors!$O:$O,FALSE)+SUMIFS(Investors!$S:$S,Investors!$E:$E,Sales!$C108,Investors!$O:$O,FALSE))*$F108</f>
        <v/>
      </c>
      <c r="S108" s="9">
        <f>IF(T108=FALSE,Q108-R108,+V108)</f>
        <v/>
      </c>
      <c r="T108" s="3" t="b">
        <v>0</v>
      </c>
      <c r="U108" s="4" t="n">
        <v>45565</v>
      </c>
      <c r="V108" s="9" t="n">
        <v>94628.86760397255</v>
      </c>
    </row>
    <row r="109">
      <c r="A109" s="3" t="inlineStr">
        <is>
          <t>Heron View</t>
        </is>
      </c>
      <c r="B109" s="3" t="inlineStr">
        <is>
          <t>K</t>
        </is>
      </c>
      <c r="C109" s="3" t="inlineStr">
        <is>
          <t>HVK104</t>
        </is>
      </c>
      <c r="D109" s="3" t="b">
        <v>0</v>
      </c>
      <c r="E109" s="3" t="b">
        <v>0</v>
      </c>
      <c r="F109" s="3">
        <f>SUMIFS('Cashflow Projection'!$C$7:$C$23,'Cashflow Projection'!$B$7:$B$23,Sales!$B109,'Cashflow Projection'!$A$7:$A$23,Sales!$A109)</f>
        <v/>
      </c>
      <c r="G109" s="4" t="n">
        <v>45510</v>
      </c>
      <c r="H109" s="4" t="n">
        <v>45510</v>
      </c>
      <c r="I109" s="3" t="n">
        <v>1739900</v>
      </c>
      <c r="J109" s="3" t="n">
        <v>226943.4782608696</v>
      </c>
      <c r="K109" s="3" t="n">
        <v>1512956.521739131</v>
      </c>
      <c r="L109" s="3" t="n">
        <v>18502.08</v>
      </c>
      <c r="M109" s="3" t="n">
        <v>1789</v>
      </c>
      <c r="N109" s="3" t="n">
        <v>8699.5</v>
      </c>
      <c r="O109" s="3" t="n">
        <v>86995</v>
      </c>
      <c r="P109" s="3" t="n">
        <v>19224.37</v>
      </c>
      <c r="Q109" s="3" t="n">
        <v>1604690.05</v>
      </c>
      <c r="R109" s="9">
        <f>(SUMIFS(Investors!$M:$M,Investors!$E:$E,Sales!$C109,Investors!$O:$O,FALSE)+SUMIFS(Investors!$S:$S,Investors!$E:$E,Sales!$C109,Investors!$O:$O,FALSE))*$F109</f>
        <v/>
      </c>
      <c r="S109" s="9">
        <f>IF(T109=FALSE,Q109-R109,+V109)</f>
        <v/>
      </c>
      <c r="T109" s="3" t="b">
        <v>0</v>
      </c>
      <c r="U109" s="4" t="n">
        <v>45565</v>
      </c>
      <c r="V109" s="9" t="n">
        <v>223134.5705479449</v>
      </c>
    </row>
    <row r="110">
      <c r="A110" s="3" t="inlineStr">
        <is>
          <t>Endulini</t>
        </is>
      </c>
      <c r="B110" s="3" t="inlineStr">
        <is>
          <t>C</t>
        </is>
      </c>
      <c r="C110" s="3" t="inlineStr">
        <is>
          <t>EC202</t>
        </is>
      </c>
      <c r="D110" s="3" t="b">
        <v>1</v>
      </c>
      <c r="E110" s="3" t="b">
        <v>1</v>
      </c>
      <c r="F110" s="3">
        <f>SUMIFS('Cashflow Projection'!$C$7:$C$23,'Cashflow Projection'!$B$7:$B$23,Sales!$B110,'Cashflow Projection'!$A$7:$A$23,Sales!$A110)</f>
        <v/>
      </c>
      <c r="G110" s="4" t="n">
        <v>45232</v>
      </c>
      <c r="H110" s="4" t="n">
        <v>45688</v>
      </c>
      <c r="I110" s="3" t="n">
        <v>1479900</v>
      </c>
      <c r="J110" s="3" t="n">
        <v>193030.4347826087</v>
      </c>
      <c r="K110" s="3" t="n">
        <v>1286869.565217391</v>
      </c>
      <c r="L110" s="3" t="n">
        <v>18502.08</v>
      </c>
      <c r="M110" s="3" t="n">
        <v>1789</v>
      </c>
      <c r="N110" s="3" t="n">
        <v>7399.5</v>
      </c>
      <c r="O110" s="3" t="n">
        <v>73995</v>
      </c>
      <c r="P110" s="3" t="n">
        <v>19224.37</v>
      </c>
      <c r="Q110" s="3" t="n">
        <v>1358990.05</v>
      </c>
      <c r="R110" s="9">
        <f>(SUMIFS(Investors!$M:$M,Investors!$E:$E,Sales!$C110,Investors!$O:$O,FALSE)+SUMIFS(Investors!$S:$S,Investors!$E:$E,Sales!$C110,Investors!$O:$O,FALSE))*$F110</f>
        <v/>
      </c>
      <c r="S110" s="9">
        <f>IF(T110=FALSE,Q110-R110,+V110)</f>
        <v/>
      </c>
      <c r="T110" s="3" t="b">
        <v>0</v>
      </c>
      <c r="U110" s="4" t="n">
        <v>45747</v>
      </c>
      <c r="V110" s="9" t="n">
        <v>43323.269178082</v>
      </c>
    </row>
    <row r="111">
      <c r="A111" s="3" t="inlineStr">
        <is>
          <t>Endulini</t>
        </is>
      </c>
      <c r="B111" s="3" t="inlineStr">
        <is>
          <t>D</t>
        </is>
      </c>
      <c r="C111" s="3" t="inlineStr">
        <is>
          <t>ED202</t>
        </is>
      </c>
      <c r="D111" s="3" t="b">
        <v>1</v>
      </c>
      <c r="E111" s="3" t="b">
        <v>1</v>
      </c>
      <c r="F111" s="3">
        <f>SUMIFS('Cashflow Projection'!$C$7:$C$23,'Cashflow Projection'!$B$7:$B$23,Sales!$B111,'Cashflow Projection'!$A$7:$A$23,Sales!$A111)</f>
        <v/>
      </c>
      <c r="G111" s="4" t="n">
        <v>44701</v>
      </c>
      <c r="H111" s="4" t="n">
        <v>45688</v>
      </c>
      <c r="I111" s="3" t="n">
        <v>1249900</v>
      </c>
      <c r="J111" s="3" t="n">
        <v>163030.4347826087</v>
      </c>
      <c r="K111" s="3" t="n">
        <v>1086869.565217391</v>
      </c>
      <c r="L111" s="3" t="n">
        <v>18502.08</v>
      </c>
      <c r="M111" s="3" t="n">
        <v>1789</v>
      </c>
      <c r="N111" s="3" t="n">
        <v>6249.5</v>
      </c>
      <c r="O111" s="3" t="n">
        <v>62495</v>
      </c>
      <c r="P111" s="3" t="n">
        <v>19224.37</v>
      </c>
      <c r="Q111" s="3" t="n">
        <v>1141640.05</v>
      </c>
      <c r="R111" s="9">
        <f>(SUMIFS(Investors!$M:$M,Investors!$E:$E,Sales!$C111,Investors!$O:$O,FALSE)+SUMIFS(Investors!$S:$S,Investors!$E:$E,Sales!$C111,Investors!$O:$O,FALSE))*$F111</f>
        <v/>
      </c>
      <c r="S111" s="9">
        <f>IF(T111=FALSE,Q111-R111,+V111)</f>
        <v/>
      </c>
      <c r="T111" s="3" t="b">
        <v>0</v>
      </c>
      <c r="U111" s="4" t="n">
        <v>45747</v>
      </c>
      <c r="V111" s="9" t="n">
        <v>-139975.1432935616</v>
      </c>
    </row>
    <row r="112">
      <c r="A112" s="3" t="inlineStr">
        <is>
          <t>Endulini</t>
        </is>
      </c>
      <c r="B112" s="3" t="inlineStr">
        <is>
          <t>D</t>
        </is>
      </c>
      <c r="C112" s="3" t="inlineStr">
        <is>
          <t>ED201</t>
        </is>
      </c>
      <c r="D112" s="3" t="b">
        <v>1</v>
      </c>
      <c r="E112" s="3" t="b">
        <v>1</v>
      </c>
      <c r="F112" s="3">
        <f>SUMIFS('Cashflow Projection'!$C$7:$C$23,'Cashflow Projection'!$B$7:$B$23,Sales!$B112,'Cashflow Projection'!$A$7:$A$23,Sales!$A112)</f>
        <v/>
      </c>
      <c r="G112" s="4" t="n">
        <v>44657</v>
      </c>
      <c r="H112" s="4" t="n">
        <v>45688</v>
      </c>
      <c r="I112" s="3" t="n">
        <v>1309900</v>
      </c>
      <c r="J112" s="3" t="n">
        <v>170856.5217391304</v>
      </c>
      <c r="K112" s="3" t="n">
        <v>1139043.47826087</v>
      </c>
      <c r="L112" s="3" t="n">
        <v>18502.08</v>
      </c>
      <c r="M112" s="3" t="n">
        <v>1789</v>
      </c>
      <c r="N112" s="3" t="n">
        <v>6549.5</v>
      </c>
      <c r="O112" s="3" t="n">
        <v>65495</v>
      </c>
      <c r="P112" s="3" t="n">
        <v>19224.37</v>
      </c>
      <c r="Q112" s="3" t="n">
        <v>1198340.05</v>
      </c>
      <c r="R112" s="9">
        <f>(SUMIFS(Investors!$M:$M,Investors!$E:$E,Sales!$C112,Investors!$O:$O,FALSE)+SUMIFS(Investors!$S:$S,Investors!$E:$E,Sales!$C112,Investors!$O:$O,FALSE))*$F112</f>
        <v/>
      </c>
      <c r="S112" s="9">
        <f>IF(T112=FALSE,Q112-R112,+V112)</f>
        <v/>
      </c>
      <c r="T112" s="3" t="b">
        <v>0</v>
      </c>
      <c r="U112" s="4" t="n">
        <v>45747</v>
      </c>
      <c r="V112" s="9" t="n">
        <v>121559.0433560272</v>
      </c>
    </row>
    <row r="113">
      <c r="A113" s="3" t="inlineStr">
        <is>
          <t>Heron Fields</t>
        </is>
      </c>
      <c r="B113" s="3" t="inlineStr">
        <is>
          <t>B</t>
        </is>
      </c>
      <c r="C113" s="3" t="inlineStr">
        <is>
          <t>HFB106</t>
        </is>
      </c>
      <c r="D113" s="3" t="b">
        <v>1</v>
      </c>
      <c r="E113" s="3" t="b">
        <v>1</v>
      </c>
      <c r="F113" s="3">
        <f>SUMIFS('Cashflow Projection'!$C$7:$C$23,'Cashflow Projection'!$B$7:$B$23,Sales!$B113,'Cashflow Projection'!$A$7:$A$23,Sales!$A113)</f>
        <v/>
      </c>
      <c r="G113" s="4" t="n">
        <v>44956</v>
      </c>
      <c r="H113" s="4" t="n">
        <v>45688</v>
      </c>
      <c r="I113" s="3" t="n">
        <v>1529900</v>
      </c>
      <c r="J113" s="3" t="n">
        <v>199552.1739130435</v>
      </c>
      <c r="K113" s="3" t="n">
        <v>1330347.826086957</v>
      </c>
      <c r="L113" s="3" t="n">
        <v>18502.08</v>
      </c>
      <c r="M113" s="3" t="n">
        <v>1789</v>
      </c>
      <c r="N113" s="3" t="n">
        <v>7649.5</v>
      </c>
      <c r="O113" s="3" t="n">
        <v>76495</v>
      </c>
      <c r="P113" s="3" t="n">
        <v>19224.37</v>
      </c>
      <c r="Q113" s="3" t="n">
        <v>1406240.05</v>
      </c>
      <c r="R113" s="9">
        <f>(SUMIFS(Investors!$M:$M,Investors!$E:$E,Sales!$C113,Investors!$O:$O,FALSE)+SUMIFS(Investors!$S:$S,Investors!$E:$E,Sales!$C113,Investors!$O:$O,FALSE))*$F113</f>
        <v/>
      </c>
      <c r="S113" s="9">
        <f>IF(T113=FALSE,Q113-R113,+V113)</f>
        <v/>
      </c>
      <c r="T113" s="3" t="b">
        <v>0</v>
      </c>
      <c r="U113" s="4" t="n">
        <v>45747</v>
      </c>
      <c r="V113" s="9" t="n">
        <v>263192.1047945204</v>
      </c>
    </row>
    <row r="114">
      <c r="A114" s="3" t="inlineStr">
        <is>
          <t>Heron Fields</t>
        </is>
      </c>
      <c r="B114" s="3" t="inlineStr">
        <is>
          <t>B</t>
        </is>
      </c>
      <c r="C114" s="3" t="inlineStr">
        <is>
          <t>HFB213</t>
        </is>
      </c>
      <c r="D114" s="3" t="b">
        <v>0</v>
      </c>
      <c r="E114" s="3" t="b">
        <v>0</v>
      </c>
      <c r="F114" s="3">
        <f>SUMIFS('Cashflow Projection'!$C$7:$C$23,'Cashflow Projection'!$B$7:$B$23,Sales!$B114,'Cashflow Projection'!$A$7:$A$23,Sales!$A114)</f>
        <v/>
      </c>
      <c r="G114" s="4" t="n">
        <v>45471</v>
      </c>
      <c r="H114" s="4" t="n">
        <v>45471</v>
      </c>
      <c r="I114" s="3" t="n">
        <v>1449900</v>
      </c>
      <c r="J114" s="3" t="n">
        <v>0</v>
      </c>
      <c r="K114" s="3" t="n">
        <v>1260782.608695652</v>
      </c>
      <c r="L114" s="3" t="n">
        <v>18502.08</v>
      </c>
      <c r="M114" s="3" t="n">
        <v>1789</v>
      </c>
      <c r="N114" s="3" t="n">
        <v>7249.5</v>
      </c>
      <c r="O114" s="3" t="n">
        <v>72495</v>
      </c>
      <c r="P114" s="3" t="n">
        <v>19224.37</v>
      </c>
      <c r="Q114" s="3" t="n">
        <v>1330640.05</v>
      </c>
      <c r="R114" s="9">
        <f>(SUMIFS(Investors!$M:$M,Investors!$E:$E,Sales!$C114,Investors!$O:$O,FALSE)+SUMIFS(Investors!$S:$S,Investors!$E:$E,Sales!$C114,Investors!$O:$O,FALSE))*$F114</f>
        <v/>
      </c>
      <c r="S114" s="9">
        <f>IF(T114=FALSE,Q114-R114,+V114)</f>
        <v/>
      </c>
      <c r="T114" s="3" t="b">
        <v>1</v>
      </c>
      <c r="U114" s="4" t="n">
        <v>45504</v>
      </c>
      <c r="V114" s="9" t="n">
        <v>892400</v>
      </c>
    </row>
    <row r="115">
      <c r="A115" s="3" t="inlineStr">
        <is>
          <t>Heron Fields</t>
        </is>
      </c>
      <c r="B115" s="3" t="inlineStr">
        <is>
          <t>B</t>
        </is>
      </c>
      <c r="C115" s="3" t="inlineStr">
        <is>
          <t>HFB310</t>
        </is>
      </c>
      <c r="D115" s="3" t="b">
        <v>1</v>
      </c>
      <c r="E115" s="3" t="b">
        <v>1</v>
      </c>
      <c r="F115" s="3">
        <f>SUMIFS('Cashflow Projection'!$C$7:$C$23,'Cashflow Projection'!$B$7:$B$23,Sales!$B115,'Cashflow Projection'!$A$7:$A$23,Sales!$A115)</f>
        <v/>
      </c>
      <c r="G115" s="4" t="n">
        <v>45014</v>
      </c>
      <c r="H115" s="4" t="n">
        <v>45688</v>
      </c>
      <c r="I115" s="3" t="n">
        <v>1449900</v>
      </c>
      <c r="J115" s="3" t="n">
        <v>189117.3913043478</v>
      </c>
      <c r="K115" s="3" t="n">
        <v>1260782.608695652</v>
      </c>
      <c r="L115" s="3" t="n">
        <v>18502.08</v>
      </c>
      <c r="M115" s="3" t="n">
        <v>1789</v>
      </c>
      <c r="N115" s="3" t="n">
        <v>7249.5</v>
      </c>
      <c r="O115" s="3" t="n">
        <v>72495</v>
      </c>
      <c r="P115" s="3" t="n">
        <v>19224.37</v>
      </c>
      <c r="Q115" s="3" t="n">
        <v>1330640.05</v>
      </c>
      <c r="R115" s="9">
        <f>(SUMIFS(Investors!$M:$M,Investors!$E:$E,Sales!$C115,Investors!$O:$O,FALSE)+SUMIFS(Investors!$S:$S,Investors!$E:$E,Sales!$C115,Investors!$O:$O,FALSE))*$F115</f>
        <v/>
      </c>
      <c r="S115" s="9">
        <f>IF(T115=FALSE,Q115-R115,+V115)</f>
        <v/>
      </c>
      <c r="T115" s="3" t="b">
        <v>0</v>
      </c>
      <c r="U115" s="4" t="n">
        <v>45747</v>
      </c>
      <c r="V115" s="9" t="n">
        <v>91064.70753424638</v>
      </c>
    </row>
    <row r="116">
      <c r="A116" s="3" t="inlineStr">
        <is>
          <t>Heron View</t>
        </is>
      </c>
      <c r="B116" s="3" t="inlineStr">
        <is>
          <t>J</t>
        </is>
      </c>
      <c r="C116" s="3" t="inlineStr">
        <is>
          <t>HVJ203</t>
        </is>
      </c>
      <c r="D116" s="3" t="b">
        <v>0</v>
      </c>
      <c r="E116" s="3" t="b">
        <v>0</v>
      </c>
      <c r="F116" s="3">
        <f>SUMIFS('Cashflow Projection'!$C$7:$C$23,'Cashflow Projection'!$B$7:$B$23,Sales!$B116,'Cashflow Projection'!$A$7:$A$23,Sales!$A116)</f>
        <v/>
      </c>
      <c r="G116" s="4" t="n">
        <v>45552</v>
      </c>
      <c r="H116" s="4" t="n">
        <v>45552</v>
      </c>
      <c r="I116" s="3" t="n">
        <v>1599900</v>
      </c>
      <c r="J116" s="3" t="n">
        <v>208682.6086956522</v>
      </c>
      <c r="K116" s="3" t="n">
        <v>1391217.391304348</v>
      </c>
      <c r="L116" s="3" t="n">
        <v>18502.08</v>
      </c>
      <c r="M116" s="3" t="n">
        <v>1789</v>
      </c>
      <c r="N116" s="3" t="n">
        <v>7999.5</v>
      </c>
      <c r="O116" s="3" t="n">
        <v>79995</v>
      </c>
      <c r="P116" s="3" t="n">
        <v>19224.37</v>
      </c>
      <c r="Q116" s="3" t="n">
        <v>1472390.05</v>
      </c>
      <c r="R116" s="9">
        <f>(SUMIFS(Investors!$M:$M,Investors!$E:$E,Sales!$C116,Investors!$O:$O,FALSE)+SUMIFS(Investors!$S:$S,Investors!$E:$E,Sales!$C116,Investors!$O:$O,FALSE))*$F116</f>
        <v/>
      </c>
      <c r="S116" s="9">
        <f>IF(T116=FALSE,Q116-R116,+V116)</f>
        <v/>
      </c>
      <c r="T116" s="3" t="b">
        <v>0</v>
      </c>
      <c r="U116" s="4" t="n">
        <v>45626</v>
      </c>
      <c r="V116" s="9" t="n">
        <v>86458.5431506848</v>
      </c>
    </row>
    <row r="117">
      <c r="A117" s="3" t="inlineStr">
        <is>
          <t>Heron View</t>
        </is>
      </c>
      <c r="B117" s="3" t="inlineStr">
        <is>
          <t>G</t>
        </is>
      </c>
      <c r="C117" s="3" t="inlineStr">
        <is>
          <t>HVG201</t>
        </is>
      </c>
      <c r="D117" s="3" t="b">
        <v>0</v>
      </c>
      <c r="E117" s="3" t="b">
        <v>0</v>
      </c>
      <c r="F117" s="3">
        <f>SUMIFS('Cashflow Projection'!$C$7:$C$23,'Cashflow Projection'!$B$7:$B$23,Sales!$B117,'Cashflow Projection'!$A$7:$A$23,Sales!$A117)</f>
        <v/>
      </c>
      <c r="G117" s="4" t="n">
        <v>45523</v>
      </c>
      <c r="H117" s="4" t="n">
        <v>45523</v>
      </c>
      <c r="I117" s="3" t="n">
        <v>1449900</v>
      </c>
      <c r="J117" s="3" t="n">
        <v>189117.3913043478</v>
      </c>
      <c r="K117" s="3" t="n">
        <v>1260782.608695652</v>
      </c>
      <c r="L117" s="3" t="n">
        <v>18502.08</v>
      </c>
      <c r="M117" s="3" t="n">
        <v>1789</v>
      </c>
      <c r="N117" s="3" t="n">
        <v>7249.5</v>
      </c>
      <c r="O117" s="3" t="n">
        <v>72495</v>
      </c>
      <c r="P117" s="3" t="n">
        <v>19224.37</v>
      </c>
      <c r="Q117" s="3" t="n">
        <v>1330640.05</v>
      </c>
      <c r="R117" s="9">
        <f>(SUMIFS(Investors!$M:$M,Investors!$E:$E,Sales!$C117,Investors!$O:$O,FALSE)+SUMIFS(Investors!$S:$S,Investors!$E:$E,Sales!$C117,Investors!$O:$O,FALSE))*$F117</f>
        <v/>
      </c>
      <c r="S117" s="9">
        <f>IF(T117=FALSE,Q117-R117,+V117)</f>
        <v/>
      </c>
      <c r="T117" s="3" t="b">
        <v>0</v>
      </c>
      <c r="U117" s="4" t="n">
        <v>45565</v>
      </c>
      <c r="V117" s="9" t="n">
        <v>-35901.04589041113</v>
      </c>
    </row>
    <row r="118">
      <c r="A118" s="3" t="inlineStr">
        <is>
          <t>Heron View</t>
        </is>
      </c>
      <c r="B118" s="3" t="inlineStr">
        <is>
          <t>M</t>
        </is>
      </c>
      <c r="C118" s="3" t="inlineStr">
        <is>
          <t>HVM102</t>
        </is>
      </c>
      <c r="D118" s="3" t="b">
        <v>0</v>
      </c>
      <c r="E118" s="3" t="b">
        <v>0</v>
      </c>
      <c r="F118" s="3">
        <f>SUMIFS('Cashflow Projection'!$C$7:$C$23,'Cashflow Projection'!$B$7:$B$23,Sales!$B118,'Cashflow Projection'!$A$7:$A$23,Sales!$A118)</f>
        <v/>
      </c>
      <c r="G118" s="4" t="n">
        <v>45450</v>
      </c>
      <c r="H118" s="4" t="n">
        <v>45450</v>
      </c>
      <c r="I118" s="3" t="n">
        <v>1649900</v>
      </c>
      <c r="J118" s="3" t="n">
        <v>215204.3478260869</v>
      </c>
      <c r="K118" s="3" t="n">
        <v>1434695.652173913</v>
      </c>
      <c r="L118" s="3" t="n">
        <v>18502.08</v>
      </c>
      <c r="M118" s="3" t="n">
        <v>1789</v>
      </c>
      <c r="N118" s="3" t="n">
        <v>8249.5</v>
      </c>
      <c r="O118" s="3" t="n">
        <v>82495</v>
      </c>
      <c r="P118" s="3" t="n">
        <v>19224.37</v>
      </c>
      <c r="Q118" s="3" t="n">
        <v>1519640.05</v>
      </c>
      <c r="R118" s="9">
        <f>(SUMIFS(Investors!$M:$M,Investors!$E:$E,Sales!$C118,Investors!$O:$O,FALSE)+SUMIFS(Investors!$S:$S,Investors!$E:$E,Sales!$C118,Investors!$O:$O,FALSE))*$F118</f>
        <v/>
      </c>
      <c r="S118" s="9">
        <f>IF(T118=FALSE,Q118-R118,+V118)</f>
        <v/>
      </c>
      <c r="T118" s="3" t="b">
        <v>0</v>
      </c>
      <c r="U118" s="4" t="n">
        <v>45504</v>
      </c>
      <c r="V118" s="9" t="n">
        <v>208598.7680235617</v>
      </c>
    </row>
    <row r="119">
      <c r="A119" s="3" t="inlineStr">
        <is>
          <t>Heron View</t>
        </is>
      </c>
      <c r="B119" s="3" t="inlineStr">
        <is>
          <t>I</t>
        </is>
      </c>
      <c r="C119" s="3" t="inlineStr">
        <is>
          <t>HVI104</t>
        </is>
      </c>
      <c r="D119" s="3" t="b">
        <v>0</v>
      </c>
      <c r="E119" s="3" t="b">
        <v>0</v>
      </c>
      <c r="F119" s="3">
        <f>SUMIFS('Cashflow Projection'!$C$7:$C$23,'Cashflow Projection'!$B$7:$B$23,Sales!$B119,'Cashflow Projection'!$A$7:$A$23,Sales!$A119)</f>
        <v/>
      </c>
      <c r="G119" s="4" t="n">
        <v>45491</v>
      </c>
      <c r="H119" s="4" t="n">
        <v>45491</v>
      </c>
      <c r="I119" s="3" t="n">
        <v>1649900</v>
      </c>
      <c r="J119" s="3" t="n">
        <v>215204.3478260869</v>
      </c>
      <c r="K119" s="3" t="n">
        <v>1434695.652173913</v>
      </c>
      <c r="L119" s="3" t="n">
        <v>18502.08</v>
      </c>
      <c r="M119" s="3" t="n">
        <v>1789</v>
      </c>
      <c r="N119" s="3" t="n">
        <v>8249.5</v>
      </c>
      <c r="O119" s="3" t="n">
        <v>82495</v>
      </c>
      <c r="P119" s="3" t="n">
        <v>19224.37</v>
      </c>
      <c r="Q119" s="3" t="n">
        <v>1519640.05</v>
      </c>
      <c r="R119" s="9">
        <f>(SUMIFS(Investors!$M:$M,Investors!$E:$E,Sales!$C119,Investors!$O:$O,FALSE)+SUMIFS(Investors!$S:$S,Investors!$E:$E,Sales!$C119,Investors!$O:$O,FALSE))*$F119</f>
        <v/>
      </c>
      <c r="S119" s="9">
        <f>IF(T119=FALSE,Q119-R119,+V119)</f>
        <v/>
      </c>
      <c r="T119" s="3" t="b">
        <v>0</v>
      </c>
      <c r="U119" s="4" t="n">
        <v>45565</v>
      </c>
      <c r="V119" s="9" t="n">
        <v>239311.2828767123</v>
      </c>
    </row>
    <row r="120">
      <c r="A120" s="3" t="inlineStr">
        <is>
          <t>Heron View</t>
        </is>
      </c>
      <c r="B120" s="3" t="inlineStr">
        <is>
          <t>E</t>
        </is>
      </c>
      <c r="C120" s="3" t="inlineStr">
        <is>
          <t>HVE301</t>
        </is>
      </c>
      <c r="D120" s="3" t="b">
        <v>0</v>
      </c>
      <c r="E120" s="3" t="b">
        <v>0</v>
      </c>
      <c r="F120" s="3">
        <f>SUMIFS('Cashflow Projection'!$C$7:$C$23,'Cashflow Projection'!$B$7:$B$23,Sales!$B120,'Cashflow Projection'!$A$7:$A$23,Sales!$A120)</f>
        <v/>
      </c>
      <c r="G120" s="4" t="n">
        <v>45685</v>
      </c>
      <c r="H120" s="4" t="n">
        <v>45685</v>
      </c>
      <c r="I120" s="3" t="n">
        <v>1549900</v>
      </c>
      <c r="J120" s="3" t="n">
        <v>202160.8695652174</v>
      </c>
      <c r="K120" s="3" t="n">
        <v>1347739.130434783</v>
      </c>
      <c r="L120" s="3" t="n">
        <v>18502.08</v>
      </c>
      <c r="M120" s="3" t="n">
        <v>1789</v>
      </c>
      <c r="N120" s="3" t="n">
        <v>7749.5</v>
      </c>
      <c r="O120" s="3" t="n">
        <v>77495</v>
      </c>
      <c r="P120" s="3" t="n">
        <v>19224.37</v>
      </c>
      <c r="Q120" s="3" t="n">
        <v>1425140.05</v>
      </c>
      <c r="R120" s="9">
        <f>(SUMIFS(Investors!$M:$M,Investors!$E:$E,Sales!$C120,Investors!$O:$O,FALSE)+SUMIFS(Investors!$S:$S,Investors!$E:$E,Sales!$C120,Investors!$O:$O,FALSE))*$F120</f>
        <v/>
      </c>
      <c r="S120" s="9">
        <f>IF(T120=FALSE,Q120-R120,+V120)</f>
        <v/>
      </c>
      <c r="T120" s="3" t="b">
        <v>0</v>
      </c>
      <c r="U120" s="4" t="n">
        <v>45747</v>
      </c>
      <c r="V120" s="9" t="n">
        <v>-31692.82671232894</v>
      </c>
    </row>
    <row r="121">
      <c r="A121" s="3" t="inlineStr">
        <is>
          <t>Heron View</t>
        </is>
      </c>
      <c r="B121" s="3" t="inlineStr">
        <is>
          <t>E</t>
        </is>
      </c>
      <c r="C121" s="3" t="inlineStr">
        <is>
          <t>HVE101</t>
        </is>
      </c>
      <c r="D121" s="3" t="b">
        <v>0</v>
      </c>
      <c r="E121" s="3" t="b">
        <v>0</v>
      </c>
      <c r="F121" s="3">
        <f>SUMIFS('Cashflow Projection'!$C$7:$C$23,'Cashflow Projection'!$B$7:$B$23,Sales!$B121,'Cashflow Projection'!$A$7:$A$23,Sales!$A121)</f>
        <v/>
      </c>
      <c r="G121" s="4" t="n">
        <v>45685</v>
      </c>
      <c r="H121" s="4" t="n">
        <v>45685</v>
      </c>
      <c r="I121" s="3" t="n">
        <v>1619900</v>
      </c>
      <c r="J121" s="3" t="n">
        <v>211291.3043478261</v>
      </c>
      <c r="K121" s="3" t="n">
        <v>1408608.695652174</v>
      </c>
      <c r="L121" s="3" t="n">
        <v>18502.08</v>
      </c>
      <c r="M121" s="3" t="n">
        <v>1789</v>
      </c>
      <c r="N121" s="3" t="n">
        <v>8099.5</v>
      </c>
      <c r="O121" s="3" t="n">
        <v>80995</v>
      </c>
      <c r="P121" s="3" t="n">
        <v>19224.37</v>
      </c>
      <c r="Q121" s="3" t="n">
        <v>1491290.05</v>
      </c>
      <c r="R121" s="9">
        <f>(SUMIFS(Investors!$M:$M,Investors!$E:$E,Sales!$C121,Investors!$O:$O,FALSE)+SUMIFS(Investors!$S:$S,Investors!$E:$E,Sales!$C121,Investors!$O:$O,FALSE))*$F121</f>
        <v/>
      </c>
      <c r="S121" s="9">
        <f>IF(T121=FALSE,Q121-R121,+V121)</f>
        <v/>
      </c>
      <c r="T121" s="3" t="b">
        <v>0</v>
      </c>
      <c r="U121" s="4" t="n">
        <v>45747</v>
      </c>
      <c r="V121" s="9" t="n">
        <v>782203.5933945205</v>
      </c>
    </row>
    <row r="122">
      <c r="A122" s="3" t="inlineStr">
        <is>
          <t>Heron View</t>
        </is>
      </c>
      <c r="B122" s="3" t="inlineStr">
        <is>
          <t>E</t>
        </is>
      </c>
      <c r="C122" s="3" t="inlineStr">
        <is>
          <t>HVE202</t>
        </is>
      </c>
      <c r="D122" s="3" t="b">
        <v>0</v>
      </c>
      <c r="E122" s="3" t="b">
        <v>0</v>
      </c>
      <c r="F122" s="3">
        <f>SUMIFS('Cashflow Projection'!$C$7:$C$23,'Cashflow Projection'!$B$7:$B$23,Sales!$B122,'Cashflow Projection'!$A$7:$A$23,Sales!$A122)</f>
        <v/>
      </c>
      <c r="G122" s="4" t="n">
        <v>45685</v>
      </c>
      <c r="H122" s="4" t="n">
        <v>45685</v>
      </c>
      <c r="I122" s="3" t="n">
        <v>1529900</v>
      </c>
      <c r="J122" s="3" t="n">
        <v>199552.1739130435</v>
      </c>
      <c r="K122" s="3" t="n">
        <v>1330347.826086957</v>
      </c>
      <c r="L122" s="3" t="n">
        <v>18502.08</v>
      </c>
      <c r="M122" s="3" t="n">
        <v>1789</v>
      </c>
      <c r="N122" s="3" t="n">
        <v>7649.5</v>
      </c>
      <c r="O122" s="3" t="n">
        <v>76495</v>
      </c>
      <c r="P122" s="3" t="n">
        <v>19224.37</v>
      </c>
      <c r="Q122" s="3" t="n">
        <v>1406240.05</v>
      </c>
      <c r="R122" s="9">
        <f>(SUMIFS(Investors!$M:$M,Investors!$E:$E,Sales!$C122,Investors!$O:$O,FALSE)+SUMIFS(Investors!$S:$S,Investors!$E:$E,Sales!$C122,Investors!$O:$O,FALSE))*$F122</f>
        <v/>
      </c>
      <c r="S122" s="9">
        <f>IF(T122=FALSE,Q122-R122,+V122)</f>
        <v/>
      </c>
      <c r="T122" s="3" t="b">
        <v>0</v>
      </c>
      <c r="U122" s="4" t="n">
        <v>45747</v>
      </c>
      <c r="V122" s="9" t="n">
        <v>-45759.95000000019</v>
      </c>
    </row>
    <row r="123">
      <c r="A123" s="3" t="inlineStr">
        <is>
          <t>Heron View</t>
        </is>
      </c>
      <c r="B123" s="3" t="inlineStr">
        <is>
          <t>K</t>
        </is>
      </c>
      <c r="C123" s="3" t="inlineStr">
        <is>
          <t>HVK401</t>
        </is>
      </c>
      <c r="D123" s="3" t="b">
        <v>0</v>
      </c>
      <c r="E123" s="3" t="b">
        <v>0</v>
      </c>
      <c r="F123" s="3">
        <f>SUMIFS('Cashflow Projection'!$C$7:$C$23,'Cashflow Projection'!$B$7:$B$23,Sales!$B123,'Cashflow Projection'!$A$7:$A$23,Sales!$A123)</f>
        <v/>
      </c>
      <c r="G123" s="4" t="n">
        <v>45510</v>
      </c>
      <c r="H123" s="4" t="n">
        <v>45510</v>
      </c>
      <c r="I123" s="3" t="n">
        <v>1499900</v>
      </c>
      <c r="J123" s="3" t="n">
        <v>195639.1304347826</v>
      </c>
      <c r="K123" s="3" t="n">
        <v>1304260.869565218</v>
      </c>
      <c r="L123" s="3" t="n">
        <v>18502.08</v>
      </c>
      <c r="M123" s="3" t="n">
        <v>1789</v>
      </c>
      <c r="N123" s="3" t="n">
        <v>7499.5</v>
      </c>
      <c r="O123" s="3" t="n">
        <v>74995</v>
      </c>
      <c r="P123" s="3" t="n">
        <v>19224.37</v>
      </c>
      <c r="Q123" s="3" t="n">
        <v>1377890.05</v>
      </c>
      <c r="R123" s="9">
        <f>(SUMIFS(Investors!$M:$M,Investors!$E:$E,Sales!$C123,Investors!$O:$O,FALSE)+SUMIFS(Investors!$S:$S,Investors!$E:$E,Sales!$C123,Investors!$O:$O,FALSE))*$F123</f>
        <v/>
      </c>
      <c r="S123" s="9">
        <f>IF(T123=FALSE,Q123-R123,+V123)</f>
        <v/>
      </c>
      <c r="T123" s="3" t="b">
        <v>0</v>
      </c>
      <c r="U123" s="4" t="n">
        <v>45565</v>
      </c>
      <c r="V123" s="9" t="n">
        <v>-39469.91410109587</v>
      </c>
    </row>
    <row r="124">
      <c r="A124" s="3" t="inlineStr">
        <is>
          <t>Heron View</t>
        </is>
      </c>
      <c r="B124" s="3" t="inlineStr">
        <is>
          <t>O</t>
        </is>
      </c>
      <c r="C124" s="3" t="inlineStr">
        <is>
          <t>HVO205</t>
        </is>
      </c>
      <c r="D124" s="3" t="b">
        <v>0</v>
      </c>
      <c r="E124" s="3" t="b">
        <v>0</v>
      </c>
      <c r="F124" s="3">
        <f>SUMIFS('Cashflow Projection'!$C$7:$C$23,'Cashflow Projection'!$B$7:$B$23,Sales!$B124,'Cashflow Projection'!$A$7:$A$23,Sales!$A124)</f>
        <v/>
      </c>
      <c r="G124" s="4" t="n">
        <v>45518</v>
      </c>
      <c r="H124" s="4" t="n">
        <v>45518</v>
      </c>
      <c r="I124" s="3" t="n">
        <v>1749900</v>
      </c>
      <c r="J124" s="3" t="n">
        <v>228247.8260869565</v>
      </c>
      <c r="K124" s="3" t="n">
        <v>1521652.173913044</v>
      </c>
      <c r="L124" s="3" t="n">
        <v>18502.08</v>
      </c>
      <c r="M124" s="3" t="n">
        <v>1789</v>
      </c>
      <c r="N124" s="3" t="n">
        <v>8749.5</v>
      </c>
      <c r="O124" s="3" t="n">
        <v>87495</v>
      </c>
      <c r="P124" s="3" t="n">
        <v>19224.37</v>
      </c>
      <c r="Q124" s="3" t="n">
        <v>1614140.05</v>
      </c>
      <c r="R124" s="9">
        <f>(SUMIFS(Investors!$M:$M,Investors!$E:$E,Sales!$C124,Investors!$O:$O,FALSE)+SUMIFS(Investors!$S:$S,Investors!$E:$E,Sales!$C124,Investors!$O:$O,FALSE))*$F124</f>
        <v/>
      </c>
      <c r="S124" s="9">
        <f>IF(T124=FALSE,Q124-R124,+V124)</f>
        <v/>
      </c>
      <c r="T124" s="3" t="b">
        <v>0</v>
      </c>
      <c r="U124" s="4" t="n">
        <v>45565</v>
      </c>
      <c r="V124" s="9" t="n">
        <v>237959.2280821914</v>
      </c>
    </row>
    <row r="125">
      <c r="A125" s="3" t="inlineStr">
        <is>
          <t>Endulini</t>
        </is>
      </c>
      <c r="B125" s="3" t="inlineStr">
        <is>
          <t>A</t>
        </is>
      </c>
      <c r="C125" s="3" t="inlineStr">
        <is>
          <t>EA108</t>
        </is>
      </c>
      <c r="D125" s="3" t="b">
        <v>1</v>
      </c>
      <c r="E125" s="3" t="b">
        <v>1</v>
      </c>
      <c r="F125" s="3">
        <f>SUMIFS('Cashflow Projection'!$C$7:$C$23,'Cashflow Projection'!$B$7:$B$23,Sales!$B125,'Cashflow Projection'!$A$7:$A$23,Sales!$A125)</f>
        <v/>
      </c>
      <c r="G125" s="4" t="n">
        <v>44830</v>
      </c>
      <c r="H125" s="4" t="n">
        <v>45688</v>
      </c>
      <c r="I125" s="3" t="n">
        <v>1599900</v>
      </c>
      <c r="J125" s="3" t="n">
        <v>208682.6086956522</v>
      </c>
      <c r="K125" s="3" t="n">
        <v>1391217.391304348</v>
      </c>
      <c r="L125" s="3" t="n">
        <v>18502.08</v>
      </c>
      <c r="M125" s="3" t="n">
        <v>1789</v>
      </c>
      <c r="N125" s="3" t="n">
        <v>7999.5</v>
      </c>
      <c r="O125" s="3" t="n">
        <v>79995</v>
      </c>
      <c r="P125" s="3" t="n">
        <v>19224.37</v>
      </c>
      <c r="Q125" s="3" t="n">
        <v>1472390.05</v>
      </c>
      <c r="R125" s="9">
        <f>(SUMIFS(Investors!$M:$M,Investors!$E:$E,Sales!$C125,Investors!$O:$O,FALSE)+SUMIFS(Investors!$S:$S,Investors!$E:$E,Sales!$C125,Investors!$O:$O,FALSE))*$F125</f>
        <v/>
      </c>
      <c r="S125" s="9">
        <f>IF(T125=FALSE,Q125-R125,+V125)</f>
        <v/>
      </c>
      <c r="T125" s="3" t="b">
        <v>0</v>
      </c>
      <c r="U125" s="4" t="n">
        <v>45747</v>
      </c>
      <c r="V125" s="9" t="n">
        <v>277876.3513698629</v>
      </c>
    </row>
    <row r="126">
      <c r="A126" s="3" t="inlineStr">
        <is>
          <t>Endulini</t>
        </is>
      </c>
      <c r="B126" s="3" t="inlineStr">
        <is>
          <t>F</t>
        </is>
      </c>
      <c r="C126" s="3" t="inlineStr">
        <is>
          <t>EF201</t>
        </is>
      </c>
      <c r="D126" s="3" t="b">
        <v>1</v>
      </c>
      <c r="E126" s="3" t="b">
        <v>1</v>
      </c>
      <c r="F126" s="3">
        <f>SUMIFS('Cashflow Projection'!$C$7:$C$23,'Cashflow Projection'!$B$7:$B$23,Sales!$B126,'Cashflow Projection'!$A$7:$A$23,Sales!$A126)</f>
        <v/>
      </c>
      <c r="G126" s="4" t="n">
        <v>44690</v>
      </c>
      <c r="H126" s="4" t="n">
        <v>45688</v>
      </c>
      <c r="I126" s="3" t="n">
        <v>1499900</v>
      </c>
      <c r="J126" s="3" t="n">
        <v>195639.1304347826</v>
      </c>
      <c r="K126" s="3" t="n">
        <v>1304260.869565218</v>
      </c>
      <c r="L126" s="3" t="n">
        <v>18502.08</v>
      </c>
      <c r="M126" s="3" t="n">
        <v>1789</v>
      </c>
      <c r="N126" s="3" t="n">
        <v>7499.5</v>
      </c>
      <c r="O126" s="3" t="n">
        <v>74995</v>
      </c>
      <c r="P126" s="3" t="n">
        <v>19224.37</v>
      </c>
      <c r="Q126" s="3" t="n">
        <v>1377890.05</v>
      </c>
      <c r="R126" s="9">
        <f>(SUMIFS(Investors!$M:$M,Investors!$E:$E,Sales!$C126,Investors!$O:$O,FALSE)+SUMIFS(Investors!$S:$S,Investors!$E:$E,Sales!$C126,Investors!$O:$O,FALSE))*$F126</f>
        <v/>
      </c>
      <c r="S126" s="9">
        <f>IF(T126=FALSE,Q126-R126,+V126)</f>
        <v/>
      </c>
      <c r="T126" s="3" t="b">
        <v>0</v>
      </c>
      <c r="U126" s="4" t="n">
        <v>45747</v>
      </c>
      <c r="V126" s="9" t="n">
        <v>228154.262328767</v>
      </c>
    </row>
    <row r="127">
      <c r="A127" s="3" t="inlineStr">
        <is>
          <t>Heron Fields</t>
        </is>
      </c>
      <c r="B127" s="3" t="inlineStr">
        <is>
          <t>B</t>
        </is>
      </c>
      <c r="C127" s="3" t="inlineStr">
        <is>
          <t>HFB209</t>
        </is>
      </c>
      <c r="D127" s="3" t="b">
        <v>1</v>
      </c>
      <c r="E127" s="3" t="b">
        <v>0</v>
      </c>
      <c r="F127" s="3">
        <f>SUMIFS('Cashflow Projection'!$C$7:$C$23,'Cashflow Projection'!$B$7:$B$23,Sales!$B127,'Cashflow Projection'!$A$7:$A$23,Sales!$A127)</f>
        <v/>
      </c>
      <c r="G127" s="4" t="n">
        <v>45415</v>
      </c>
      <c r="H127" s="4" t="n">
        <v>45408</v>
      </c>
      <c r="I127" s="3" t="n">
        <v>1499900</v>
      </c>
      <c r="J127" s="3" t="n">
        <v>0</v>
      </c>
      <c r="K127" s="3" t="n">
        <v>1304260.869565218</v>
      </c>
      <c r="L127" s="3" t="n">
        <v>18502.08</v>
      </c>
      <c r="M127" s="3" t="n">
        <v>1789</v>
      </c>
      <c r="N127" s="3" t="n">
        <v>7499.5</v>
      </c>
      <c r="O127" s="3" t="n">
        <v>74995</v>
      </c>
      <c r="P127" s="3" t="n">
        <v>19224.37</v>
      </c>
      <c r="Q127" s="3" t="n">
        <v>1377890.05</v>
      </c>
      <c r="R127" s="9">
        <f>(SUMIFS(Investors!$M:$M,Investors!$E:$E,Sales!$C127,Investors!$O:$O,FALSE)+SUMIFS(Investors!$S:$S,Investors!$E:$E,Sales!$C127,Investors!$O:$O,FALSE))*$F127</f>
        <v/>
      </c>
      <c r="S127" s="9">
        <f>IF(T127=FALSE,Q127-R127,+V127)</f>
        <v/>
      </c>
      <c r="T127" s="3" t="b">
        <v>1</v>
      </c>
      <c r="U127" s="4" t="n">
        <v>45443</v>
      </c>
      <c r="V127" s="9" t="n">
        <v>873000</v>
      </c>
    </row>
    <row r="128">
      <c r="A128" s="3" t="inlineStr">
        <is>
          <t>Heron Fields</t>
        </is>
      </c>
      <c r="B128" s="3" t="inlineStr">
        <is>
          <t>B</t>
        </is>
      </c>
      <c r="C128" s="3" t="inlineStr">
        <is>
          <t>HFB208</t>
        </is>
      </c>
      <c r="D128" s="3" t="b">
        <v>1</v>
      </c>
      <c r="E128" s="3" t="b">
        <v>1</v>
      </c>
      <c r="F128" s="3">
        <f>SUMIFS('Cashflow Projection'!$C$7:$C$23,'Cashflow Projection'!$B$7:$B$23,Sales!$B128,'Cashflow Projection'!$A$7:$A$23,Sales!$A128)</f>
        <v/>
      </c>
      <c r="G128" s="4" t="n">
        <v>45002</v>
      </c>
      <c r="H128" s="4" t="n">
        <v>45688</v>
      </c>
      <c r="I128" s="3" t="n">
        <v>1419900</v>
      </c>
      <c r="J128" s="3" t="n">
        <v>185204.3478260869</v>
      </c>
      <c r="K128" s="3" t="n">
        <v>1234695.652173913</v>
      </c>
      <c r="L128" s="3" t="n">
        <v>18502.08</v>
      </c>
      <c r="M128" s="3" t="n">
        <v>1789</v>
      </c>
      <c r="N128" s="3" t="n">
        <v>7099.5</v>
      </c>
      <c r="O128" s="3" t="n">
        <v>70995</v>
      </c>
      <c r="P128" s="3" t="n">
        <v>19224.37</v>
      </c>
      <c r="Q128" s="3" t="n">
        <v>1302290.05</v>
      </c>
      <c r="R128" s="9">
        <f>(SUMIFS(Investors!$M:$M,Investors!$E:$E,Sales!$C128,Investors!$O:$O,FALSE)+SUMIFS(Investors!$S:$S,Investors!$E:$E,Sales!$C128,Investors!$O:$O,FALSE))*$F128</f>
        <v/>
      </c>
      <c r="S128" s="9">
        <f>IF(T128=FALSE,Q128-R128,+V128)</f>
        <v/>
      </c>
      <c r="T128" s="3" t="b">
        <v>0</v>
      </c>
      <c r="U128" s="4" t="n">
        <v>45747</v>
      </c>
      <c r="V128" s="9" t="n">
        <v>202806.4883561642</v>
      </c>
    </row>
    <row r="129">
      <c r="A129" s="3" t="inlineStr">
        <is>
          <t>Heron Fields</t>
        </is>
      </c>
      <c r="B129" s="3" t="inlineStr">
        <is>
          <t>B</t>
        </is>
      </c>
      <c r="C129" s="3" t="inlineStr">
        <is>
          <t>HFB314</t>
        </is>
      </c>
      <c r="D129" s="3" t="b">
        <v>1</v>
      </c>
      <c r="E129" s="3" t="b">
        <v>1</v>
      </c>
      <c r="F129" s="3">
        <f>SUMIFS('Cashflow Projection'!$C$7:$C$23,'Cashflow Projection'!$B$7:$B$23,Sales!$B129,'Cashflow Projection'!$A$7:$A$23,Sales!$A129)</f>
        <v/>
      </c>
      <c r="G129" s="4" t="n">
        <v>45027</v>
      </c>
      <c r="H129" s="4" t="n">
        <v>45688</v>
      </c>
      <c r="I129" s="3" t="n">
        <v>1429900</v>
      </c>
      <c r="J129" s="3" t="n">
        <v>186508.6956521739</v>
      </c>
      <c r="K129" s="3" t="n">
        <v>1243391.304347826</v>
      </c>
      <c r="L129" s="3" t="n">
        <v>18502.08</v>
      </c>
      <c r="M129" s="3" t="n">
        <v>1789</v>
      </c>
      <c r="N129" s="3" t="n">
        <v>7149.5</v>
      </c>
      <c r="O129" s="3" t="n">
        <v>71495</v>
      </c>
      <c r="P129" s="3" t="n">
        <v>19224.37</v>
      </c>
      <c r="Q129" s="3" t="n">
        <v>1311740.05</v>
      </c>
      <c r="R129" s="9">
        <f>(SUMIFS(Investors!$M:$M,Investors!$E:$E,Sales!$C129,Investors!$O:$O,FALSE)+SUMIFS(Investors!$S:$S,Investors!$E:$E,Sales!$C129,Investors!$O:$O,FALSE))*$F129</f>
        <v/>
      </c>
      <c r="S129" s="9">
        <f>IF(T129=FALSE,Q129-R129,+V129)</f>
        <v/>
      </c>
      <c r="T129" s="3" t="b">
        <v>0</v>
      </c>
      <c r="U129" s="4" t="n">
        <v>45747</v>
      </c>
      <c r="V129" s="9" t="n">
        <v>0</v>
      </c>
    </row>
    <row r="130">
      <c r="A130" s="3" t="inlineStr">
        <is>
          <t>Heron Fields</t>
        </is>
      </c>
      <c r="B130" s="3" t="inlineStr">
        <is>
          <t>B</t>
        </is>
      </c>
      <c r="C130" s="3" t="inlineStr">
        <is>
          <t>HFB210</t>
        </is>
      </c>
      <c r="D130" s="3" t="b">
        <v>0</v>
      </c>
      <c r="E130" s="3" t="b">
        <v>0</v>
      </c>
      <c r="F130" s="3">
        <f>SUMIFS('Cashflow Projection'!$C$7:$C$23,'Cashflow Projection'!$B$7:$B$23,Sales!$B130,'Cashflow Projection'!$A$7:$A$23,Sales!$A130)</f>
        <v/>
      </c>
      <c r="G130" s="4" t="n">
        <v>45439</v>
      </c>
      <c r="H130" s="4" t="n">
        <v>45439</v>
      </c>
      <c r="I130" s="3" t="n">
        <v>1499900</v>
      </c>
      <c r="J130" s="3" t="n">
        <v>0</v>
      </c>
      <c r="K130" s="3" t="n">
        <v>1304260.869565218</v>
      </c>
      <c r="L130" s="3" t="n">
        <v>18502.08</v>
      </c>
      <c r="M130" s="3" t="n">
        <v>1789</v>
      </c>
      <c r="N130" s="3" t="n">
        <v>7499.5</v>
      </c>
      <c r="O130" s="3" t="n">
        <v>74995</v>
      </c>
      <c r="P130" s="3" t="n">
        <v>19224.37</v>
      </c>
      <c r="Q130" s="3" t="n">
        <v>1377890.05</v>
      </c>
      <c r="R130" s="9">
        <f>(SUMIFS(Investors!$M:$M,Investors!$E:$E,Sales!$C130,Investors!$O:$O,FALSE)+SUMIFS(Investors!$S:$S,Investors!$E:$E,Sales!$C130,Investors!$O:$O,FALSE))*$F130</f>
        <v/>
      </c>
      <c r="S130" s="9">
        <f>IF(T130=FALSE,Q130-R130,+V130)</f>
        <v/>
      </c>
      <c r="T130" s="3" t="b">
        <v>1</v>
      </c>
      <c r="U130" s="4" t="n">
        <v>45504</v>
      </c>
      <c r="V130" s="9" t="n">
        <v>902100</v>
      </c>
    </row>
    <row r="131">
      <c r="A131" s="3" t="inlineStr">
        <is>
          <t>Heron Fields</t>
        </is>
      </c>
      <c r="B131" s="3" t="inlineStr">
        <is>
          <t>B</t>
        </is>
      </c>
      <c r="C131" s="3" t="inlineStr">
        <is>
          <t>HFB315</t>
        </is>
      </c>
      <c r="D131" s="3" t="b">
        <v>1</v>
      </c>
      <c r="E131" s="3" t="b">
        <v>1</v>
      </c>
      <c r="F131" s="3">
        <f>SUMIFS('Cashflow Projection'!$C$7:$C$23,'Cashflow Projection'!$B$7:$B$23,Sales!$B131,'Cashflow Projection'!$A$7:$A$23,Sales!$A131)</f>
        <v/>
      </c>
      <c r="G131" s="4" t="n">
        <v>45204</v>
      </c>
      <c r="H131" s="4" t="n">
        <v>45688</v>
      </c>
      <c r="I131" s="3" t="n">
        <v>1429900</v>
      </c>
      <c r="J131" s="3" t="n">
        <v>186508.6956521739</v>
      </c>
      <c r="K131" s="3" t="n">
        <v>1243391.304347826</v>
      </c>
      <c r="L131" s="3" t="n">
        <v>18502.08</v>
      </c>
      <c r="M131" s="3" t="n">
        <v>1789</v>
      </c>
      <c r="N131" s="3" t="n">
        <v>7149.5</v>
      </c>
      <c r="O131" s="3" t="n">
        <v>71495</v>
      </c>
      <c r="P131" s="3" t="n">
        <v>19224.37</v>
      </c>
      <c r="Q131" s="3" t="n">
        <v>1311740.05</v>
      </c>
      <c r="R131" s="9">
        <f>(SUMIFS(Investors!$M:$M,Investors!$E:$E,Sales!$C131,Investors!$O:$O,FALSE)+SUMIFS(Investors!$S:$S,Investors!$E:$E,Sales!$C131,Investors!$O:$O,FALSE))*$F131</f>
        <v/>
      </c>
      <c r="S131" s="9">
        <f>IF(T131=FALSE,Q131-R131,+V131)</f>
        <v/>
      </c>
      <c r="T131" s="3" t="b">
        <v>0</v>
      </c>
      <c r="U131" s="4" t="n">
        <v>45747</v>
      </c>
      <c r="V131" s="9" t="n">
        <v>0</v>
      </c>
    </row>
    <row r="132">
      <c r="A132" s="3" t="inlineStr">
        <is>
          <t>Heron Fields</t>
        </is>
      </c>
      <c r="B132" s="3" t="inlineStr">
        <is>
          <t>B</t>
        </is>
      </c>
      <c r="C132" s="3" t="inlineStr">
        <is>
          <t>HFB301</t>
        </is>
      </c>
      <c r="D132" s="3" t="b">
        <v>1</v>
      </c>
      <c r="E132" s="3" t="b">
        <v>1</v>
      </c>
      <c r="F132" s="3">
        <f>SUMIFS('Cashflow Projection'!$C$7:$C$23,'Cashflow Projection'!$B$7:$B$23,Sales!$B132,'Cashflow Projection'!$A$7:$A$23,Sales!$A132)</f>
        <v/>
      </c>
      <c r="G132" s="4" t="n">
        <v>44956</v>
      </c>
      <c r="H132" s="4" t="n">
        <v>45688</v>
      </c>
      <c r="I132" s="3" t="n">
        <v>1499900</v>
      </c>
      <c r="J132" s="3" t="n">
        <v>195639.1304347826</v>
      </c>
      <c r="K132" s="3" t="n">
        <v>1304260.869565218</v>
      </c>
      <c r="L132" s="3" t="n">
        <v>18502.08</v>
      </c>
      <c r="M132" s="3" t="n">
        <v>1789</v>
      </c>
      <c r="N132" s="3" t="n">
        <v>7499.5</v>
      </c>
      <c r="O132" s="3" t="n">
        <v>74995</v>
      </c>
      <c r="P132" s="3" t="n">
        <v>19224.37</v>
      </c>
      <c r="Q132" s="3" t="n">
        <v>1377890.05</v>
      </c>
      <c r="R132" s="9">
        <f>(SUMIFS(Investors!$M:$M,Investors!$E:$E,Sales!$C132,Investors!$O:$O,FALSE)+SUMIFS(Investors!$S:$S,Investors!$E:$E,Sales!$C132,Investors!$O:$O,FALSE))*$F132</f>
        <v/>
      </c>
      <c r="S132" s="9">
        <f>IF(T132=FALSE,Q132-R132,+V132)</f>
        <v/>
      </c>
      <c r="T132" s="3" t="b">
        <v>0</v>
      </c>
      <c r="U132" s="4" t="n">
        <v>45747</v>
      </c>
      <c r="V132" s="9" t="n">
        <v>211441.4198630136</v>
      </c>
    </row>
    <row r="133">
      <c r="A133" s="3" t="inlineStr">
        <is>
          <t>Heron View</t>
        </is>
      </c>
      <c r="B133" s="3" t="inlineStr">
        <is>
          <t>D</t>
        </is>
      </c>
      <c r="C133" s="3" t="inlineStr">
        <is>
          <t>HVD104</t>
        </is>
      </c>
      <c r="D133" s="3" t="b">
        <v>1</v>
      </c>
      <c r="E133" s="3" t="b">
        <v>1</v>
      </c>
      <c r="F133" s="3">
        <f>SUMIFS('Cashflow Projection'!$C$7:$C$23,'Cashflow Projection'!$B$7:$B$23,Sales!$B133,'Cashflow Projection'!$A$7:$A$23,Sales!$A133)</f>
        <v/>
      </c>
      <c r="G133" s="4" t="n">
        <v>45336</v>
      </c>
      <c r="H133" s="4" t="n">
        <v>45688</v>
      </c>
      <c r="I133" s="3" t="n">
        <v>1699900</v>
      </c>
      <c r="J133" s="3" t="n">
        <v>221726.0869565217</v>
      </c>
      <c r="K133" s="3" t="n">
        <v>1478173.913043478</v>
      </c>
      <c r="L133" s="3" t="n">
        <v>18502.08</v>
      </c>
      <c r="M133" s="3" t="n">
        <v>1789</v>
      </c>
      <c r="N133" s="3" t="n">
        <v>8499.5</v>
      </c>
      <c r="O133" s="3" t="n">
        <v>84995</v>
      </c>
      <c r="P133" s="3" t="n">
        <v>19224.37</v>
      </c>
      <c r="Q133" s="3" t="n">
        <v>1566890.05</v>
      </c>
      <c r="R133" s="9">
        <f>(SUMIFS(Investors!$M:$M,Investors!$E:$E,Sales!$C133,Investors!$O:$O,FALSE)+SUMIFS(Investors!$S:$S,Investors!$E:$E,Sales!$C133,Investors!$O:$O,FALSE))*$F133</f>
        <v/>
      </c>
      <c r="S133" s="9">
        <f>IF(T133=FALSE,Q133-R133,+V133)</f>
        <v/>
      </c>
      <c r="T133" s="3" t="b">
        <v>0</v>
      </c>
      <c r="U133" s="4" t="n">
        <v>45747</v>
      </c>
      <c r="V133" s="9" t="n">
        <v>290152.7237819175</v>
      </c>
    </row>
    <row r="134">
      <c r="A134" s="3" t="inlineStr">
        <is>
          <t>Heron View</t>
        </is>
      </c>
      <c r="B134" s="3" t="inlineStr">
        <is>
          <t>C</t>
        </is>
      </c>
      <c r="C134" s="3" t="inlineStr">
        <is>
          <t>HVC101</t>
        </is>
      </c>
      <c r="D134" s="3" t="b">
        <v>1</v>
      </c>
      <c r="E134" s="3" t="b">
        <v>1</v>
      </c>
      <c r="F134" s="3">
        <f>SUMIFS('Cashflow Projection'!$C$7:$C$23,'Cashflow Projection'!$B$7:$B$23,Sales!$B134,'Cashflow Projection'!$A$7:$A$23,Sales!$A134)</f>
        <v/>
      </c>
      <c r="G134" s="4" t="n">
        <v>45154</v>
      </c>
      <c r="H134" s="4" t="n">
        <v>45688</v>
      </c>
      <c r="I134" s="3" t="n">
        <v>1649900</v>
      </c>
      <c r="J134" s="3" t="n">
        <v>215204.3478260869</v>
      </c>
      <c r="K134" s="3" t="n">
        <v>1434695.652173913</v>
      </c>
      <c r="L134" s="3" t="n">
        <v>18502.08</v>
      </c>
      <c r="M134" s="3" t="n">
        <v>1789</v>
      </c>
      <c r="N134" s="3" t="n">
        <v>8249.5</v>
      </c>
      <c r="O134" s="3" t="n">
        <v>82495</v>
      </c>
      <c r="P134" s="3" t="n">
        <v>19224.37</v>
      </c>
      <c r="Q134" s="3" t="n">
        <v>1519640.05</v>
      </c>
      <c r="R134" s="9">
        <f>(SUMIFS(Investors!$M:$M,Investors!$E:$E,Sales!$C134,Investors!$O:$O,FALSE)+SUMIFS(Investors!$S:$S,Investors!$E:$E,Sales!$C134,Investors!$O:$O,FALSE))*$F134</f>
        <v/>
      </c>
      <c r="S134" s="9">
        <f>IF(T134=FALSE,Q134-R134,+V134)</f>
        <v/>
      </c>
      <c r="T134" s="3" t="b">
        <v>0</v>
      </c>
      <c r="U134" s="4" t="n">
        <v>45747</v>
      </c>
      <c r="V134" s="9" t="n">
        <v>248020.03729726</v>
      </c>
    </row>
    <row r="135">
      <c r="A135" s="3" t="inlineStr">
        <is>
          <t>Heron View</t>
        </is>
      </c>
      <c r="B135" s="3" t="inlineStr">
        <is>
          <t>C</t>
        </is>
      </c>
      <c r="C135" s="3" t="inlineStr">
        <is>
          <t>HVC306</t>
        </is>
      </c>
      <c r="D135" s="3" t="b">
        <v>1</v>
      </c>
      <c r="E135" s="3" t="b">
        <v>0</v>
      </c>
      <c r="F135" s="3">
        <f>SUMIFS('Cashflow Projection'!$C$7:$C$23,'Cashflow Projection'!$B$7:$B$23,Sales!$B135,'Cashflow Projection'!$A$7:$A$23,Sales!$A135)</f>
        <v/>
      </c>
      <c r="G135" s="4" t="n">
        <v>45429</v>
      </c>
      <c r="H135" s="4" t="n">
        <v>45401</v>
      </c>
      <c r="I135" s="3" t="n">
        <v>1519900</v>
      </c>
      <c r="J135" s="3" t="n">
        <v>198247.8260869565</v>
      </c>
      <c r="K135" s="3" t="n">
        <v>1321652.173913044</v>
      </c>
      <c r="L135" s="3" t="n">
        <v>18502.08</v>
      </c>
      <c r="M135" s="3" t="n">
        <v>1789</v>
      </c>
      <c r="N135" s="3" t="n">
        <v>7599.5</v>
      </c>
      <c r="O135" s="3" t="n">
        <v>75995</v>
      </c>
      <c r="P135" s="3" t="n">
        <v>19224.37</v>
      </c>
      <c r="Q135" s="3" t="n">
        <v>1396790.05</v>
      </c>
      <c r="R135" s="9">
        <f>(SUMIFS(Investors!$M:$M,Investors!$E:$E,Sales!$C135,Investors!$O:$O,FALSE)+SUMIFS(Investors!$S:$S,Investors!$E:$E,Sales!$C135,Investors!$O:$O,FALSE))*$F135</f>
        <v/>
      </c>
      <c r="S135" s="9">
        <f>IF(T135=FALSE,Q135-R135,+V135)</f>
        <v/>
      </c>
      <c r="T135" s="3" t="b">
        <v>0</v>
      </c>
      <c r="U135" s="4" t="n">
        <v>45443</v>
      </c>
      <c r="V135" s="9" t="n">
        <v>16425.66643835604</v>
      </c>
    </row>
    <row r="136">
      <c r="A136" s="3" t="inlineStr">
        <is>
          <t>Heron View</t>
        </is>
      </c>
      <c r="B136" s="3" t="inlineStr">
        <is>
          <t>H</t>
        </is>
      </c>
      <c r="C136" s="3" t="inlineStr">
        <is>
          <t>HVH203</t>
        </is>
      </c>
      <c r="D136" s="3" t="b">
        <v>1</v>
      </c>
      <c r="E136" s="3" t="b">
        <v>0</v>
      </c>
      <c r="F136" s="3">
        <f>SUMIFS('Cashflow Projection'!$C$7:$C$23,'Cashflow Projection'!$B$7:$B$23,Sales!$B136,'Cashflow Projection'!$A$7:$A$23,Sales!$A136)</f>
        <v/>
      </c>
      <c r="G136" s="4" t="n">
        <v>45490</v>
      </c>
      <c r="H136" s="4" t="n">
        <v>45490</v>
      </c>
      <c r="I136" s="3" t="n">
        <v>1690999</v>
      </c>
      <c r="J136" s="3" t="n">
        <v>220565.0869565217</v>
      </c>
      <c r="K136" s="3" t="n">
        <v>1470433.913043478</v>
      </c>
      <c r="L136" s="3" t="n">
        <v>18502.08</v>
      </c>
      <c r="M136" s="3" t="n">
        <v>1789</v>
      </c>
      <c r="N136" s="3" t="n">
        <v>8454.995000000001</v>
      </c>
      <c r="O136" s="3" t="n">
        <v>84549.95000000001</v>
      </c>
      <c r="P136" s="3" t="n">
        <v>19224.37</v>
      </c>
      <c r="Q136" s="3" t="n">
        <v>1558478.605</v>
      </c>
      <c r="R136" s="9">
        <f>(SUMIFS(Investors!$M:$M,Investors!$E:$E,Sales!$C136,Investors!$O:$O,FALSE)+SUMIFS(Investors!$S:$S,Investors!$E:$E,Sales!$C136,Investors!$O:$O,FALSE))*$F136</f>
        <v/>
      </c>
      <c r="S136" s="9">
        <f>IF(T136=FALSE,Q136-R136,+V136)</f>
        <v/>
      </c>
      <c r="T136" s="3" t="b">
        <v>0</v>
      </c>
      <c r="U136" s="4" t="n">
        <v>45565</v>
      </c>
      <c r="V136" s="9" t="n">
        <v>334464.9063698628</v>
      </c>
    </row>
    <row r="137">
      <c r="A137" s="3" t="inlineStr">
        <is>
          <t>Heron View</t>
        </is>
      </c>
      <c r="B137" s="3" t="inlineStr">
        <is>
          <t>M</t>
        </is>
      </c>
      <c r="C137" s="3" t="inlineStr">
        <is>
          <t>HVM101</t>
        </is>
      </c>
      <c r="D137" s="3" t="b">
        <v>0</v>
      </c>
      <c r="E137" s="3" t="b">
        <v>0</v>
      </c>
      <c r="F137" s="3">
        <f>SUMIFS('Cashflow Projection'!$C$7:$C$23,'Cashflow Projection'!$B$7:$B$23,Sales!$B137,'Cashflow Projection'!$A$7:$A$23,Sales!$A137)</f>
        <v/>
      </c>
      <c r="G137" s="4" t="n">
        <v>45450</v>
      </c>
      <c r="H137" s="4" t="n">
        <v>45450</v>
      </c>
      <c r="I137" s="3" t="n">
        <v>1679900</v>
      </c>
      <c r="J137" s="3" t="n">
        <v>219117.3913043478</v>
      </c>
      <c r="K137" s="3" t="n">
        <v>1460782.608695652</v>
      </c>
      <c r="L137" s="3" t="n">
        <v>18502.08</v>
      </c>
      <c r="M137" s="3" t="n">
        <v>1789</v>
      </c>
      <c r="N137" s="3" t="n">
        <v>8399.5</v>
      </c>
      <c r="O137" s="3" t="n">
        <v>83995</v>
      </c>
      <c r="P137" s="3" t="n">
        <v>19224.37</v>
      </c>
      <c r="Q137" s="3" t="n">
        <v>1547990.05</v>
      </c>
      <c r="R137" s="9">
        <f>(SUMIFS(Investors!$M:$M,Investors!$E:$E,Sales!$C137,Investors!$O:$O,FALSE)+SUMIFS(Investors!$S:$S,Investors!$E:$E,Sales!$C137,Investors!$O:$O,FALSE))*$F137</f>
        <v/>
      </c>
      <c r="S137" s="9">
        <f>IF(T137=FALSE,Q137-R137,+V137)</f>
        <v/>
      </c>
      <c r="T137" s="3" t="b">
        <v>0</v>
      </c>
      <c r="U137" s="4" t="n">
        <v>45504</v>
      </c>
      <c r="V137" s="9" t="n">
        <v>249566.1400757532</v>
      </c>
    </row>
    <row r="138">
      <c r="A138" s="3" t="inlineStr">
        <is>
          <t>Endulini</t>
        </is>
      </c>
      <c r="B138" s="3" t="inlineStr">
        <is>
          <t>D</t>
        </is>
      </c>
      <c r="C138" s="3" t="inlineStr">
        <is>
          <t>ED103</t>
        </is>
      </c>
      <c r="D138" s="3" t="b">
        <v>1</v>
      </c>
      <c r="E138" s="3" t="b">
        <v>1</v>
      </c>
      <c r="F138" s="3">
        <f>SUMIFS('Cashflow Projection'!$C$7:$C$23,'Cashflow Projection'!$B$7:$B$23,Sales!$B138,'Cashflow Projection'!$A$7:$A$23,Sales!$A138)</f>
        <v/>
      </c>
      <c r="G138" s="4" t="n">
        <v>44781</v>
      </c>
      <c r="H138" s="4" t="n">
        <v>45688</v>
      </c>
      <c r="I138" s="3" t="n">
        <v>1444999</v>
      </c>
      <c r="J138" s="3" t="n">
        <v>188478.1304347826</v>
      </c>
      <c r="K138" s="3" t="n">
        <v>1256520.869565218</v>
      </c>
      <c r="L138" s="3" t="n">
        <v>18502.08</v>
      </c>
      <c r="M138" s="3" t="n">
        <v>1789</v>
      </c>
      <c r="N138" s="3" t="n">
        <v>7224.995</v>
      </c>
      <c r="O138" s="3" t="n">
        <v>72249.95</v>
      </c>
      <c r="P138" s="3" t="n">
        <v>19224.37</v>
      </c>
      <c r="Q138" s="3" t="n">
        <v>1326008.605</v>
      </c>
      <c r="R138" s="9">
        <f>(SUMIFS(Investors!$M:$M,Investors!$E:$E,Sales!$C138,Investors!$O:$O,FALSE)+SUMIFS(Investors!$S:$S,Investors!$E:$E,Sales!$C138,Investors!$O:$O,FALSE))*$F138</f>
        <v/>
      </c>
      <c r="S138" s="9">
        <f>IF(T138=FALSE,Q138-R138,+V138)</f>
        <v/>
      </c>
      <c r="T138" s="3" t="b">
        <v>0</v>
      </c>
      <c r="U138" s="4" t="n">
        <v>45747</v>
      </c>
      <c r="V138" s="9" t="n">
        <v>24912.71458904096</v>
      </c>
    </row>
    <row r="139">
      <c r="A139" s="3" t="inlineStr">
        <is>
          <t>Endulini</t>
        </is>
      </c>
      <c r="B139" s="3" t="inlineStr">
        <is>
          <t>E</t>
        </is>
      </c>
      <c r="C139" s="3" t="inlineStr">
        <is>
          <t>EE302</t>
        </is>
      </c>
      <c r="D139" s="3" t="b">
        <v>1</v>
      </c>
      <c r="E139" s="3" t="b">
        <v>1</v>
      </c>
      <c r="F139" s="3">
        <f>SUMIFS('Cashflow Projection'!$C$7:$C$23,'Cashflow Projection'!$B$7:$B$23,Sales!$B139,'Cashflow Projection'!$A$7:$A$23,Sales!$A139)</f>
        <v/>
      </c>
      <c r="G139" s="4" t="n">
        <v>44700</v>
      </c>
      <c r="H139" s="4" t="n">
        <v>45688</v>
      </c>
      <c r="I139" s="3" t="n">
        <v>1444900</v>
      </c>
      <c r="J139" s="3" t="n">
        <v>188465.2173913044</v>
      </c>
      <c r="K139" s="3" t="n">
        <v>1256434.782608696</v>
      </c>
      <c r="L139" s="3" t="n">
        <v>18502.08</v>
      </c>
      <c r="M139" s="3" t="n">
        <v>1789</v>
      </c>
      <c r="N139" s="3" t="n">
        <v>7224.5</v>
      </c>
      <c r="O139" s="3" t="n">
        <v>72245</v>
      </c>
      <c r="P139" s="3" t="n">
        <v>19224.37</v>
      </c>
      <c r="Q139" s="3" t="n">
        <v>1325915.05</v>
      </c>
      <c r="R139" s="9">
        <f>(SUMIFS(Investors!$M:$M,Investors!$E:$E,Sales!$C139,Investors!$O:$O,FALSE)+SUMIFS(Investors!$S:$S,Investors!$E:$E,Sales!$C139,Investors!$O:$O,FALSE))*$F139</f>
        <v/>
      </c>
      <c r="S139" s="9">
        <f>IF(T139=FALSE,Q139-R139,+V139)</f>
        <v/>
      </c>
      <c r="T139" s="3" t="b">
        <v>0</v>
      </c>
      <c r="U139" s="4" t="n">
        <v>45747</v>
      </c>
      <c r="V139" s="9" t="n">
        <v>73946.19820499979</v>
      </c>
    </row>
    <row r="140">
      <c r="A140" s="3" t="inlineStr">
        <is>
          <t>Endulini</t>
        </is>
      </c>
      <c r="B140" s="3" t="inlineStr">
        <is>
          <t>E</t>
        </is>
      </c>
      <c r="C140" s="3" t="inlineStr">
        <is>
          <t>EE203</t>
        </is>
      </c>
      <c r="D140" s="3" t="b">
        <v>1</v>
      </c>
      <c r="E140" s="3" t="b">
        <v>1</v>
      </c>
      <c r="F140" s="3">
        <f>SUMIFS('Cashflow Projection'!$C$7:$C$23,'Cashflow Projection'!$B$7:$B$23,Sales!$B140,'Cashflow Projection'!$A$7:$A$23,Sales!$A140)</f>
        <v/>
      </c>
      <c r="G140" s="4" t="n">
        <v>44701</v>
      </c>
      <c r="H140" s="4" t="n">
        <v>45688</v>
      </c>
      <c r="I140" s="3" t="n">
        <v>1389900</v>
      </c>
      <c r="J140" s="3" t="n">
        <v>181291.3043478261</v>
      </c>
      <c r="K140" s="3" t="n">
        <v>1208608.695652174</v>
      </c>
      <c r="L140" s="3" t="n">
        <v>18502.08</v>
      </c>
      <c r="M140" s="3" t="n">
        <v>1789</v>
      </c>
      <c r="N140" s="3" t="n">
        <v>6949.5</v>
      </c>
      <c r="O140" s="3" t="n">
        <v>69495</v>
      </c>
      <c r="P140" s="3" t="n">
        <v>19224.37</v>
      </c>
      <c r="Q140" s="3" t="n">
        <v>1273940.05</v>
      </c>
      <c r="R140" s="9">
        <f>(SUMIFS(Investors!$M:$M,Investors!$E:$E,Sales!$C140,Investors!$O:$O,FALSE)+SUMIFS(Investors!$S:$S,Investors!$E:$E,Sales!$C140,Investors!$O:$O,FALSE))*$F140</f>
        <v/>
      </c>
      <c r="S140" s="9">
        <f>IF(T140=FALSE,Q140-R140,+V140)</f>
        <v/>
      </c>
      <c r="T140" s="3" t="b">
        <v>0</v>
      </c>
      <c r="U140" s="4" t="n">
        <v>45747</v>
      </c>
      <c r="V140" s="9" t="n">
        <v>45446.89931506827</v>
      </c>
    </row>
    <row r="141">
      <c r="A141" s="3" t="inlineStr">
        <is>
          <t>Heron Fields</t>
        </is>
      </c>
      <c r="B141" s="3" t="inlineStr">
        <is>
          <t>A</t>
        </is>
      </c>
      <c r="C141" s="3" t="inlineStr">
        <is>
          <t>HFA105</t>
        </is>
      </c>
      <c r="D141" s="3" t="b">
        <v>1</v>
      </c>
      <c r="E141" s="3" t="b">
        <v>1</v>
      </c>
      <c r="F141" s="3">
        <f>SUMIFS('Cashflow Projection'!$C$7:$C$23,'Cashflow Projection'!$B$7:$B$23,Sales!$B141,'Cashflow Projection'!$A$7:$A$23,Sales!$A141)</f>
        <v/>
      </c>
      <c r="G141" s="4" t="n">
        <v>44887</v>
      </c>
      <c r="H141" s="4" t="n">
        <v>45688</v>
      </c>
      <c r="I141" s="3" t="n">
        <v>1509900</v>
      </c>
      <c r="J141" s="3" t="n">
        <v>196943.4782608696</v>
      </c>
      <c r="K141" s="3" t="n">
        <v>1312956.521739131</v>
      </c>
      <c r="L141" s="3" t="n">
        <v>18502.08</v>
      </c>
      <c r="M141" s="3" t="n">
        <v>1789</v>
      </c>
      <c r="N141" s="3" t="n">
        <v>7549.5</v>
      </c>
      <c r="O141" s="3" t="n">
        <v>75495</v>
      </c>
      <c r="P141" s="3" t="n">
        <v>19224.37</v>
      </c>
      <c r="Q141" s="3" t="n">
        <v>1387340.05</v>
      </c>
      <c r="R141" s="9">
        <f>(SUMIFS(Investors!$M:$M,Investors!$E:$E,Sales!$C141,Investors!$O:$O,FALSE)+SUMIFS(Investors!$S:$S,Investors!$E:$E,Sales!$C141,Investors!$O:$O,FALSE))*$F141</f>
        <v/>
      </c>
      <c r="S141" s="9">
        <f>IF(T141=FALSE,Q141-R141,+V141)</f>
        <v/>
      </c>
      <c r="T141" s="3" t="b">
        <v>0</v>
      </c>
      <c r="U141" s="4" t="n">
        <v>45747</v>
      </c>
      <c r="V141" s="9" t="n">
        <v>447298.0458415067</v>
      </c>
    </row>
    <row r="142">
      <c r="A142" s="3" t="inlineStr">
        <is>
          <t>Heron Fields</t>
        </is>
      </c>
      <c r="B142" s="3" t="inlineStr">
        <is>
          <t>B</t>
        </is>
      </c>
      <c r="C142" s="3" t="inlineStr">
        <is>
          <t>HFB104</t>
        </is>
      </c>
      <c r="D142" s="3" t="b">
        <v>1</v>
      </c>
      <c r="E142" s="3" t="b">
        <v>1</v>
      </c>
      <c r="F142" s="3">
        <f>SUMIFS('Cashflow Projection'!$C$7:$C$23,'Cashflow Projection'!$B$7:$B$23,Sales!$B142,'Cashflow Projection'!$A$7:$A$23,Sales!$A142)</f>
        <v/>
      </c>
      <c r="G142" s="4" t="n">
        <v>44908</v>
      </c>
      <c r="H142" s="4" t="n">
        <v>45688</v>
      </c>
      <c r="I142" s="3" t="n">
        <v>1579900</v>
      </c>
      <c r="J142" s="3" t="n">
        <v>206073.9130434782</v>
      </c>
      <c r="K142" s="3" t="n">
        <v>1373826.086956522</v>
      </c>
      <c r="L142" s="3" t="n">
        <v>18502.08</v>
      </c>
      <c r="M142" s="3" t="n">
        <v>1789</v>
      </c>
      <c r="N142" s="3" t="n">
        <v>7899.5</v>
      </c>
      <c r="O142" s="3" t="n">
        <v>78995</v>
      </c>
      <c r="P142" s="3" t="n">
        <v>19224.37</v>
      </c>
      <c r="Q142" s="3" t="n">
        <v>1453490.05</v>
      </c>
      <c r="R142" s="9">
        <f>(SUMIFS(Investors!$M:$M,Investors!$E:$E,Sales!$C142,Investors!$O:$O,FALSE)+SUMIFS(Investors!$S:$S,Investors!$E:$E,Sales!$C142,Investors!$O:$O,FALSE))*$F142</f>
        <v/>
      </c>
      <c r="S142" s="9">
        <f>IF(T142=FALSE,Q142-R142,+V142)</f>
        <v/>
      </c>
      <c r="T142" s="3" t="b">
        <v>0</v>
      </c>
      <c r="U142" s="4" t="n">
        <v>45747</v>
      </c>
      <c r="V142" s="9" t="n">
        <v>313362.8434960959</v>
      </c>
    </row>
    <row r="143">
      <c r="A143" s="3" t="inlineStr">
        <is>
          <t>Heron Fields</t>
        </is>
      </c>
      <c r="B143" s="3" t="inlineStr">
        <is>
          <t>B</t>
        </is>
      </c>
      <c r="C143" s="3" t="inlineStr">
        <is>
          <t>HFB109</t>
        </is>
      </c>
      <c r="D143" s="3" t="b">
        <v>1</v>
      </c>
      <c r="E143" s="3" t="b">
        <v>1</v>
      </c>
      <c r="F143" s="3">
        <f>SUMIFS('Cashflow Projection'!$C$7:$C$23,'Cashflow Projection'!$B$7:$B$23,Sales!$B143,'Cashflow Projection'!$A$7:$A$23,Sales!$A143)</f>
        <v/>
      </c>
      <c r="G143" s="4" t="n">
        <v>44999</v>
      </c>
      <c r="H143" s="4" t="n">
        <v>45688</v>
      </c>
      <c r="I143" s="3" t="n">
        <v>1599900</v>
      </c>
      <c r="J143" s="3" t="n">
        <v>208682.6086956522</v>
      </c>
      <c r="K143" s="3" t="n">
        <v>1391217.391304348</v>
      </c>
      <c r="L143" s="3" t="n">
        <v>18502.08</v>
      </c>
      <c r="M143" s="3" t="n">
        <v>1789</v>
      </c>
      <c r="N143" s="3" t="n">
        <v>7999.5</v>
      </c>
      <c r="O143" s="3" t="n">
        <v>79995</v>
      </c>
      <c r="P143" s="3" t="n">
        <v>19224.37</v>
      </c>
      <c r="Q143" s="3" t="n">
        <v>1472390.05</v>
      </c>
      <c r="R143" s="9">
        <f>(SUMIFS(Investors!$M:$M,Investors!$E:$E,Sales!$C143,Investors!$O:$O,FALSE)+SUMIFS(Investors!$S:$S,Investors!$E:$E,Sales!$C143,Investors!$O:$O,FALSE))*$F143</f>
        <v/>
      </c>
      <c r="S143" s="9">
        <f>IF(T143=FALSE,Q143-R143,+V143)</f>
        <v/>
      </c>
      <c r="T143" s="3" t="b">
        <v>0</v>
      </c>
      <c r="U143" s="4" t="n">
        <v>45747</v>
      </c>
      <c r="V143" s="9" t="n">
        <v>263138.4061643835</v>
      </c>
    </row>
    <row r="144">
      <c r="A144" s="3" t="inlineStr">
        <is>
          <t>Heron Fields</t>
        </is>
      </c>
      <c r="B144" s="3" t="inlineStr">
        <is>
          <t>B</t>
        </is>
      </c>
      <c r="C144" s="3" t="inlineStr">
        <is>
          <t>HFB215</t>
        </is>
      </c>
      <c r="D144" s="3" t="b">
        <v>0</v>
      </c>
      <c r="E144" s="3" t="b">
        <v>0</v>
      </c>
      <c r="F144" s="3">
        <f>SUMIFS('Cashflow Projection'!$C$7:$C$23,'Cashflow Projection'!$B$7:$B$23,Sales!$B144,'Cashflow Projection'!$A$7:$A$23,Sales!$A144)</f>
        <v/>
      </c>
      <c r="G144" s="4" t="n">
        <v>45471</v>
      </c>
      <c r="H144" s="4" t="n">
        <v>45471</v>
      </c>
      <c r="I144" s="3" t="n">
        <v>1449900</v>
      </c>
      <c r="J144" s="3" t="n">
        <v>0</v>
      </c>
      <c r="K144" s="3" t="n">
        <v>1260782.608695652</v>
      </c>
      <c r="L144" s="3" t="n">
        <v>18502.08</v>
      </c>
      <c r="M144" s="3" t="n">
        <v>1789</v>
      </c>
      <c r="N144" s="3" t="n">
        <v>7249.5</v>
      </c>
      <c r="O144" s="3" t="n">
        <v>72495</v>
      </c>
      <c r="P144" s="3" t="n">
        <v>19224.37</v>
      </c>
      <c r="Q144" s="3" t="n">
        <v>1330640.05</v>
      </c>
      <c r="R144" s="9">
        <f>(SUMIFS(Investors!$M:$M,Investors!$E:$E,Sales!$C144,Investors!$O:$O,FALSE)+SUMIFS(Investors!$S:$S,Investors!$E:$E,Sales!$C144,Investors!$O:$O,FALSE))*$F144</f>
        <v/>
      </c>
      <c r="S144" s="9">
        <f>IF(T144=FALSE,Q144-R144,+V144)</f>
        <v/>
      </c>
      <c r="T144" s="3" t="b">
        <v>1</v>
      </c>
      <c r="U144" s="4" t="n">
        <v>45504</v>
      </c>
      <c r="V144" s="9" t="n">
        <v>921500</v>
      </c>
    </row>
    <row r="145">
      <c r="A145" s="3" t="inlineStr">
        <is>
          <t>Heron Fields</t>
        </is>
      </c>
      <c r="B145" s="3" t="inlineStr">
        <is>
          <t>B</t>
        </is>
      </c>
      <c r="C145" s="3" t="inlineStr">
        <is>
          <t>HFB205</t>
        </is>
      </c>
      <c r="D145" s="3" t="b">
        <v>1</v>
      </c>
      <c r="E145" s="3" t="b">
        <v>1</v>
      </c>
      <c r="F145" s="3">
        <f>SUMIFS('Cashflow Projection'!$C$7:$C$23,'Cashflow Projection'!$B$7:$B$23,Sales!$B145,'Cashflow Projection'!$A$7:$A$23,Sales!$A145)</f>
        <v/>
      </c>
      <c r="G145" s="4" t="n">
        <v>44974</v>
      </c>
      <c r="H145" s="4" t="n">
        <v>45688</v>
      </c>
      <c r="I145" s="3" t="n">
        <v>1579900</v>
      </c>
      <c r="J145" s="3" t="n">
        <v>206073.9130434782</v>
      </c>
      <c r="K145" s="3" t="n">
        <v>1373826.086956522</v>
      </c>
      <c r="L145" s="3" t="n">
        <v>18502.08</v>
      </c>
      <c r="M145" s="3" t="n">
        <v>1789</v>
      </c>
      <c r="N145" s="3" t="n">
        <v>7899.5</v>
      </c>
      <c r="O145" s="3" t="n">
        <v>78995</v>
      </c>
      <c r="P145" s="3" t="n">
        <v>19224.37</v>
      </c>
      <c r="Q145" s="3" t="n">
        <v>1453490.05</v>
      </c>
      <c r="R145" s="9">
        <f>(SUMIFS(Investors!$M:$M,Investors!$E:$E,Sales!$C145,Investors!$O:$O,FALSE)+SUMIFS(Investors!$S:$S,Investors!$E:$E,Sales!$C145,Investors!$O:$O,FALSE))*$F145</f>
        <v/>
      </c>
      <c r="S145" s="9">
        <f>IF(T145=FALSE,Q145-R145,+V145)</f>
        <v/>
      </c>
      <c r="T145" s="3" t="b">
        <v>0</v>
      </c>
      <c r="U145" s="4" t="n">
        <v>45747</v>
      </c>
      <c r="V145" s="9" t="n">
        <v>266020.1869863011</v>
      </c>
    </row>
    <row r="146">
      <c r="A146" s="3" t="inlineStr">
        <is>
          <t>Heron View</t>
        </is>
      </c>
      <c r="B146" s="3" t="inlineStr">
        <is>
          <t>D</t>
        </is>
      </c>
      <c r="C146" s="3" t="inlineStr">
        <is>
          <t>HVD302</t>
        </is>
      </c>
      <c r="D146" s="3" t="b">
        <v>0</v>
      </c>
      <c r="E146" s="3" t="b">
        <v>0</v>
      </c>
      <c r="F146" s="3">
        <f>SUMIFS('Cashflow Projection'!$C$7:$C$23,'Cashflow Projection'!$B$7:$B$23,Sales!$B146,'Cashflow Projection'!$A$7:$A$23,Sales!$A146)</f>
        <v/>
      </c>
      <c r="G146" s="4" t="n">
        <v>45428</v>
      </c>
      <c r="H146" s="4" t="n">
        <v>45428</v>
      </c>
      <c r="I146" s="3" t="n">
        <v>1539900</v>
      </c>
      <c r="J146" s="3" t="n">
        <v>200856.5217391304</v>
      </c>
      <c r="K146" s="3" t="n">
        <v>1339043.47826087</v>
      </c>
      <c r="L146" s="3" t="n">
        <v>18502.08</v>
      </c>
      <c r="M146" s="3" t="n">
        <v>1789</v>
      </c>
      <c r="N146" s="3" t="n">
        <v>7699.5</v>
      </c>
      <c r="O146" s="3" t="n">
        <v>76995</v>
      </c>
      <c r="P146" s="3" t="n">
        <v>19224.37</v>
      </c>
      <c r="Q146" s="3" t="n">
        <v>1415690.05</v>
      </c>
      <c r="R146" s="9">
        <f>(SUMIFS(Investors!$M:$M,Investors!$E:$E,Sales!$C146,Investors!$O:$O,FALSE)+SUMIFS(Investors!$S:$S,Investors!$E:$E,Sales!$C146,Investors!$O:$O,FALSE))*$F146</f>
        <v/>
      </c>
      <c r="S146" s="9">
        <f>IF(T146=FALSE,Q146-R146,+V146)</f>
        <v/>
      </c>
      <c r="T146" s="3" t="b">
        <v>0</v>
      </c>
      <c r="U146" s="4" t="n">
        <v>45504</v>
      </c>
      <c r="V146" s="9" t="n">
        <v>98536.59862123267</v>
      </c>
    </row>
    <row r="147">
      <c r="A147" s="3" t="inlineStr">
        <is>
          <t>Heron View</t>
        </is>
      </c>
      <c r="B147" s="3" t="inlineStr">
        <is>
          <t>C</t>
        </is>
      </c>
      <c r="C147" s="3" t="inlineStr">
        <is>
          <t>HVC205</t>
        </is>
      </c>
      <c r="D147" s="3" t="b">
        <v>1</v>
      </c>
      <c r="E147" s="3" t="b">
        <v>0</v>
      </c>
      <c r="F147" s="3">
        <f>SUMIFS('Cashflow Projection'!$C$7:$C$23,'Cashflow Projection'!$B$7:$B$23,Sales!$B147,'Cashflow Projection'!$A$7:$A$23,Sales!$A147)</f>
        <v/>
      </c>
      <c r="G147" s="4" t="n">
        <v>45394</v>
      </c>
      <c r="H147" s="4" t="n">
        <v>45394</v>
      </c>
      <c r="I147" s="3" t="n">
        <v>1489900</v>
      </c>
      <c r="J147" s="3" t="n">
        <v>194334.7826086956</v>
      </c>
      <c r="K147" s="3" t="n">
        <v>1295565.217391304</v>
      </c>
      <c r="L147" s="3" t="n">
        <v>18502.08</v>
      </c>
      <c r="M147" s="3" t="n">
        <v>1789</v>
      </c>
      <c r="N147" s="3" t="n">
        <v>7449.5</v>
      </c>
      <c r="O147" s="3" t="n">
        <v>74495</v>
      </c>
      <c r="P147" s="3" t="n">
        <v>19224.37</v>
      </c>
      <c r="Q147" s="3" t="n">
        <v>1368440.05</v>
      </c>
      <c r="R147" s="9">
        <f>(SUMIFS(Investors!$M:$M,Investors!$E:$E,Sales!$C147,Investors!$O:$O,FALSE)+SUMIFS(Investors!$S:$S,Investors!$E:$E,Sales!$C147,Investors!$O:$O,FALSE))*$F147</f>
        <v/>
      </c>
      <c r="S147" s="9">
        <f>IF(T147=FALSE,Q147-R147,+V147)</f>
        <v/>
      </c>
      <c r="T147" s="3" t="b">
        <v>0</v>
      </c>
      <c r="U147" s="4" t="n">
        <v>45443</v>
      </c>
      <c r="V147" s="9" t="n">
        <v>25991.46491835592</v>
      </c>
    </row>
    <row r="148">
      <c r="A148" s="3" t="inlineStr">
        <is>
          <t>Heron View</t>
        </is>
      </c>
      <c r="B148" s="3" t="inlineStr">
        <is>
          <t>E</t>
        </is>
      </c>
      <c r="C148" s="3" t="inlineStr">
        <is>
          <t>HVE203</t>
        </is>
      </c>
      <c r="D148" s="3" t="b">
        <v>0</v>
      </c>
      <c r="E148" s="3" t="b">
        <v>0</v>
      </c>
      <c r="F148" s="3">
        <f>SUMIFS('Cashflow Projection'!$C$7:$C$23,'Cashflow Projection'!$B$7:$B$23,Sales!$B148,'Cashflow Projection'!$A$7:$A$23,Sales!$A148)</f>
        <v/>
      </c>
      <c r="G148" s="4" t="n">
        <v>45685</v>
      </c>
      <c r="H148" s="4" t="n">
        <v>45685</v>
      </c>
      <c r="I148" s="3" t="n">
        <v>1499900</v>
      </c>
      <c r="J148" s="3" t="n">
        <v>195639.1304347826</v>
      </c>
      <c r="K148" s="3" t="n">
        <v>1304260.869565218</v>
      </c>
      <c r="L148" s="3" t="n">
        <v>18502.08</v>
      </c>
      <c r="M148" s="3" t="n">
        <v>1789</v>
      </c>
      <c r="N148" s="3" t="n">
        <v>7499.5</v>
      </c>
      <c r="O148" s="3" t="n">
        <v>74995</v>
      </c>
      <c r="P148" s="3" t="n">
        <v>19224.37</v>
      </c>
      <c r="Q148" s="3" t="n">
        <v>1377890.05</v>
      </c>
      <c r="R148" s="9">
        <f>(SUMIFS(Investors!$M:$M,Investors!$E:$E,Sales!$C148,Investors!$O:$O,FALSE)+SUMIFS(Investors!$S:$S,Investors!$E:$E,Sales!$C148,Investors!$O:$O,FALSE))*$F148</f>
        <v/>
      </c>
      <c r="S148" s="9">
        <f>IF(T148=FALSE,Q148-R148,+V148)</f>
        <v/>
      </c>
      <c r="T148" s="3" t="b">
        <v>0</v>
      </c>
      <c r="U148" s="4" t="n">
        <v>45747</v>
      </c>
      <c r="V148" s="9" t="n">
        <v>-83085.29246575362</v>
      </c>
    </row>
    <row r="149">
      <c r="A149" s="3" t="inlineStr">
        <is>
          <t>Heron View</t>
        </is>
      </c>
      <c r="B149" s="3" t="inlineStr">
        <is>
          <t>M</t>
        </is>
      </c>
      <c r="C149" s="3" t="inlineStr">
        <is>
          <t>HVM202</t>
        </is>
      </c>
      <c r="D149" s="3" t="b">
        <v>0</v>
      </c>
      <c r="E149" s="3" t="b">
        <v>0</v>
      </c>
      <c r="F149" s="3">
        <f>SUMIFS('Cashflow Projection'!$C$7:$C$23,'Cashflow Projection'!$B$7:$B$23,Sales!$B149,'Cashflow Projection'!$A$7:$A$23,Sales!$A149)</f>
        <v/>
      </c>
      <c r="G149" s="4" t="n">
        <v>45450</v>
      </c>
      <c r="H149" s="4" t="n">
        <v>45450</v>
      </c>
      <c r="I149" s="3" t="n">
        <v>1679900</v>
      </c>
      <c r="J149" s="3" t="n">
        <v>219117.3913043478</v>
      </c>
      <c r="K149" s="3" t="n">
        <v>1460782.608695652</v>
      </c>
      <c r="L149" s="3" t="n">
        <v>18502.08</v>
      </c>
      <c r="M149" s="3" t="n">
        <v>1789</v>
      </c>
      <c r="N149" s="3" t="n">
        <v>8399.5</v>
      </c>
      <c r="O149" s="3" t="n">
        <v>83995</v>
      </c>
      <c r="P149" s="3" t="n">
        <v>19224.37</v>
      </c>
      <c r="Q149" s="3" t="n">
        <v>1547990.05</v>
      </c>
      <c r="R149" s="9">
        <f>(SUMIFS(Investors!$M:$M,Investors!$E:$E,Sales!$C149,Investors!$O:$O,FALSE)+SUMIFS(Investors!$S:$S,Investors!$E:$E,Sales!$C149,Investors!$O:$O,FALSE))*$F149</f>
        <v/>
      </c>
      <c r="S149" s="9">
        <f>IF(T149=FALSE,Q149-R149,+V149)</f>
        <v/>
      </c>
      <c r="T149" s="3" t="b">
        <v>0</v>
      </c>
      <c r="U149" s="4" t="n">
        <v>45504</v>
      </c>
      <c r="V149" s="9" t="n">
        <v>238583.2006849314</v>
      </c>
    </row>
    <row r="150">
      <c r="A150" s="3" t="inlineStr">
        <is>
          <t>Heron View</t>
        </is>
      </c>
      <c r="B150" s="3" t="inlineStr">
        <is>
          <t>L</t>
        </is>
      </c>
      <c r="C150" s="3" t="inlineStr">
        <is>
          <t>HVL202</t>
        </is>
      </c>
      <c r="D150" s="3" t="b">
        <v>0</v>
      </c>
      <c r="E150" s="3" t="b">
        <v>0</v>
      </c>
      <c r="F150" s="3">
        <f>SUMIFS('Cashflow Projection'!$C$7:$C$23,'Cashflow Projection'!$B$7:$B$23,Sales!$B150,'Cashflow Projection'!$A$7:$A$23,Sales!$A150)</f>
        <v/>
      </c>
      <c r="G150" s="4" t="n">
        <v>45499</v>
      </c>
      <c r="H150" s="4" t="n">
        <v>45516</v>
      </c>
      <c r="I150" s="3" t="n">
        <v>1499900</v>
      </c>
      <c r="J150" s="3" t="n">
        <v>195639.1304347826</v>
      </c>
      <c r="K150" s="3" t="n">
        <v>1304260.869565218</v>
      </c>
      <c r="L150" s="3" t="n">
        <v>18502.08</v>
      </c>
      <c r="M150" s="3" t="n">
        <v>1789</v>
      </c>
      <c r="N150" s="3" t="n">
        <v>7499.5</v>
      </c>
      <c r="O150" s="3" t="n">
        <v>74995</v>
      </c>
      <c r="P150" s="3" t="n">
        <v>19224.37</v>
      </c>
      <c r="Q150" s="3" t="n">
        <v>1377890.05</v>
      </c>
      <c r="R150" s="9">
        <f>(SUMIFS(Investors!$M:$M,Investors!$E:$E,Sales!$C150,Investors!$O:$O,FALSE)+SUMIFS(Investors!$S:$S,Investors!$E:$E,Sales!$C150,Investors!$O:$O,FALSE))*$F150</f>
        <v/>
      </c>
      <c r="S150" s="9">
        <f>IF(T150=FALSE,Q150-R150,+V150)</f>
        <v/>
      </c>
      <c r="T150" s="3" t="b">
        <v>0</v>
      </c>
      <c r="U150" s="4" t="n">
        <v>45565</v>
      </c>
      <c r="V150" s="9" t="n">
        <v>-1156.525342465844</v>
      </c>
    </row>
    <row r="151">
      <c r="A151" s="3" t="inlineStr">
        <is>
          <t>Heron View</t>
        </is>
      </c>
      <c r="B151" s="3" t="inlineStr">
        <is>
          <t>G</t>
        </is>
      </c>
      <c r="C151" s="3" t="inlineStr">
        <is>
          <t>HVG303</t>
        </is>
      </c>
      <c r="D151" s="3" t="b">
        <v>0</v>
      </c>
      <c r="E151" s="3" t="b">
        <v>0</v>
      </c>
      <c r="F151" s="3">
        <f>SUMIFS('Cashflow Projection'!$C$7:$C$23,'Cashflow Projection'!$B$7:$B$23,Sales!$B151,'Cashflow Projection'!$A$7:$A$23,Sales!$A151)</f>
        <v/>
      </c>
      <c r="G151" s="4" t="n">
        <v>45523</v>
      </c>
      <c r="H151" s="4" t="n">
        <v>45523</v>
      </c>
      <c r="I151" s="3" t="n">
        <v>1499900</v>
      </c>
      <c r="J151" s="3" t="n">
        <v>195639.1304347826</v>
      </c>
      <c r="K151" s="3" t="n">
        <v>1304260.869565218</v>
      </c>
      <c r="L151" s="3" t="n">
        <v>18502.08</v>
      </c>
      <c r="M151" s="3" t="n">
        <v>1789</v>
      </c>
      <c r="N151" s="3" t="n">
        <v>7499.5</v>
      </c>
      <c r="O151" s="3" t="n">
        <v>74995</v>
      </c>
      <c r="P151" s="3" t="n">
        <v>19224.37</v>
      </c>
      <c r="Q151" s="3" t="n">
        <v>1377890.05</v>
      </c>
      <c r="R151" s="9">
        <f>(SUMIFS(Investors!$M:$M,Investors!$E:$E,Sales!$C151,Investors!$O:$O,FALSE)+SUMIFS(Investors!$S:$S,Investors!$E:$E,Sales!$C151,Investors!$O:$O,FALSE))*$F151</f>
        <v/>
      </c>
      <c r="S151" s="9">
        <f>IF(T151=FALSE,Q151-R151,+V151)</f>
        <v/>
      </c>
      <c r="T151" s="3" t="b">
        <v>0</v>
      </c>
      <c r="U151" s="4" t="n">
        <v>45565</v>
      </c>
      <c r="V151" s="9" t="n">
        <v>83683.94412547909</v>
      </c>
    </row>
    <row r="152">
      <c r="A152" s="3" t="inlineStr">
        <is>
          <t>Heron View</t>
        </is>
      </c>
      <c r="B152" s="3" t="inlineStr">
        <is>
          <t>C</t>
        </is>
      </c>
      <c r="C152" s="3" t="inlineStr">
        <is>
          <t>HVC206</t>
        </is>
      </c>
      <c r="D152" s="3" t="b">
        <v>1</v>
      </c>
      <c r="E152" s="3" t="b">
        <v>0</v>
      </c>
      <c r="F152" s="3">
        <f>SUMIFS('Cashflow Projection'!$C$7:$C$23,'Cashflow Projection'!$B$7:$B$23,Sales!$B152,'Cashflow Projection'!$A$7:$A$23,Sales!$A152)</f>
        <v/>
      </c>
      <c r="G152" s="4" t="n">
        <v>45394</v>
      </c>
      <c r="H152" s="4" t="n">
        <v>45394</v>
      </c>
      <c r="I152" s="3" t="n">
        <v>1509900</v>
      </c>
      <c r="J152" s="3" t="n">
        <v>196943.4782608696</v>
      </c>
      <c r="K152" s="3" t="n">
        <v>1312956.521739131</v>
      </c>
      <c r="L152" s="3" t="n">
        <v>18502.08</v>
      </c>
      <c r="M152" s="3" t="n">
        <v>1789</v>
      </c>
      <c r="N152" s="3" t="n">
        <v>7549.5</v>
      </c>
      <c r="O152" s="3" t="n">
        <v>75495</v>
      </c>
      <c r="P152" s="3" t="n">
        <v>19224.37</v>
      </c>
      <c r="Q152" s="3" t="n">
        <v>1387340.05</v>
      </c>
      <c r="R152" s="9">
        <f>(SUMIFS(Investors!$M:$M,Investors!$E:$E,Sales!$C152,Investors!$O:$O,FALSE)+SUMIFS(Investors!$S:$S,Investors!$E:$E,Sales!$C152,Investors!$O:$O,FALSE))*$F152</f>
        <v/>
      </c>
      <c r="S152" s="9">
        <f>IF(T152=FALSE,Q152-R152,+V152)</f>
        <v/>
      </c>
      <c r="T152" s="3" t="b">
        <v>0</v>
      </c>
      <c r="U152" s="4" t="n">
        <v>45443</v>
      </c>
      <c r="V152" s="9" t="n">
        <v>-5862.68972602766</v>
      </c>
    </row>
    <row r="153">
      <c r="A153" s="3" t="inlineStr">
        <is>
          <t>Heron View</t>
        </is>
      </c>
      <c r="B153" s="3" t="inlineStr">
        <is>
          <t>C</t>
        </is>
      </c>
      <c r="C153" s="3" t="inlineStr">
        <is>
          <t>HVC304</t>
        </is>
      </c>
      <c r="D153" s="3" t="b">
        <v>0</v>
      </c>
      <c r="E153" s="3" t="b">
        <v>0</v>
      </c>
      <c r="F153" s="3">
        <f>SUMIFS('Cashflow Projection'!$C$7:$C$23,'Cashflow Projection'!$B$7:$B$23,Sales!$B153,'Cashflow Projection'!$A$7:$A$23,Sales!$A153)</f>
        <v/>
      </c>
      <c r="G153" s="4" t="n">
        <v>45449</v>
      </c>
      <c r="H153" s="4" t="n">
        <v>45449</v>
      </c>
      <c r="I153" s="3" t="n">
        <v>1469900</v>
      </c>
      <c r="J153" s="3" t="n">
        <v>191726.0869565217</v>
      </c>
      <c r="K153" s="3" t="n">
        <v>1278173.913043478</v>
      </c>
      <c r="L153" s="3" t="n">
        <v>18502.08</v>
      </c>
      <c r="M153" s="3" t="n">
        <v>1789</v>
      </c>
      <c r="N153" s="3" t="n">
        <v>7349.5</v>
      </c>
      <c r="O153" s="3" t="n">
        <v>73495</v>
      </c>
      <c r="P153" s="3" t="n">
        <v>19224.37</v>
      </c>
      <c r="Q153" s="3" t="n">
        <v>1349540.05</v>
      </c>
      <c r="R153" s="9">
        <f>(SUMIFS(Investors!$M:$M,Investors!$E:$E,Sales!$C153,Investors!$O:$O,FALSE)+SUMIFS(Investors!$S:$S,Investors!$E:$E,Sales!$C153,Investors!$O:$O,FALSE))*$F153</f>
        <v/>
      </c>
      <c r="S153" s="9">
        <f>IF(T153=FALSE,Q153-R153,+V153)</f>
        <v/>
      </c>
      <c r="T153" s="3" t="b">
        <v>0</v>
      </c>
      <c r="U153" s="4" t="n">
        <v>45504</v>
      </c>
      <c r="V153" s="9" t="n">
        <v>34170.07971095876</v>
      </c>
    </row>
    <row r="154">
      <c r="A154" s="3" t="inlineStr">
        <is>
          <t>Heron View</t>
        </is>
      </c>
      <c r="B154" s="3" t="inlineStr">
        <is>
          <t>G</t>
        </is>
      </c>
      <c r="C154" s="3" t="inlineStr">
        <is>
          <t>HVG202</t>
        </is>
      </c>
      <c r="D154" s="3" t="b">
        <v>0</v>
      </c>
      <c r="E154" s="3" t="b">
        <v>0</v>
      </c>
      <c r="F154" s="3">
        <f>SUMIFS('Cashflow Projection'!$C$7:$C$23,'Cashflow Projection'!$B$7:$B$23,Sales!$B154,'Cashflow Projection'!$A$7:$A$23,Sales!$A154)</f>
        <v/>
      </c>
      <c r="G154" s="4" t="n">
        <v>45523</v>
      </c>
      <c r="H154" s="4" t="n">
        <v>45523</v>
      </c>
      <c r="I154" s="3" t="n">
        <v>1449900</v>
      </c>
      <c r="J154" s="3" t="n">
        <v>189117.3913043478</v>
      </c>
      <c r="K154" s="3" t="n">
        <v>1260782.608695652</v>
      </c>
      <c r="L154" s="3" t="n">
        <v>18502.08</v>
      </c>
      <c r="M154" s="3" t="n">
        <v>1789</v>
      </c>
      <c r="N154" s="3" t="n">
        <v>7249.5</v>
      </c>
      <c r="O154" s="3" t="n">
        <v>72495</v>
      </c>
      <c r="P154" s="3" t="n">
        <v>19224.37</v>
      </c>
      <c r="Q154" s="3" t="n">
        <v>1330640.05</v>
      </c>
      <c r="R154" s="9">
        <f>(SUMIFS(Investors!$M:$M,Investors!$E:$E,Sales!$C154,Investors!$O:$O,FALSE)+SUMIFS(Investors!$S:$S,Investors!$E:$E,Sales!$C154,Investors!$O:$O,FALSE))*$F154</f>
        <v/>
      </c>
      <c r="S154" s="9">
        <f>IF(T154=FALSE,Q154-R154,+V154)</f>
        <v/>
      </c>
      <c r="T154" s="3" t="b">
        <v>0</v>
      </c>
      <c r="U154" s="4" t="n">
        <v>45565</v>
      </c>
      <c r="V154" s="9" t="n">
        <v>-5890.455245479476</v>
      </c>
    </row>
    <row r="155">
      <c r="A155" s="3" t="inlineStr">
        <is>
          <t>Heron View</t>
        </is>
      </c>
      <c r="B155" s="3" t="inlineStr">
        <is>
          <t>K</t>
        </is>
      </c>
      <c r="C155" s="3" t="inlineStr">
        <is>
          <t>HVK301</t>
        </is>
      </c>
      <c r="D155" s="3" t="b">
        <v>0</v>
      </c>
      <c r="E155" s="3" t="b">
        <v>0</v>
      </c>
      <c r="F155" s="3">
        <f>SUMIFS('Cashflow Projection'!$C$7:$C$23,'Cashflow Projection'!$B$7:$B$23,Sales!$B155,'Cashflow Projection'!$A$7:$A$23,Sales!$A155)</f>
        <v/>
      </c>
      <c r="G155" s="4" t="n">
        <v>45510</v>
      </c>
      <c r="H155" s="4" t="n">
        <v>45510</v>
      </c>
      <c r="I155" s="3" t="n">
        <v>1529900</v>
      </c>
      <c r="J155" s="3" t="n">
        <v>199552.1739130435</v>
      </c>
      <c r="K155" s="3" t="n">
        <v>1330347.826086957</v>
      </c>
      <c r="L155" s="3" t="n">
        <v>18502.08</v>
      </c>
      <c r="M155" s="3" t="n">
        <v>1789</v>
      </c>
      <c r="N155" s="3" t="n">
        <v>7649.5</v>
      </c>
      <c r="O155" s="3" t="n">
        <v>76495</v>
      </c>
      <c r="P155" s="3" t="n">
        <v>19224.37</v>
      </c>
      <c r="Q155" s="3" t="n">
        <v>1406240.05</v>
      </c>
      <c r="R155" s="9">
        <f>(SUMIFS(Investors!$M:$M,Investors!$E:$E,Sales!$C155,Investors!$O:$O,FALSE)+SUMIFS(Investors!$S:$S,Investors!$E:$E,Sales!$C155,Investors!$O:$O,FALSE))*$F155</f>
        <v/>
      </c>
      <c r="S155" s="9">
        <f>IF(T155=FALSE,Q155-R155,+V155)</f>
        <v/>
      </c>
      <c r="T155" s="3" t="b">
        <v>0</v>
      </c>
      <c r="U155" s="4" t="n">
        <v>45565</v>
      </c>
      <c r="V155" s="9" t="n">
        <v>21813.98881952045</v>
      </c>
    </row>
    <row r="156">
      <c r="A156" s="3" t="inlineStr">
        <is>
          <t>Heron View</t>
        </is>
      </c>
      <c r="B156" s="3" t="inlineStr">
        <is>
          <t>K</t>
        </is>
      </c>
      <c r="C156" s="3" t="inlineStr">
        <is>
          <t>HVK306</t>
        </is>
      </c>
      <c r="D156" s="3" t="b">
        <v>0</v>
      </c>
      <c r="E156" s="3" t="b">
        <v>0</v>
      </c>
      <c r="F156" s="3">
        <f>SUMIFS('Cashflow Projection'!$C$7:$C$23,'Cashflow Projection'!$B$7:$B$23,Sales!$B156,'Cashflow Projection'!$A$7:$A$23,Sales!$A156)</f>
        <v/>
      </c>
      <c r="G156" s="4" t="n">
        <v>45510</v>
      </c>
      <c r="H156" s="4" t="n">
        <v>45510</v>
      </c>
      <c r="I156" s="3" t="n">
        <v>1529900</v>
      </c>
      <c r="J156" s="3" t="n">
        <v>199552.1739130435</v>
      </c>
      <c r="K156" s="3" t="n">
        <v>1330347.826086957</v>
      </c>
      <c r="L156" s="3" t="n">
        <v>18502.08</v>
      </c>
      <c r="M156" s="3" t="n">
        <v>1789</v>
      </c>
      <c r="N156" s="3" t="n">
        <v>7649.5</v>
      </c>
      <c r="O156" s="3" t="n">
        <v>76495</v>
      </c>
      <c r="P156" s="3" t="n">
        <v>19224.37</v>
      </c>
      <c r="Q156" s="3" t="n">
        <v>1406240.05</v>
      </c>
      <c r="R156" s="9">
        <f>(SUMIFS(Investors!$M:$M,Investors!$E:$E,Sales!$C156,Investors!$O:$O,FALSE)+SUMIFS(Investors!$S:$S,Investors!$E:$E,Sales!$C156,Investors!$O:$O,FALSE))*$F156</f>
        <v/>
      </c>
      <c r="S156" s="9">
        <f>IF(T156=FALSE,Q156-R156,+V156)</f>
        <v/>
      </c>
      <c r="T156" s="3" t="b">
        <v>0</v>
      </c>
      <c r="U156" s="4" t="n">
        <v>45565</v>
      </c>
      <c r="V156" s="9" t="n">
        <v>-1053.100684931502</v>
      </c>
    </row>
    <row r="157">
      <c r="A157" s="3" t="inlineStr">
        <is>
          <t>Heron View</t>
        </is>
      </c>
      <c r="B157" s="3" t="inlineStr">
        <is>
          <t>E</t>
        </is>
      </c>
      <c r="C157" s="3" t="inlineStr">
        <is>
          <t>HVE102</t>
        </is>
      </c>
      <c r="D157" s="3" t="b">
        <v>0</v>
      </c>
      <c r="E157" s="3" t="b">
        <v>0</v>
      </c>
      <c r="F157" s="3">
        <f>SUMIFS('Cashflow Projection'!$C$7:$C$23,'Cashflow Projection'!$B$7:$B$23,Sales!$B157,'Cashflow Projection'!$A$7:$A$23,Sales!$A157)</f>
        <v/>
      </c>
      <c r="G157" s="4" t="n">
        <v>45685</v>
      </c>
      <c r="H157" s="4" t="n">
        <v>45685</v>
      </c>
      <c r="I157" s="3" t="n">
        <v>1649900</v>
      </c>
      <c r="J157" s="3" t="n">
        <v>215204.3478260869</v>
      </c>
      <c r="K157" s="3" t="n">
        <v>1434695.652173913</v>
      </c>
      <c r="L157" s="3" t="n">
        <v>18502.08</v>
      </c>
      <c r="M157" s="3" t="n">
        <v>1789</v>
      </c>
      <c r="N157" s="3" t="n">
        <v>8249.5</v>
      </c>
      <c r="O157" s="3" t="n">
        <v>82495</v>
      </c>
      <c r="P157" s="3" t="n">
        <v>19224.37</v>
      </c>
      <c r="Q157" s="3" t="n">
        <v>1519640.05</v>
      </c>
      <c r="R157" s="9">
        <f>(SUMIFS(Investors!$M:$M,Investors!$E:$E,Sales!$C157,Investors!$O:$O,FALSE)+SUMIFS(Investors!$S:$S,Investors!$E:$E,Sales!$C157,Investors!$O:$O,FALSE))*$F157</f>
        <v/>
      </c>
      <c r="S157" s="9">
        <f>IF(T157=FALSE,Q157-R157,+V157)</f>
        <v/>
      </c>
      <c r="T157" s="3" t="b">
        <v>0</v>
      </c>
      <c r="U157" s="4" t="n">
        <v>45747</v>
      </c>
      <c r="V157" s="9" t="n">
        <v>1383822.8524</v>
      </c>
    </row>
    <row r="158">
      <c r="A158" s="3" t="inlineStr">
        <is>
          <t>Heron View</t>
        </is>
      </c>
      <c r="B158" s="3" t="inlineStr">
        <is>
          <t>K</t>
        </is>
      </c>
      <c r="C158" s="3" t="inlineStr">
        <is>
          <t>HVK205</t>
        </is>
      </c>
      <c r="D158" s="3" t="b">
        <v>0</v>
      </c>
      <c r="E158" s="3" t="b">
        <v>0</v>
      </c>
      <c r="F158" s="3">
        <f>SUMIFS('Cashflow Projection'!$C$7:$C$23,'Cashflow Projection'!$B$7:$B$23,Sales!$B158,'Cashflow Projection'!$A$7:$A$23,Sales!$A158)</f>
        <v/>
      </c>
      <c r="G158" s="4" t="n">
        <v>45510</v>
      </c>
      <c r="H158" s="4" t="n">
        <v>45510</v>
      </c>
      <c r="I158" s="3" t="n">
        <v>1499900</v>
      </c>
      <c r="J158" s="3" t="n">
        <v>195639.1304347826</v>
      </c>
      <c r="K158" s="3" t="n">
        <v>1304260.869565218</v>
      </c>
      <c r="L158" s="3" t="n">
        <v>18502.08</v>
      </c>
      <c r="M158" s="3" t="n">
        <v>1789</v>
      </c>
      <c r="N158" s="3" t="n">
        <v>7499.5</v>
      </c>
      <c r="O158" s="3" t="n">
        <v>74995</v>
      </c>
      <c r="P158" s="3" t="n">
        <v>19224.37</v>
      </c>
      <c r="Q158" s="3" t="n">
        <v>1377890.05</v>
      </c>
      <c r="R158" s="9">
        <f>(SUMIFS(Investors!$M:$M,Investors!$E:$E,Sales!$C158,Investors!$O:$O,FALSE)+SUMIFS(Investors!$S:$S,Investors!$E:$E,Sales!$C158,Investors!$O:$O,FALSE))*$F158</f>
        <v/>
      </c>
      <c r="S158" s="9">
        <f>IF(T158=FALSE,Q158-R158,+V158)</f>
        <v/>
      </c>
      <c r="T158" s="3" t="b">
        <v>0</v>
      </c>
      <c r="U158" s="4" t="n">
        <v>45565</v>
      </c>
      <c r="V158" s="9" t="n">
        <v>-40335.67383445217</v>
      </c>
    </row>
    <row r="159">
      <c r="A159" s="3" t="inlineStr">
        <is>
          <t>Endulini</t>
        </is>
      </c>
      <c r="B159" s="3" t="inlineStr">
        <is>
          <t>B</t>
        </is>
      </c>
      <c r="C159" s="3" t="inlineStr">
        <is>
          <t>EB101</t>
        </is>
      </c>
      <c r="D159" s="3" t="b">
        <v>1</v>
      </c>
      <c r="E159" s="3" t="b">
        <v>1</v>
      </c>
      <c r="F159" s="3">
        <f>SUMIFS('Cashflow Projection'!$C$7:$C$23,'Cashflow Projection'!$B$7:$B$23,Sales!$B159,'Cashflow Projection'!$A$7:$A$23,Sales!$A159)</f>
        <v/>
      </c>
      <c r="G159" s="4" t="n">
        <v>45281</v>
      </c>
      <c r="H159" s="4" t="n">
        <v>45688</v>
      </c>
      <c r="I159" s="3" t="n">
        <v>1579900</v>
      </c>
      <c r="J159" s="3" t="n">
        <v>206073.9130434782</v>
      </c>
      <c r="K159" s="3" t="n">
        <v>1373826.086956522</v>
      </c>
      <c r="L159" s="3" t="n">
        <v>18502.08</v>
      </c>
      <c r="M159" s="3" t="n">
        <v>1789</v>
      </c>
      <c r="N159" s="3" t="n">
        <v>7899.5</v>
      </c>
      <c r="O159" s="3" t="n">
        <v>78995</v>
      </c>
      <c r="P159" s="3" t="n">
        <v>19224.37</v>
      </c>
      <c r="Q159" s="3" t="n">
        <v>1453490.05</v>
      </c>
      <c r="R159" s="9">
        <f>(SUMIFS(Investors!$M:$M,Investors!$E:$E,Sales!$C159,Investors!$O:$O,FALSE)+SUMIFS(Investors!$S:$S,Investors!$E:$E,Sales!$C159,Investors!$O:$O,FALSE))*$F159</f>
        <v/>
      </c>
      <c r="S159" s="9">
        <f>IF(T159=FALSE,Q159-R159,+V159)</f>
        <v/>
      </c>
      <c r="T159" s="3" t="b">
        <v>0</v>
      </c>
      <c r="U159" s="4" t="n">
        <v>45747</v>
      </c>
      <c r="V159" s="9" t="n">
        <v>119092.7721843834</v>
      </c>
    </row>
    <row r="160">
      <c r="A160" s="3" t="inlineStr">
        <is>
          <t>Heron Fields</t>
        </is>
      </c>
      <c r="B160" s="3" t="inlineStr">
        <is>
          <t>A</t>
        </is>
      </c>
      <c r="C160" s="3" t="inlineStr">
        <is>
          <t>HFA104</t>
        </is>
      </c>
      <c r="D160" s="3" t="b">
        <v>1</v>
      </c>
      <c r="E160" s="3" t="b">
        <v>1</v>
      </c>
      <c r="F160" s="3">
        <f>SUMIFS('Cashflow Projection'!$C$7:$C$23,'Cashflow Projection'!$B$7:$B$23,Sales!$B160,'Cashflow Projection'!$A$7:$A$23,Sales!$A160)</f>
        <v/>
      </c>
      <c r="G160" s="4" t="n">
        <v>44887</v>
      </c>
      <c r="H160" s="4" t="n">
        <v>45688</v>
      </c>
      <c r="I160" s="3" t="n">
        <v>1519900</v>
      </c>
      <c r="J160" s="3" t="n">
        <v>198247.8260869565</v>
      </c>
      <c r="K160" s="3" t="n">
        <v>1321652.173913044</v>
      </c>
      <c r="L160" s="3" t="n">
        <v>18502.08</v>
      </c>
      <c r="M160" s="3" t="n">
        <v>1789</v>
      </c>
      <c r="N160" s="3" t="n">
        <v>7599.5</v>
      </c>
      <c r="O160" s="3" t="n">
        <v>75995</v>
      </c>
      <c r="P160" s="3" t="n">
        <v>19224.37</v>
      </c>
      <c r="Q160" s="3" t="n">
        <v>1396790.05</v>
      </c>
      <c r="R160" s="9">
        <f>(SUMIFS(Investors!$M:$M,Investors!$E:$E,Sales!$C160,Investors!$O:$O,FALSE)+SUMIFS(Investors!$S:$S,Investors!$E:$E,Sales!$C160,Investors!$O:$O,FALSE))*$F160</f>
        <v/>
      </c>
      <c r="S160" s="9">
        <f>IF(T160=FALSE,Q160-R160,+V160)</f>
        <v/>
      </c>
      <c r="T160" s="3" t="b">
        <v>0</v>
      </c>
      <c r="U160" s="4" t="n">
        <v>45747</v>
      </c>
      <c r="V160" s="9" t="n">
        <v>249320.871917808</v>
      </c>
    </row>
    <row r="161">
      <c r="A161" s="3" t="inlineStr">
        <is>
          <t>Heron Fields</t>
        </is>
      </c>
      <c r="B161" s="3" t="inlineStr">
        <is>
          <t>B</t>
        </is>
      </c>
      <c r="C161" s="3" t="inlineStr">
        <is>
          <t>HFB108</t>
        </is>
      </c>
      <c r="D161" s="3" t="b">
        <v>1</v>
      </c>
      <c r="E161" s="3" t="b">
        <v>1</v>
      </c>
      <c r="F161" s="3">
        <f>SUMIFS('Cashflow Projection'!$C$7:$C$23,'Cashflow Projection'!$B$7:$B$23,Sales!$B161,'Cashflow Projection'!$A$7:$A$23,Sales!$A161)</f>
        <v/>
      </c>
      <c r="G161" s="4" t="n">
        <v>44984</v>
      </c>
      <c r="H161" s="4" t="n">
        <v>45688</v>
      </c>
      <c r="I161" s="3" t="n">
        <v>1599900</v>
      </c>
      <c r="J161" s="3" t="n">
        <v>208682.6086956522</v>
      </c>
      <c r="K161" s="3" t="n">
        <v>1391217.391304348</v>
      </c>
      <c r="L161" s="3" t="n">
        <v>18502.08</v>
      </c>
      <c r="M161" s="3" t="n">
        <v>1789</v>
      </c>
      <c r="N161" s="3" t="n">
        <v>7999.5</v>
      </c>
      <c r="O161" s="3" t="n">
        <v>79995</v>
      </c>
      <c r="P161" s="3" t="n">
        <v>19224.37</v>
      </c>
      <c r="Q161" s="3" t="n">
        <v>1472390.05</v>
      </c>
      <c r="R161" s="9">
        <f>(SUMIFS(Investors!$M:$M,Investors!$E:$E,Sales!$C161,Investors!$O:$O,FALSE)+SUMIFS(Investors!$S:$S,Investors!$E:$E,Sales!$C161,Investors!$O:$O,FALSE))*$F161</f>
        <v/>
      </c>
      <c r="S161" s="9">
        <f>IF(T161=FALSE,Q161-R161,+V161)</f>
        <v/>
      </c>
      <c r="T161" s="3" t="b">
        <v>0</v>
      </c>
      <c r="U161" s="4" t="n">
        <v>45747</v>
      </c>
      <c r="V161" s="9" t="n">
        <v>305409.159589041</v>
      </c>
    </row>
    <row r="162">
      <c r="A162" s="3" t="inlineStr">
        <is>
          <t>Heron Fields</t>
        </is>
      </c>
      <c r="B162" s="3" t="inlineStr">
        <is>
          <t>B</t>
        </is>
      </c>
      <c r="C162" s="3" t="inlineStr">
        <is>
          <t>HFB102</t>
        </is>
      </c>
      <c r="D162" s="3" t="b">
        <v>1</v>
      </c>
      <c r="E162" s="3" t="b">
        <v>1</v>
      </c>
      <c r="F162" s="3">
        <f>SUMIFS('Cashflow Projection'!$C$7:$C$23,'Cashflow Projection'!$B$7:$B$23,Sales!$B162,'Cashflow Projection'!$A$7:$A$23,Sales!$A162)</f>
        <v/>
      </c>
      <c r="G162" s="4" t="n">
        <v>44896</v>
      </c>
      <c r="H162" s="4" t="n">
        <v>45688</v>
      </c>
      <c r="I162" s="3" t="n">
        <v>1559900</v>
      </c>
      <c r="J162" s="3" t="n">
        <v>203465.2173913044</v>
      </c>
      <c r="K162" s="3" t="n">
        <v>1356434.782608696</v>
      </c>
      <c r="L162" s="3" t="n">
        <v>18502.08</v>
      </c>
      <c r="M162" s="3" t="n">
        <v>1789</v>
      </c>
      <c r="N162" s="3" t="n">
        <v>7799.5</v>
      </c>
      <c r="O162" s="3" t="n">
        <v>77995</v>
      </c>
      <c r="P162" s="3" t="n">
        <v>19224.37</v>
      </c>
      <c r="Q162" s="3" t="n">
        <v>1434590.05</v>
      </c>
      <c r="R162" s="9">
        <f>(SUMIFS(Investors!$M:$M,Investors!$E:$E,Sales!$C162,Investors!$O:$O,FALSE)+SUMIFS(Investors!$S:$S,Investors!$E:$E,Sales!$C162,Investors!$O:$O,FALSE))*$F162</f>
        <v/>
      </c>
      <c r="S162" s="9">
        <f>IF(T162=FALSE,Q162-R162,+V162)</f>
        <v/>
      </c>
      <c r="T162" s="3" t="b">
        <v>0</v>
      </c>
      <c r="U162" s="4" t="n">
        <v>45747</v>
      </c>
      <c r="V162" s="9" t="n">
        <v>248089.159589041</v>
      </c>
    </row>
    <row r="163">
      <c r="A163" s="3" t="inlineStr">
        <is>
          <t>Heron View</t>
        </is>
      </c>
      <c r="B163" s="3" t="inlineStr">
        <is>
          <t>N</t>
        </is>
      </c>
      <c r="C163" s="3" t="inlineStr">
        <is>
          <t>HVN101</t>
        </is>
      </c>
      <c r="D163" s="3" t="b">
        <v>1</v>
      </c>
      <c r="E163" s="3" t="b">
        <v>1</v>
      </c>
      <c r="F163" s="3">
        <f>SUMIFS('Cashflow Projection'!$C$7:$C$23,'Cashflow Projection'!$B$7:$B$23,Sales!$B163,'Cashflow Projection'!$A$7:$A$23,Sales!$A163)</f>
        <v/>
      </c>
      <c r="G163" s="4" t="n">
        <v>45310</v>
      </c>
      <c r="H163" s="4" t="n">
        <v>45688</v>
      </c>
      <c r="I163" s="3" t="n">
        <v>1699900</v>
      </c>
      <c r="J163" s="3" t="n">
        <v>221726.0869565217</v>
      </c>
      <c r="K163" s="3" t="n">
        <v>1478173.913043478</v>
      </c>
      <c r="L163" s="3" t="n">
        <v>18502.08</v>
      </c>
      <c r="M163" s="3" t="n">
        <v>1789</v>
      </c>
      <c r="N163" s="3" t="n">
        <v>8499.5</v>
      </c>
      <c r="O163" s="3" t="n">
        <v>84995</v>
      </c>
      <c r="P163" s="3" t="n">
        <v>19224.37</v>
      </c>
      <c r="Q163" s="3" t="n">
        <v>1566890.05</v>
      </c>
      <c r="R163" s="9">
        <f>(SUMIFS(Investors!$M:$M,Investors!$E:$E,Sales!$C163,Investors!$O:$O,FALSE)+SUMIFS(Investors!$S:$S,Investors!$E:$E,Sales!$C163,Investors!$O:$O,FALSE))*$F163</f>
        <v/>
      </c>
      <c r="S163" s="9">
        <f>IF(T163=FALSE,Q163-R163,+V163)</f>
        <v/>
      </c>
      <c r="T163" s="3" t="b">
        <v>0</v>
      </c>
      <c r="U163" s="4" t="n">
        <v>45747</v>
      </c>
      <c r="V163" s="9" t="n">
        <v>351075.1815538355</v>
      </c>
    </row>
    <row r="164">
      <c r="A164" s="3" t="inlineStr">
        <is>
          <t>Heron View</t>
        </is>
      </c>
      <c r="B164" s="3" t="inlineStr">
        <is>
          <t>J</t>
        </is>
      </c>
      <c r="C164" s="3" t="inlineStr">
        <is>
          <t>HVJ102</t>
        </is>
      </c>
      <c r="D164" s="3" t="b">
        <v>0</v>
      </c>
      <c r="E164" s="3" t="b">
        <v>0</v>
      </c>
      <c r="F164" s="3">
        <f>SUMIFS('Cashflow Projection'!$C$7:$C$23,'Cashflow Projection'!$B$7:$B$23,Sales!$B164,'Cashflow Projection'!$A$7:$A$23,Sales!$A164)</f>
        <v/>
      </c>
      <c r="G164" s="4" t="n">
        <v>45552</v>
      </c>
      <c r="H164" s="4" t="n">
        <v>45552</v>
      </c>
      <c r="I164" s="3" t="n">
        <v>1749900</v>
      </c>
      <c r="J164" s="3" t="n">
        <v>228247.8260869565</v>
      </c>
      <c r="K164" s="3" t="n">
        <v>1521652.173913044</v>
      </c>
      <c r="L164" s="3" t="n">
        <v>18502.08</v>
      </c>
      <c r="M164" s="3" t="n">
        <v>1789</v>
      </c>
      <c r="N164" s="3" t="n">
        <v>8749.5</v>
      </c>
      <c r="O164" s="3" t="n">
        <v>87495</v>
      </c>
      <c r="P164" s="3" t="n">
        <v>19224.37</v>
      </c>
      <c r="Q164" s="3" t="n">
        <v>1614140.05</v>
      </c>
      <c r="R164" s="9">
        <f>(SUMIFS(Investors!$M:$M,Investors!$E:$E,Sales!$C164,Investors!$O:$O,FALSE)+SUMIFS(Investors!$S:$S,Investors!$E:$E,Sales!$C164,Investors!$O:$O,FALSE))*$F164</f>
        <v/>
      </c>
      <c r="S164" s="9">
        <f>IF(T164=FALSE,Q164-R164,+V164)</f>
        <v/>
      </c>
      <c r="T164" s="3" t="b">
        <v>0</v>
      </c>
      <c r="U164" s="4" t="n">
        <v>45626</v>
      </c>
      <c r="V164" s="9" t="n">
        <v>240804.3385128765</v>
      </c>
    </row>
    <row r="165">
      <c r="A165" s="3" t="inlineStr">
        <is>
          <t>Heron View</t>
        </is>
      </c>
      <c r="B165" s="3" t="inlineStr">
        <is>
          <t>C</t>
        </is>
      </c>
      <c r="C165" s="3" t="inlineStr">
        <is>
          <t>HVC106</t>
        </is>
      </c>
      <c r="D165" s="3" t="b">
        <v>1</v>
      </c>
      <c r="E165" s="3" t="b">
        <v>1</v>
      </c>
      <c r="F165" s="3">
        <f>SUMIFS('Cashflow Projection'!$C$7:$C$23,'Cashflow Projection'!$B$7:$B$23,Sales!$B165,'Cashflow Projection'!$A$7:$A$23,Sales!$A165)</f>
        <v/>
      </c>
      <c r="G165" s="4" t="n">
        <v>45170</v>
      </c>
      <c r="H165" s="4" t="n">
        <v>45688</v>
      </c>
      <c r="I165" s="3" t="n">
        <v>1619900</v>
      </c>
      <c r="J165" s="3" t="n">
        <v>211291.3043478261</v>
      </c>
      <c r="K165" s="3" t="n">
        <v>1408608.695652174</v>
      </c>
      <c r="L165" s="3" t="n">
        <v>18502.08</v>
      </c>
      <c r="M165" s="3" t="n">
        <v>1789</v>
      </c>
      <c r="N165" s="3" t="n">
        <v>8099.5</v>
      </c>
      <c r="O165" s="3" t="n">
        <v>80995</v>
      </c>
      <c r="P165" s="3" t="n">
        <v>19224.37</v>
      </c>
      <c r="Q165" s="3" t="n">
        <v>1491290.05</v>
      </c>
      <c r="R165" s="9">
        <f>(SUMIFS(Investors!$M:$M,Investors!$E:$E,Sales!$C165,Investors!$O:$O,FALSE)+SUMIFS(Investors!$S:$S,Investors!$E:$E,Sales!$C165,Investors!$O:$O,FALSE))*$F165</f>
        <v/>
      </c>
      <c r="S165" s="9">
        <f>IF(T165=FALSE,Q165-R165,+V165)</f>
        <v/>
      </c>
      <c r="T165" s="3" t="b">
        <v>0</v>
      </c>
      <c r="U165" s="4" t="n">
        <v>45747</v>
      </c>
      <c r="V165" s="9" t="n">
        <v>217507.3102739723</v>
      </c>
    </row>
    <row r="166">
      <c r="A166" s="3" t="inlineStr">
        <is>
          <t>Heron View</t>
        </is>
      </c>
      <c r="B166" s="3" t="inlineStr">
        <is>
          <t>M</t>
        </is>
      </c>
      <c r="C166" s="3" t="inlineStr">
        <is>
          <t>HVM103</t>
        </is>
      </c>
      <c r="D166" s="3" t="b">
        <v>0</v>
      </c>
      <c r="E166" s="3" t="b">
        <v>0</v>
      </c>
      <c r="F166" s="3">
        <f>SUMIFS('Cashflow Projection'!$C$7:$C$23,'Cashflow Projection'!$B$7:$B$23,Sales!$B166,'Cashflow Projection'!$A$7:$A$23,Sales!$A166)</f>
        <v/>
      </c>
      <c r="G166" s="4" t="n">
        <v>45450</v>
      </c>
      <c r="H166" s="4" t="n">
        <v>45450</v>
      </c>
      <c r="I166" s="3" t="n">
        <v>1699900</v>
      </c>
      <c r="J166" s="3" t="n">
        <v>221726.0869565217</v>
      </c>
      <c r="K166" s="3" t="n">
        <v>1478173.913043478</v>
      </c>
      <c r="L166" s="3" t="n">
        <v>18502.08</v>
      </c>
      <c r="M166" s="3" t="n">
        <v>1789</v>
      </c>
      <c r="N166" s="3" t="n">
        <v>8499.5</v>
      </c>
      <c r="O166" s="3" t="n">
        <v>84995</v>
      </c>
      <c r="P166" s="3" t="n">
        <v>19224.37</v>
      </c>
      <c r="Q166" s="3" t="n">
        <v>1566890.05</v>
      </c>
      <c r="R166" s="9">
        <f>(SUMIFS(Investors!$M:$M,Investors!$E:$E,Sales!$C166,Investors!$O:$O,FALSE)+SUMIFS(Investors!$S:$S,Investors!$E:$E,Sales!$C166,Investors!$O:$O,FALSE))*$F166</f>
        <v/>
      </c>
      <c r="S166" s="9">
        <f>IF(T166=FALSE,Q166-R166,+V166)</f>
        <v/>
      </c>
      <c r="T166" s="3" t="b">
        <v>0</v>
      </c>
      <c r="U166" s="4" t="n">
        <v>45504</v>
      </c>
      <c r="V166" s="9" t="n">
        <v>350186.1152468491</v>
      </c>
    </row>
    <row r="167">
      <c r="A167" s="3" t="inlineStr">
        <is>
          <t>Heron View</t>
        </is>
      </c>
      <c r="B167" s="3" t="inlineStr">
        <is>
          <t>L</t>
        </is>
      </c>
      <c r="C167" s="3" t="inlineStr">
        <is>
          <t>HVL103</t>
        </is>
      </c>
      <c r="D167" s="3" t="b">
        <v>0</v>
      </c>
      <c r="E167" s="3" t="b">
        <v>0</v>
      </c>
      <c r="F167" s="3">
        <f>SUMIFS('Cashflow Projection'!$C$7:$C$23,'Cashflow Projection'!$B$7:$B$23,Sales!$B167,'Cashflow Projection'!$A$7:$A$23,Sales!$A167)</f>
        <v/>
      </c>
      <c r="G167" s="4" t="n">
        <v>45499</v>
      </c>
      <c r="H167" s="4" t="n">
        <v>45516</v>
      </c>
      <c r="I167" s="3" t="n">
        <v>1499900</v>
      </c>
      <c r="J167" s="3" t="n">
        <v>195639.1304347826</v>
      </c>
      <c r="K167" s="3" t="n">
        <v>1304260.869565218</v>
      </c>
      <c r="L167" s="3" t="n">
        <v>18502.08</v>
      </c>
      <c r="M167" s="3" t="n">
        <v>1789</v>
      </c>
      <c r="N167" s="3" t="n">
        <v>7499.5</v>
      </c>
      <c r="O167" s="3" t="n">
        <v>74995</v>
      </c>
      <c r="P167" s="3" t="n">
        <v>19224.37</v>
      </c>
      <c r="Q167" s="3" t="n">
        <v>1377890.05</v>
      </c>
      <c r="R167" s="9">
        <f>(SUMIFS(Investors!$M:$M,Investors!$E:$E,Sales!$C167,Investors!$O:$O,FALSE)+SUMIFS(Investors!$S:$S,Investors!$E:$E,Sales!$C167,Investors!$O:$O,FALSE))*$F167</f>
        <v/>
      </c>
      <c r="S167" s="9">
        <f>IF(T167=FALSE,Q167-R167,+V167)</f>
        <v/>
      </c>
      <c r="T167" s="3" t="b">
        <v>0</v>
      </c>
      <c r="U167" s="4" t="n">
        <v>45565</v>
      </c>
      <c r="V167" s="9" t="n">
        <v>91715.12276273966</v>
      </c>
    </row>
    <row r="168">
      <c r="A168" s="3" t="inlineStr">
        <is>
          <t>Heron View</t>
        </is>
      </c>
      <c r="B168" s="3" t="inlineStr">
        <is>
          <t>O</t>
        </is>
      </c>
      <c r="C168" s="3" t="inlineStr">
        <is>
          <t>HVO202</t>
        </is>
      </c>
      <c r="D168" s="3" t="b">
        <v>0</v>
      </c>
      <c r="E168" s="3" t="b">
        <v>0</v>
      </c>
      <c r="F168" s="3">
        <f>SUMIFS('Cashflow Projection'!$C$7:$C$23,'Cashflow Projection'!$B$7:$B$23,Sales!$B168,'Cashflow Projection'!$A$7:$A$23,Sales!$A168)</f>
        <v/>
      </c>
      <c r="G168" s="4" t="n">
        <v>45518</v>
      </c>
      <c r="H168" s="4" t="n">
        <v>45518</v>
      </c>
      <c r="I168" s="3" t="n">
        <v>1679900</v>
      </c>
      <c r="J168" s="3" t="n">
        <v>219117.3913043478</v>
      </c>
      <c r="K168" s="3" t="n">
        <v>1460782.608695652</v>
      </c>
      <c r="L168" s="3" t="n">
        <v>18502.08</v>
      </c>
      <c r="M168" s="3" t="n">
        <v>1789</v>
      </c>
      <c r="N168" s="3" t="n">
        <v>8399.5</v>
      </c>
      <c r="O168" s="3" t="n">
        <v>83995</v>
      </c>
      <c r="P168" s="3" t="n">
        <v>19224.37</v>
      </c>
      <c r="Q168" s="3" t="n">
        <v>1547990.05</v>
      </c>
      <c r="R168" s="9">
        <f>(SUMIFS(Investors!$M:$M,Investors!$E:$E,Sales!$C168,Investors!$O:$O,FALSE)+SUMIFS(Investors!$S:$S,Investors!$E:$E,Sales!$C168,Investors!$O:$O,FALSE))*$F168</f>
        <v/>
      </c>
      <c r="S168" s="9">
        <f>IF(T168=FALSE,Q168-R168,+V168)</f>
        <v/>
      </c>
      <c r="T168" s="3" t="b">
        <v>0</v>
      </c>
      <c r="U168" s="4" t="n">
        <v>45565</v>
      </c>
      <c r="V168" s="9" t="n">
        <v>165703.5267766435</v>
      </c>
    </row>
    <row r="169">
      <c r="A169" s="3" t="inlineStr">
        <is>
          <t>Heron View</t>
        </is>
      </c>
      <c r="B169" s="3" t="inlineStr">
        <is>
          <t>P</t>
        </is>
      </c>
      <c r="C169" s="3" t="inlineStr">
        <is>
          <t>HVP303</t>
        </is>
      </c>
      <c r="D169" s="3" t="b">
        <v>0</v>
      </c>
      <c r="E169" s="3" t="b">
        <v>0</v>
      </c>
      <c r="F169" s="3">
        <f>SUMIFS('Cashflow Projection'!$C$7:$C$23,'Cashflow Projection'!$B$7:$B$23,Sales!$B169,'Cashflow Projection'!$A$7:$A$23,Sales!$A169)</f>
        <v/>
      </c>
      <c r="G169" s="4" t="n">
        <v>45456</v>
      </c>
      <c r="H169" s="4" t="n">
        <v>45456</v>
      </c>
      <c r="I169" s="3" t="n">
        <v>1749900</v>
      </c>
      <c r="J169" s="3" t="n">
        <v>228247.8260869565</v>
      </c>
      <c r="K169" s="3" t="n">
        <v>1521652.173913044</v>
      </c>
      <c r="L169" s="3" t="n">
        <v>18502.08</v>
      </c>
      <c r="M169" s="3" t="n">
        <v>1789</v>
      </c>
      <c r="N169" s="3" t="n">
        <v>8749.5</v>
      </c>
      <c r="O169" s="3" t="n">
        <v>87495</v>
      </c>
      <c r="P169" s="3" t="n">
        <v>19224.37</v>
      </c>
      <c r="Q169" s="3" t="n">
        <v>1614140.05</v>
      </c>
      <c r="R169" s="9">
        <f>(SUMIFS(Investors!$M:$M,Investors!$E:$E,Sales!$C169,Investors!$O:$O,FALSE)+SUMIFS(Investors!$S:$S,Investors!$E:$E,Sales!$C169,Investors!$O:$O,FALSE))*$F169</f>
        <v/>
      </c>
      <c r="S169" s="9">
        <f>IF(T169=FALSE,Q169-R169,+V169)</f>
        <v/>
      </c>
      <c r="T169" s="3" t="b">
        <v>0</v>
      </c>
      <c r="U169" s="4" t="n">
        <v>45504</v>
      </c>
      <c r="V169" s="9" t="n">
        <v>187304.4335616436</v>
      </c>
    </row>
    <row r="170">
      <c r="A170" s="3" t="inlineStr">
        <is>
          <t>Heron View</t>
        </is>
      </c>
      <c r="B170" s="3" t="inlineStr">
        <is>
          <t>H</t>
        </is>
      </c>
      <c r="C170" s="3" t="inlineStr">
        <is>
          <t>HVH101</t>
        </is>
      </c>
      <c r="D170" s="3" t="b">
        <v>1</v>
      </c>
      <c r="E170" s="3" t="b">
        <v>0</v>
      </c>
      <c r="F170" s="3">
        <f>SUMIFS('Cashflow Projection'!$C$7:$C$23,'Cashflow Projection'!$B$7:$B$23,Sales!$B170,'Cashflow Projection'!$A$7:$A$23,Sales!$A170)</f>
        <v/>
      </c>
      <c r="G170" s="4" t="n">
        <v>45490</v>
      </c>
      <c r="H170" s="4" t="n">
        <v>45490</v>
      </c>
      <c r="I170" s="3" t="n">
        <v>1690999</v>
      </c>
      <c r="J170" s="3" t="n">
        <v>220565.0869565217</v>
      </c>
      <c r="K170" s="3" t="n">
        <v>1470433.913043478</v>
      </c>
      <c r="L170" s="3" t="n">
        <v>18502.08</v>
      </c>
      <c r="M170" s="3" t="n">
        <v>1789</v>
      </c>
      <c r="N170" s="3" t="n">
        <v>8454.995000000001</v>
      </c>
      <c r="O170" s="3" t="n">
        <v>84549.95000000001</v>
      </c>
      <c r="P170" s="3" t="n">
        <v>19224.37</v>
      </c>
      <c r="Q170" s="3" t="n">
        <v>1558478.605</v>
      </c>
      <c r="R170" s="9">
        <f>(SUMIFS(Investors!$M:$M,Investors!$E:$E,Sales!$C170,Investors!$O:$O,FALSE)+SUMIFS(Investors!$S:$S,Investors!$E:$E,Sales!$C170,Investors!$O:$O,FALSE))*$F170</f>
        <v/>
      </c>
      <c r="S170" s="9">
        <f>IF(T170=FALSE,Q170-R170,+V170)</f>
        <v/>
      </c>
      <c r="T170" s="3" t="b">
        <v>0</v>
      </c>
      <c r="U170" s="4" t="n">
        <v>45565</v>
      </c>
      <c r="V170" s="9" t="n">
        <v>309541.6186986298</v>
      </c>
    </row>
    <row r="171">
      <c r="A171" s="3" t="inlineStr">
        <is>
          <t>Heron View</t>
        </is>
      </c>
      <c r="B171" s="3" t="inlineStr">
        <is>
          <t>I</t>
        </is>
      </c>
      <c r="C171" s="3" t="inlineStr">
        <is>
          <t>HVI204</t>
        </is>
      </c>
      <c r="D171" s="3" t="b">
        <v>0</v>
      </c>
      <c r="E171" s="3" t="b">
        <v>0</v>
      </c>
      <c r="F171" s="3">
        <f>SUMIFS('Cashflow Projection'!$C$7:$C$23,'Cashflow Projection'!$B$7:$B$23,Sales!$B171,'Cashflow Projection'!$A$7:$A$23,Sales!$A171)</f>
        <v/>
      </c>
      <c r="G171" s="4" t="n">
        <v>45491</v>
      </c>
      <c r="H171" s="4" t="n">
        <v>45491</v>
      </c>
      <c r="I171" s="3" t="n">
        <v>1549900</v>
      </c>
      <c r="J171" s="3" t="n">
        <v>202160.8695652174</v>
      </c>
      <c r="K171" s="3" t="n">
        <v>1347739.130434783</v>
      </c>
      <c r="L171" s="3" t="n">
        <v>18502.08</v>
      </c>
      <c r="M171" s="3" t="n">
        <v>1789</v>
      </c>
      <c r="N171" s="3" t="n">
        <v>7749.5</v>
      </c>
      <c r="O171" s="3" t="n">
        <v>77495</v>
      </c>
      <c r="P171" s="3" t="n">
        <v>19224.37</v>
      </c>
      <c r="Q171" s="3" t="n">
        <v>1425140.05</v>
      </c>
      <c r="R171" s="9">
        <f>(SUMIFS(Investors!$M:$M,Investors!$E:$E,Sales!$C171,Investors!$O:$O,FALSE)+SUMIFS(Investors!$S:$S,Investors!$E:$E,Sales!$C171,Investors!$O:$O,FALSE))*$F171</f>
        <v/>
      </c>
      <c r="S171" s="9">
        <f>IF(T171=FALSE,Q171-R171,+V171)</f>
        <v/>
      </c>
      <c r="T171" s="3" t="b">
        <v>0</v>
      </c>
      <c r="U171" s="4" t="n">
        <v>45565</v>
      </c>
      <c r="V171" s="9" t="n">
        <v>150677.0363013698</v>
      </c>
    </row>
    <row r="172">
      <c r="A172" s="3" t="inlineStr">
        <is>
          <t>Endulini</t>
        </is>
      </c>
      <c r="B172" s="3" t="inlineStr">
        <is>
          <t>A</t>
        </is>
      </c>
      <c r="C172" s="3" t="inlineStr">
        <is>
          <t>EA307</t>
        </is>
      </c>
      <c r="D172" s="3" t="b">
        <v>1</v>
      </c>
      <c r="E172" s="3" t="b">
        <v>1</v>
      </c>
      <c r="F172" s="3">
        <f>SUMIFS('Cashflow Projection'!$C$7:$C$23,'Cashflow Projection'!$B$7:$B$23,Sales!$B172,'Cashflow Projection'!$A$7:$A$23,Sales!$A172)</f>
        <v/>
      </c>
      <c r="G172" s="4" t="n">
        <v>45089</v>
      </c>
      <c r="H172" s="4" t="n">
        <v>45688</v>
      </c>
      <c r="I172" s="3" t="n">
        <v>1569900</v>
      </c>
      <c r="J172" s="3" t="n">
        <v>204769.5652173913</v>
      </c>
      <c r="K172" s="3" t="n">
        <v>1365130.434782609</v>
      </c>
      <c r="L172" s="3" t="n">
        <v>18502.08</v>
      </c>
      <c r="M172" s="3" t="n">
        <v>1789</v>
      </c>
      <c r="N172" s="3" t="n">
        <v>7849.5</v>
      </c>
      <c r="O172" s="3" t="n">
        <v>78495</v>
      </c>
      <c r="P172" s="3" t="n">
        <v>19224.37</v>
      </c>
      <c r="Q172" s="3" t="n">
        <v>1444040.05</v>
      </c>
      <c r="R172" s="9">
        <f>(SUMIFS(Investors!$M:$M,Investors!$E:$E,Sales!$C172,Investors!$O:$O,FALSE)+SUMIFS(Investors!$S:$S,Investors!$E:$E,Sales!$C172,Investors!$O:$O,FALSE))*$F172</f>
        <v/>
      </c>
      <c r="S172" s="9">
        <f>IF(T172=FALSE,Q172-R172,+V172)</f>
        <v/>
      </c>
      <c r="T172" s="3" t="b">
        <v>0</v>
      </c>
      <c r="U172" s="4" t="n">
        <v>45747</v>
      </c>
      <c r="V172" s="9" t="n">
        <v>262736.58569726</v>
      </c>
    </row>
    <row r="173">
      <c r="A173" s="3" t="inlineStr">
        <is>
          <t>Endulini</t>
        </is>
      </c>
      <c r="B173" s="3" t="inlineStr">
        <is>
          <t>B</t>
        </is>
      </c>
      <c r="C173" s="3" t="inlineStr">
        <is>
          <t>EB202</t>
        </is>
      </c>
      <c r="D173" s="3" t="b">
        <v>0</v>
      </c>
      <c r="E173" s="3" t="b">
        <v>0</v>
      </c>
      <c r="F173" s="3">
        <f>SUMIFS('Cashflow Projection'!$C$7:$C$23,'Cashflow Projection'!$B$7:$B$23,Sales!$B173,'Cashflow Projection'!$A$7:$A$23,Sales!$A173)</f>
        <v/>
      </c>
      <c r="G173" s="4" t="n">
        <v>45478</v>
      </c>
      <c r="H173" s="4" t="n">
        <v>45478</v>
      </c>
      <c r="I173" s="3" t="n">
        <v>1499900</v>
      </c>
      <c r="J173" s="3" t="n">
        <v>0</v>
      </c>
      <c r="K173" s="3" t="n">
        <v>1304260.869565218</v>
      </c>
      <c r="L173" s="3" t="n">
        <v>18502.08</v>
      </c>
      <c r="M173" s="3" t="n">
        <v>1789</v>
      </c>
      <c r="N173" s="3" t="n">
        <v>7499.5</v>
      </c>
      <c r="O173" s="3" t="n">
        <v>74995</v>
      </c>
      <c r="P173" s="3" t="n">
        <v>19224.37</v>
      </c>
      <c r="Q173" s="3" t="n">
        <v>1377890.05</v>
      </c>
      <c r="R173" s="9">
        <f>(SUMIFS(Investors!$M:$M,Investors!$E:$E,Sales!$C173,Investors!$O:$O,FALSE)+SUMIFS(Investors!$S:$S,Investors!$E:$E,Sales!$C173,Investors!$O:$O,FALSE))*$F173</f>
        <v/>
      </c>
      <c r="S173" s="9">
        <f>IF(T173=FALSE,Q173-R173,+V173)</f>
        <v/>
      </c>
      <c r="T173" s="3" t="b">
        <v>1</v>
      </c>
      <c r="U173" s="4" t="n">
        <v>45565</v>
      </c>
      <c r="V173" s="9" t="n">
        <v>873000</v>
      </c>
    </row>
    <row r="174">
      <c r="A174" s="3" t="inlineStr">
        <is>
          <t>Endulini</t>
        </is>
      </c>
      <c r="B174" s="3" t="inlineStr">
        <is>
          <t>F</t>
        </is>
      </c>
      <c r="C174" s="3" t="inlineStr">
        <is>
          <t>EF202</t>
        </is>
      </c>
      <c r="D174" s="3" t="b">
        <v>1</v>
      </c>
      <c r="E174" s="3" t="b">
        <v>1</v>
      </c>
      <c r="F174" s="3">
        <f>SUMIFS('Cashflow Projection'!$C$7:$C$23,'Cashflow Projection'!$B$7:$B$23,Sales!$B174,'Cashflow Projection'!$A$7:$A$23,Sales!$A174)</f>
        <v/>
      </c>
      <c r="G174" s="4" t="n">
        <v>44686</v>
      </c>
      <c r="H174" s="4" t="n">
        <v>45688</v>
      </c>
      <c r="I174" s="3" t="n">
        <v>1479900</v>
      </c>
      <c r="J174" s="3" t="n">
        <v>193030.4347826087</v>
      </c>
      <c r="K174" s="3" t="n">
        <v>1286869.565217391</v>
      </c>
      <c r="L174" s="3" t="n">
        <v>18502.08</v>
      </c>
      <c r="M174" s="3" t="n">
        <v>1789</v>
      </c>
      <c r="N174" s="3" t="n">
        <v>7399.5</v>
      </c>
      <c r="O174" s="3" t="n">
        <v>73995</v>
      </c>
      <c r="P174" s="3" t="n">
        <v>19224.37</v>
      </c>
      <c r="Q174" s="3" t="n">
        <v>1358990.05</v>
      </c>
      <c r="R174" s="9">
        <f>(SUMIFS(Investors!$M:$M,Investors!$E:$E,Sales!$C174,Investors!$O:$O,FALSE)+SUMIFS(Investors!$S:$S,Investors!$E:$E,Sales!$C174,Investors!$O:$O,FALSE))*$F174</f>
        <v/>
      </c>
      <c r="S174" s="9">
        <f>IF(T174=FALSE,Q174-R174,+V174)</f>
        <v/>
      </c>
      <c r="T174" s="3" t="b">
        <v>0</v>
      </c>
      <c r="U174" s="4" t="n">
        <v>45747</v>
      </c>
      <c r="V174" s="9" t="n">
        <v>90057.00205479423</v>
      </c>
    </row>
    <row r="175">
      <c r="A175" s="3" t="inlineStr">
        <is>
          <t>Heron Fields</t>
        </is>
      </c>
      <c r="B175" s="3" t="inlineStr">
        <is>
          <t>B</t>
        </is>
      </c>
      <c r="C175" s="3" t="inlineStr">
        <is>
          <t>HFB202</t>
        </is>
      </c>
      <c r="D175" s="3" t="b">
        <v>1</v>
      </c>
      <c r="E175" s="3" t="b">
        <v>1</v>
      </c>
      <c r="F175" s="3">
        <f>SUMIFS('Cashflow Projection'!$C$7:$C$23,'Cashflow Projection'!$B$7:$B$23,Sales!$B175,'Cashflow Projection'!$A$7:$A$23,Sales!$A175)</f>
        <v/>
      </c>
      <c r="G175" s="4" t="n">
        <v>45007</v>
      </c>
      <c r="H175" s="4" t="n">
        <v>45688</v>
      </c>
      <c r="I175" s="3" t="n">
        <v>1424900</v>
      </c>
      <c r="J175" s="3" t="n">
        <v>185856.5217391304</v>
      </c>
      <c r="K175" s="3" t="n">
        <v>1239043.47826087</v>
      </c>
      <c r="L175" s="3" t="n">
        <v>18502.08</v>
      </c>
      <c r="M175" s="3" t="n">
        <v>1789</v>
      </c>
      <c r="N175" s="3" t="n">
        <v>7124.5</v>
      </c>
      <c r="O175" s="3" t="n">
        <v>71245</v>
      </c>
      <c r="P175" s="3" t="n">
        <v>19224.37</v>
      </c>
      <c r="Q175" s="3" t="n">
        <v>1307015.05</v>
      </c>
      <c r="R175" s="9">
        <f>(SUMIFS(Investors!$M:$M,Investors!$E:$E,Sales!$C175,Investors!$O:$O,FALSE)+SUMIFS(Investors!$S:$S,Investors!$E:$E,Sales!$C175,Investors!$O:$O,FALSE))*$F175</f>
        <v/>
      </c>
      <c r="S175" s="9">
        <f>IF(T175=FALSE,Q175-R175,+V175)</f>
        <v/>
      </c>
      <c r="T175" s="3" t="b">
        <v>0</v>
      </c>
      <c r="U175" s="4" t="n">
        <v>45747</v>
      </c>
      <c r="V175" s="9" t="n">
        <v>158996.2143835616</v>
      </c>
    </row>
    <row r="176">
      <c r="A176" s="3" t="inlineStr">
        <is>
          <t>Heron Fields</t>
        </is>
      </c>
      <c r="B176" s="3" t="inlineStr">
        <is>
          <t>A</t>
        </is>
      </c>
      <c r="C176" s="3" t="inlineStr">
        <is>
          <t>HFA303</t>
        </is>
      </c>
      <c r="D176" s="3" t="b">
        <v>1</v>
      </c>
      <c r="E176" s="3" t="b">
        <v>1</v>
      </c>
      <c r="F176" s="3">
        <f>SUMIFS('Cashflow Projection'!$C$7:$C$23,'Cashflow Projection'!$B$7:$B$23,Sales!$B176,'Cashflow Projection'!$A$7:$A$23,Sales!$A176)</f>
        <v/>
      </c>
      <c r="G176" s="4" t="n">
        <v>44896</v>
      </c>
      <c r="H176" s="4" t="n">
        <v>45688</v>
      </c>
      <c r="I176" s="3" t="n">
        <v>1349900</v>
      </c>
      <c r="J176" s="3" t="n">
        <v>176073.9130434782</v>
      </c>
      <c r="K176" s="3" t="n">
        <v>1173826.086956522</v>
      </c>
      <c r="L176" s="3" t="n">
        <v>18502.08</v>
      </c>
      <c r="M176" s="3" t="n">
        <v>1789</v>
      </c>
      <c r="N176" s="3" t="n">
        <v>6749.5</v>
      </c>
      <c r="O176" s="3" t="n">
        <v>67495</v>
      </c>
      <c r="P176" s="3" t="n">
        <v>19224.37</v>
      </c>
      <c r="Q176" s="3" t="n">
        <v>1236140.05</v>
      </c>
      <c r="R176" s="9">
        <f>(SUMIFS(Investors!$M:$M,Investors!$E:$E,Sales!$C176,Investors!$O:$O,FALSE)+SUMIFS(Investors!$S:$S,Investors!$E:$E,Sales!$C176,Investors!$O:$O,FALSE))*$F176</f>
        <v/>
      </c>
      <c r="S176" s="9">
        <f>IF(T176=FALSE,Q176-R176,+V176)</f>
        <v/>
      </c>
      <c r="T176" s="3" t="b">
        <v>0</v>
      </c>
      <c r="U176" s="4" t="n">
        <v>45747</v>
      </c>
      <c r="V176" s="9" t="n">
        <v>92601.46095890389</v>
      </c>
    </row>
    <row r="177">
      <c r="A177" s="3" t="inlineStr">
        <is>
          <t>Heron Fields</t>
        </is>
      </c>
      <c r="B177" s="3" t="inlineStr">
        <is>
          <t>B</t>
        </is>
      </c>
      <c r="C177" s="3" t="inlineStr">
        <is>
          <t>HFB309</t>
        </is>
      </c>
      <c r="D177" s="3" t="b">
        <v>1</v>
      </c>
      <c r="E177" s="3" t="b">
        <v>1</v>
      </c>
      <c r="F177" s="3">
        <f>SUMIFS('Cashflow Projection'!$C$7:$C$23,'Cashflow Projection'!$B$7:$B$23,Sales!$B177,'Cashflow Projection'!$A$7:$A$23,Sales!$A177)</f>
        <v/>
      </c>
      <c r="G177" s="4" t="n">
        <v>45086</v>
      </c>
      <c r="H177" s="4" t="n">
        <v>45688</v>
      </c>
      <c r="I177" s="3" t="n">
        <v>1429900</v>
      </c>
      <c r="J177" s="3" t="n">
        <v>186508.6956521739</v>
      </c>
      <c r="K177" s="3" t="n">
        <v>1243391.304347826</v>
      </c>
      <c r="L177" s="3" t="n">
        <v>18502.08</v>
      </c>
      <c r="M177" s="3" t="n">
        <v>1789</v>
      </c>
      <c r="N177" s="3" t="n">
        <v>7149.5</v>
      </c>
      <c r="O177" s="3" t="n">
        <v>71495</v>
      </c>
      <c r="P177" s="3" t="n">
        <v>19224.37</v>
      </c>
      <c r="Q177" s="3" t="n">
        <v>1311740.05</v>
      </c>
      <c r="R177" s="9">
        <f>(SUMIFS(Investors!$M:$M,Investors!$E:$E,Sales!$C177,Investors!$O:$O,FALSE)+SUMIFS(Investors!$S:$S,Investors!$E:$E,Sales!$C177,Investors!$O:$O,FALSE))*$F177</f>
        <v/>
      </c>
      <c r="S177" s="9">
        <f>IF(T177=FALSE,Q177-R177,+V177)</f>
        <v/>
      </c>
      <c r="T177" s="3" t="b">
        <v>0</v>
      </c>
      <c r="U177" s="4" t="n">
        <v>45747</v>
      </c>
      <c r="V177" s="9" t="n">
        <v>368807.706027123</v>
      </c>
    </row>
    <row r="178">
      <c r="A178" s="3" t="inlineStr">
        <is>
          <t>Heron View</t>
        </is>
      </c>
      <c r="B178" s="3" t="inlineStr">
        <is>
          <t>D</t>
        </is>
      </c>
      <c r="C178" s="3" t="inlineStr">
        <is>
          <t>HVD203</t>
        </is>
      </c>
      <c r="D178" s="3" t="b">
        <v>1</v>
      </c>
      <c r="E178" s="3" t="b">
        <v>1</v>
      </c>
      <c r="F178" s="3">
        <f>SUMIFS('Cashflow Projection'!$C$7:$C$23,'Cashflow Projection'!$B$7:$B$23,Sales!$B178,'Cashflow Projection'!$A$7:$A$23,Sales!$A178)</f>
        <v/>
      </c>
      <c r="G178" s="4" t="n">
        <v>45384</v>
      </c>
      <c r="H178" s="4" t="n">
        <v>45377</v>
      </c>
      <c r="I178" s="3" t="n">
        <v>1519900</v>
      </c>
      <c r="J178" s="3" t="n">
        <v>198247.8260869565</v>
      </c>
      <c r="K178" s="3" t="n">
        <v>1321652.173913044</v>
      </c>
      <c r="L178" s="3" t="n">
        <v>18502.08</v>
      </c>
      <c r="M178" s="3" t="n">
        <v>1789</v>
      </c>
      <c r="N178" s="3" t="n">
        <v>7599.5</v>
      </c>
      <c r="O178" s="3" t="n">
        <v>75995</v>
      </c>
      <c r="P178" s="3" t="n">
        <v>19224.37</v>
      </c>
      <c r="Q178" s="3" t="n">
        <v>1396790.05</v>
      </c>
      <c r="R178" s="9">
        <f>(SUMIFS(Investors!$M:$M,Investors!$E:$E,Sales!$C178,Investors!$O:$O,FALSE)+SUMIFS(Investors!$S:$S,Investors!$E:$E,Sales!$C178,Investors!$O:$O,FALSE))*$F178</f>
        <v/>
      </c>
      <c r="S178" s="9">
        <f>IF(T178=FALSE,Q178-R178,+V178)</f>
        <v/>
      </c>
      <c r="T178" s="3" t="b">
        <v>0</v>
      </c>
      <c r="U178" s="4" t="n">
        <v>45443</v>
      </c>
      <c r="V178" s="9" t="n">
        <v>70283.20068493136</v>
      </c>
    </row>
    <row r="179">
      <c r="A179" s="3" t="inlineStr">
        <is>
          <t>Heron View</t>
        </is>
      </c>
      <c r="B179" s="3" t="inlineStr">
        <is>
          <t>N</t>
        </is>
      </c>
      <c r="C179" s="3" t="inlineStr">
        <is>
          <t>HVN301</t>
        </is>
      </c>
      <c r="D179" s="3" t="b">
        <v>1</v>
      </c>
      <c r="E179" s="3" t="b">
        <v>0</v>
      </c>
      <c r="F179" s="3">
        <f>SUMIFS('Cashflow Projection'!$C$7:$C$23,'Cashflow Projection'!$B$7:$B$23,Sales!$B179,'Cashflow Projection'!$A$7:$A$23,Sales!$A179)</f>
        <v/>
      </c>
      <c r="G179" s="4" t="n">
        <v>45449</v>
      </c>
      <c r="H179" s="4" t="n">
        <v>45464</v>
      </c>
      <c r="I179" s="3" t="n">
        <v>1499900</v>
      </c>
      <c r="J179" s="3" t="n">
        <v>195639.1304347826</v>
      </c>
      <c r="K179" s="3" t="n">
        <v>1304260.869565218</v>
      </c>
      <c r="L179" s="3" t="n">
        <v>18502.08</v>
      </c>
      <c r="M179" s="3" t="n">
        <v>1789</v>
      </c>
      <c r="N179" s="3" t="n">
        <v>7499.5</v>
      </c>
      <c r="O179" s="3" t="n">
        <v>74995</v>
      </c>
      <c r="P179" s="3" t="n">
        <v>19224.37</v>
      </c>
      <c r="Q179" s="3" t="n">
        <v>1377890.05</v>
      </c>
      <c r="R179" s="9">
        <f>(SUMIFS(Investors!$M:$M,Investors!$E:$E,Sales!$C179,Investors!$O:$O,FALSE)+SUMIFS(Investors!$S:$S,Investors!$E:$E,Sales!$C179,Investors!$O:$O,FALSE))*$F179</f>
        <v/>
      </c>
      <c r="S179" s="9">
        <f>IF(T179=FALSE,Q179-R179,+V179)</f>
        <v/>
      </c>
      <c r="T179" s="3" t="b">
        <v>0</v>
      </c>
      <c r="U179" s="4" t="n">
        <v>45504</v>
      </c>
      <c r="V179" s="9" t="n">
        <v>16164.02260273951</v>
      </c>
    </row>
    <row r="180">
      <c r="A180" s="3" t="inlineStr">
        <is>
          <t>Heron View</t>
        </is>
      </c>
      <c r="B180" s="3" t="inlineStr">
        <is>
          <t>C</t>
        </is>
      </c>
      <c r="C180" s="3" t="inlineStr">
        <is>
          <t>HVC302</t>
        </is>
      </c>
      <c r="D180" s="3" t="b">
        <v>0</v>
      </c>
      <c r="E180" s="3" t="b">
        <v>0</v>
      </c>
      <c r="F180" s="3">
        <f>SUMIFS('Cashflow Projection'!$C$7:$C$23,'Cashflow Projection'!$B$7:$B$23,Sales!$B180,'Cashflow Projection'!$A$7:$A$23,Sales!$A180)</f>
        <v/>
      </c>
      <c r="G180" s="4" t="n">
        <v>45429</v>
      </c>
      <c r="H180" s="4" t="n">
        <v>45429</v>
      </c>
      <c r="I180" s="3" t="n">
        <v>1509900</v>
      </c>
      <c r="J180" s="3" t="n">
        <v>196943.4782608696</v>
      </c>
      <c r="K180" s="3" t="n">
        <v>1312956.521739131</v>
      </c>
      <c r="L180" s="3" t="n">
        <v>18502.08</v>
      </c>
      <c r="M180" s="3" t="n">
        <v>1789</v>
      </c>
      <c r="N180" s="3" t="n">
        <v>7549.5</v>
      </c>
      <c r="O180" s="3" t="n">
        <v>75495</v>
      </c>
      <c r="P180" s="3" t="n">
        <v>19224.37</v>
      </c>
      <c r="Q180" s="3" t="n">
        <v>1387340.05</v>
      </c>
      <c r="R180" s="9">
        <f>(SUMIFS(Investors!$M:$M,Investors!$E:$E,Sales!$C180,Investors!$O:$O,FALSE)+SUMIFS(Investors!$S:$S,Investors!$E:$E,Sales!$C180,Investors!$O:$O,FALSE))*$F180</f>
        <v/>
      </c>
      <c r="S180" s="9">
        <f>IF(T180=FALSE,Q180-R180,+V180)</f>
        <v/>
      </c>
      <c r="T180" s="3" t="b">
        <v>0</v>
      </c>
      <c r="U180" s="4" t="n">
        <v>45504</v>
      </c>
      <c r="V180" s="9" t="n">
        <v>-2950.521597671555</v>
      </c>
    </row>
    <row r="181">
      <c r="A181" s="3" t="inlineStr">
        <is>
          <t>Heron View</t>
        </is>
      </c>
      <c r="B181" s="3" t="inlineStr">
        <is>
          <t>C</t>
        </is>
      </c>
      <c r="C181" s="3" t="inlineStr">
        <is>
          <t>HVC102</t>
        </is>
      </c>
      <c r="D181" s="3" t="b">
        <v>1</v>
      </c>
      <c r="E181" s="3" t="b">
        <v>1</v>
      </c>
      <c r="F181" s="3">
        <f>SUMIFS('Cashflow Projection'!$C$7:$C$23,'Cashflow Projection'!$B$7:$B$23,Sales!$B181,'Cashflow Projection'!$A$7:$A$23,Sales!$A181)</f>
        <v/>
      </c>
      <c r="G181" s="4" t="n">
        <v>45154</v>
      </c>
      <c r="H181" s="4" t="n">
        <v>45688</v>
      </c>
      <c r="I181" s="3" t="n">
        <v>1619900</v>
      </c>
      <c r="J181" s="3" t="n">
        <v>211291.3043478261</v>
      </c>
      <c r="K181" s="3" t="n">
        <v>1408608.695652174</v>
      </c>
      <c r="L181" s="3" t="n">
        <v>18502.08</v>
      </c>
      <c r="M181" s="3" t="n">
        <v>1789</v>
      </c>
      <c r="N181" s="3" t="n">
        <v>8099.5</v>
      </c>
      <c r="O181" s="3" t="n">
        <v>80995</v>
      </c>
      <c r="P181" s="3" t="n">
        <v>19224.37</v>
      </c>
      <c r="Q181" s="3" t="n">
        <v>1491290.05</v>
      </c>
      <c r="R181" s="9">
        <f>(SUMIFS(Investors!$M:$M,Investors!$E:$E,Sales!$C181,Investors!$O:$O,FALSE)+SUMIFS(Investors!$S:$S,Investors!$E:$E,Sales!$C181,Investors!$O:$O,FALSE))*$F181</f>
        <v/>
      </c>
      <c r="S181" s="9">
        <f>IF(T181=FALSE,Q181-R181,+V181)</f>
        <v/>
      </c>
      <c r="T181" s="3" t="b">
        <v>0</v>
      </c>
      <c r="U181" s="4" t="n">
        <v>45747</v>
      </c>
      <c r="V181" s="9" t="n">
        <v>228279.0910958902</v>
      </c>
    </row>
    <row r="182">
      <c r="A182" s="3" t="inlineStr">
        <is>
          <t>Heron View</t>
        </is>
      </c>
      <c r="B182" s="3" t="inlineStr">
        <is>
          <t>M</t>
        </is>
      </c>
      <c r="C182" s="3" t="inlineStr">
        <is>
          <t>HVM201</t>
        </is>
      </c>
      <c r="D182" s="3" t="b">
        <v>0</v>
      </c>
      <c r="E182" s="3" t="b">
        <v>0</v>
      </c>
      <c r="F182" s="3">
        <f>SUMIFS('Cashflow Projection'!$C$7:$C$23,'Cashflow Projection'!$B$7:$B$23,Sales!$B182,'Cashflow Projection'!$A$7:$A$23,Sales!$A182)</f>
        <v/>
      </c>
      <c r="G182" s="4" t="n">
        <v>45450</v>
      </c>
      <c r="H182" s="4" t="n">
        <v>45450</v>
      </c>
      <c r="I182" s="3" t="n">
        <v>1709900</v>
      </c>
      <c r="J182" s="3" t="n">
        <v>223030.4347826087</v>
      </c>
      <c r="K182" s="3" t="n">
        <v>1486869.565217391</v>
      </c>
      <c r="L182" s="3" t="n">
        <v>18502.08</v>
      </c>
      <c r="M182" s="3" t="n">
        <v>1789</v>
      </c>
      <c r="N182" s="3" t="n">
        <v>8549.5</v>
      </c>
      <c r="O182" s="3" t="n">
        <v>85495</v>
      </c>
      <c r="P182" s="3" t="n">
        <v>19224.37</v>
      </c>
      <c r="Q182" s="3" t="n">
        <v>1576340.05</v>
      </c>
      <c r="R182" s="9">
        <f>(SUMIFS(Investors!$M:$M,Investors!$E:$E,Sales!$C182,Investors!$O:$O,FALSE)+SUMIFS(Investors!$S:$S,Investors!$E:$E,Sales!$C182,Investors!$O:$O,FALSE))*$F182</f>
        <v/>
      </c>
      <c r="S182" s="9">
        <f>IF(T182=FALSE,Q182-R182,+V182)</f>
        <v/>
      </c>
      <c r="T182" s="3" t="b">
        <v>0</v>
      </c>
      <c r="U182" s="4" t="n">
        <v>45504</v>
      </c>
      <c r="V182" s="9" t="n">
        <v>266616.762328767</v>
      </c>
    </row>
    <row r="183">
      <c r="A183" s="3" t="inlineStr">
        <is>
          <t>Heron View</t>
        </is>
      </c>
      <c r="B183" s="3" t="inlineStr">
        <is>
          <t>K</t>
        </is>
      </c>
      <c r="C183" s="3" t="inlineStr">
        <is>
          <t>HVK302</t>
        </is>
      </c>
      <c r="D183" s="3" t="b">
        <v>0</v>
      </c>
      <c r="E183" s="3" t="b">
        <v>0</v>
      </c>
      <c r="F183" s="3">
        <f>SUMIFS('Cashflow Projection'!$C$7:$C$23,'Cashflow Projection'!$B$7:$B$23,Sales!$B183,'Cashflow Projection'!$A$7:$A$23,Sales!$A183)</f>
        <v/>
      </c>
      <c r="G183" s="4" t="n">
        <v>45510</v>
      </c>
      <c r="H183" s="4" t="n">
        <v>45510</v>
      </c>
      <c r="I183" s="3" t="n">
        <v>1529900</v>
      </c>
      <c r="J183" s="3" t="n">
        <v>199552.1739130435</v>
      </c>
      <c r="K183" s="3" t="n">
        <v>1330347.826086957</v>
      </c>
      <c r="L183" s="3" t="n">
        <v>18502.08</v>
      </c>
      <c r="M183" s="3" t="n">
        <v>1789</v>
      </c>
      <c r="N183" s="3" t="n">
        <v>7649.5</v>
      </c>
      <c r="O183" s="3" t="n">
        <v>76495</v>
      </c>
      <c r="P183" s="3" t="n">
        <v>19224.37</v>
      </c>
      <c r="Q183" s="3" t="n">
        <v>1406240.05</v>
      </c>
      <c r="R183" s="9">
        <f>(SUMIFS(Investors!$M:$M,Investors!$E:$E,Sales!$C183,Investors!$O:$O,FALSE)+SUMIFS(Investors!$S:$S,Investors!$E:$E,Sales!$C183,Investors!$O:$O,FALSE))*$F183</f>
        <v/>
      </c>
      <c r="S183" s="9">
        <f>IF(T183=FALSE,Q183-R183,+V183)</f>
        <v/>
      </c>
      <c r="T183" s="3" t="b">
        <v>0</v>
      </c>
      <c r="U183" s="4" t="n">
        <v>45565</v>
      </c>
      <c r="V183" s="9" t="n">
        <v>28568.8429975342</v>
      </c>
    </row>
    <row r="184">
      <c r="A184" s="3" t="inlineStr">
        <is>
          <t>Heron View</t>
        </is>
      </c>
      <c r="B184" s="3" t="inlineStr">
        <is>
          <t>C</t>
        </is>
      </c>
      <c r="C184" s="3" t="inlineStr">
        <is>
          <t>HVC103</t>
        </is>
      </c>
      <c r="D184" s="3" t="b">
        <v>1</v>
      </c>
      <c r="E184" s="3" t="b">
        <v>1</v>
      </c>
      <c r="F184" s="3">
        <f>SUMIFS('Cashflow Projection'!$C$7:$C$23,'Cashflow Projection'!$B$7:$B$23,Sales!$B184,'Cashflow Projection'!$A$7:$A$23,Sales!$A184)</f>
        <v/>
      </c>
      <c r="G184" s="4" t="n">
        <v>45174</v>
      </c>
      <c r="H184" s="4" t="n">
        <v>45688</v>
      </c>
      <c r="I184" s="3" t="n">
        <v>1619900</v>
      </c>
      <c r="J184" s="3" t="n">
        <v>211291.3043478261</v>
      </c>
      <c r="K184" s="3" t="n">
        <v>1408608.695652174</v>
      </c>
      <c r="L184" s="3" t="n">
        <v>18502.08</v>
      </c>
      <c r="M184" s="3" t="n">
        <v>1789</v>
      </c>
      <c r="N184" s="3" t="n">
        <v>8099.5</v>
      </c>
      <c r="O184" s="3" t="n">
        <v>80995</v>
      </c>
      <c r="P184" s="3" t="n">
        <v>19224.37</v>
      </c>
      <c r="Q184" s="3" t="n">
        <v>1491290.05</v>
      </c>
      <c r="R184" s="9">
        <f>(SUMIFS(Investors!$M:$M,Investors!$E:$E,Sales!$C184,Investors!$O:$O,FALSE)+SUMIFS(Investors!$S:$S,Investors!$E:$E,Sales!$C184,Investors!$O:$O,FALSE))*$F184</f>
        <v/>
      </c>
      <c r="S184" s="9">
        <f>IF(T184=FALSE,Q184-R184,+V184)</f>
        <v/>
      </c>
      <c r="T184" s="3" t="b">
        <v>0</v>
      </c>
      <c r="U184" s="4" t="n">
        <v>45747</v>
      </c>
      <c r="V184" s="9" t="n">
        <v>197267.0595569862</v>
      </c>
    </row>
    <row r="185">
      <c r="A185" s="3" t="inlineStr">
        <is>
          <t>Heron View</t>
        </is>
      </c>
      <c r="B185" s="3" t="inlineStr">
        <is>
          <t>L</t>
        </is>
      </c>
      <c r="C185" s="3" t="inlineStr">
        <is>
          <t>HVL104</t>
        </is>
      </c>
      <c r="D185" s="3" t="b">
        <v>0</v>
      </c>
      <c r="E185" s="3" t="b">
        <v>0</v>
      </c>
      <c r="F185" s="3">
        <f>SUMIFS('Cashflow Projection'!$C$7:$C$23,'Cashflow Projection'!$B$7:$B$23,Sales!$B185,'Cashflow Projection'!$A$7:$A$23,Sales!$A185)</f>
        <v/>
      </c>
      <c r="G185" s="4" t="n">
        <v>45499</v>
      </c>
      <c r="H185" s="4" t="n">
        <v>45516</v>
      </c>
      <c r="I185" s="3" t="n">
        <v>1499900</v>
      </c>
      <c r="J185" s="3" t="n">
        <v>195639.1304347826</v>
      </c>
      <c r="K185" s="3" t="n">
        <v>1304260.869565218</v>
      </c>
      <c r="L185" s="3" t="n">
        <v>18502.08</v>
      </c>
      <c r="M185" s="3" t="n">
        <v>1789</v>
      </c>
      <c r="N185" s="3" t="n">
        <v>7499.5</v>
      </c>
      <c r="O185" s="3" t="n">
        <v>74995</v>
      </c>
      <c r="P185" s="3" t="n">
        <v>19224.37</v>
      </c>
      <c r="Q185" s="3" t="n">
        <v>1377890.05</v>
      </c>
      <c r="R185" s="9">
        <f>(SUMIFS(Investors!$M:$M,Investors!$E:$E,Sales!$C185,Investors!$O:$O,FALSE)+SUMIFS(Investors!$S:$S,Investors!$E:$E,Sales!$C185,Investors!$O:$O,FALSE))*$F185</f>
        <v/>
      </c>
      <c r="S185" s="9">
        <f>IF(T185=FALSE,Q185-R185,+V185)</f>
        <v/>
      </c>
      <c r="T185" s="3" t="b">
        <v>0</v>
      </c>
      <c r="U185" s="4" t="n">
        <v>45565</v>
      </c>
      <c r="V185" s="9" t="n">
        <v>89865.39246575325</v>
      </c>
    </row>
    <row r="186">
      <c r="A186" s="3" t="inlineStr">
        <is>
          <t>Heron View</t>
        </is>
      </c>
      <c r="B186" s="3" t="inlineStr">
        <is>
          <t>C</t>
        </is>
      </c>
      <c r="C186" s="3" t="inlineStr">
        <is>
          <t>HVC203</t>
        </is>
      </c>
      <c r="D186" s="3" t="b">
        <v>1</v>
      </c>
      <c r="E186" s="3" t="b">
        <v>1</v>
      </c>
      <c r="F186" s="3">
        <f>SUMIFS('Cashflow Projection'!$C$7:$C$23,'Cashflow Projection'!$B$7:$B$23,Sales!$B186,'Cashflow Projection'!$A$7:$A$23,Sales!$A186)</f>
        <v/>
      </c>
      <c r="G186" s="4" t="n">
        <v>45154</v>
      </c>
      <c r="H186" s="4" t="n">
        <v>45688</v>
      </c>
      <c r="I186" s="3" t="n">
        <v>1499900</v>
      </c>
      <c r="J186" s="3" t="n">
        <v>195639.1304347826</v>
      </c>
      <c r="K186" s="3" t="n">
        <v>1304260.869565218</v>
      </c>
      <c r="L186" s="3" t="n">
        <v>18502.08</v>
      </c>
      <c r="M186" s="3" t="n">
        <v>1789</v>
      </c>
      <c r="N186" s="3" t="n">
        <v>7499.5</v>
      </c>
      <c r="O186" s="3" t="n">
        <v>74995</v>
      </c>
      <c r="P186" s="3" t="n">
        <v>19224.37</v>
      </c>
      <c r="Q186" s="3" t="n">
        <v>1377890.05</v>
      </c>
      <c r="R186" s="9">
        <f>(SUMIFS(Investors!$M:$M,Investors!$E:$E,Sales!$C186,Investors!$O:$O,FALSE)+SUMIFS(Investors!$S:$S,Investors!$E:$E,Sales!$C186,Investors!$O:$O,FALSE))*$F186</f>
        <v/>
      </c>
      <c r="S186" s="9">
        <f>IF(T186=FALSE,Q186-R186,+V186)</f>
        <v/>
      </c>
      <c r="T186" s="3" t="b">
        <v>0</v>
      </c>
      <c r="U186" s="4" t="n">
        <v>45747</v>
      </c>
      <c r="V186" s="9" t="n">
        <v>129372.2417808217</v>
      </c>
    </row>
    <row r="187">
      <c r="A187" s="3" t="inlineStr">
        <is>
          <t>Heron View</t>
        </is>
      </c>
      <c r="B187" s="3" t="inlineStr">
        <is>
          <t>H</t>
        </is>
      </c>
      <c r="C187" s="3" t="inlineStr">
        <is>
          <t>HVH104</t>
        </is>
      </c>
      <c r="D187" s="3" t="b">
        <v>1</v>
      </c>
      <c r="E187" s="3" t="b">
        <v>0</v>
      </c>
      <c r="F187" s="3">
        <f>SUMIFS('Cashflow Projection'!$C$7:$C$23,'Cashflow Projection'!$B$7:$B$23,Sales!$B187,'Cashflow Projection'!$A$7:$A$23,Sales!$A187)</f>
        <v/>
      </c>
      <c r="G187" s="4" t="n">
        <v>45490</v>
      </c>
      <c r="H187" s="4" t="n">
        <v>45490</v>
      </c>
      <c r="I187" s="3" t="n">
        <v>1690999</v>
      </c>
      <c r="J187" s="3" t="n">
        <v>220565.0869565217</v>
      </c>
      <c r="K187" s="3" t="n">
        <v>1470433.913043478</v>
      </c>
      <c r="L187" s="3" t="n">
        <v>18502.08</v>
      </c>
      <c r="M187" s="3" t="n">
        <v>1789</v>
      </c>
      <c r="N187" s="3" t="n">
        <v>8454.995000000001</v>
      </c>
      <c r="O187" s="3" t="n">
        <v>84549.95000000001</v>
      </c>
      <c r="P187" s="3" t="n">
        <v>19224.37</v>
      </c>
      <c r="Q187" s="3" t="n">
        <v>1558478.605</v>
      </c>
      <c r="R187" s="9">
        <f>(SUMIFS(Investors!$M:$M,Investors!$E:$E,Sales!$C187,Investors!$O:$O,FALSE)+SUMIFS(Investors!$S:$S,Investors!$E:$E,Sales!$C187,Investors!$O:$O,FALSE))*$F187</f>
        <v/>
      </c>
      <c r="S187" s="9">
        <f>IF(T187=FALSE,Q187-R187,+V187)</f>
        <v/>
      </c>
      <c r="T187" s="3" t="b">
        <v>0</v>
      </c>
      <c r="U187" s="4" t="n">
        <v>45565</v>
      </c>
      <c r="V187" s="9" t="n">
        <v>309541.6186986298</v>
      </c>
    </row>
    <row r="188">
      <c r="A188" s="3" t="inlineStr">
        <is>
          <t>Endulini</t>
        </is>
      </c>
      <c r="B188" s="3" t="inlineStr">
        <is>
          <t>A</t>
        </is>
      </c>
      <c r="C188" s="3" t="inlineStr">
        <is>
          <t>EA207</t>
        </is>
      </c>
      <c r="D188" s="3" t="b">
        <v>0</v>
      </c>
      <c r="E188" s="3" t="b">
        <v>0</v>
      </c>
      <c r="F188" s="3">
        <f>SUMIFS('Cashflow Projection'!$C$7:$C$23,'Cashflow Projection'!$B$7:$B$23,Sales!$B188,'Cashflow Projection'!$A$7:$A$23,Sales!$A188)</f>
        <v/>
      </c>
      <c r="G188" s="4" t="n">
        <v>45456</v>
      </c>
      <c r="H188" s="4" t="n">
        <v>45456</v>
      </c>
      <c r="I188" s="3" t="n">
        <v>1529900</v>
      </c>
      <c r="J188" s="3" t="n">
        <v>0</v>
      </c>
      <c r="K188" s="3" t="n">
        <v>1330347.826086957</v>
      </c>
      <c r="L188" s="3" t="n">
        <v>18502.08</v>
      </c>
      <c r="M188" s="3" t="n">
        <v>1789</v>
      </c>
      <c r="N188" s="3" t="n">
        <v>7649.5</v>
      </c>
      <c r="O188" s="3" t="n">
        <v>76495</v>
      </c>
      <c r="P188" s="3" t="n">
        <v>19224.37</v>
      </c>
      <c r="Q188" s="3" t="n">
        <v>1406240.05</v>
      </c>
      <c r="R188" s="9">
        <f>(SUMIFS(Investors!$M:$M,Investors!$E:$E,Sales!$C188,Investors!$O:$O,FALSE)+SUMIFS(Investors!$S:$S,Investors!$E:$E,Sales!$C188,Investors!$O:$O,FALSE))*$F188</f>
        <v/>
      </c>
      <c r="S188" s="9">
        <f>IF(T188=FALSE,Q188-R188,+V188)</f>
        <v/>
      </c>
      <c r="T188" s="3" t="b">
        <v>1</v>
      </c>
      <c r="U188" s="4" t="n">
        <v>45504</v>
      </c>
      <c r="V188" s="9" t="n">
        <v>950600</v>
      </c>
    </row>
    <row r="189">
      <c r="A189" s="3" t="inlineStr">
        <is>
          <t>Endulini</t>
        </is>
      </c>
      <c r="B189" s="3" t="inlineStr">
        <is>
          <t>A</t>
        </is>
      </c>
      <c r="C189" s="3" t="inlineStr">
        <is>
          <t>EA208</t>
        </is>
      </c>
      <c r="D189" s="3" t="b">
        <v>1</v>
      </c>
      <c r="E189" s="3" t="b">
        <v>1</v>
      </c>
      <c r="F189" s="3">
        <f>SUMIFS('Cashflow Projection'!$C$7:$C$23,'Cashflow Projection'!$B$7:$B$23,Sales!$B189,'Cashflow Projection'!$A$7:$A$23,Sales!$A189)</f>
        <v/>
      </c>
      <c r="G189" s="4" t="n">
        <v>44880</v>
      </c>
      <c r="H189" s="4" t="n">
        <v>45688</v>
      </c>
      <c r="I189" s="3" t="n">
        <v>1594900</v>
      </c>
      <c r="J189" s="3" t="n">
        <v>208030.4347826087</v>
      </c>
      <c r="K189" s="3" t="n">
        <v>1386869.565217391</v>
      </c>
      <c r="L189" s="3" t="n">
        <v>18502.08</v>
      </c>
      <c r="M189" s="3" t="n">
        <v>1789</v>
      </c>
      <c r="N189" s="3" t="n">
        <v>7974.5</v>
      </c>
      <c r="O189" s="3" t="n">
        <v>79745</v>
      </c>
      <c r="P189" s="3" t="n">
        <v>19224.37</v>
      </c>
      <c r="Q189" s="3" t="n">
        <v>1467665.05</v>
      </c>
      <c r="R189" s="9">
        <f>(SUMIFS(Investors!$M:$M,Investors!$E:$E,Sales!$C189,Investors!$O:$O,FALSE)+SUMIFS(Investors!$S:$S,Investors!$E:$E,Sales!$C189,Investors!$O:$O,FALSE))*$F189</f>
        <v/>
      </c>
      <c r="S189" s="9">
        <f>IF(T189=FALSE,Q189-R189,+V189)</f>
        <v/>
      </c>
      <c r="T189" s="3" t="b">
        <v>0</v>
      </c>
      <c r="U189" s="4" t="n">
        <v>45747</v>
      </c>
      <c r="V189" s="9" t="n">
        <v>433280.1184931506</v>
      </c>
    </row>
    <row r="190">
      <c r="A190" s="3" t="inlineStr">
        <is>
          <t>Endulini</t>
        </is>
      </c>
      <c r="B190" s="3" t="inlineStr">
        <is>
          <t>D</t>
        </is>
      </c>
      <c r="C190" s="3" t="inlineStr">
        <is>
          <t>ED203</t>
        </is>
      </c>
      <c r="D190" s="3" t="b">
        <v>1</v>
      </c>
      <c r="E190" s="3" t="b">
        <v>1</v>
      </c>
      <c r="F190" s="3">
        <f>SUMIFS('Cashflow Projection'!$C$7:$C$23,'Cashflow Projection'!$B$7:$B$23,Sales!$B190,'Cashflow Projection'!$A$7:$A$23,Sales!$A190)</f>
        <v/>
      </c>
      <c r="G190" s="4" t="n">
        <v>45376</v>
      </c>
      <c r="H190" s="4" t="n">
        <v>45369</v>
      </c>
      <c r="I190" s="3" t="n">
        <v>1349900</v>
      </c>
      <c r="J190" s="3" t="n">
        <v>176073.9130434782</v>
      </c>
      <c r="K190" s="3" t="n">
        <v>1173826.086956522</v>
      </c>
      <c r="L190" s="3" t="n">
        <v>18502.08</v>
      </c>
      <c r="M190" s="3" t="n">
        <v>1789</v>
      </c>
      <c r="N190" s="3" t="n">
        <v>6749.5</v>
      </c>
      <c r="O190" s="3" t="n">
        <v>67495</v>
      </c>
      <c r="P190" s="3" t="n">
        <v>19224.37</v>
      </c>
      <c r="Q190" s="3" t="n">
        <v>1236140.05</v>
      </c>
      <c r="R190" s="9">
        <f>(SUMIFS(Investors!$M:$M,Investors!$E:$E,Sales!$C190,Investors!$O:$O,FALSE)+SUMIFS(Investors!$S:$S,Investors!$E:$E,Sales!$C190,Investors!$O:$O,FALSE))*$F190</f>
        <v/>
      </c>
      <c r="S190" s="9">
        <f>IF(T190=FALSE,Q190-R190,+V190)</f>
        <v/>
      </c>
      <c r="T190" s="3" t="b">
        <v>0</v>
      </c>
      <c r="U190" s="4" t="n">
        <v>45443</v>
      </c>
      <c r="V190" s="9" t="n">
        <v>-164791.4568493152</v>
      </c>
    </row>
    <row r="191">
      <c r="A191" s="3" t="inlineStr">
        <is>
          <t>Endulini</t>
        </is>
      </c>
      <c r="B191" s="3" t="inlineStr">
        <is>
          <t>C</t>
        </is>
      </c>
      <c r="C191" s="3" t="inlineStr">
        <is>
          <t>EC302</t>
        </is>
      </c>
      <c r="D191" s="3" t="b">
        <v>1</v>
      </c>
      <c r="E191" s="3" t="b">
        <v>1</v>
      </c>
      <c r="F191" s="3">
        <f>SUMIFS('Cashflow Projection'!$C$7:$C$23,'Cashflow Projection'!$B$7:$B$23,Sales!$B191,'Cashflow Projection'!$A$7:$A$23,Sales!$A191)</f>
        <v/>
      </c>
      <c r="G191" s="4" t="n">
        <v>45240</v>
      </c>
      <c r="H191" s="4" t="n">
        <v>45688</v>
      </c>
      <c r="I191" s="3" t="n">
        <v>1499900</v>
      </c>
      <c r="J191" s="3" t="n">
        <v>195639.1304347826</v>
      </c>
      <c r="K191" s="3" t="n">
        <v>1304260.869565218</v>
      </c>
      <c r="L191" s="3" t="n">
        <v>18502.08</v>
      </c>
      <c r="M191" s="3" t="n">
        <v>1789</v>
      </c>
      <c r="N191" s="3" t="n">
        <v>7499.5</v>
      </c>
      <c r="O191" s="3" t="n">
        <v>74995</v>
      </c>
      <c r="P191" s="3" t="n">
        <v>19224.37</v>
      </c>
      <c r="Q191" s="3" t="n">
        <v>1377890.05</v>
      </c>
      <c r="R191" s="9">
        <f>(SUMIFS(Investors!$M:$M,Investors!$E:$E,Sales!$C191,Investors!$O:$O,FALSE)+SUMIFS(Investors!$S:$S,Investors!$E:$E,Sales!$C191,Investors!$O:$O,FALSE))*$F191</f>
        <v/>
      </c>
      <c r="S191" s="9">
        <f>IF(T191=FALSE,Q191-R191,+V191)</f>
        <v/>
      </c>
      <c r="T191" s="3" t="b">
        <v>0</v>
      </c>
      <c r="U191" s="4" t="n">
        <v>45747</v>
      </c>
      <c r="V191" s="9" t="n">
        <v>123122.9267123286</v>
      </c>
    </row>
    <row r="192">
      <c r="A192" s="3" t="inlineStr">
        <is>
          <t>Heron Fields</t>
        </is>
      </c>
      <c r="B192" s="3" t="inlineStr">
        <is>
          <t>A</t>
        </is>
      </c>
      <c r="C192" s="3" t="inlineStr">
        <is>
          <t>HFA306</t>
        </is>
      </c>
      <c r="D192" s="3" t="b">
        <v>1</v>
      </c>
      <c r="E192" s="3" t="b">
        <v>1</v>
      </c>
      <c r="F192" s="3">
        <f>SUMIFS('Cashflow Projection'!$C$7:$C$23,'Cashflow Projection'!$B$7:$B$23,Sales!$B192,'Cashflow Projection'!$A$7:$A$23,Sales!$A192)</f>
        <v/>
      </c>
      <c r="G192" s="4" t="n">
        <v>44901</v>
      </c>
      <c r="H192" s="4" t="n">
        <v>45688</v>
      </c>
      <c r="I192" s="3" t="n">
        <v>1389900</v>
      </c>
      <c r="J192" s="3" t="n">
        <v>181291.3043478261</v>
      </c>
      <c r="K192" s="3" t="n">
        <v>1208608.695652174</v>
      </c>
      <c r="L192" s="3" t="n">
        <v>18502.08</v>
      </c>
      <c r="M192" s="3" t="n">
        <v>1789</v>
      </c>
      <c r="N192" s="3" t="n">
        <v>6949.5</v>
      </c>
      <c r="O192" s="3" t="n">
        <v>69495</v>
      </c>
      <c r="P192" s="3" t="n">
        <v>19224.37</v>
      </c>
      <c r="Q192" s="3" t="n">
        <v>1273940.05</v>
      </c>
      <c r="R192" s="9">
        <f>(SUMIFS(Investors!$M:$M,Investors!$E:$E,Sales!$C192,Investors!$O:$O,FALSE)+SUMIFS(Investors!$S:$S,Investors!$E:$E,Sales!$C192,Investors!$O:$O,FALSE))*$F192</f>
        <v/>
      </c>
      <c r="S192" s="9">
        <f>IF(T192=FALSE,Q192-R192,+V192)</f>
        <v/>
      </c>
      <c r="T192" s="3" t="b">
        <v>0</v>
      </c>
      <c r="U192" s="4" t="n">
        <v>45747</v>
      </c>
      <c r="V192" s="9" t="n">
        <v>163857.4623287669</v>
      </c>
    </row>
    <row r="193">
      <c r="A193" s="3" t="inlineStr">
        <is>
          <t>Heron Fields</t>
        </is>
      </c>
      <c r="B193" s="3" t="inlineStr">
        <is>
          <t>B</t>
        </is>
      </c>
      <c r="C193" s="3" t="inlineStr">
        <is>
          <t>HFB101</t>
        </is>
      </c>
      <c r="D193" s="3" t="b">
        <v>1</v>
      </c>
      <c r="E193" s="3" t="b">
        <v>1</v>
      </c>
      <c r="F193" s="3">
        <f>SUMIFS('Cashflow Projection'!$C$7:$C$23,'Cashflow Projection'!$B$7:$B$23,Sales!$B193,'Cashflow Projection'!$A$7:$A$23,Sales!$A193)</f>
        <v/>
      </c>
      <c r="G193" s="4" t="n">
        <v>44909</v>
      </c>
      <c r="H193" s="4" t="n">
        <v>45688</v>
      </c>
      <c r="I193" s="3" t="n">
        <v>1595900</v>
      </c>
      <c r="J193" s="3" t="n">
        <v>208160.8695652174</v>
      </c>
      <c r="K193" s="3" t="n">
        <v>1387739.130434783</v>
      </c>
      <c r="L193" s="3" t="n">
        <v>18502.08</v>
      </c>
      <c r="M193" s="3" t="n">
        <v>1789</v>
      </c>
      <c r="N193" s="3" t="n">
        <v>7979.5</v>
      </c>
      <c r="O193" s="3" t="n">
        <v>79795</v>
      </c>
      <c r="P193" s="3" t="n">
        <v>19224.37</v>
      </c>
      <c r="Q193" s="3" t="n">
        <v>1468610.05</v>
      </c>
      <c r="R193" s="9">
        <f>(SUMIFS(Investors!$M:$M,Investors!$E:$E,Sales!$C193,Investors!$O:$O,FALSE)+SUMIFS(Investors!$S:$S,Investors!$E:$E,Sales!$C193,Investors!$O:$O,FALSE))*$F193</f>
        <v/>
      </c>
      <c r="S193" s="9">
        <f>IF(T193=FALSE,Q193-R193,+V193)</f>
        <v/>
      </c>
      <c r="T193" s="3" t="b">
        <v>0</v>
      </c>
      <c r="U193" s="4" t="n">
        <v>45747</v>
      </c>
      <c r="V193" s="9" t="n">
        <v>289148.9541095889</v>
      </c>
    </row>
    <row r="194">
      <c r="A194" s="3" t="inlineStr">
        <is>
          <t>Heron Fields</t>
        </is>
      </c>
      <c r="B194" s="3" t="inlineStr">
        <is>
          <t>B</t>
        </is>
      </c>
      <c r="C194" s="3" t="inlineStr">
        <is>
          <t>HFB204</t>
        </is>
      </c>
      <c r="D194" s="3" t="b">
        <v>1</v>
      </c>
      <c r="E194" s="3" t="b">
        <v>1</v>
      </c>
      <c r="F194" s="3">
        <f>SUMIFS('Cashflow Projection'!$C$7:$C$23,'Cashflow Projection'!$B$7:$B$23,Sales!$B194,'Cashflow Projection'!$A$7:$A$23,Sales!$A194)</f>
        <v/>
      </c>
      <c r="G194" s="4" t="n">
        <v>45007</v>
      </c>
      <c r="H194" s="4" t="n">
        <v>45688</v>
      </c>
      <c r="I194" s="3" t="n">
        <v>1424900</v>
      </c>
      <c r="J194" s="3" t="n">
        <v>185856.5217391304</v>
      </c>
      <c r="K194" s="3" t="n">
        <v>1239043.47826087</v>
      </c>
      <c r="L194" s="3" t="n">
        <v>18502.08</v>
      </c>
      <c r="M194" s="3" t="n">
        <v>1789</v>
      </c>
      <c r="N194" s="3" t="n">
        <v>7124.5</v>
      </c>
      <c r="O194" s="3" t="n">
        <v>71245</v>
      </c>
      <c r="P194" s="3" t="n">
        <v>19224.37</v>
      </c>
      <c r="Q194" s="3" t="n">
        <v>1307015.05</v>
      </c>
      <c r="R194" s="9">
        <f>(SUMIFS(Investors!$M:$M,Investors!$E:$E,Sales!$C194,Investors!$O:$O,FALSE)+SUMIFS(Investors!$S:$S,Investors!$E:$E,Sales!$C194,Investors!$O:$O,FALSE))*$F194</f>
        <v/>
      </c>
      <c r="S194" s="9">
        <f>IF(T194=FALSE,Q194-R194,+V194)</f>
        <v/>
      </c>
      <c r="T194" s="3" t="b">
        <v>0</v>
      </c>
      <c r="U194" s="4" t="n">
        <v>45747</v>
      </c>
      <c r="V194" s="9" t="n">
        <v>108893.1321917805</v>
      </c>
    </row>
    <row r="195">
      <c r="A195" s="3" t="inlineStr">
        <is>
          <t>Heron Fields</t>
        </is>
      </c>
      <c r="B195" s="3" t="inlineStr">
        <is>
          <t>B</t>
        </is>
      </c>
      <c r="C195" s="3" t="inlineStr">
        <is>
          <t>HFB305</t>
        </is>
      </c>
      <c r="D195" s="3" t="b">
        <v>1</v>
      </c>
      <c r="E195" s="3" t="b">
        <v>1</v>
      </c>
      <c r="F195" s="3">
        <f>SUMIFS('Cashflow Projection'!$C$7:$C$23,'Cashflow Projection'!$B$7:$B$23,Sales!$B195,'Cashflow Projection'!$A$7:$A$23,Sales!$A195)</f>
        <v/>
      </c>
      <c r="G195" s="4" t="n">
        <v>45007</v>
      </c>
      <c r="H195" s="4" t="n">
        <v>45688</v>
      </c>
      <c r="I195" s="3" t="n">
        <v>1604900</v>
      </c>
      <c r="J195" s="3" t="n">
        <v>209334.7826086956</v>
      </c>
      <c r="K195" s="3" t="n">
        <v>1395565.217391304</v>
      </c>
      <c r="L195" s="3" t="n">
        <v>18502.08</v>
      </c>
      <c r="M195" s="3" t="n">
        <v>1789</v>
      </c>
      <c r="N195" s="3" t="n">
        <v>8024.5</v>
      </c>
      <c r="O195" s="3" t="n">
        <v>80245</v>
      </c>
      <c r="P195" s="3" t="n">
        <v>19224.37</v>
      </c>
      <c r="Q195" s="3" t="n">
        <v>1477115.05</v>
      </c>
      <c r="R195" s="9">
        <f>(SUMIFS(Investors!$M:$M,Investors!$E:$E,Sales!$C195,Investors!$O:$O,FALSE)+SUMIFS(Investors!$S:$S,Investors!$E:$E,Sales!$C195,Investors!$O:$O,FALSE))*$F195</f>
        <v/>
      </c>
      <c r="S195" s="9">
        <f>IF(T195=FALSE,Q195-R195,+V195)</f>
        <v/>
      </c>
      <c r="T195" s="3" t="b">
        <v>0</v>
      </c>
      <c r="U195" s="4" t="n">
        <v>45747</v>
      </c>
      <c r="V195" s="9" t="n">
        <v>0</v>
      </c>
    </row>
    <row r="196">
      <c r="A196" s="3" t="inlineStr">
        <is>
          <t>Heron View</t>
        </is>
      </c>
      <c r="B196" s="3" t="inlineStr">
        <is>
          <t>J</t>
        </is>
      </c>
      <c r="C196" s="3" t="inlineStr">
        <is>
          <t>HVJ201</t>
        </is>
      </c>
      <c r="D196" s="3" t="b">
        <v>0</v>
      </c>
      <c r="E196" s="3" t="b">
        <v>0</v>
      </c>
      <c r="F196" s="3">
        <f>SUMIFS('Cashflow Projection'!$C$7:$C$23,'Cashflow Projection'!$B$7:$B$23,Sales!$B196,'Cashflow Projection'!$A$7:$A$23,Sales!$A196)</f>
        <v/>
      </c>
      <c r="G196" s="4" t="n">
        <v>45552</v>
      </c>
      <c r="H196" s="4" t="n">
        <v>45552</v>
      </c>
      <c r="I196" s="3" t="n">
        <v>1599900</v>
      </c>
      <c r="J196" s="3" t="n">
        <v>208682.6086956522</v>
      </c>
      <c r="K196" s="3" t="n">
        <v>1391217.391304348</v>
      </c>
      <c r="L196" s="3" t="n">
        <v>18502.08</v>
      </c>
      <c r="M196" s="3" t="n">
        <v>1789</v>
      </c>
      <c r="N196" s="3" t="n">
        <v>7999.5</v>
      </c>
      <c r="O196" s="3" t="n">
        <v>79995</v>
      </c>
      <c r="P196" s="3" t="n">
        <v>19224.37</v>
      </c>
      <c r="Q196" s="3" t="n">
        <v>1472390.05</v>
      </c>
      <c r="R196" s="9">
        <f>(SUMIFS(Investors!$M:$M,Investors!$E:$E,Sales!$C196,Investors!$O:$O,FALSE)+SUMIFS(Investors!$S:$S,Investors!$E:$E,Sales!$C196,Investors!$O:$O,FALSE))*$F196</f>
        <v/>
      </c>
      <c r="S196" s="9">
        <f>IF(T196=FALSE,Q196-R196,+V196)</f>
        <v/>
      </c>
      <c r="T196" s="3" t="b">
        <v>0</v>
      </c>
      <c r="U196" s="4" t="n">
        <v>45626</v>
      </c>
      <c r="V196" s="9" t="n">
        <v>120457.1732876711</v>
      </c>
    </row>
    <row r="197">
      <c r="A197" s="3" t="inlineStr">
        <is>
          <t>Heron View</t>
        </is>
      </c>
      <c r="B197" s="3" t="inlineStr">
        <is>
          <t>O</t>
        </is>
      </c>
      <c r="C197" s="3" t="inlineStr">
        <is>
          <t>HVO305</t>
        </is>
      </c>
      <c r="D197" s="3" t="b">
        <v>0</v>
      </c>
      <c r="E197" s="3" t="b">
        <v>0</v>
      </c>
      <c r="F197" s="3">
        <f>SUMIFS('Cashflow Projection'!$C$7:$C$23,'Cashflow Projection'!$B$7:$B$23,Sales!$B197,'Cashflow Projection'!$A$7:$A$23,Sales!$A197)</f>
        <v/>
      </c>
      <c r="G197" s="4" t="n">
        <v>45518</v>
      </c>
      <c r="H197" s="4" t="n">
        <v>45518</v>
      </c>
      <c r="I197" s="3" t="n">
        <v>1759900</v>
      </c>
      <c r="J197" s="3" t="n">
        <v>229552.1739130435</v>
      </c>
      <c r="K197" s="3" t="n">
        <v>1530347.826086957</v>
      </c>
      <c r="L197" s="3" t="n">
        <v>18502.08</v>
      </c>
      <c r="M197" s="3" t="n">
        <v>1789</v>
      </c>
      <c r="N197" s="3" t="n">
        <v>8799.5</v>
      </c>
      <c r="O197" s="3" t="n">
        <v>87995</v>
      </c>
      <c r="P197" s="3" t="n">
        <v>19224.37</v>
      </c>
      <c r="Q197" s="3" t="n">
        <v>1623590.05</v>
      </c>
      <c r="R197" s="9">
        <f>(SUMIFS(Investors!$M:$M,Investors!$E:$E,Sales!$C197,Investors!$O:$O,FALSE)+SUMIFS(Investors!$S:$S,Investors!$E:$E,Sales!$C197,Investors!$O:$O,FALSE))*$F197</f>
        <v/>
      </c>
      <c r="S197" s="9">
        <f>IF(T197=FALSE,Q197-R197,+V197)</f>
        <v/>
      </c>
      <c r="T197" s="3" t="b">
        <v>0</v>
      </c>
      <c r="U197" s="4" t="n">
        <v>45565</v>
      </c>
      <c r="V197" s="9" t="n">
        <v>273647.8371517807</v>
      </c>
    </row>
    <row r="198">
      <c r="A198" s="3" t="inlineStr">
        <is>
          <t>Heron View</t>
        </is>
      </c>
      <c r="B198" s="3" t="inlineStr">
        <is>
          <t>I</t>
        </is>
      </c>
      <c r="C198" s="3" t="inlineStr">
        <is>
          <t>HVI203</t>
        </is>
      </c>
      <c r="D198" s="3" t="b">
        <v>0</v>
      </c>
      <c r="E198" s="3" t="b">
        <v>0</v>
      </c>
      <c r="F198" s="3">
        <f>SUMIFS('Cashflow Projection'!$C$7:$C$23,'Cashflow Projection'!$B$7:$B$23,Sales!$B198,'Cashflow Projection'!$A$7:$A$23,Sales!$A198)</f>
        <v/>
      </c>
      <c r="G198" s="4" t="n">
        <v>45491</v>
      </c>
      <c r="H198" s="4" t="n">
        <v>45491</v>
      </c>
      <c r="I198" s="3" t="n">
        <v>1549900</v>
      </c>
      <c r="J198" s="3" t="n">
        <v>202160.8695652174</v>
      </c>
      <c r="K198" s="3" t="n">
        <v>1347739.130434783</v>
      </c>
      <c r="L198" s="3" t="n">
        <v>18502.08</v>
      </c>
      <c r="M198" s="3" t="n">
        <v>1789</v>
      </c>
      <c r="N198" s="3" t="n">
        <v>7749.5</v>
      </c>
      <c r="O198" s="3" t="n">
        <v>77495</v>
      </c>
      <c r="P198" s="3" t="n">
        <v>19224.37</v>
      </c>
      <c r="Q198" s="3" t="n">
        <v>1425140.05</v>
      </c>
      <c r="R198" s="9">
        <f>(SUMIFS(Investors!$M:$M,Investors!$E:$E,Sales!$C198,Investors!$O:$O,FALSE)+SUMIFS(Investors!$S:$S,Investors!$E:$E,Sales!$C198,Investors!$O:$O,FALSE))*$F198</f>
        <v/>
      </c>
      <c r="S198" s="9">
        <f>IF(T198=FALSE,Q198-R198,+V198)</f>
        <v/>
      </c>
      <c r="T198" s="3" t="b">
        <v>0</v>
      </c>
      <c r="U198" s="4" t="n">
        <v>45565</v>
      </c>
      <c r="V198" s="9" t="n">
        <v>145583.8856164382</v>
      </c>
    </row>
    <row r="199">
      <c r="A199" s="3" t="inlineStr">
        <is>
          <t>Heron View</t>
        </is>
      </c>
      <c r="B199" s="3" t="inlineStr">
        <is>
          <t>L</t>
        </is>
      </c>
      <c r="C199" s="3" t="inlineStr">
        <is>
          <t>HVL204</t>
        </is>
      </c>
      <c r="D199" s="3" t="b">
        <v>0</v>
      </c>
      <c r="E199" s="3" t="b">
        <v>0</v>
      </c>
      <c r="F199" s="3">
        <f>SUMIFS('Cashflow Projection'!$C$7:$C$23,'Cashflow Projection'!$B$7:$B$23,Sales!$B199,'Cashflow Projection'!$A$7:$A$23,Sales!$A199)</f>
        <v/>
      </c>
      <c r="G199" s="4" t="n">
        <v>45499</v>
      </c>
      <c r="H199" s="4" t="n">
        <v>45516</v>
      </c>
      <c r="I199" s="3" t="n">
        <v>1499900</v>
      </c>
      <c r="J199" s="3" t="n">
        <v>195639.1304347826</v>
      </c>
      <c r="K199" s="3" t="n">
        <v>1304260.869565218</v>
      </c>
      <c r="L199" s="3" t="n">
        <v>18502.08</v>
      </c>
      <c r="M199" s="3" t="n">
        <v>1789</v>
      </c>
      <c r="N199" s="3" t="n">
        <v>7499.5</v>
      </c>
      <c r="O199" s="3" t="n">
        <v>74995</v>
      </c>
      <c r="P199" s="3" t="n">
        <v>19224.37</v>
      </c>
      <c r="Q199" s="3" t="n">
        <v>1377890.05</v>
      </c>
      <c r="R199" s="9">
        <f>(SUMIFS(Investors!$M:$M,Investors!$E:$E,Sales!$C199,Investors!$O:$O,FALSE)+SUMIFS(Investors!$S:$S,Investors!$E:$E,Sales!$C199,Investors!$O:$O,FALSE))*$F199</f>
        <v/>
      </c>
      <c r="S199" s="9">
        <f>IF(T199=FALSE,Q199-R199,+V199)</f>
        <v/>
      </c>
      <c r="T199" s="3" t="b">
        <v>0</v>
      </c>
      <c r="U199" s="4" t="n">
        <v>45565</v>
      </c>
      <c r="V199" s="9" t="n">
        <v>57158.06717479439</v>
      </c>
    </row>
    <row r="200">
      <c r="A200" s="3" t="inlineStr">
        <is>
          <t>Heron View</t>
        </is>
      </c>
      <c r="B200" s="3" t="inlineStr">
        <is>
          <t>H</t>
        </is>
      </c>
      <c r="C200" s="3" t="inlineStr">
        <is>
          <t>HVH201</t>
        </is>
      </c>
      <c r="D200" s="3" t="b">
        <v>1</v>
      </c>
      <c r="E200" s="3" t="b">
        <v>0</v>
      </c>
      <c r="F200" s="3">
        <f>SUMIFS('Cashflow Projection'!$C$7:$C$23,'Cashflow Projection'!$B$7:$B$23,Sales!$B200,'Cashflow Projection'!$A$7:$A$23,Sales!$A200)</f>
        <v/>
      </c>
      <c r="G200" s="4" t="n">
        <v>45490</v>
      </c>
      <c r="H200" s="4" t="n">
        <v>45490</v>
      </c>
      <c r="I200" s="3" t="n">
        <v>1707999</v>
      </c>
      <c r="J200" s="3" t="n">
        <v>222782.4782608696</v>
      </c>
      <c r="K200" s="3" t="n">
        <v>1485216.521739131</v>
      </c>
      <c r="L200" s="3" t="n">
        <v>18502.08</v>
      </c>
      <c r="M200" s="3" t="n">
        <v>1789</v>
      </c>
      <c r="N200" s="3" t="n">
        <v>8539.995000000001</v>
      </c>
      <c r="O200" s="3" t="n">
        <v>85399.95000000001</v>
      </c>
      <c r="P200" s="3" t="n">
        <v>19224.37</v>
      </c>
      <c r="Q200" s="3" t="n">
        <v>1574543.605</v>
      </c>
      <c r="R200" s="9">
        <f>(SUMIFS(Investors!$M:$M,Investors!$E:$E,Sales!$C200,Investors!$O:$O,FALSE)+SUMIFS(Investors!$S:$S,Investors!$E:$E,Sales!$C200,Investors!$O:$O,FALSE))*$F200</f>
        <v/>
      </c>
      <c r="S200" s="9">
        <f>IF(T200=FALSE,Q200-R200,+V200)</f>
        <v/>
      </c>
      <c r="T200" s="3" t="b">
        <v>0</v>
      </c>
      <c r="U200" s="4" t="n">
        <v>45565</v>
      </c>
      <c r="V200" s="9" t="n">
        <v>347576.4817123285</v>
      </c>
    </row>
    <row r="201">
      <c r="A201" s="3" t="inlineStr">
        <is>
          <t>Heron View</t>
        </is>
      </c>
      <c r="B201" s="3" t="inlineStr">
        <is>
          <t>O</t>
        </is>
      </c>
      <c r="C201" s="3" t="inlineStr">
        <is>
          <t>HVO104</t>
        </is>
      </c>
      <c r="D201" s="3" t="b">
        <v>1</v>
      </c>
      <c r="E201" s="3" t="b">
        <v>0</v>
      </c>
      <c r="F201" s="3">
        <f>SUMIFS('Cashflow Projection'!$C$7:$C$23,'Cashflow Projection'!$B$7:$B$23,Sales!$B201,'Cashflow Projection'!$A$7:$A$23,Sales!$A201)</f>
        <v/>
      </c>
      <c r="G201" s="4" t="n">
        <v>45518</v>
      </c>
      <c r="H201" s="4" t="n">
        <v>45518</v>
      </c>
      <c r="I201" s="3" t="n">
        <v>1659900</v>
      </c>
      <c r="J201" s="3" t="n">
        <v>216508.6956521739</v>
      </c>
      <c r="K201" s="3" t="n">
        <v>1443391.304347826</v>
      </c>
      <c r="L201" s="3" t="n">
        <v>18502.08</v>
      </c>
      <c r="M201" s="3" t="n">
        <v>1789</v>
      </c>
      <c r="N201" s="3" t="n">
        <v>8299.5</v>
      </c>
      <c r="O201" s="3" t="n">
        <v>82995</v>
      </c>
      <c r="P201" s="3" t="n">
        <v>19224.37</v>
      </c>
      <c r="Q201" s="3" t="n">
        <v>1529090.05</v>
      </c>
      <c r="R201" s="9">
        <f>(SUMIFS(Investors!$M:$M,Investors!$E:$E,Sales!$C201,Investors!$O:$O,FALSE)+SUMIFS(Investors!$S:$S,Investors!$E:$E,Sales!$C201,Investors!$O:$O,FALSE))*$F201</f>
        <v/>
      </c>
      <c r="S201" s="9">
        <f>IF(T201=FALSE,Q201-R201,+V201)</f>
        <v/>
      </c>
      <c r="T201" s="3" t="b">
        <v>0</v>
      </c>
      <c r="U201" s="4" t="n">
        <v>45565</v>
      </c>
      <c r="V201" s="9" t="n">
        <v>115943.5092847943</v>
      </c>
    </row>
    <row r="202">
      <c r="A202" s="3" t="inlineStr">
        <is>
          <t>Heron Fields</t>
        </is>
      </c>
      <c r="B202" s="3" t="inlineStr">
        <is>
          <t>A</t>
        </is>
      </c>
      <c r="C202" s="3" t="inlineStr">
        <is>
          <t>HFA102</t>
        </is>
      </c>
      <c r="D202" s="3" t="b">
        <v>1</v>
      </c>
      <c r="E202" s="3" t="b">
        <v>1</v>
      </c>
      <c r="F202" s="3">
        <f>SUMIFS('Cashflow Projection'!$C$7:$C$23,'Cashflow Projection'!$B$7:$B$23,Sales!$B202,'Cashflow Projection'!$A$7:$A$23,Sales!$A202)</f>
        <v/>
      </c>
      <c r="G202" s="4" t="n">
        <v>44887</v>
      </c>
      <c r="H202" s="4" t="n">
        <v>45688</v>
      </c>
      <c r="I202" s="3" t="n">
        <v>1499900</v>
      </c>
      <c r="J202" s="3" t="n">
        <v>195639.1304347826</v>
      </c>
      <c r="K202" s="3" t="n">
        <v>1304260.869565218</v>
      </c>
      <c r="L202" s="3" t="n">
        <v>18502.08</v>
      </c>
      <c r="M202" s="3" t="n">
        <v>1789</v>
      </c>
      <c r="N202" s="3" t="n">
        <v>7499.5</v>
      </c>
      <c r="O202" s="3" t="n">
        <v>74995</v>
      </c>
      <c r="P202" s="3" t="n">
        <v>19224.37</v>
      </c>
      <c r="Q202" s="3" t="n">
        <v>1377890.05</v>
      </c>
      <c r="R202" s="9">
        <f>(SUMIFS(Investors!$M:$M,Investors!$E:$E,Sales!$C202,Investors!$O:$O,FALSE)+SUMIFS(Investors!$S:$S,Investors!$E:$E,Sales!$C202,Investors!$O:$O,FALSE))*$F202</f>
        <v/>
      </c>
      <c r="S202" s="9">
        <f>IF(T202=FALSE,Q202-R202,+V202)</f>
        <v/>
      </c>
      <c r="T202" s="3" t="b">
        <v>0</v>
      </c>
      <c r="U202" s="4" t="n">
        <v>45747</v>
      </c>
      <c r="V202" s="9" t="n">
        <v>210694.8445205479</v>
      </c>
    </row>
    <row r="203">
      <c r="A203" s="3" t="inlineStr">
        <is>
          <t>Heron Fields</t>
        </is>
      </c>
      <c r="B203" s="3" t="inlineStr">
        <is>
          <t>B</t>
        </is>
      </c>
      <c r="C203" s="3" t="inlineStr">
        <is>
          <t>HFB105</t>
        </is>
      </c>
      <c r="D203" s="3" t="b">
        <v>1</v>
      </c>
      <c r="E203" s="3" t="b">
        <v>1</v>
      </c>
      <c r="F203" s="3">
        <f>SUMIFS('Cashflow Projection'!$C$7:$C$23,'Cashflow Projection'!$B$7:$B$23,Sales!$B203,'Cashflow Projection'!$A$7:$A$23,Sales!$A203)</f>
        <v/>
      </c>
      <c r="G203" s="4" t="n">
        <v>44992</v>
      </c>
      <c r="H203" s="4" t="n">
        <v>45688</v>
      </c>
      <c r="I203" s="3" t="n">
        <v>1649900</v>
      </c>
      <c r="J203" s="3" t="n">
        <v>215204.3478260869</v>
      </c>
      <c r="K203" s="3" t="n">
        <v>1434695.652173913</v>
      </c>
      <c r="L203" s="3" t="n">
        <v>18502.08</v>
      </c>
      <c r="M203" s="3" t="n">
        <v>1789</v>
      </c>
      <c r="N203" s="3" t="n">
        <v>8249.5</v>
      </c>
      <c r="O203" s="3" t="n">
        <v>82495</v>
      </c>
      <c r="P203" s="3" t="n">
        <v>19224.37</v>
      </c>
      <c r="Q203" s="3" t="n">
        <v>1519640.05</v>
      </c>
      <c r="R203" s="9">
        <f>(SUMIFS(Investors!$M:$M,Investors!$E:$E,Sales!$C203,Investors!$O:$O,FALSE)+SUMIFS(Investors!$S:$S,Investors!$E:$E,Sales!$C203,Investors!$O:$O,FALSE))*$F203</f>
        <v/>
      </c>
      <c r="S203" s="9">
        <f>IF(T203=FALSE,Q203-R203,+V203)</f>
        <v/>
      </c>
      <c r="T203" s="3" t="b">
        <v>0</v>
      </c>
      <c r="U203" s="4" t="n">
        <v>45747</v>
      </c>
      <c r="V203" s="9" t="n">
        <v>360381.4873442464</v>
      </c>
    </row>
    <row r="204">
      <c r="A204" s="3" t="inlineStr">
        <is>
          <t>Heron Fields</t>
        </is>
      </c>
      <c r="B204" s="3" t="inlineStr">
        <is>
          <t>A</t>
        </is>
      </c>
      <c r="C204" s="3" t="inlineStr">
        <is>
          <t>HFA305</t>
        </is>
      </c>
      <c r="D204" s="3" t="b">
        <v>1</v>
      </c>
      <c r="E204" s="3" t="b">
        <v>1</v>
      </c>
      <c r="F204" s="3">
        <f>SUMIFS('Cashflow Projection'!$C$7:$C$23,'Cashflow Projection'!$B$7:$B$23,Sales!$B204,'Cashflow Projection'!$A$7:$A$23,Sales!$A204)</f>
        <v/>
      </c>
      <c r="G204" s="4" t="n">
        <v>44942</v>
      </c>
      <c r="H204" s="4" t="n">
        <v>45688</v>
      </c>
      <c r="I204" s="3" t="n">
        <v>1379900</v>
      </c>
      <c r="J204" s="3" t="n">
        <v>179986.9565217391</v>
      </c>
      <c r="K204" s="3" t="n">
        <v>1199913.043478261</v>
      </c>
      <c r="L204" s="3" t="n">
        <v>18502.08</v>
      </c>
      <c r="M204" s="3" t="n">
        <v>1789</v>
      </c>
      <c r="N204" s="3" t="n">
        <v>6899.5</v>
      </c>
      <c r="O204" s="3" t="n">
        <v>68995</v>
      </c>
      <c r="P204" s="3" t="n">
        <v>19224.37</v>
      </c>
      <c r="Q204" s="3" t="n">
        <v>1264490.05</v>
      </c>
      <c r="R204" s="9">
        <f>(SUMIFS(Investors!$M:$M,Investors!$E:$E,Sales!$C204,Investors!$O:$O,FALSE)+SUMIFS(Investors!$S:$S,Investors!$E:$E,Sales!$C204,Investors!$O:$O,FALSE))*$F204</f>
        <v/>
      </c>
      <c r="S204" s="9">
        <f>IF(T204=FALSE,Q204-R204,+V204)</f>
        <v/>
      </c>
      <c r="T204" s="3" t="b">
        <v>0</v>
      </c>
      <c r="U204" s="4" t="n">
        <v>45747</v>
      </c>
      <c r="V204" s="9" t="n">
        <v>397609.3164383559</v>
      </c>
    </row>
    <row r="205">
      <c r="A205" s="3" t="inlineStr">
        <is>
          <t>Heron Fields</t>
        </is>
      </c>
      <c r="B205" s="3" t="inlineStr">
        <is>
          <t>B</t>
        </is>
      </c>
      <c r="C205" s="3" t="inlineStr">
        <is>
          <t>HFB103</t>
        </is>
      </c>
      <c r="D205" s="3" t="b">
        <v>1</v>
      </c>
      <c r="E205" s="3" t="b">
        <v>1</v>
      </c>
      <c r="F205" s="3">
        <f>SUMIFS('Cashflow Projection'!$C$7:$C$23,'Cashflow Projection'!$B$7:$B$23,Sales!$B205,'Cashflow Projection'!$A$7:$A$23,Sales!$A205)</f>
        <v/>
      </c>
      <c r="G205" s="4" t="n">
        <v>44887</v>
      </c>
      <c r="H205" s="4" t="n">
        <v>45688</v>
      </c>
      <c r="I205" s="3" t="n">
        <v>1514900</v>
      </c>
      <c r="J205" s="3" t="n">
        <v>197595.6521739131</v>
      </c>
      <c r="K205" s="3" t="n">
        <v>1317304.347826087</v>
      </c>
      <c r="L205" s="3" t="n">
        <v>18502.08</v>
      </c>
      <c r="M205" s="3" t="n">
        <v>1789</v>
      </c>
      <c r="N205" s="3" t="n">
        <v>7574.5</v>
      </c>
      <c r="O205" s="3" t="n">
        <v>75745</v>
      </c>
      <c r="P205" s="3" t="n">
        <v>19224.37</v>
      </c>
      <c r="Q205" s="3" t="n">
        <v>1392065.05</v>
      </c>
      <c r="R205" s="9">
        <f>(SUMIFS(Investors!$M:$M,Investors!$E:$E,Sales!$C205,Investors!$O:$O,FALSE)+SUMIFS(Investors!$S:$S,Investors!$E:$E,Sales!$C205,Investors!$O:$O,FALSE))*$F205</f>
        <v/>
      </c>
      <c r="S205" s="9">
        <f>IF(T205=FALSE,Q205-R205,+V205)</f>
        <v/>
      </c>
      <c r="T205" s="3" t="b">
        <v>0</v>
      </c>
      <c r="U205" s="4" t="n">
        <v>45747</v>
      </c>
      <c r="V205" s="9" t="n">
        <v>247128.7486301369</v>
      </c>
    </row>
    <row r="206">
      <c r="A206" s="3" t="inlineStr">
        <is>
          <t>Heron Fields</t>
        </is>
      </c>
      <c r="B206" s="3" t="inlineStr">
        <is>
          <t>B</t>
        </is>
      </c>
      <c r="C206" s="3" t="inlineStr">
        <is>
          <t>HFB107</t>
        </is>
      </c>
      <c r="D206" s="3" t="b">
        <v>1</v>
      </c>
      <c r="E206" s="3" t="b">
        <v>1</v>
      </c>
      <c r="F206" s="3">
        <f>SUMIFS('Cashflow Projection'!$C$7:$C$23,'Cashflow Projection'!$B$7:$B$23,Sales!$B206,'Cashflow Projection'!$A$7:$A$23,Sales!$A206)</f>
        <v/>
      </c>
      <c r="G206" s="4" t="n">
        <v>45027</v>
      </c>
      <c r="H206" s="4" t="n">
        <v>45688</v>
      </c>
      <c r="I206" s="3" t="n">
        <v>1549900</v>
      </c>
      <c r="J206" s="3" t="n">
        <v>202160.8695652174</v>
      </c>
      <c r="K206" s="3" t="n">
        <v>1347739.130434783</v>
      </c>
      <c r="L206" s="3" t="n">
        <v>18502.08</v>
      </c>
      <c r="M206" s="3" t="n">
        <v>1789</v>
      </c>
      <c r="N206" s="3" t="n">
        <v>7749.5</v>
      </c>
      <c r="O206" s="3" t="n">
        <v>77495</v>
      </c>
      <c r="P206" s="3" t="n">
        <v>19224.37</v>
      </c>
      <c r="Q206" s="3" t="n">
        <v>1425140.05</v>
      </c>
      <c r="R206" s="9">
        <f>(SUMIFS(Investors!$M:$M,Investors!$E:$E,Sales!$C206,Investors!$O:$O,FALSE)+SUMIFS(Investors!$S:$S,Investors!$E:$E,Sales!$C206,Investors!$O:$O,FALSE))*$F206</f>
        <v/>
      </c>
      <c r="S206" s="9">
        <f>IF(T206=FALSE,Q206-R206,+V206)</f>
        <v/>
      </c>
      <c r="T206" s="3" t="b">
        <v>0</v>
      </c>
      <c r="U206" s="4" t="n">
        <v>45747</v>
      </c>
      <c r="V206" s="9" t="n">
        <v>201845.5294520545</v>
      </c>
    </row>
    <row r="207">
      <c r="A207" s="3" t="inlineStr">
        <is>
          <t>Heron Fields</t>
        </is>
      </c>
      <c r="B207" s="3" t="inlineStr">
        <is>
          <t>B</t>
        </is>
      </c>
      <c r="C207" s="3" t="inlineStr">
        <is>
          <t>HFB307</t>
        </is>
      </c>
      <c r="D207" s="3" t="b">
        <v>1</v>
      </c>
      <c r="E207" s="3" t="b">
        <v>1</v>
      </c>
      <c r="F207" s="3">
        <f>SUMIFS('Cashflow Projection'!$C$7:$C$23,'Cashflow Projection'!$B$7:$B$23,Sales!$B207,'Cashflow Projection'!$A$7:$A$23,Sales!$A207)</f>
        <v/>
      </c>
      <c r="G207" s="4" t="n">
        <v>45054</v>
      </c>
      <c r="H207" s="4" t="n">
        <v>45688</v>
      </c>
      <c r="I207" s="3" t="n">
        <v>1399900</v>
      </c>
      <c r="J207" s="3" t="n">
        <v>182595.6521739131</v>
      </c>
      <c r="K207" s="3" t="n">
        <v>1217304.347826087</v>
      </c>
      <c r="L207" s="3" t="n">
        <v>18502.08</v>
      </c>
      <c r="M207" s="3" t="n">
        <v>1789</v>
      </c>
      <c r="N207" s="3" t="n">
        <v>6999.5</v>
      </c>
      <c r="O207" s="3" t="n">
        <v>69995</v>
      </c>
      <c r="P207" s="3" t="n">
        <v>19224.37</v>
      </c>
      <c r="Q207" s="3" t="n">
        <v>1283390.05</v>
      </c>
      <c r="R207" s="9">
        <f>(SUMIFS(Investors!$M:$M,Investors!$E:$E,Sales!$C207,Investors!$O:$O,FALSE)+SUMIFS(Investors!$S:$S,Investors!$E:$E,Sales!$C207,Investors!$O:$O,FALSE))*$F207</f>
        <v/>
      </c>
      <c r="S207" s="9">
        <f>IF(T207=FALSE,Q207-R207,+V207)</f>
        <v/>
      </c>
      <c r="T207" s="3" t="b">
        <v>0</v>
      </c>
      <c r="U207" s="4" t="n">
        <v>45747</v>
      </c>
      <c r="V207" s="9" t="n">
        <v>810420.1869863011</v>
      </c>
    </row>
    <row r="208">
      <c r="A208" s="3" t="inlineStr">
        <is>
          <t>Heron Fields</t>
        </is>
      </c>
      <c r="B208" s="3" t="inlineStr">
        <is>
          <t>B</t>
        </is>
      </c>
      <c r="C208" s="3" t="inlineStr">
        <is>
          <t>HFB110</t>
        </is>
      </c>
      <c r="D208" s="3" t="b">
        <v>1</v>
      </c>
      <c r="E208" s="3" t="b">
        <v>1</v>
      </c>
      <c r="F208" s="3">
        <f>SUMIFS('Cashflow Projection'!$C$7:$C$23,'Cashflow Projection'!$B$7:$B$23,Sales!$B208,'Cashflow Projection'!$A$7:$A$23,Sales!$A208)</f>
        <v/>
      </c>
      <c r="G208" s="4" t="n">
        <v>45019</v>
      </c>
      <c r="H208" s="4" t="n">
        <v>45688</v>
      </c>
      <c r="I208" s="3" t="n">
        <v>1549900</v>
      </c>
      <c r="J208" s="3" t="n">
        <v>202160.8695652174</v>
      </c>
      <c r="K208" s="3" t="n">
        <v>1347739.130434783</v>
      </c>
      <c r="L208" s="3" t="n">
        <v>18502.08</v>
      </c>
      <c r="M208" s="3" t="n">
        <v>1789</v>
      </c>
      <c r="N208" s="3" t="n">
        <v>7749.5</v>
      </c>
      <c r="O208" s="3" t="n">
        <v>77495</v>
      </c>
      <c r="P208" s="3" t="n">
        <v>19224.37</v>
      </c>
      <c r="Q208" s="3" t="n">
        <v>1425140.05</v>
      </c>
      <c r="R208" s="9">
        <f>(SUMIFS(Investors!$M:$M,Investors!$E:$E,Sales!$C208,Investors!$O:$O,FALSE)+SUMIFS(Investors!$S:$S,Investors!$E:$E,Sales!$C208,Investors!$O:$O,FALSE))*$F208</f>
        <v/>
      </c>
      <c r="S208" s="9">
        <f>IF(T208=FALSE,Q208-R208,+V208)</f>
        <v/>
      </c>
      <c r="T208" s="3" t="b">
        <v>0</v>
      </c>
      <c r="U208" s="4" t="n">
        <v>45747</v>
      </c>
      <c r="V208" s="9" t="n">
        <v>213844.8445205477</v>
      </c>
    </row>
    <row r="209">
      <c r="A209" s="3" t="inlineStr">
        <is>
          <t>Heron View</t>
        </is>
      </c>
      <c r="B209" s="3" t="inlineStr">
        <is>
          <t>D</t>
        </is>
      </c>
      <c r="C209" s="3" t="inlineStr">
        <is>
          <t>HVD204</t>
        </is>
      </c>
      <c r="D209" s="3" t="b">
        <v>1</v>
      </c>
      <c r="E209" s="3" t="b">
        <v>1</v>
      </c>
      <c r="F209" s="3">
        <f>SUMIFS('Cashflow Projection'!$C$7:$C$23,'Cashflow Projection'!$B$7:$B$23,Sales!$B209,'Cashflow Projection'!$A$7:$A$23,Sales!$A209)</f>
        <v/>
      </c>
      <c r="G209" s="4" t="n">
        <v>45330</v>
      </c>
      <c r="H209" s="4" t="n">
        <v>45688</v>
      </c>
      <c r="I209" s="3" t="n">
        <v>1589900</v>
      </c>
      <c r="J209" s="3" t="n">
        <v>207378.2608695652</v>
      </c>
      <c r="K209" s="3" t="n">
        <v>1382521.739130435</v>
      </c>
      <c r="L209" s="3" t="n">
        <v>18502.08</v>
      </c>
      <c r="M209" s="3" t="n">
        <v>1789</v>
      </c>
      <c r="N209" s="3" t="n">
        <v>7949.5</v>
      </c>
      <c r="O209" s="3" t="n">
        <v>79495</v>
      </c>
      <c r="P209" s="3" t="n">
        <v>19224.37</v>
      </c>
      <c r="Q209" s="3" t="n">
        <v>1462940.05</v>
      </c>
      <c r="R209" s="9">
        <f>(SUMIFS(Investors!$M:$M,Investors!$E:$E,Sales!$C209,Investors!$O:$O,FALSE)+SUMIFS(Investors!$S:$S,Investors!$E:$E,Sales!$C209,Investors!$O:$O,FALSE))*$F209</f>
        <v/>
      </c>
      <c r="S209" s="9">
        <f>IF(T209=FALSE,Q209-R209,+V209)</f>
        <v/>
      </c>
      <c r="T209" s="3" t="b">
        <v>0</v>
      </c>
      <c r="U209" s="4" t="n">
        <v>45747</v>
      </c>
      <c r="V209" s="9" t="n">
        <v>173085.7106034243</v>
      </c>
    </row>
    <row r="210">
      <c r="A210" s="3" t="inlineStr">
        <is>
          <t>Heron View</t>
        </is>
      </c>
      <c r="B210" s="3" t="inlineStr">
        <is>
          <t>N</t>
        </is>
      </c>
      <c r="C210" s="3" t="inlineStr">
        <is>
          <t>HVN202</t>
        </is>
      </c>
      <c r="D210" s="3" t="b">
        <v>1</v>
      </c>
      <c r="E210" s="3" t="b">
        <v>1</v>
      </c>
      <c r="F210" s="3">
        <f>SUMIFS('Cashflow Projection'!$C$7:$C$23,'Cashflow Projection'!$B$7:$B$23,Sales!$B210,'Cashflow Projection'!$A$7:$A$23,Sales!$A210)</f>
        <v/>
      </c>
      <c r="G210" s="4" t="n">
        <v>45327</v>
      </c>
      <c r="H210" s="4" t="n">
        <v>45688</v>
      </c>
      <c r="I210" s="3" t="n">
        <v>1469900</v>
      </c>
      <c r="J210" s="3" t="n">
        <v>191726.0869565217</v>
      </c>
      <c r="K210" s="3" t="n">
        <v>1278173.913043478</v>
      </c>
      <c r="L210" s="3" t="n">
        <v>18502.08</v>
      </c>
      <c r="M210" s="3" t="n">
        <v>1789</v>
      </c>
      <c r="N210" s="3" t="n">
        <v>7349.5</v>
      </c>
      <c r="O210" s="3" t="n">
        <v>73495</v>
      </c>
      <c r="P210" s="3" t="n">
        <v>19224.37</v>
      </c>
      <c r="Q210" s="3" t="n">
        <v>1349540.05</v>
      </c>
      <c r="R210" s="9">
        <f>(SUMIFS(Investors!$M:$M,Investors!$E:$E,Sales!$C210,Investors!$O:$O,FALSE)+SUMIFS(Investors!$S:$S,Investors!$E:$E,Sales!$C210,Investors!$O:$O,FALSE))*$F210</f>
        <v/>
      </c>
      <c r="S210" s="9">
        <f>IF(T210=FALSE,Q210-R210,+V210)</f>
        <v/>
      </c>
      <c r="T210" s="3" t="b">
        <v>0</v>
      </c>
      <c r="U210" s="4" t="n">
        <v>45747</v>
      </c>
      <c r="V210" s="9" t="n">
        <v>66019.50205479423</v>
      </c>
    </row>
    <row r="211">
      <c r="A211" s="3" t="inlineStr">
        <is>
          <t>Heron View</t>
        </is>
      </c>
      <c r="B211" s="3" t="inlineStr">
        <is>
          <t>J</t>
        </is>
      </c>
      <c r="C211" s="3" t="inlineStr">
        <is>
          <t>HVJ401</t>
        </is>
      </c>
      <c r="D211" s="3" t="b">
        <v>0</v>
      </c>
      <c r="E211" s="3" t="b">
        <v>0</v>
      </c>
      <c r="F211" s="3">
        <f>SUMIFS('Cashflow Projection'!$C$7:$C$23,'Cashflow Projection'!$B$7:$B$23,Sales!$B211,'Cashflow Projection'!$A$7:$A$23,Sales!$A211)</f>
        <v/>
      </c>
      <c r="G211" s="4" t="n">
        <v>45552</v>
      </c>
      <c r="H211" s="4" t="n">
        <v>45552</v>
      </c>
      <c r="I211" s="3" t="n">
        <v>1699900</v>
      </c>
      <c r="J211" s="3" t="n">
        <v>221726.0869565217</v>
      </c>
      <c r="K211" s="3" t="n">
        <v>1478173.913043478</v>
      </c>
      <c r="L211" s="3" t="n">
        <v>18502.08</v>
      </c>
      <c r="M211" s="3" t="n">
        <v>1789</v>
      </c>
      <c r="N211" s="3" t="n">
        <v>8499.5</v>
      </c>
      <c r="O211" s="3" t="n">
        <v>84995</v>
      </c>
      <c r="P211" s="3" t="n">
        <v>19224.37</v>
      </c>
      <c r="Q211" s="3" t="n">
        <v>1566890.05</v>
      </c>
      <c r="R211" s="9">
        <f>(SUMIFS(Investors!$M:$M,Investors!$E:$E,Sales!$C211,Investors!$O:$O,FALSE)+SUMIFS(Investors!$S:$S,Investors!$E:$E,Sales!$C211,Investors!$O:$O,FALSE))*$F211</f>
        <v/>
      </c>
      <c r="S211" s="9">
        <f>IF(T211=FALSE,Q211-R211,+V211)</f>
        <v/>
      </c>
      <c r="T211" s="3" t="b">
        <v>0</v>
      </c>
      <c r="U211" s="4" t="n">
        <v>45626</v>
      </c>
      <c r="V211" s="9" t="n">
        <v>191027.0363013698</v>
      </c>
    </row>
    <row r="212">
      <c r="A212" s="3" t="inlineStr">
        <is>
          <t>Heron View</t>
        </is>
      </c>
      <c r="B212" s="3" t="inlineStr">
        <is>
          <t>P</t>
        </is>
      </c>
      <c r="C212" s="3" t="inlineStr">
        <is>
          <t>HVP203</t>
        </is>
      </c>
      <c r="D212" s="3" t="b">
        <v>0</v>
      </c>
      <c r="E212" s="3" t="b">
        <v>0</v>
      </c>
      <c r="F212" s="3">
        <f>SUMIFS('Cashflow Projection'!$C$7:$C$23,'Cashflow Projection'!$B$7:$B$23,Sales!$B212,'Cashflow Projection'!$A$7:$A$23,Sales!$A212)</f>
        <v/>
      </c>
      <c r="G212" s="4" t="n">
        <v>45456</v>
      </c>
      <c r="H212" s="4" t="n">
        <v>45456</v>
      </c>
      <c r="I212" s="3" t="n">
        <v>1729900</v>
      </c>
      <c r="J212" s="3" t="n">
        <v>225639.1304347826</v>
      </c>
      <c r="K212" s="3" t="n">
        <v>1504260.869565218</v>
      </c>
      <c r="L212" s="3" t="n">
        <v>18502.08</v>
      </c>
      <c r="M212" s="3" t="n">
        <v>1789</v>
      </c>
      <c r="N212" s="3" t="n">
        <v>8649.5</v>
      </c>
      <c r="O212" s="3" t="n">
        <v>86495</v>
      </c>
      <c r="P212" s="3" t="n">
        <v>19224.37</v>
      </c>
      <c r="Q212" s="3" t="n">
        <v>1595240.05</v>
      </c>
      <c r="R212" s="9">
        <f>(SUMIFS(Investors!$M:$M,Investors!$E:$E,Sales!$C212,Investors!$O:$O,FALSE)+SUMIFS(Investors!$S:$S,Investors!$E:$E,Sales!$C212,Investors!$O:$O,FALSE))*$F212</f>
        <v/>
      </c>
      <c r="S212" s="9">
        <f>IF(T212=FALSE,Q212-R212,+V212)</f>
        <v/>
      </c>
      <c r="T212" s="3" t="b">
        <v>0</v>
      </c>
      <c r="U212" s="4" t="n">
        <v>45504</v>
      </c>
      <c r="V212" s="9" t="n">
        <v>146841.4198630136</v>
      </c>
    </row>
    <row r="213">
      <c r="A213" s="3" t="inlineStr">
        <is>
          <t>Heron View</t>
        </is>
      </c>
      <c r="B213" s="3" t="inlineStr">
        <is>
          <t>C</t>
        </is>
      </c>
      <c r="C213" s="3" t="inlineStr">
        <is>
          <t>HVC305</t>
        </is>
      </c>
      <c r="D213" s="3" t="b">
        <v>0</v>
      </c>
      <c r="E213" s="3" t="b">
        <v>0</v>
      </c>
      <c r="F213" s="3">
        <f>SUMIFS('Cashflow Projection'!$C$7:$C$23,'Cashflow Projection'!$B$7:$B$23,Sales!$B213,'Cashflow Projection'!$A$7:$A$23,Sales!$A213)</f>
        <v/>
      </c>
      <c r="G213" s="4" t="n">
        <v>45471</v>
      </c>
      <c r="H213" s="4" t="n">
        <v>45471</v>
      </c>
      <c r="I213" s="3" t="n">
        <v>1509900</v>
      </c>
      <c r="J213" s="3" t="n">
        <v>196943.4782608696</v>
      </c>
      <c r="K213" s="3" t="n">
        <v>1312956.521739131</v>
      </c>
      <c r="L213" s="3" t="n">
        <v>18502.08</v>
      </c>
      <c r="M213" s="3" t="n">
        <v>1789</v>
      </c>
      <c r="N213" s="3" t="n">
        <v>7549.5</v>
      </c>
      <c r="O213" s="3" t="n">
        <v>75495</v>
      </c>
      <c r="P213" s="3" t="n">
        <v>19224.37</v>
      </c>
      <c r="Q213" s="3" t="n">
        <v>1387340.05</v>
      </c>
      <c r="R213" s="9">
        <f>(SUMIFS(Investors!$M:$M,Investors!$E:$E,Sales!$C213,Investors!$O:$O,FALSE)+SUMIFS(Investors!$S:$S,Investors!$E:$E,Sales!$C213,Investors!$O:$O,FALSE))*$F213</f>
        <v/>
      </c>
      <c r="S213" s="9">
        <f>IF(T213=FALSE,Q213-R213,+V213)</f>
        <v/>
      </c>
      <c r="T213" s="3" t="b">
        <v>0</v>
      </c>
      <c r="U213" s="4" t="n">
        <v>45504</v>
      </c>
      <c r="V213" s="9" t="n">
        <v>1003.756094794255</v>
      </c>
    </row>
    <row r="214">
      <c r="A214" s="3" t="inlineStr">
        <is>
          <t>Heron View</t>
        </is>
      </c>
      <c r="B214" s="3" t="inlineStr">
        <is>
          <t>F</t>
        </is>
      </c>
      <c r="C214" s="3" t="inlineStr">
        <is>
          <t>HVF101</t>
        </is>
      </c>
      <c r="D214" s="3" t="b">
        <v>0</v>
      </c>
      <c r="E214" s="3" t="b">
        <v>0</v>
      </c>
      <c r="F214" s="3">
        <f>SUMIFS('Cashflow Projection'!$C$7:$C$23,'Cashflow Projection'!$B$7:$B$23,Sales!$B214,'Cashflow Projection'!$A$7:$A$23,Sales!$A214)</f>
        <v/>
      </c>
      <c r="G214" s="4" t="n">
        <v>45517</v>
      </c>
      <c r="H214" s="4" t="n">
        <v>45722</v>
      </c>
      <c r="I214" s="3" t="n">
        <v>1619900</v>
      </c>
      <c r="J214" s="3" t="n">
        <v>211291.3043478261</v>
      </c>
      <c r="K214" s="3" t="n">
        <v>1408608.695652174</v>
      </c>
      <c r="L214" s="3" t="n">
        <v>18502.08</v>
      </c>
      <c r="M214" s="3" t="n">
        <v>1789</v>
      </c>
      <c r="N214" s="3" t="n">
        <v>8099.5</v>
      </c>
      <c r="O214" s="3" t="n">
        <v>80995</v>
      </c>
      <c r="P214" s="3" t="n">
        <v>19224.37</v>
      </c>
      <c r="Q214" s="3" t="n">
        <v>1491290.05</v>
      </c>
      <c r="R214" s="9">
        <f>(SUMIFS(Investors!$M:$M,Investors!$E:$E,Sales!$C214,Investors!$O:$O,FALSE)+SUMIFS(Investors!$S:$S,Investors!$E:$E,Sales!$C214,Investors!$O:$O,FALSE))*$F214</f>
        <v/>
      </c>
      <c r="S214" s="9">
        <f>IF(T214=FALSE,Q214-R214,+V214)</f>
        <v/>
      </c>
      <c r="T214" s="3" t="b">
        <v>0</v>
      </c>
      <c r="U214" s="4" t="n">
        <v>45808</v>
      </c>
      <c r="V214" s="9" t="n">
        <v>73543.48670465732</v>
      </c>
    </row>
    <row r="215">
      <c r="A215" s="3" t="inlineStr">
        <is>
          <t>Heron View</t>
        </is>
      </c>
      <c r="B215" s="3" t="inlineStr">
        <is>
          <t>F</t>
        </is>
      </c>
      <c r="C215" s="3" t="inlineStr">
        <is>
          <t>HVF202</t>
        </is>
      </c>
      <c r="D215" s="3" t="b">
        <v>0</v>
      </c>
      <c r="E215" s="3" t="b">
        <v>0</v>
      </c>
      <c r="F215" s="3">
        <f>SUMIFS('Cashflow Projection'!$C$7:$C$23,'Cashflow Projection'!$B$7:$B$23,Sales!$B215,'Cashflow Projection'!$A$7:$A$23,Sales!$A215)</f>
        <v/>
      </c>
      <c r="G215" s="4" t="n">
        <v>45517</v>
      </c>
      <c r="H215" s="4" t="n">
        <v>45722</v>
      </c>
      <c r="I215" s="3" t="n">
        <v>1599900</v>
      </c>
      <c r="J215" s="3" t="n">
        <v>208682.6086956522</v>
      </c>
      <c r="K215" s="3" t="n">
        <v>1391217.391304348</v>
      </c>
      <c r="L215" s="3" t="n">
        <v>18502.08</v>
      </c>
      <c r="M215" s="3" t="n">
        <v>1789</v>
      </c>
      <c r="N215" s="3" t="n">
        <v>7999.5</v>
      </c>
      <c r="O215" s="3" t="n">
        <v>79995</v>
      </c>
      <c r="P215" s="3" t="n">
        <v>19224.37</v>
      </c>
      <c r="Q215" s="3" t="n">
        <v>1472390.05</v>
      </c>
      <c r="R215" s="9">
        <f>(SUMIFS(Investors!$M:$M,Investors!$E:$E,Sales!$C215,Investors!$O:$O,FALSE)+SUMIFS(Investors!$S:$S,Investors!$E:$E,Sales!$C215,Investors!$O:$O,FALSE))*$F215</f>
        <v/>
      </c>
      <c r="S215" s="9">
        <f>IF(T215=FALSE,Q215-R215,+V215)</f>
        <v/>
      </c>
      <c r="T215" s="3" t="b">
        <v>0</v>
      </c>
      <c r="U215" s="4" t="n">
        <v>45808</v>
      </c>
      <c r="V215" s="9" t="n">
        <v>151378.804887397</v>
      </c>
    </row>
    <row r="216">
      <c r="A216" s="3" t="inlineStr">
        <is>
          <t>Heron View</t>
        </is>
      </c>
      <c r="B216" s="3" t="inlineStr">
        <is>
          <t>C</t>
        </is>
      </c>
      <c r="C216" s="3" t="inlineStr">
        <is>
          <t>HVC303</t>
        </is>
      </c>
      <c r="D216" s="3" t="b">
        <v>1</v>
      </c>
      <c r="E216" s="3" t="b">
        <v>1</v>
      </c>
      <c r="F216" s="3">
        <f>SUMIFS('Cashflow Projection'!$C$7:$C$23,'Cashflow Projection'!$B$7:$B$23,Sales!$B216,'Cashflow Projection'!$A$7:$A$23,Sales!$A216)</f>
        <v/>
      </c>
      <c r="G216" s="4" t="n">
        <v>45177</v>
      </c>
      <c r="H216" s="4" t="n">
        <v>45688</v>
      </c>
      <c r="I216" s="3" t="n">
        <v>1499900</v>
      </c>
      <c r="J216" s="3" t="n">
        <v>195639.1304347826</v>
      </c>
      <c r="K216" s="3" t="n">
        <v>1304260.869565218</v>
      </c>
      <c r="L216" s="3" t="n">
        <v>18502.08</v>
      </c>
      <c r="M216" s="3" t="n">
        <v>1789</v>
      </c>
      <c r="N216" s="3" t="n">
        <v>7499.5</v>
      </c>
      <c r="O216" s="3" t="n">
        <v>74995</v>
      </c>
      <c r="P216" s="3" t="n">
        <v>19224.37</v>
      </c>
      <c r="Q216" s="3" t="n">
        <v>1377890.05</v>
      </c>
      <c r="R216" s="9">
        <f>(SUMIFS(Investors!$M:$M,Investors!$E:$E,Sales!$C216,Investors!$O:$O,FALSE)+SUMIFS(Investors!$S:$S,Investors!$E:$E,Sales!$C216,Investors!$O:$O,FALSE))*$F216</f>
        <v/>
      </c>
      <c r="S216" s="9">
        <f>IF(T216=FALSE,Q216-R216,+V216)</f>
        <v/>
      </c>
      <c r="T216" s="3" t="b">
        <v>0</v>
      </c>
      <c r="U216" s="4" t="n">
        <v>45747</v>
      </c>
      <c r="V216" s="9" t="n">
        <v>164183.3933342465</v>
      </c>
    </row>
    <row r="217">
      <c r="A217" s="3" t="inlineStr">
        <is>
          <t>Heron View</t>
        </is>
      </c>
      <c r="B217" s="3" t="inlineStr">
        <is>
          <t>I</t>
        </is>
      </c>
      <c r="C217" s="3" t="inlineStr">
        <is>
          <t>HVI102</t>
        </is>
      </c>
      <c r="D217" s="3" t="b">
        <v>0</v>
      </c>
      <c r="E217" s="3" t="b">
        <v>0</v>
      </c>
      <c r="F217" s="3">
        <f>SUMIFS('Cashflow Projection'!$C$7:$C$23,'Cashflow Projection'!$B$7:$B$23,Sales!$B217,'Cashflow Projection'!$A$7:$A$23,Sales!$A217)</f>
        <v/>
      </c>
      <c r="G217" s="4" t="n">
        <v>45491</v>
      </c>
      <c r="H217" s="4" t="n">
        <v>45491</v>
      </c>
      <c r="I217" s="3" t="n">
        <v>1649900</v>
      </c>
      <c r="J217" s="3" t="n">
        <v>215204.3478260869</v>
      </c>
      <c r="K217" s="3" t="n">
        <v>1434695.652173913</v>
      </c>
      <c r="L217" s="3" t="n">
        <v>18502.08</v>
      </c>
      <c r="M217" s="3" t="n">
        <v>1789</v>
      </c>
      <c r="N217" s="3" t="n">
        <v>8249.5</v>
      </c>
      <c r="O217" s="3" t="n">
        <v>82495</v>
      </c>
      <c r="P217" s="3" t="n">
        <v>19224.37</v>
      </c>
      <c r="Q217" s="3" t="n">
        <v>1519640.05</v>
      </c>
      <c r="R217" s="9">
        <f>(SUMIFS(Investors!$M:$M,Investors!$E:$E,Sales!$C217,Investors!$O:$O,FALSE)+SUMIFS(Investors!$S:$S,Investors!$E:$E,Sales!$C217,Investors!$O:$O,FALSE))*$F217</f>
        <v/>
      </c>
      <c r="S217" s="9">
        <f>IF(T217=FALSE,Q217-R217,+V217)</f>
        <v/>
      </c>
      <c r="T217" s="3" t="b">
        <v>0</v>
      </c>
      <c r="U217" s="4" t="n">
        <v>45565</v>
      </c>
      <c r="V217" s="9" t="n">
        <v>247785.5705479453</v>
      </c>
    </row>
    <row r="218">
      <c r="A218" s="3" t="inlineStr">
        <is>
          <t>Heron View</t>
        </is>
      </c>
      <c r="B218" s="3" t="inlineStr">
        <is>
          <t>K</t>
        </is>
      </c>
      <c r="C218" s="3" t="inlineStr">
        <is>
          <t>HVK103</t>
        </is>
      </c>
      <c r="D218" s="3" t="b">
        <v>0</v>
      </c>
      <c r="E218" s="3" t="b">
        <v>0</v>
      </c>
      <c r="F218" s="3">
        <f>SUMIFS('Cashflow Projection'!$C$7:$C$23,'Cashflow Projection'!$B$7:$B$23,Sales!$B218,'Cashflow Projection'!$A$7:$A$23,Sales!$A218)</f>
        <v/>
      </c>
      <c r="G218" s="4" t="n">
        <v>45510</v>
      </c>
      <c r="H218" s="4" t="n">
        <v>45510</v>
      </c>
      <c r="I218" s="3" t="n">
        <v>1739900</v>
      </c>
      <c r="J218" s="3" t="n">
        <v>226943.4782608696</v>
      </c>
      <c r="K218" s="3" t="n">
        <v>1512956.521739131</v>
      </c>
      <c r="L218" s="3" t="n">
        <v>18502.08</v>
      </c>
      <c r="M218" s="3" t="n">
        <v>1789</v>
      </c>
      <c r="N218" s="3" t="n">
        <v>8699.5</v>
      </c>
      <c r="O218" s="3" t="n">
        <v>86995</v>
      </c>
      <c r="P218" s="3" t="n">
        <v>19224.37</v>
      </c>
      <c r="Q218" s="3" t="n">
        <v>1604690.05</v>
      </c>
      <c r="R218" s="9">
        <f>(SUMIFS(Investors!$M:$M,Investors!$E:$E,Sales!$C218,Investors!$O:$O,FALSE)+SUMIFS(Investors!$S:$S,Investors!$E:$E,Sales!$C218,Investors!$O:$O,FALSE))*$F218</f>
        <v/>
      </c>
      <c r="S218" s="9">
        <f>IF(T218=FALSE,Q218-R218,+V218)</f>
        <v/>
      </c>
      <c r="T218" s="3" t="b">
        <v>0</v>
      </c>
      <c r="U218" s="4" t="n">
        <v>45565</v>
      </c>
      <c r="V218" s="9" t="n">
        <v>251456.9733885615</v>
      </c>
    </row>
    <row r="219">
      <c r="A219" s="3" t="inlineStr">
        <is>
          <t>Heron View</t>
        </is>
      </c>
      <c r="B219" s="3" t="inlineStr">
        <is>
          <t>L</t>
        </is>
      </c>
      <c r="C219" s="3" t="inlineStr">
        <is>
          <t>HVL201</t>
        </is>
      </c>
      <c r="D219" s="3" t="b">
        <v>0</v>
      </c>
      <c r="E219" s="3" t="b">
        <v>0</v>
      </c>
      <c r="F219" s="3">
        <f>SUMIFS('Cashflow Projection'!$C$7:$C$23,'Cashflow Projection'!$B$7:$B$23,Sales!$B219,'Cashflow Projection'!$A$7:$A$23,Sales!$A219)</f>
        <v/>
      </c>
      <c r="G219" s="4" t="n">
        <v>45499</v>
      </c>
      <c r="H219" s="4" t="n">
        <v>45516</v>
      </c>
      <c r="I219" s="3" t="n">
        <v>1499900</v>
      </c>
      <c r="J219" s="3" t="n">
        <v>195639.1304347826</v>
      </c>
      <c r="K219" s="3" t="n">
        <v>1304260.869565218</v>
      </c>
      <c r="L219" s="3" t="n">
        <v>18502.08</v>
      </c>
      <c r="M219" s="3" t="n">
        <v>1789</v>
      </c>
      <c r="N219" s="3" t="n">
        <v>7499.5</v>
      </c>
      <c r="O219" s="3" t="n">
        <v>74995</v>
      </c>
      <c r="P219" s="3" t="n">
        <v>19224.37</v>
      </c>
      <c r="Q219" s="3" t="n">
        <v>1377890.05</v>
      </c>
      <c r="R219" s="9">
        <f>(SUMIFS(Investors!$M:$M,Investors!$E:$E,Sales!$C219,Investors!$O:$O,FALSE)+SUMIFS(Investors!$S:$S,Investors!$E:$E,Sales!$C219,Investors!$O:$O,FALSE))*$F219</f>
        <v/>
      </c>
      <c r="S219" s="9">
        <f>IF(T219=FALSE,Q219-R219,+V219)</f>
        <v/>
      </c>
      <c r="T219" s="3" t="b">
        <v>0</v>
      </c>
      <c r="U219" s="4" t="n">
        <v>45565</v>
      </c>
      <c r="V219" s="9" t="n">
        <v>31258.11889205477</v>
      </c>
    </row>
    <row r="220">
      <c r="A220" s="3" t="inlineStr">
        <is>
          <t>Heron View</t>
        </is>
      </c>
      <c r="B220" s="3" t="inlineStr">
        <is>
          <t>H</t>
        </is>
      </c>
      <c r="C220" s="3" t="inlineStr">
        <is>
          <t>HVH103</t>
        </is>
      </c>
      <c r="D220" s="3" t="b">
        <v>1</v>
      </c>
      <c r="E220" s="3" t="b">
        <v>0</v>
      </c>
      <c r="F220" s="3">
        <f>SUMIFS('Cashflow Projection'!$C$7:$C$23,'Cashflow Projection'!$B$7:$B$23,Sales!$B220,'Cashflow Projection'!$A$7:$A$23,Sales!$A220)</f>
        <v/>
      </c>
      <c r="G220" s="4" t="n">
        <v>45490</v>
      </c>
      <c r="H220" s="4" t="n">
        <v>45490</v>
      </c>
      <c r="I220" s="3" t="n">
        <v>1669999</v>
      </c>
      <c r="J220" s="3" t="n">
        <v>217825.9565217391</v>
      </c>
      <c r="K220" s="3" t="n">
        <v>1452173.043478261</v>
      </c>
      <c r="L220" s="3" t="n">
        <v>18502.08</v>
      </c>
      <c r="M220" s="3" t="n">
        <v>1789</v>
      </c>
      <c r="N220" s="3" t="n">
        <v>8349.995000000001</v>
      </c>
      <c r="O220" s="3" t="n">
        <v>83499.95000000001</v>
      </c>
      <c r="P220" s="3" t="n">
        <v>19224.37</v>
      </c>
      <c r="Q220" s="3" t="n">
        <v>1538633.605</v>
      </c>
      <c r="R220" s="9">
        <f>(SUMIFS(Investors!$M:$M,Investors!$E:$E,Sales!$C220,Investors!$O:$O,FALSE)+SUMIFS(Investors!$S:$S,Investors!$E:$E,Sales!$C220,Investors!$O:$O,FALSE))*$F220</f>
        <v/>
      </c>
      <c r="S220" s="9">
        <f>IF(T220=FALSE,Q220-R220,+V220)</f>
        <v/>
      </c>
      <c r="T220" s="3" t="b">
        <v>0</v>
      </c>
      <c r="U220" s="4" t="n">
        <v>45565</v>
      </c>
      <c r="V220" s="9" t="n">
        <v>289696.6186986298</v>
      </c>
    </row>
    <row r="221">
      <c r="A221" s="3" t="inlineStr">
        <is>
          <t>Heron View</t>
        </is>
      </c>
      <c r="B221" s="3" t="inlineStr">
        <is>
          <t>L</t>
        </is>
      </c>
      <c r="C221" s="3" t="inlineStr">
        <is>
          <t>HVL203</t>
        </is>
      </c>
      <c r="D221" s="3" t="b">
        <v>0</v>
      </c>
      <c r="E221" s="3" t="b">
        <v>0</v>
      </c>
      <c r="F221" s="3">
        <f>SUMIFS('Cashflow Projection'!$C$7:$C$23,'Cashflow Projection'!$B$7:$B$23,Sales!$B221,'Cashflow Projection'!$A$7:$A$23,Sales!$A221)</f>
        <v/>
      </c>
      <c r="G221" s="4" t="n">
        <v>45499</v>
      </c>
      <c r="H221" s="4" t="n">
        <v>45516</v>
      </c>
      <c r="I221" s="3" t="n">
        <v>1499900</v>
      </c>
      <c r="J221" s="3" t="n">
        <v>195639.1304347826</v>
      </c>
      <c r="K221" s="3" t="n">
        <v>1304260.869565218</v>
      </c>
      <c r="L221" s="3" t="n">
        <v>18502.08</v>
      </c>
      <c r="M221" s="3" t="n">
        <v>1789</v>
      </c>
      <c r="N221" s="3" t="n">
        <v>7499.5</v>
      </c>
      <c r="O221" s="3" t="n">
        <v>74995</v>
      </c>
      <c r="P221" s="3" t="n">
        <v>19224.37</v>
      </c>
      <c r="Q221" s="3" t="n">
        <v>1377890.05</v>
      </c>
      <c r="R221" s="9">
        <f>(SUMIFS(Investors!$M:$M,Investors!$E:$E,Sales!$C221,Investors!$O:$O,FALSE)+SUMIFS(Investors!$S:$S,Investors!$E:$E,Sales!$C221,Investors!$O:$O,FALSE))*$F221</f>
        <v/>
      </c>
      <c r="S221" s="9">
        <f>IF(T221=FALSE,Q221-R221,+V221)</f>
        <v/>
      </c>
      <c r="T221" s="3" t="b">
        <v>0</v>
      </c>
      <c r="U221" s="4" t="n">
        <v>45565</v>
      </c>
      <c r="V221" s="9" t="n">
        <v>35089.73092273949</v>
      </c>
    </row>
    <row r="222">
      <c r="A222" s="3" t="inlineStr">
        <is>
          <t>Heron View</t>
        </is>
      </c>
      <c r="B222" s="3" t="inlineStr">
        <is>
          <t>F</t>
        </is>
      </c>
      <c r="C222" s="3" t="inlineStr">
        <is>
          <t>HVF203</t>
        </is>
      </c>
      <c r="D222" s="3" t="b">
        <v>0</v>
      </c>
      <c r="E222" s="3" t="b">
        <v>0</v>
      </c>
      <c r="F222" s="3">
        <f>SUMIFS('Cashflow Projection'!$C$7:$C$23,'Cashflow Projection'!$B$7:$B$23,Sales!$B222,'Cashflow Projection'!$A$7:$A$23,Sales!$A222)</f>
        <v/>
      </c>
      <c r="G222" s="4" t="n">
        <v>45517</v>
      </c>
      <c r="H222" s="4" t="n">
        <v>45722</v>
      </c>
      <c r="I222" s="3" t="n">
        <v>1599900</v>
      </c>
      <c r="J222" s="3" t="n">
        <v>208682.6086956522</v>
      </c>
      <c r="K222" s="3" t="n">
        <v>1391217.391304348</v>
      </c>
      <c r="L222" s="3" t="n">
        <v>18502.08</v>
      </c>
      <c r="M222" s="3" t="n">
        <v>1789</v>
      </c>
      <c r="N222" s="3" t="n">
        <v>7999.5</v>
      </c>
      <c r="O222" s="3" t="n">
        <v>79995</v>
      </c>
      <c r="P222" s="3" t="n">
        <v>19224.37</v>
      </c>
      <c r="Q222" s="3" t="n">
        <v>1472390.05</v>
      </c>
      <c r="R222" s="9">
        <f>(SUMIFS(Investors!$M:$M,Investors!$E:$E,Sales!$C222,Investors!$O:$O,FALSE)+SUMIFS(Investors!$S:$S,Investors!$E:$E,Sales!$C222,Investors!$O:$O,FALSE))*$F222</f>
        <v/>
      </c>
      <c r="S222" s="9">
        <f>IF(T222=FALSE,Q222-R222,+V222)</f>
        <v/>
      </c>
      <c r="T222" s="3" t="b">
        <v>0</v>
      </c>
      <c r="U222" s="4" t="n">
        <v>45808</v>
      </c>
      <c r="V222" s="9" t="n">
        <v>86782.34097369853</v>
      </c>
    </row>
    <row r="223">
      <c r="A223" s="3" t="inlineStr">
        <is>
          <t>Endulini</t>
        </is>
      </c>
      <c r="B223" s="3" t="inlineStr">
        <is>
          <t>A</t>
        </is>
      </c>
      <c r="C223" s="3" t="inlineStr">
        <is>
          <t>EA301</t>
        </is>
      </c>
      <c r="D223" s="3" t="b">
        <v>1</v>
      </c>
      <c r="E223" s="3" t="b">
        <v>1</v>
      </c>
      <c r="F223" s="3">
        <f>SUMIFS('Cashflow Projection'!$C$7:$C$23,'Cashflow Projection'!$B$7:$B$23,Sales!$B223,'Cashflow Projection'!$A$7:$A$23,Sales!$A223)</f>
        <v/>
      </c>
      <c r="G223" s="4" t="n">
        <v>44855</v>
      </c>
      <c r="H223" s="4" t="n">
        <v>45688</v>
      </c>
      <c r="I223" s="3" t="n">
        <v>1599900</v>
      </c>
      <c r="J223" s="3" t="n">
        <v>208682.6086956522</v>
      </c>
      <c r="K223" s="3" t="n">
        <v>1391217.391304348</v>
      </c>
      <c r="L223" s="3" t="n">
        <v>18502.08</v>
      </c>
      <c r="M223" s="3" t="n">
        <v>1789</v>
      </c>
      <c r="N223" s="3" t="n">
        <v>7999.5</v>
      </c>
      <c r="O223" s="3" t="n">
        <v>79995</v>
      </c>
      <c r="P223" s="3" t="n">
        <v>19224.37</v>
      </c>
      <c r="Q223" s="3" t="n">
        <v>1472390.05</v>
      </c>
      <c r="R223" s="9">
        <f>(SUMIFS(Investors!$M:$M,Investors!$E:$E,Sales!$C223,Investors!$O:$O,FALSE)+SUMIFS(Investors!$S:$S,Investors!$E:$E,Sales!$C223,Investors!$O:$O,FALSE))*$F223</f>
        <v/>
      </c>
      <c r="S223" s="9">
        <f>IF(T223=FALSE,Q223-R223,+V223)</f>
        <v/>
      </c>
      <c r="T223" s="3" t="b">
        <v>0</v>
      </c>
      <c r="U223" s="4" t="n">
        <v>45747</v>
      </c>
      <c r="V223" s="9" t="n">
        <v>344555.8034246573</v>
      </c>
    </row>
    <row r="224">
      <c r="A224" s="3" t="inlineStr">
        <is>
          <t>Endulini</t>
        </is>
      </c>
      <c r="B224" s="3" t="inlineStr">
        <is>
          <t>A</t>
        </is>
      </c>
      <c r="C224" s="3" t="inlineStr">
        <is>
          <t>EA203</t>
        </is>
      </c>
      <c r="D224" s="3" t="b">
        <v>1</v>
      </c>
      <c r="E224" s="3" t="b">
        <v>1</v>
      </c>
      <c r="F224" s="3">
        <f>SUMIFS('Cashflow Projection'!$C$7:$C$23,'Cashflow Projection'!$B$7:$B$23,Sales!$B224,'Cashflow Projection'!$A$7:$A$23,Sales!$A224)</f>
        <v/>
      </c>
      <c r="G224" s="4" t="n">
        <v>44838</v>
      </c>
      <c r="H224" s="4" t="n">
        <v>45688</v>
      </c>
      <c r="I224" s="3" t="n">
        <v>1579900</v>
      </c>
      <c r="J224" s="3" t="n">
        <v>206073.9130434782</v>
      </c>
      <c r="K224" s="3" t="n">
        <v>1373826.086956522</v>
      </c>
      <c r="L224" s="3" t="n">
        <v>18502.08</v>
      </c>
      <c r="M224" s="3" t="n">
        <v>1789</v>
      </c>
      <c r="N224" s="3" t="n">
        <v>7899.5</v>
      </c>
      <c r="O224" s="3" t="n">
        <v>78995</v>
      </c>
      <c r="P224" s="3" t="n">
        <v>19224.37</v>
      </c>
      <c r="Q224" s="3" t="n">
        <v>1453490.05</v>
      </c>
      <c r="R224" s="9">
        <f>(SUMIFS(Investors!$M:$M,Investors!$E:$E,Sales!$C224,Investors!$O:$O,FALSE)+SUMIFS(Investors!$S:$S,Investors!$E:$E,Sales!$C224,Investors!$O:$O,FALSE))*$F224</f>
        <v/>
      </c>
      <c r="S224" s="9">
        <f>IF(T224=FALSE,Q224-R224,+V224)</f>
        <v/>
      </c>
      <c r="T224" s="3" t="b">
        <v>0</v>
      </c>
      <c r="U224" s="4" t="n">
        <v>45747</v>
      </c>
      <c r="V224" s="9" t="n">
        <v>336393.8159950683</v>
      </c>
    </row>
    <row r="225">
      <c r="A225" s="3" t="inlineStr">
        <is>
          <t>Endulini</t>
        </is>
      </c>
      <c r="B225" s="3" t="inlineStr">
        <is>
          <t>A</t>
        </is>
      </c>
      <c r="C225" s="3" t="inlineStr">
        <is>
          <t>EA106</t>
        </is>
      </c>
      <c r="D225" s="3" t="b">
        <v>1</v>
      </c>
      <c r="E225" s="3" t="b">
        <v>1</v>
      </c>
      <c r="F225" s="3">
        <f>SUMIFS('Cashflow Projection'!$C$7:$C$23,'Cashflow Projection'!$B$7:$B$23,Sales!$B225,'Cashflow Projection'!$A$7:$A$23,Sales!$A225)</f>
        <v/>
      </c>
      <c r="G225" s="4" t="n">
        <v>44830</v>
      </c>
      <c r="H225" s="4" t="n">
        <v>45688</v>
      </c>
      <c r="I225" s="3" t="n">
        <v>1549900</v>
      </c>
      <c r="J225" s="3" t="n">
        <v>202160.8695652174</v>
      </c>
      <c r="K225" s="3" t="n">
        <v>1347739.130434783</v>
      </c>
      <c r="L225" s="3" t="n">
        <v>18502.08</v>
      </c>
      <c r="M225" s="3" t="n">
        <v>1789</v>
      </c>
      <c r="N225" s="3" t="n">
        <v>7749.5</v>
      </c>
      <c r="O225" s="3" t="n">
        <v>77495</v>
      </c>
      <c r="P225" s="3" t="n">
        <v>19224.37</v>
      </c>
      <c r="Q225" s="3" t="n">
        <v>1425140.05</v>
      </c>
      <c r="R225" s="9">
        <f>(SUMIFS(Investors!$M:$M,Investors!$E:$E,Sales!$C225,Investors!$O:$O,FALSE)+SUMIFS(Investors!$S:$S,Investors!$E:$E,Sales!$C225,Investors!$O:$O,FALSE))*$F225</f>
        <v/>
      </c>
      <c r="S225" s="9">
        <f>IF(T225=FALSE,Q225-R225,+V225)</f>
        <v/>
      </c>
      <c r="T225" s="3" t="b">
        <v>0</v>
      </c>
      <c r="U225" s="4" t="n">
        <v>45747</v>
      </c>
      <c r="V225" s="9" t="n">
        <v>248403.7486301367</v>
      </c>
    </row>
    <row r="226">
      <c r="A226" s="3" t="inlineStr">
        <is>
          <t>Endulini</t>
        </is>
      </c>
      <c r="B226" s="3" t="inlineStr">
        <is>
          <t>A</t>
        </is>
      </c>
      <c r="C226" s="3" t="inlineStr">
        <is>
          <t>EA102</t>
        </is>
      </c>
      <c r="D226" s="3" t="b">
        <v>1</v>
      </c>
      <c r="E226" s="3" t="b">
        <v>1</v>
      </c>
      <c r="F226" s="3">
        <f>SUMIFS('Cashflow Projection'!$C$7:$C$23,'Cashflow Projection'!$B$7:$B$23,Sales!$B226,'Cashflow Projection'!$A$7:$A$23,Sales!$A226)</f>
        <v/>
      </c>
      <c r="G226" s="4" t="n">
        <v>44851</v>
      </c>
      <c r="H226" s="4" t="n">
        <v>45688</v>
      </c>
      <c r="I226" s="3" t="n">
        <v>1599000</v>
      </c>
      <c r="J226" s="3" t="n">
        <v>208565.2173913044</v>
      </c>
      <c r="K226" s="3" t="n">
        <v>1390434.782608696</v>
      </c>
      <c r="L226" s="3" t="n">
        <v>18502.08</v>
      </c>
      <c r="M226" s="3" t="n">
        <v>1789</v>
      </c>
      <c r="N226" s="3" t="n">
        <v>7995</v>
      </c>
      <c r="O226" s="3" t="n">
        <v>79950</v>
      </c>
      <c r="P226" s="3" t="n">
        <v>19224.37</v>
      </c>
      <c r="Q226" s="3" t="n">
        <v>1471539.55</v>
      </c>
      <c r="R226" s="9">
        <f>(SUMIFS(Investors!$M:$M,Investors!$E:$E,Sales!$C226,Investors!$O:$O,FALSE)+SUMIFS(Investors!$S:$S,Investors!$E:$E,Sales!$C226,Investors!$O:$O,FALSE))*$F226</f>
        <v/>
      </c>
      <c r="S226" s="9">
        <f>IF(T226=FALSE,Q226-R226,+V226)</f>
        <v/>
      </c>
      <c r="T226" s="3" t="b">
        <v>0</v>
      </c>
      <c r="U226" s="4" t="n">
        <v>45747</v>
      </c>
      <c r="V226" s="9" t="n">
        <v>296637.4952054792</v>
      </c>
    </row>
    <row r="227">
      <c r="A227" s="3" t="inlineStr">
        <is>
          <t>Endulini</t>
        </is>
      </c>
      <c r="B227" s="3" t="inlineStr">
        <is>
          <t>A</t>
        </is>
      </c>
      <c r="C227" s="3" t="inlineStr">
        <is>
          <t>EA107</t>
        </is>
      </c>
      <c r="D227" s="3" t="b">
        <v>0</v>
      </c>
      <c r="E227" s="3" t="b">
        <v>0</v>
      </c>
      <c r="F227" s="3">
        <f>SUMIFS('Cashflow Projection'!$C$7:$C$23,'Cashflow Projection'!$B$7:$B$23,Sales!$B227,'Cashflow Projection'!$A$7:$A$23,Sales!$A227)</f>
        <v/>
      </c>
      <c r="G227" s="4" t="n">
        <v>45442</v>
      </c>
      <c r="H227" s="4" t="n">
        <v>45442</v>
      </c>
      <c r="I227" s="3" t="n">
        <v>1559900</v>
      </c>
      <c r="J227" s="3" t="n">
        <v>0</v>
      </c>
      <c r="K227" s="3" t="n">
        <v>1356434.782608696</v>
      </c>
      <c r="L227" s="3" t="n">
        <v>18502.08</v>
      </c>
      <c r="M227" s="3" t="n">
        <v>1789</v>
      </c>
      <c r="N227" s="3" t="n">
        <v>7799.5</v>
      </c>
      <c r="O227" s="3" t="n">
        <v>77995</v>
      </c>
      <c r="P227" s="3" t="n">
        <v>19224.37</v>
      </c>
      <c r="Q227" s="3" t="n">
        <v>1434590.05</v>
      </c>
      <c r="R227" s="9">
        <f>(SUMIFS(Investors!$M:$M,Investors!$E:$E,Sales!$C227,Investors!$O:$O,FALSE)+SUMIFS(Investors!$S:$S,Investors!$E:$E,Sales!$C227,Investors!$O:$O,FALSE))*$F227</f>
        <v/>
      </c>
      <c r="S227" s="9">
        <f>IF(T227=FALSE,Q227-R227,+V227)</f>
        <v/>
      </c>
      <c r="T227" s="3" t="b">
        <v>1</v>
      </c>
      <c r="U227" s="4" t="n">
        <v>45504</v>
      </c>
      <c r="V227" s="9" t="n">
        <v>902100</v>
      </c>
    </row>
    <row r="228">
      <c r="A228" s="3" t="inlineStr">
        <is>
          <t>Endulini</t>
        </is>
      </c>
      <c r="B228" s="3" t="inlineStr">
        <is>
          <t>E</t>
        </is>
      </c>
      <c r="C228" s="3" t="inlineStr">
        <is>
          <t>EE103</t>
        </is>
      </c>
      <c r="D228" s="3" t="b">
        <v>1</v>
      </c>
      <c r="E228" s="3" t="b">
        <v>1</v>
      </c>
      <c r="F228" s="3">
        <f>SUMIFS('Cashflow Projection'!$C$7:$C$23,'Cashflow Projection'!$B$7:$B$23,Sales!$B228,'Cashflow Projection'!$A$7:$A$23,Sales!$A228)</f>
        <v/>
      </c>
      <c r="G228" s="4" t="n">
        <v>44687</v>
      </c>
      <c r="H228" s="4" t="n">
        <v>45688</v>
      </c>
      <c r="I228" s="3" t="n">
        <v>1499900</v>
      </c>
      <c r="J228" s="3" t="n">
        <v>195639.1304347826</v>
      </c>
      <c r="K228" s="3" t="n">
        <v>1304260.869565218</v>
      </c>
      <c r="L228" s="3" t="n">
        <v>18502.08</v>
      </c>
      <c r="M228" s="3" t="n">
        <v>1789</v>
      </c>
      <c r="N228" s="3" t="n">
        <v>7499.5</v>
      </c>
      <c r="O228" s="3" t="n">
        <v>74995</v>
      </c>
      <c r="P228" s="3" t="n">
        <v>19224.37</v>
      </c>
      <c r="Q228" s="3" t="n">
        <v>1377890.05</v>
      </c>
      <c r="R228" s="9">
        <f>(SUMIFS(Investors!$M:$M,Investors!$E:$E,Sales!$C228,Investors!$O:$O,FALSE)+SUMIFS(Investors!$S:$S,Investors!$E:$E,Sales!$C228,Investors!$O:$O,FALSE))*$F228</f>
        <v/>
      </c>
      <c r="S228" s="9">
        <f>IF(T228=FALSE,Q228-R228,+V228)</f>
        <v/>
      </c>
      <c r="T228" s="3" t="b">
        <v>0</v>
      </c>
      <c r="U228" s="4" t="n">
        <v>45747</v>
      </c>
      <c r="V228" s="9" t="n">
        <v>110728.5592725342</v>
      </c>
    </row>
    <row r="229">
      <c r="A229" s="3" t="inlineStr">
        <is>
          <t>Endulini</t>
        </is>
      </c>
      <c r="B229" s="3" t="inlineStr">
        <is>
          <t>E</t>
        </is>
      </c>
      <c r="C229" s="3" t="inlineStr">
        <is>
          <t>EE303</t>
        </is>
      </c>
      <c r="D229" s="3" t="b">
        <v>1</v>
      </c>
      <c r="E229" s="3" t="b">
        <v>1</v>
      </c>
      <c r="F229" s="3">
        <f>SUMIFS('Cashflow Projection'!$C$7:$C$23,'Cashflow Projection'!$B$7:$B$23,Sales!$B229,'Cashflow Projection'!$A$7:$A$23,Sales!$A229)</f>
        <v/>
      </c>
      <c r="G229" s="4" t="n">
        <v>44690</v>
      </c>
      <c r="H229" s="4" t="n">
        <v>45688</v>
      </c>
      <c r="I229" s="3" t="n">
        <v>1444900</v>
      </c>
      <c r="J229" s="3" t="n">
        <v>188465.2173913044</v>
      </c>
      <c r="K229" s="3" t="n">
        <v>1256434.782608696</v>
      </c>
      <c r="L229" s="3" t="n">
        <v>18502.08</v>
      </c>
      <c r="M229" s="3" t="n">
        <v>1789</v>
      </c>
      <c r="N229" s="3" t="n">
        <v>7224.5</v>
      </c>
      <c r="O229" s="3" t="n">
        <v>72245</v>
      </c>
      <c r="P229" s="3" t="n">
        <v>19224.37</v>
      </c>
      <c r="Q229" s="3" t="n">
        <v>1325915.05</v>
      </c>
      <c r="R229" s="9">
        <f>(SUMIFS(Investors!$M:$M,Investors!$E:$E,Sales!$C229,Investors!$O:$O,FALSE)+SUMIFS(Investors!$S:$S,Investors!$E:$E,Sales!$C229,Investors!$O:$O,FALSE))*$F229</f>
        <v/>
      </c>
      <c r="S229" s="9">
        <f>IF(T229=FALSE,Q229-R229,+V229)</f>
        <v/>
      </c>
      <c r="T229" s="3" t="b">
        <v>0</v>
      </c>
      <c r="U229" s="4" t="n">
        <v>45747</v>
      </c>
      <c r="V229" s="9" t="n">
        <v>119014.2744549997</v>
      </c>
    </row>
    <row r="230">
      <c r="A230" s="3" t="inlineStr">
        <is>
          <t>Heron Fields</t>
        </is>
      </c>
      <c r="B230" s="3" t="inlineStr">
        <is>
          <t>B</t>
        </is>
      </c>
      <c r="C230" s="3" t="inlineStr">
        <is>
          <t>HFB203</t>
        </is>
      </c>
      <c r="D230" s="3" t="b">
        <v>1</v>
      </c>
      <c r="E230" s="3" t="b">
        <v>1</v>
      </c>
      <c r="F230" s="3">
        <f>SUMIFS('Cashflow Projection'!$C$7:$C$23,'Cashflow Projection'!$B$7:$B$23,Sales!$B230,'Cashflow Projection'!$A$7:$A$23,Sales!$A230)</f>
        <v/>
      </c>
      <c r="G230" s="4" t="n">
        <v>44936</v>
      </c>
      <c r="H230" s="4" t="n">
        <v>45688</v>
      </c>
      <c r="I230" s="3" t="n">
        <v>1329900</v>
      </c>
      <c r="J230" s="3" t="n">
        <v>173465.2173913044</v>
      </c>
      <c r="K230" s="3" t="n">
        <v>1156434.782608696</v>
      </c>
      <c r="L230" s="3" t="n">
        <v>18502.08</v>
      </c>
      <c r="M230" s="3" t="n">
        <v>1789</v>
      </c>
      <c r="N230" s="3" t="n">
        <v>6649.5</v>
      </c>
      <c r="O230" s="3" t="n">
        <v>66495</v>
      </c>
      <c r="P230" s="3" t="n">
        <v>19224.37</v>
      </c>
      <c r="Q230" s="3" t="n">
        <v>1217240.05</v>
      </c>
      <c r="R230" s="9">
        <f>(SUMIFS(Investors!$M:$M,Investors!$E:$E,Sales!$C230,Investors!$O:$O,FALSE)+SUMIFS(Investors!$S:$S,Investors!$E:$E,Sales!$C230,Investors!$O:$O,FALSE))*$F230</f>
        <v/>
      </c>
      <c r="S230" s="9">
        <f>IF(T230=FALSE,Q230-R230,+V230)</f>
        <v/>
      </c>
      <c r="T230" s="3" t="b">
        <v>0</v>
      </c>
      <c r="U230" s="4" t="n">
        <v>45747</v>
      </c>
      <c r="V230" s="9" t="n">
        <v>262275.3239726026</v>
      </c>
    </row>
    <row r="231">
      <c r="A231" s="3" t="inlineStr">
        <is>
          <t>Heron View</t>
        </is>
      </c>
      <c r="B231" s="3" t="inlineStr">
        <is>
          <t>D</t>
        </is>
      </c>
      <c r="C231" s="3" t="inlineStr">
        <is>
          <t>HVD201</t>
        </is>
      </c>
      <c r="D231" s="3" t="b">
        <v>1</v>
      </c>
      <c r="E231" s="3" t="b">
        <v>1</v>
      </c>
      <c r="F231" s="3">
        <f>SUMIFS('Cashflow Projection'!$C$7:$C$23,'Cashflow Projection'!$B$7:$B$23,Sales!$B231,'Cashflow Projection'!$A$7:$A$23,Sales!$A231)</f>
        <v/>
      </c>
      <c r="G231" s="4" t="n">
        <v>45327</v>
      </c>
      <c r="H231" s="4" t="n">
        <v>45688</v>
      </c>
      <c r="I231" s="3" t="n">
        <v>1589900</v>
      </c>
      <c r="J231" s="3" t="n">
        <v>207378.2608695652</v>
      </c>
      <c r="K231" s="3" t="n">
        <v>1382521.739130435</v>
      </c>
      <c r="L231" s="3" t="n">
        <v>18502.08</v>
      </c>
      <c r="M231" s="3" t="n">
        <v>1789</v>
      </c>
      <c r="N231" s="3" t="n">
        <v>7949.5</v>
      </c>
      <c r="O231" s="3" t="n">
        <v>79495</v>
      </c>
      <c r="P231" s="3" t="n">
        <v>19224.37</v>
      </c>
      <c r="Q231" s="3" t="n">
        <v>1462940.05</v>
      </c>
      <c r="R231" s="9">
        <f>(SUMIFS(Investors!$M:$M,Investors!$E:$E,Sales!$C231,Investors!$O:$O,FALSE)+SUMIFS(Investors!$S:$S,Investors!$E:$E,Sales!$C231,Investors!$O:$O,FALSE))*$F231</f>
        <v/>
      </c>
      <c r="S231" s="9">
        <f>IF(T231=FALSE,Q231-R231,+V231)</f>
        <v/>
      </c>
      <c r="T231" s="3" t="b">
        <v>0</v>
      </c>
      <c r="U231" s="4" t="n">
        <v>45747</v>
      </c>
      <c r="V231" s="9" t="n">
        <v>167242.5410523287</v>
      </c>
    </row>
    <row r="232">
      <c r="A232" s="3" t="inlineStr">
        <is>
          <t>Heron View</t>
        </is>
      </c>
      <c r="B232" s="3" t="inlineStr">
        <is>
          <t>G</t>
        </is>
      </c>
      <c r="C232" s="3" t="inlineStr">
        <is>
          <t>HVG304</t>
        </is>
      </c>
      <c r="D232" s="3" t="b">
        <v>0</v>
      </c>
      <c r="E232" s="3" t="b">
        <v>0</v>
      </c>
      <c r="F232" s="3">
        <f>SUMIFS('Cashflow Projection'!$C$7:$C$23,'Cashflow Projection'!$B$7:$B$23,Sales!$B232,'Cashflow Projection'!$A$7:$A$23,Sales!$A232)</f>
        <v/>
      </c>
      <c r="G232" s="4" t="n">
        <v>45523</v>
      </c>
      <c r="H232" s="4" t="n">
        <v>45523</v>
      </c>
      <c r="I232" s="3" t="n">
        <v>1499900</v>
      </c>
      <c r="J232" s="3" t="n">
        <v>195639.1304347826</v>
      </c>
      <c r="K232" s="3" t="n">
        <v>1304260.869565218</v>
      </c>
      <c r="L232" s="3" t="n">
        <v>18502.08</v>
      </c>
      <c r="M232" s="3" t="n">
        <v>1789</v>
      </c>
      <c r="N232" s="3" t="n">
        <v>7499.5</v>
      </c>
      <c r="O232" s="3" t="n">
        <v>74995</v>
      </c>
      <c r="P232" s="3" t="n">
        <v>19224.37</v>
      </c>
      <c r="Q232" s="3" t="n">
        <v>1377890.05</v>
      </c>
      <c r="R232" s="9">
        <f>(SUMIFS(Investors!$M:$M,Investors!$E:$E,Sales!$C232,Investors!$O:$O,FALSE)+SUMIFS(Investors!$S:$S,Investors!$E:$E,Sales!$C232,Investors!$O:$O,FALSE))*$F232</f>
        <v/>
      </c>
      <c r="S232" s="9">
        <f>IF(T232=FALSE,Q232-R232,+V232)</f>
        <v/>
      </c>
      <c r="T232" s="3" t="b">
        <v>0</v>
      </c>
      <c r="U232" s="4" t="n">
        <v>45565</v>
      </c>
      <c r="V232" s="9" t="n">
        <v>57618.81712328759</v>
      </c>
    </row>
    <row r="233">
      <c r="A233" s="3" t="inlineStr">
        <is>
          <t>Heron View</t>
        </is>
      </c>
      <c r="B233" s="3" t="inlineStr">
        <is>
          <t>M</t>
        </is>
      </c>
      <c r="C233" s="3" t="inlineStr">
        <is>
          <t>HVM204</t>
        </is>
      </c>
      <c r="D233" s="3" t="b">
        <v>0</v>
      </c>
      <c r="E233" s="3" t="b">
        <v>0</v>
      </c>
      <c r="F233" s="3">
        <f>SUMIFS('Cashflow Projection'!$C$7:$C$23,'Cashflow Projection'!$B$7:$B$23,Sales!$B233,'Cashflow Projection'!$A$7:$A$23,Sales!$A233)</f>
        <v/>
      </c>
      <c r="G233" s="4" t="n">
        <v>45450</v>
      </c>
      <c r="H233" s="4" t="n">
        <v>45450</v>
      </c>
      <c r="I233" s="3" t="n">
        <v>1699900</v>
      </c>
      <c r="J233" s="3" t="n">
        <v>221726.0869565217</v>
      </c>
      <c r="K233" s="3" t="n">
        <v>1478173.913043478</v>
      </c>
      <c r="L233" s="3" t="n">
        <v>18502.08</v>
      </c>
      <c r="M233" s="3" t="n">
        <v>1789</v>
      </c>
      <c r="N233" s="3" t="n">
        <v>8499.5</v>
      </c>
      <c r="O233" s="3" t="n">
        <v>84995</v>
      </c>
      <c r="P233" s="3" t="n">
        <v>19224.37</v>
      </c>
      <c r="Q233" s="3" t="n">
        <v>1566890.05</v>
      </c>
      <c r="R233" s="9">
        <f>(SUMIFS(Investors!$M:$M,Investors!$E:$E,Sales!$C233,Investors!$O:$O,FALSE)+SUMIFS(Investors!$S:$S,Investors!$E:$E,Sales!$C233,Investors!$O:$O,FALSE))*$F233</f>
        <v/>
      </c>
      <c r="S233" s="9">
        <f>IF(T233=FALSE,Q233-R233,+V233)</f>
        <v/>
      </c>
      <c r="T233" s="3" t="b">
        <v>0</v>
      </c>
      <c r="U233" s="4" t="n">
        <v>45504</v>
      </c>
      <c r="V233" s="9" t="n">
        <v>282753.0636986298</v>
      </c>
    </row>
    <row r="234">
      <c r="A234" s="3" t="inlineStr">
        <is>
          <t>Heron View</t>
        </is>
      </c>
      <c r="B234" s="3" t="inlineStr">
        <is>
          <t>K</t>
        </is>
      </c>
      <c r="C234" s="3" t="inlineStr">
        <is>
          <t>HVK201</t>
        </is>
      </c>
      <c r="D234" s="3" t="b">
        <v>0</v>
      </c>
      <c r="E234" s="3" t="b">
        <v>0</v>
      </c>
      <c r="F234" s="3">
        <f>SUMIFS('Cashflow Projection'!$C$7:$C$23,'Cashflow Projection'!$B$7:$B$23,Sales!$B234,'Cashflow Projection'!$A$7:$A$23,Sales!$A234)</f>
        <v/>
      </c>
      <c r="G234" s="4" t="n">
        <v>45510</v>
      </c>
      <c r="H234" s="4" t="n">
        <v>45510</v>
      </c>
      <c r="I234" s="3" t="n">
        <v>1499900</v>
      </c>
      <c r="J234" s="3" t="n">
        <v>195639.1304347826</v>
      </c>
      <c r="K234" s="3" t="n">
        <v>1304260.869565218</v>
      </c>
      <c r="L234" s="3" t="n">
        <v>18502.08</v>
      </c>
      <c r="M234" s="3" t="n">
        <v>1789</v>
      </c>
      <c r="N234" s="3" t="n">
        <v>7499.5</v>
      </c>
      <c r="O234" s="3" t="n">
        <v>74995</v>
      </c>
      <c r="P234" s="3" t="n">
        <v>19224.37</v>
      </c>
      <c r="Q234" s="3" t="n">
        <v>1377890.05</v>
      </c>
      <c r="R234" s="9">
        <f>(SUMIFS(Investors!$M:$M,Investors!$E:$E,Sales!$C234,Investors!$O:$O,FALSE)+SUMIFS(Investors!$S:$S,Investors!$E:$E,Sales!$C234,Investors!$O:$O,FALSE))*$F234</f>
        <v/>
      </c>
      <c r="S234" s="9">
        <f>IF(T234=FALSE,Q234-R234,+V234)</f>
        <v/>
      </c>
      <c r="T234" s="3" t="b">
        <v>0</v>
      </c>
      <c r="U234" s="4" t="n">
        <v>45565</v>
      </c>
      <c r="V234" s="9" t="n">
        <v>-58370.90890410985</v>
      </c>
    </row>
    <row r="235">
      <c r="A235" s="3" t="inlineStr">
        <is>
          <t>Heron View</t>
        </is>
      </c>
      <c r="B235" s="3" t="inlineStr">
        <is>
          <t>G</t>
        </is>
      </c>
      <c r="C235" s="3" t="inlineStr">
        <is>
          <t>HVG104</t>
        </is>
      </c>
      <c r="D235" s="3" t="b">
        <v>0</v>
      </c>
      <c r="E235" s="3" t="b">
        <v>0</v>
      </c>
      <c r="F235" s="3">
        <f>SUMIFS('Cashflow Projection'!$C$7:$C$23,'Cashflow Projection'!$B$7:$B$23,Sales!$B235,'Cashflow Projection'!$A$7:$A$23,Sales!$A235)</f>
        <v/>
      </c>
      <c r="G235" s="4" t="n">
        <v>45523</v>
      </c>
      <c r="H235" s="4" t="n">
        <v>45523</v>
      </c>
      <c r="I235" s="3" t="n">
        <v>1649900</v>
      </c>
      <c r="J235" s="3" t="n">
        <v>215204.3478260869</v>
      </c>
      <c r="K235" s="3" t="n">
        <v>1434695.652173913</v>
      </c>
      <c r="L235" s="3" t="n">
        <v>18502.08</v>
      </c>
      <c r="M235" s="3" t="n">
        <v>1789</v>
      </c>
      <c r="N235" s="3" t="n">
        <v>8249.5</v>
      </c>
      <c r="O235" s="3" t="n">
        <v>82495</v>
      </c>
      <c r="P235" s="3" t="n">
        <v>19224.37</v>
      </c>
      <c r="Q235" s="3" t="n">
        <v>1519640.05</v>
      </c>
      <c r="R235" s="9">
        <f>(SUMIFS(Investors!$M:$M,Investors!$E:$E,Sales!$C235,Investors!$O:$O,FALSE)+SUMIFS(Investors!$S:$S,Investors!$E:$E,Sales!$C235,Investors!$O:$O,FALSE))*$F235</f>
        <v/>
      </c>
      <c r="S235" s="9">
        <f>IF(T235=FALSE,Q235-R235,+V235)</f>
        <v/>
      </c>
      <c r="T235" s="3" t="b">
        <v>0</v>
      </c>
      <c r="U235" s="4" t="n">
        <v>45565</v>
      </c>
      <c r="V235" s="9" t="n">
        <v>169984.7490986299</v>
      </c>
    </row>
    <row r="236">
      <c r="A236" s="3" t="inlineStr">
        <is>
          <t>Heron View</t>
        </is>
      </c>
      <c r="B236" s="3" t="inlineStr">
        <is>
          <t>K</t>
        </is>
      </c>
      <c r="C236" s="3" t="inlineStr">
        <is>
          <t>HVK102</t>
        </is>
      </c>
      <c r="D236" s="3" t="b">
        <v>0</v>
      </c>
      <c r="E236" s="3" t="b">
        <v>0</v>
      </c>
      <c r="F236" s="3">
        <f>SUMIFS('Cashflow Projection'!$C$7:$C$23,'Cashflow Projection'!$B$7:$B$23,Sales!$B236,'Cashflow Projection'!$A$7:$A$23,Sales!$A236)</f>
        <v/>
      </c>
      <c r="G236" s="4" t="n">
        <v>45510</v>
      </c>
      <c r="H236" s="4" t="n">
        <v>45510</v>
      </c>
      <c r="I236" s="3" t="n">
        <v>1739900</v>
      </c>
      <c r="J236" s="3" t="n">
        <v>226943.4782608696</v>
      </c>
      <c r="K236" s="3" t="n">
        <v>1512956.521739131</v>
      </c>
      <c r="L236" s="3" t="n">
        <v>18502.08</v>
      </c>
      <c r="M236" s="3" t="n">
        <v>1789</v>
      </c>
      <c r="N236" s="3" t="n">
        <v>8699.5</v>
      </c>
      <c r="O236" s="3" t="n">
        <v>86995</v>
      </c>
      <c r="P236" s="3" t="n">
        <v>19224.37</v>
      </c>
      <c r="Q236" s="3" t="n">
        <v>1604690.05</v>
      </c>
      <c r="R236" s="9">
        <f>(SUMIFS(Investors!$M:$M,Investors!$E:$E,Sales!$C236,Investors!$O:$O,FALSE)+SUMIFS(Investors!$S:$S,Investors!$E:$E,Sales!$C236,Investors!$O:$O,FALSE))*$F236</f>
        <v/>
      </c>
      <c r="S236" s="9">
        <f>IF(T236=FALSE,Q236-R236,+V236)</f>
        <v/>
      </c>
      <c r="T236" s="3" t="b">
        <v>0</v>
      </c>
      <c r="U236" s="4" t="n">
        <v>45565</v>
      </c>
      <c r="V236" s="9" t="n">
        <v>166688.6801369861</v>
      </c>
    </row>
    <row r="237">
      <c r="A237" s="3" t="inlineStr">
        <is>
          <t>Heron View</t>
        </is>
      </c>
      <c r="B237" s="3" t="inlineStr">
        <is>
          <t>O</t>
        </is>
      </c>
      <c r="C237" s="3" t="inlineStr">
        <is>
          <t>HVO103</t>
        </is>
      </c>
      <c r="D237" s="3" t="b">
        <v>0</v>
      </c>
      <c r="E237" s="3" t="b">
        <v>0</v>
      </c>
      <c r="F237" s="3">
        <f>SUMIFS('Cashflow Projection'!$C$7:$C$23,'Cashflow Projection'!$B$7:$B$23,Sales!$B237,'Cashflow Projection'!$A$7:$A$23,Sales!$A237)</f>
        <v/>
      </c>
      <c r="G237" s="4" t="n">
        <v>45518</v>
      </c>
      <c r="H237" s="4" t="n">
        <v>45518</v>
      </c>
      <c r="I237" s="3" t="n">
        <v>1659900</v>
      </c>
      <c r="J237" s="3" t="n">
        <v>216508.6956521739</v>
      </c>
      <c r="K237" s="3" t="n">
        <v>1443391.304347826</v>
      </c>
      <c r="L237" s="3" t="n">
        <v>18502.08</v>
      </c>
      <c r="M237" s="3" t="n">
        <v>1789</v>
      </c>
      <c r="N237" s="3" t="n">
        <v>8299.5</v>
      </c>
      <c r="O237" s="3" t="n">
        <v>82995</v>
      </c>
      <c r="P237" s="3" t="n">
        <v>19224.37</v>
      </c>
      <c r="Q237" s="3" t="n">
        <v>1529090.05</v>
      </c>
      <c r="R237" s="9">
        <f>(SUMIFS(Investors!$M:$M,Investors!$E:$E,Sales!$C237,Investors!$O:$O,FALSE)+SUMIFS(Investors!$S:$S,Investors!$E:$E,Sales!$C237,Investors!$O:$O,FALSE))*$F237</f>
        <v/>
      </c>
      <c r="S237" s="9">
        <f>IF(T237=FALSE,Q237-R237,+V237)</f>
        <v/>
      </c>
      <c r="T237" s="3" t="b">
        <v>0</v>
      </c>
      <c r="U237" s="4" t="n">
        <v>45565</v>
      </c>
      <c r="V237" s="9" t="n">
        <v>114546.5502426713</v>
      </c>
    </row>
    <row r="238">
      <c r="A238" s="3" t="inlineStr">
        <is>
          <t>Heron View</t>
        </is>
      </c>
      <c r="B238" s="3" t="inlineStr">
        <is>
          <t>H</t>
        </is>
      </c>
      <c r="C238" s="3" t="inlineStr">
        <is>
          <t>HVH204</t>
        </is>
      </c>
      <c r="D238" s="3" t="b">
        <v>1</v>
      </c>
      <c r="E238" s="3" t="b">
        <v>0</v>
      </c>
      <c r="F238" s="3">
        <f>SUMIFS('Cashflow Projection'!$C$7:$C$23,'Cashflow Projection'!$B$7:$B$23,Sales!$B238,'Cashflow Projection'!$A$7:$A$23,Sales!$A238)</f>
        <v/>
      </c>
      <c r="G238" s="4" t="n">
        <v>45490</v>
      </c>
      <c r="H238" s="4" t="n">
        <v>45490</v>
      </c>
      <c r="I238" s="3" t="n">
        <v>1707999</v>
      </c>
      <c r="J238" s="3" t="n">
        <v>222782.4782608696</v>
      </c>
      <c r="K238" s="3" t="n">
        <v>1485216.521739131</v>
      </c>
      <c r="L238" s="3" t="n">
        <v>18502.08</v>
      </c>
      <c r="M238" s="3" t="n">
        <v>1789</v>
      </c>
      <c r="N238" s="3" t="n">
        <v>8539.995000000001</v>
      </c>
      <c r="O238" s="3" t="n">
        <v>85399.95000000001</v>
      </c>
      <c r="P238" s="3" t="n">
        <v>19224.37</v>
      </c>
      <c r="Q238" s="3" t="n">
        <v>1574543.605</v>
      </c>
      <c r="R238" s="9">
        <f>(SUMIFS(Investors!$M:$M,Investors!$E:$E,Sales!$C238,Investors!$O:$O,FALSE)+SUMIFS(Investors!$S:$S,Investors!$E:$E,Sales!$C238,Investors!$O:$O,FALSE))*$F238</f>
        <v/>
      </c>
      <c r="S238" s="9">
        <f>IF(T238=FALSE,Q238-R238,+V238)</f>
        <v/>
      </c>
      <c r="T238" s="3" t="b">
        <v>0</v>
      </c>
      <c r="U238" s="4" t="n">
        <v>45565</v>
      </c>
      <c r="V238" s="9" t="n">
        <v>350529.9063698628</v>
      </c>
    </row>
    <row r="239">
      <c r="A239" s="3" t="inlineStr">
        <is>
          <t>Heron View</t>
        </is>
      </c>
      <c r="B239" s="3" t="inlineStr">
        <is>
          <t>O</t>
        </is>
      </c>
      <c r="C239" s="3" t="inlineStr">
        <is>
          <t>HVO102</t>
        </is>
      </c>
      <c r="D239" s="3" t="b">
        <v>1</v>
      </c>
      <c r="E239" s="3" t="b">
        <v>0</v>
      </c>
      <c r="F239" s="3">
        <f>SUMIFS('Cashflow Projection'!$C$7:$C$23,'Cashflow Projection'!$B$7:$B$23,Sales!$B239,'Cashflow Projection'!$A$7:$A$23,Sales!$A239)</f>
        <v/>
      </c>
      <c r="G239" s="4" t="n">
        <v>45518</v>
      </c>
      <c r="H239" s="4" t="n">
        <v>45518</v>
      </c>
      <c r="I239" s="3" t="n">
        <v>1659900</v>
      </c>
      <c r="J239" s="3" t="n">
        <v>216508.6956521739</v>
      </c>
      <c r="K239" s="3" t="n">
        <v>1443391.304347826</v>
      </c>
      <c r="L239" s="3" t="n">
        <v>18502.08</v>
      </c>
      <c r="M239" s="3" t="n">
        <v>1789</v>
      </c>
      <c r="N239" s="3" t="n">
        <v>8299.5</v>
      </c>
      <c r="O239" s="3" t="n">
        <v>82995</v>
      </c>
      <c r="P239" s="3" t="n">
        <v>19224.37</v>
      </c>
      <c r="Q239" s="3" t="n">
        <v>1529090.05</v>
      </c>
      <c r="R239" s="9">
        <f>(SUMIFS(Investors!$M:$M,Investors!$E:$E,Sales!$C239,Investors!$O:$O,FALSE)+SUMIFS(Investors!$S:$S,Investors!$E:$E,Sales!$C239,Investors!$O:$O,FALSE))*$F239</f>
        <v/>
      </c>
      <c r="S239" s="9">
        <f>IF(T239=FALSE,Q239-R239,+V239)</f>
        <v/>
      </c>
      <c r="T239" s="3" t="b">
        <v>0</v>
      </c>
      <c r="U239" s="4" t="n">
        <v>45565</v>
      </c>
      <c r="V239" s="9" t="n">
        <v>161468.4996656161</v>
      </c>
    </row>
    <row r="240">
      <c r="A240" s="3" t="inlineStr">
        <is>
          <t>Heron View</t>
        </is>
      </c>
      <c r="B240" s="3" t="inlineStr">
        <is>
          <t>F</t>
        </is>
      </c>
      <c r="C240" s="3" t="inlineStr">
        <is>
          <t>HVF102</t>
        </is>
      </c>
      <c r="D240" s="3" t="b">
        <v>0</v>
      </c>
      <c r="E240" s="3" t="b">
        <v>0</v>
      </c>
      <c r="F240" s="3">
        <f>SUMIFS('Cashflow Projection'!$C$7:$C$23,'Cashflow Projection'!$B$7:$B$23,Sales!$B240,'Cashflow Projection'!$A$7:$A$23,Sales!$A240)</f>
        <v/>
      </c>
      <c r="G240" s="4" t="n">
        <v>45517</v>
      </c>
      <c r="H240" s="4" t="n">
        <v>45722</v>
      </c>
      <c r="I240" s="3" t="n">
        <v>1619900</v>
      </c>
      <c r="J240" s="3" t="n">
        <v>211291.3043478261</v>
      </c>
      <c r="K240" s="3" t="n">
        <v>1408608.695652174</v>
      </c>
      <c r="L240" s="3" t="n">
        <v>18502.08</v>
      </c>
      <c r="M240" s="3" t="n">
        <v>1789</v>
      </c>
      <c r="N240" s="3" t="n">
        <v>8099.5</v>
      </c>
      <c r="O240" s="3" t="n">
        <v>80995</v>
      </c>
      <c r="P240" s="3" t="n">
        <v>19224.37</v>
      </c>
      <c r="Q240" s="3" t="n">
        <v>1491290.05</v>
      </c>
      <c r="R240" s="9">
        <f>(SUMIFS(Investors!$M:$M,Investors!$E:$E,Sales!$C240,Investors!$O:$O,FALSE)+SUMIFS(Investors!$S:$S,Investors!$E:$E,Sales!$C240,Investors!$O:$O,FALSE))*$F240</f>
        <v/>
      </c>
      <c r="S240" s="9">
        <f>IF(T240=FALSE,Q240-R240,+V240)</f>
        <v/>
      </c>
      <c r="T240" s="3" t="b">
        <v>0</v>
      </c>
      <c r="U240" s="4" t="n">
        <v>45808</v>
      </c>
      <c r="V240" s="9" t="n">
        <v>279221.2483942464</v>
      </c>
    </row>
    <row r="241">
      <c r="A241" s="3" t="inlineStr">
        <is>
          <t>Heron View</t>
        </is>
      </c>
      <c r="B241" s="3" t="inlineStr">
        <is>
          <t>G</t>
        </is>
      </c>
      <c r="C241" s="3" t="inlineStr">
        <is>
          <t>HVG301</t>
        </is>
      </c>
      <c r="D241" s="3" t="b">
        <v>0</v>
      </c>
      <c r="E241" s="3" t="b">
        <v>0</v>
      </c>
      <c r="F241" s="3">
        <f>SUMIFS('Cashflow Projection'!$C$7:$C$23,'Cashflow Projection'!$B$7:$B$23,Sales!$B241,'Cashflow Projection'!$A$7:$A$23,Sales!$A241)</f>
        <v/>
      </c>
      <c r="G241" s="4" t="n">
        <v>45523</v>
      </c>
      <c r="H241" s="4" t="n">
        <v>45523</v>
      </c>
      <c r="I241" s="3" t="n">
        <v>1499900</v>
      </c>
      <c r="J241" s="3" t="n">
        <v>195639.1304347826</v>
      </c>
      <c r="K241" s="3" t="n">
        <v>1304260.869565218</v>
      </c>
      <c r="L241" s="3" t="n">
        <v>18502.08</v>
      </c>
      <c r="M241" s="3" t="n">
        <v>1789</v>
      </c>
      <c r="N241" s="3" t="n">
        <v>7499.5</v>
      </c>
      <c r="O241" s="3" t="n">
        <v>74995</v>
      </c>
      <c r="P241" s="3" t="n">
        <v>19224.37</v>
      </c>
      <c r="Q241" s="3" t="n">
        <v>1377890.05</v>
      </c>
      <c r="R241" s="9">
        <f>(SUMIFS(Investors!$M:$M,Investors!$E:$E,Sales!$C241,Investors!$O:$O,FALSE)+SUMIFS(Investors!$S:$S,Investors!$E:$E,Sales!$C241,Investors!$O:$O,FALSE))*$F241</f>
        <v/>
      </c>
      <c r="S241" s="9">
        <f>IF(T241=FALSE,Q241-R241,+V241)</f>
        <v/>
      </c>
      <c r="T241" s="3" t="b">
        <v>0</v>
      </c>
      <c r="U241" s="4" t="n">
        <v>45565</v>
      </c>
      <c r="V241" s="9" t="n">
        <v>64244.84452054766</v>
      </c>
    </row>
    <row r="242">
      <c r="A242" s="3" t="inlineStr">
        <is>
          <t>Heron View</t>
        </is>
      </c>
      <c r="B242" s="3" t="inlineStr">
        <is>
          <t>O</t>
        </is>
      </c>
      <c r="C242" s="3" t="inlineStr">
        <is>
          <t>HVO304</t>
        </is>
      </c>
      <c r="D242" s="3" t="b">
        <v>0</v>
      </c>
      <c r="E242" s="3" t="b">
        <v>0</v>
      </c>
      <c r="F242" s="3">
        <f>SUMIFS('Cashflow Projection'!$C$7:$C$23,'Cashflow Projection'!$B$7:$B$23,Sales!$B242,'Cashflow Projection'!$A$7:$A$23,Sales!$A242)</f>
        <v/>
      </c>
      <c r="G242" s="4" t="n">
        <v>45518</v>
      </c>
      <c r="H242" s="4" t="n">
        <v>45518</v>
      </c>
      <c r="I242" s="3" t="n">
        <v>1689900</v>
      </c>
      <c r="J242" s="3" t="n">
        <v>220421.7391304348</v>
      </c>
      <c r="K242" s="3" t="n">
        <v>1469478.260869565</v>
      </c>
      <c r="L242" s="3" t="n">
        <v>18502.08</v>
      </c>
      <c r="M242" s="3" t="n">
        <v>1789</v>
      </c>
      <c r="N242" s="3" t="n">
        <v>8449.5</v>
      </c>
      <c r="O242" s="3" t="n">
        <v>84495</v>
      </c>
      <c r="P242" s="3" t="n">
        <v>19224.37</v>
      </c>
      <c r="Q242" s="3" t="n">
        <v>1557440.05</v>
      </c>
      <c r="R242" s="9">
        <f>(SUMIFS(Investors!$M:$M,Investors!$E:$E,Sales!$C242,Investors!$O:$O,FALSE)+SUMIFS(Investors!$S:$S,Investors!$E:$E,Sales!$C242,Investors!$O:$O,FALSE))*$F242</f>
        <v/>
      </c>
      <c r="S242" s="9">
        <f>IF(T242=FALSE,Q242-R242,+V242)</f>
        <v/>
      </c>
      <c r="T242" s="3" t="b">
        <v>0</v>
      </c>
      <c r="U242" s="4" t="n">
        <v>45565</v>
      </c>
      <c r="V242" s="9" t="n">
        <v>237373.9082991779</v>
      </c>
    </row>
    <row r="243">
      <c r="A243" s="3" t="inlineStr">
        <is>
          <t>Endulini</t>
        </is>
      </c>
      <c r="B243" s="3" t="inlineStr">
        <is>
          <t>A</t>
        </is>
      </c>
      <c r="C243" s="3" t="inlineStr">
        <is>
          <t>EA204</t>
        </is>
      </c>
      <c r="D243" s="3" t="b">
        <v>1</v>
      </c>
      <c r="E243" s="3" t="b">
        <v>1</v>
      </c>
      <c r="F243" s="3">
        <f>SUMIFS('Cashflow Projection'!$C$7:$C$23,'Cashflow Projection'!$B$7:$B$23,Sales!$B243,'Cashflow Projection'!$A$7:$A$23,Sales!$A243)</f>
        <v/>
      </c>
      <c r="G243" s="4" t="n">
        <v>45274</v>
      </c>
      <c r="H243" s="4" t="n">
        <v>45688</v>
      </c>
      <c r="I243" s="3" t="n">
        <v>1499900</v>
      </c>
      <c r="J243" s="3" t="n">
        <v>195639.1304347826</v>
      </c>
      <c r="K243" s="3" t="n">
        <v>1304260.869565218</v>
      </c>
      <c r="L243" s="3" t="n">
        <v>18502.08</v>
      </c>
      <c r="M243" s="3" t="n">
        <v>1789</v>
      </c>
      <c r="N243" s="3" t="n">
        <v>7499.5</v>
      </c>
      <c r="O243" s="3" t="n">
        <v>74995</v>
      </c>
      <c r="P243" s="3" t="n">
        <v>19224.37</v>
      </c>
      <c r="Q243" s="3" t="n">
        <v>1377890.05</v>
      </c>
      <c r="R243" s="9">
        <f>(SUMIFS(Investors!$M:$M,Investors!$E:$E,Sales!$C243,Investors!$O:$O,FALSE)+SUMIFS(Investors!$S:$S,Investors!$E:$E,Sales!$C243,Investors!$O:$O,FALSE))*$F243</f>
        <v/>
      </c>
      <c r="S243" s="9">
        <f>IF(T243=FALSE,Q243-R243,+V243)</f>
        <v/>
      </c>
      <c r="T243" s="3" t="b">
        <v>0</v>
      </c>
      <c r="U243" s="4" t="n">
        <v>45747</v>
      </c>
      <c r="V243" s="9" t="n">
        <v>133229.776027397</v>
      </c>
    </row>
    <row r="244">
      <c r="A244" s="3" t="inlineStr">
        <is>
          <t>Endulini</t>
        </is>
      </c>
      <c r="B244" s="3" t="inlineStr">
        <is>
          <t>A</t>
        </is>
      </c>
      <c r="C244" s="3" t="inlineStr">
        <is>
          <t>EA304</t>
        </is>
      </c>
      <c r="D244" s="3" t="b">
        <v>1</v>
      </c>
      <c r="E244" s="3" t="b">
        <v>1</v>
      </c>
      <c r="F244" s="3">
        <f>SUMIFS('Cashflow Projection'!$C$7:$C$23,'Cashflow Projection'!$B$7:$B$23,Sales!$B244,'Cashflow Projection'!$A$7:$A$23,Sales!$A244)</f>
        <v/>
      </c>
      <c r="G244" s="4" t="n">
        <v>45264</v>
      </c>
      <c r="H244" s="4" t="n">
        <v>45688</v>
      </c>
      <c r="I244" s="3" t="n">
        <v>1559900</v>
      </c>
      <c r="J244" s="3" t="n">
        <v>203465.2173913044</v>
      </c>
      <c r="K244" s="3" t="n">
        <v>1356434.782608696</v>
      </c>
      <c r="L244" s="3" t="n">
        <v>18502.08</v>
      </c>
      <c r="M244" s="3" t="n">
        <v>1789</v>
      </c>
      <c r="N244" s="3" t="n">
        <v>7799.5</v>
      </c>
      <c r="O244" s="3" t="n">
        <v>77995</v>
      </c>
      <c r="P244" s="3" t="n">
        <v>19224.37</v>
      </c>
      <c r="Q244" s="3" t="n">
        <v>1434590.05</v>
      </c>
      <c r="R244" s="9">
        <f>(SUMIFS(Investors!$M:$M,Investors!$E:$E,Sales!$C244,Investors!$O:$O,FALSE)+SUMIFS(Investors!$S:$S,Investors!$E:$E,Sales!$C244,Investors!$O:$O,FALSE))*$F244</f>
        <v/>
      </c>
      <c r="S244" s="9">
        <f>IF(T244=FALSE,Q244-R244,+V244)</f>
        <v/>
      </c>
      <c r="T244" s="3" t="b">
        <v>0</v>
      </c>
      <c r="U244" s="4" t="n">
        <v>45747</v>
      </c>
      <c r="V244" s="9" t="n">
        <v>324976.3513698627</v>
      </c>
    </row>
    <row r="245">
      <c r="A245" s="3" t="inlineStr">
        <is>
          <t>Endulini</t>
        </is>
      </c>
      <c r="B245" s="3" t="inlineStr">
        <is>
          <t>C</t>
        </is>
      </c>
      <c r="C245" s="3" t="inlineStr">
        <is>
          <t>EC102</t>
        </is>
      </c>
      <c r="D245" s="3" t="b">
        <v>1</v>
      </c>
      <c r="E245" s="3" t="b">
        <v>1</v>
      </c>
      <c r="F245" s="3">
        <f>SUMIFS('Cashflow Projection'!$C$7:$C$23,'Cashflow Projection'!$B$7:$B$23,Sales!$B245,'Cashflow Projection'!$A$7:$A$23,Sales!$A245)</f>
        <v/>
      </c>
      <c r="G245" s="4" t="n">
        <v>44841</v>
      </c>
      <c r="H245" s="4" t="n">
        <v>45688</v>
      </c>
      <c r="I245" s="3" t="n">
        <v>1559900</v>
      </c>
      <c r="J245" s="3" t="n">
        <v>203465.2173913044</v>
      </c>
      <c r="K245" s="3" t="n">
        <v>1356434.782608696</v>
      </c>
      <c r="L245" s="3" t="n">
        <v>18502.08</v>
      </c>
      <c r="M245" s="3" t="n">
        <v>1789</v>
      </c>
      <c r="N245" s="3" t="n">
        <v>7799.5</v>
      </c>
      <c r="O245" s="3" t="n">
        <v>77995</v>
      </c>
      <c r="P245" s="3" t="n">
        <v>19224.37</v>
      </c>
      <c r="Q245" s="3" t="n">
        <v>1434590.05</v>
      </c>
      <c r="R245" s="9">
        <f>(SUMIFS(Investors!$M:$M,Investors!$E:$E,Sales!$C245,Investors!$O:$O,FALSE)+SUMIFS(Investors!$S:$S,Investors!$E:$E,Sales!$C245,Investors!$O:$O,FALSE))*$F245</f>
        <v/>
      </c>
      <c r="S245" s="9">
        <f>IF(T245=FALSE,Q245-R245,+V245)</f>
        <v/>
      </c>
      <c r="T245" s="3" t="b">
        <v>0</v>
      </c>
      <c r="U245" s="4" t="n">
        <v>45747</v>
      </c>
      <c r="V245" s="9" t="n">
        <v>242139.7075342464</v>
      </c>
    </row>
    <row r="246">
      <c r="A246" s="3" t="inlineStr">
        <is>
          <t>Endulini</t>
        </is>
      </c>
      <c r="B246" s="3" t="inlineStr">
        <is>
          <t>B</t>
        </is>
      </c>
      <c r="C246" s="3" t="inlineStr">
        <is>
          <t>EB203</t>
        </is>
      </c>
      <c r="D246" s="3" t="b">
        <v>1</v>
      </c>
      <c r="E246" s="3" t="b">
        <v>1</v>
      </c>
      <c r="F246" s="3">
        <f>SUMIFS('Cashflow Projection'!$C$7:$C$23,'Cashflow Projection'!$B$7:$B$23,Sales!$B246,'Cashflow Projection'!$A$7:$A$23,Sales!$A246)</f>
        <v/>
      </c>
      <c r="G246" s="4" t="n">
        <v>45265</v>
      </c>
      <c r="H246" s="4" t="n">
        <v>45688</v>
      </c>
      <c r="I246" s="3" t="n">
        <v>1499900</v>
      </c>
      <c r="J246" s="3" t="n">
        <v>195639.1304347826</v>
      </c>
      <c r="K246" s="3" t="n">
        <v>1304260.869565218</v>
      </c>
      <c r="L246" s="3" t="n">
        <v>18502.08</v>
      </c>
      <c r="M246" s="3" t="n">
        <v>1789</v>
      </c>
      <c r="N246" s="3" t="n">
        <v>7499.5</v>
      </c>
      <c r="O246" s="3" t="n">
        <v>74995</v>
      </c>
      <c r="P246" s="3" t="n">
        <v>19224.37</v>
      </c>
      <c r="Q246" s="3" t="n">
        <v>1377890.05</v>
      </c>
      <c r="R246" s="9">
        <f>(SUMIFS(Investors!$M:$M,Investors!$E:$E,Sales!$C246,Investors!$O:$O,FALSE)+SUMIFS(Investors!$S:$S,Investors!$E:$E,Sales!$C246,Investors!$O:$O,FALSE))*$F246</f>
        <v/>
      </c>
      <c r="S246" s="9">
        <f>IF(T246=FALSE,Q246-R246,+V246)</f>
        <v/>
      </c>
      <c r="T246" s="3" t="b">
        <v>0</v>
      </c>
      <c r="U246" s="4" t="n">
        <v>45747</v>
      </c>
      <c r="V246" s="9" t="n">
        <v>156079.0212124656</v>
      </c>
    </row>
    <row r="247">
      <c r="A247" s="3" t="inlineStr">
        <is>
          <t>Endulini</t>
        </is>
      </c>
      <c r="B247" s="3" t="inlineStr">
        <is>
          <t>D</t>
        </is>
      </c>
      <c r="C247" s="3" t="inlineStr">
        <is>
          <t>ED301</t>
        </is>
      </c>
      <c r="D247" s="3" t="b">
        <v>1</v>
      </c>
      <c r="E247" s="3" t="b">
        <v>1</v>
      </c>
      <c r="F247" s="3">
        <f>SUMIFS('Cashflow Projection'!$C$7:$C$23,'Cashflow Projection'!$B$7:$B$23,Sales!$B247,'Cashflow Projection'!$A$7:$A$23,Sales!$A247)</f>
        <v/>
      </c>
      <c r="G247" s="4" t="n">
        <v>44711</v>
      </c>
      <c r="H247" s="4" t="n">
        <v>45688</v>
      </c>
      <c r="I247" s="3" t="n">
        <v>1399900</v>
      </c>
      <c r="J247" s="3" t="n">
        <v>182595.6521739131</v>
      </c>
      <c r="K247" s="3" t="n">
        <v>1217304.347826087</v>
      </c>
      <c r="L247" s="3" t="n">
        <v>18502.08</v>
      </c>
      <c r="M247" s="3" t="n">
        <v>1789</v>
      </c>
      <c r="N247" s="3" t="n">
        <v>6999.5</v>
      </c>
      <c r="O247" s="3" t="n">
        <v>69995</v>
      </c>
      <c r="P247" s="3" t="n">
        <v>19224.37</v>
      </c>
      <c r="Q247" s="3" t="n">
        <v>1283390.05</v>
      </c>
      <c r="R247" s="9">
        <f>(SUMIFS(Investors!$M:$M,Investors!$E:$E,Sales!$C247,Investors!$O:$O,FALSE)+SUMIFS(Investors!$S:$S,Investors!$E:$E,Sales!$C247,Investors!$O:$O,FALSE))*$F247</f>
        <v/>
      </c>
      <c r="S247" s="9">
        <f>IF(T247=FALSE,Q247-R247,+V247)</f>
        <v/>
      </c>
      <c r="T247" s="3" t="b">
        <v>0</v>
      </c>
      <c r="U247" s="4" t="n">
        <v>45747</v>
      </c>
      <c r="V247" s="9" t="n">
        <v>49965.39246575325</v>
      </c>
    </row>
    <row r="248">
      <c r="A248" s="3" t="inlineStr">
        <is>
          <t>Heron Fields</t>
        </is>
      </c>
      <c r="B248" s="3" t="inlineStr">
        <is>
          <t>A</t>
        </is>
      </c>
      <c r="C248" s="3" t="inlineStr">
        <is>
          <t>HFA301</t>
        </is>
      </c>
      <c r="D248" s="3" t="b">
        <v>1</v>
      </c>
      <c r="E248" s="3" t="b">
        <v>1</v>
      </c>
      <c r="F248" s="3">
        <f>SUMIFS('Cashflow Projection'!$C$7:$C$23,'Cashflow Projection'!$B$7:$B$23,Sales!$B248,'Cashflow Projection'!$A$7:$A$23,Sales!$A248)</f>
        <v/>
      </c>
      <c r="G248" s="4" t="n">
        <v>44901</v>
      </c>
      <c r="H248" s="4" t="n">
        <v>45688</v>
      </c>
      <c r="I248" s="3" t="n">
        <v>1399900</v>
      </c>
      <c r="J248" s="3" t="n">
        <v>182595.6521739131</v>
      </c>
      <c r="K248" s="3" t="n">
        <v>1217304.347826087</v>
      </c>
      <c r="L248" s="3" t="n">
        <v>18502.08</v>
      </c>
      <c r="M248" s="3" t="n">
        <v>1789</v>
      </c>
      <c r="N248" s="3" t="n">
        <v>6999.5</v>
      </c>
      <c r="O248" s="3" t="n">
        <v>69995</v>
      </c>
      <c r="P248" s="3" t="n">
        <v>19224.37</v>
      </c>
      <c r="Q248" s="3" t="n">
        <v>1283390.05</v>
      </c>
      <c r="R248" s="9">
        <f>(SUMIFS(Investors!$M:$M,Investors!$E:$E,Sales!$C248,Investors!$O:$O,FALSE)+SUMIFS(Investors!$S:$S,Investors!$E:$E,Sales!$C248,Investors!$O:$O,FALSE))*$F248</f>
        <v/>
      </c>
      <c r="S248" s="9">
        <f>IF(T248=FALSE,Q248-R248,+V248)</f>
        <v/>
      </c>
      <c r="T248" s="3" t="b">
        <v>0</v>
      </c>
      <c r="U248" s="4" t="n">
        <v>45747</v>
      </c>
      <c r="V248" s="9" t="n">
        <v>97089.0805238355</v>
      </c>
    </row>
    <row r="249">
      <c r="A249" s="3" t="inlineStr">
        <is>
          <t>Heron Fields</t>
        </is>
      </c>
      <c r="B249" s="3" t="inlineStr">
        <is>
          <t>B</t>
        </is>
      </c>
      <c r="C249" s="3" t="inlineStr">
        <is>
          <t>HFB211</t>
        </is>
      </c>
      <c r="D249" s="3" t="b">
        <v>0</v>
      </c>
      <c r="E249" s="3" t="b">
        <v>0</v>
      </c>
      <c r="F249" s="3">
        <f>SUMIFS('Cashflow Projection'!$C$7:$C$23,'Cashflow Projection'!$B$7:$B$23,Sales!$B249,'Cashflow Projection'!$A$7:$A$23,Sales!$A249)</f>
        <v/>
      </c>
      <c r="G249" s="4" t="n">
        <v>45439</v>
      </c>
      <c r="H249" s="4" t="n">
        <v>45439</v>
      </c>
      <c r="I249" s="3" t="n">
        <v>1499900</v>
      </c>
      <c r="J249" s="3" t="n">
        <v>0</v>
      </c>
      <c r="K249" s="3" t="n">
        <v>1304260.869565218</v>
      </c>
      <c r="L249" s="3" t="n">
        <v>18502.08</v>
      </c>
      <c r="M249" s="3" t="n">
        <v>1789</v>
      </c>
      <c r="N249" s="3" t="n">
        <v>7499.5</v>
      </c>
      <c r="O249" s="3" t="n">
        <v>74995</v>
      </c>
      <c r="P249" s="3" t="n">
        <v>19224.37</v>
      </c>
      <c r="Q249" s="3" t="n">
        <v>1377890.05</v>
      </c>
      <c r="R249" s="9">
        <f>(SUMIFS(Investors!$M:$M,Investors!$E:$E,Sales!$C249,Investors!$O:$O,FALSE)+SUMIFS(Investors!$S:$S,Investors!$E:$E,Sales!$C249,Investors!$O:$O,FALSE))*$F249</f>
        <v/>
      </c>
      <c r="S249" s="9">
        <f>IF(T249=FALSE,Q249-R249,+V249)</f>
        <v/>
      </c>
      <c r="T249" s="3" t="b">
        <v>1</v>
      </c>
      <c r="U249" s="4" t="n">
        <v>45504</v>
      </c>
      <c r="V249" s="9" t="n">
        <v>921500</v>
      </c>
    </row>
    <row r="250">
      <c r="A250" s="3" t="inlineStr">
        <is>
          <t>Heron View</t>
        </is>
      </c>
      <c r="B250" s="3" t="inlineStr">
        <is>
          <t>D</t>
        </is>
      </c>
      <c r="C250" s="3" t="inlineStr">
        <is>
          <t>HVD304</t>
        </is>
      </c>
      <c r="D250" s="3" t="b">
        <v>0</v>
      </c>
      <c r="E250" s="3" t="b">
        <v>0</v>
      </c>
      <c r="F250" s="3">
        <f>SUMIFS('Cashflow Projection'!$C$7:$C$23,'Cashflow Projection'!$B$7:$B$23,Sales!$B250,'Cashflow Projection'!$A$7:$A$23,Sales!$A250)</f>
        <v/>
      </c>
      <c r="G250" s="4" t="n">
        <v>45428</v>
      </c>
      <c r="H250" s="4" t="n">
        <v>45428</v>
      </c>
      <c r="I250" s="3" t="n">
        <v>1599900</v>
      </c>
      <c r="J250" s="3" t="n">
        <v>208682.6086956522</v>
      </c>
      <c r="K250" s="3" t="n">
        <v>1391217.391304348</v>
      </c>
      <c r="L250" s="3" t="n">
        <v>18502.08</v>
      </c>
      <c r="M250" s="3" t="n">
        <v>1789</v>
      </c>
      <c r="N250" s="3" t="n">
        <v>7999.5</v>
      </c>
      <c r="O250" s="3" t="n">
        <v>79995</v>
      </c>
      <c r="P250" s="3" t="n">
        <v>19224.37</v>
      </c>
      <c r="Q250" s="3" t="n">
        <v>1472390.05</v>
      </c>
      <c r="R250" s="9">
        <f>(SUMIFS(Investors!$M:$M,Investors!$E:$E,Sales!$C250,Investors!$O:$O,FALSE)+SUMIFS(Investors!$S:$S,Investors!$E:$E,Sales!$C250,Investors!$O:$O,FALSE))*$F250</f>
        <v/>
      </c>
      <c r="S250" s="9">
        <f>IF(T250=FALSE,Q250-R250,+V250)</f>
        <v/>
      </c>
      <c r="T250" s="3" t="b">
        <v>0</v>
      </c>
      <c r="U250" s="4" t="n">
        <v>45504</v>
      </c>
      <c r="V250" s="9" t="n">
        <v>136568.8171232874</v>
      </c>
    </row>
    <row r="251">
      <c r="A251" s="3" t="inlineStr">
        <is>
          <t>Heron View</t>
        </is>
      </c>
      <c r="B251" s="3" t="inlineStr">
        <is>
          <t>N</t>
        </is>
      </c>
      <c r="C251" s="3" t="inlineStr">
        <is>
          <t>HVN201</t>
        </is>
      </c>
      <c r="D251" s="3" t="b">
        <v>1</v>
      </c>
      <c r="E251" s="3" t="b">
        <v>1</v>
      </c>
      <c r="F251" s="3">
        <f>SUMIFS('Cashflow Projection'!$C$7:$C$23,'Cashflow Projection'!$B$7:$B$23,Sales!$B251,'Cashflow Projection'!$A$7:$A$23,Sales!$A251)</f>
        <v/>
      </c>
      <c r="G251" s="4" t="n">
        <v>45308</v>
      </c>
      <c r="H251" s="4" t="n">
        <v>45688</v>
      </c>
      <c r="I251" s="3" t="n">
        <v>1479900</v>
      </c>
      <c r="J251" s="3" t="n">
        <v>193030.4347826087</v>
      </c>
      <c r="K251" s="3" t="n">
        <v>1286869.565217391</v>
      </c>
      <c r="L251" s="3" t="n">
        <v>18502.08</v>
      </c>
      <c r="M251" s="3" t="n">
        <v>1789</v>
      </c>
      <c r="N251" s="3" t="n">
        <v>7399.5</v>
      </c>
      <c r="O251" s="3" t="n">
        <v>73995</v>
      </c>
      <c r="P251" s="3" t="n">
        <v>19224.37</v>
      </c>
      <c r="Q251" s="3" t="n">
        <v>1358990.05</v>
      </c>
      <c r="R251" s="9">
        <f>(SUMIFS(Investors!$M:$M,Investors!$E:$E,Sales!$C251,Investors!$O:$O,FALSE)+SUMIFS(Investors!$S:$S,Investors!$E:$E,Sales!$C251,Investors!$O:$O,FALSE))*$F251</f>
        <v/>
      </c>
      <c r="S251" s="9">
        <f>IF(T251=FALSE,Q251-R251,+V251)</f>
        <v/>
      </c>
      <c r="T251" s="3" t="b">
        <v>0</v>
      </c>
      <c r="U251" s="4" t="n">
        <v>45747</v>
      </c>
      <c r="V251" s="9" t="n">
        <v>74195.52945205453</v>
      </c>
    </row>
    <row r="252">
      <c r="A252" s="3" t="inlineStr">
        <is>
          <t>Heron View</t>
        </is>
      </c>
      <c r="B252" s="3" t="inlineStr">
        <is>
          <t>P</t>
        </is>
      </c>
      <c r="C252" s="3" t="inlineStr">
        <is>
          <t>HVP201</t>
        </is>
      </c>
      <c r="D252" s="3" t="b">
        <v>0</v>
      </c>
      <c r="E252" s="3" t="b">
        <v>0</v>
      </c>
      <c r="F252" s="3">
        <f>SUMIFS('Cashflow Projection'!$C$7:$C$23,'Cashflow Projection'!$B$7:$B$23,Sales!$B252,'Cashflow Projection'!$A$7:$A$23,Sales!$A252)</f>
        <v/>
      </c>
      <c r="G252" s="4" t="n">
        <v>45429</v>
      </c>
      <c r="H252" s="4" t="n">
        <v>45429</v>
      </c>
      <c r="I252" s="3" t="n">
        <v>1699900</v>
      </c>
      <c r="J252" s="3" t="n">
        <v>221726.0869565217</v>
      </c>
      <c r="K252" s="3" t="n">
        <v>1478173.913043478</v>
      </c>
      <c r="L252" s="3" t="n">
        <v>18502.08</v>
      </c>
      <c r="M252" s="3" t="n">
        <v>1789</v>
      </c>
      <c r="N252" s="3" t="n">
        <v>8499.5</v>
      </c>
      <c r="O252" s="3" t="n">
        <v>84995</v>
      </c>
      <c r="P252" s="3" t="n">
        <v>19224.37</v>
      </c>
      <c r="Q252" s="3" t="n">
        <v>1566890.05</v>
      </c>
      <c r="R252" s="9">
        <f>(SUMIFS(Investors!$M:$M,Investors!$E:$E,Sales!$C252,Investors!$O:$O,FALSE)+SUMIFS(Investors!$S:$S,Investors!$E:$E,Sales!$C252,Investors!$O:$O,FALSE))*$F252</f>
        <v/>
      </c>
      <c r="S252" s="9">
        <f>IF(T252=FALSE,Q252-R252,+V252)</f>
        <v/>
      </c>
      <c r="T252" s="3" t="b">
        <v>0</v>
      </c>
      <c r="U252" s="4" t="n">
        <v>45504</v>
      </c>
      <c r="V252" s="9" t="n">
        <v>163875.666438356</v>
      </c>
    </row>
    <row r="253">
      <c r="A253" s="3" t="inlineStr">
        <is>
          <t>Heron View</t>
        </is>
      </c>
      <c r="B253" s="3" t="inlineStr">
        <is>
          <t>F</t>
        </is>
      </c>
      <c r="C253" s="3" t="inlineStr">
        <is>
          <t>HVF204</t>
        </is>
      </c>
      <c r="D253" s="3" t="b">
        <v>0</v>
      </c>
      <c r="E253" s="3" t="b">
        <v>0</v>
      </c>
      <c r="F253" s="3">
        <f>SUMIFS('Cashflow Projection'!$C$7:$C$23,'Cashflow Projection'!$B$7:$B$23,Sales!$B253,'Cashflow Projection'!$A$7:$A$23,Sales!$A253)</f>
        <v/>
      </c>
      <c r="G253" s="4" t="n">
        <v>45517</v>
      </c>
      <c r="H253" s="4" t="n">
        <v>45722</v>
      </c>
      <c r="I253" s="3" t="n">
        <v>1599900</v>
      </c>
      <c r="J253" s="3" t="n">
        <v>208682.6086956522</v>
      </c>
      <c r="K253" s="3" t="n">
        <v>1391217.391304348</v>
      </c>
      <c r="L253" s="3" t="n">
        <v>18502.08</v>
      </c>
      <c r="M253" s="3" t="n">
        <v>1789</v>
      </c>
      <c r="N253" s="3" t="n">
        <v>7999.5</v>
      </c>
      <c r="O253" s="3" t="n">
        <v>79995</v>
      </c>
      <c r="P253" s="3" t="n">
        <v>19224.37</v>
      </c>
      <c r="Q253" s="3" t="n">
        <v>1472390.05</v>
      </c>
      <c r="R253" s="9">
        <f>(SUMIFS(Investors!$M:$M,Investors!$E:$E,Sales!$C253,Investors!$O:$O,FALSE)+SUMIFS(Investors!$S:$S,Investors!$E:$E,Sales!$C253,Investors!$O:$O,FALSE))*$F253</f>
        <v/>
      </c>
      <c r="S253" s="9">
        <f>IF(T253=FALSE,Q253-R253,+V253)</f>
        <v/>
      </c>
      <c r="T253" s="3" t="b">
        <v>0</v>
      </c>
      <c r="U253" s="4" t="n">
        <v>45808</v>
      </c>
      <c r="V253" s="9" t="n">
        <v>0</v>
      </c>
    </row>
    <row r="254">
      <c r="A254" s="3" t="inlineStr">
        <is>
          <t>Heron View</t>
        </is>
      </c>
      <c r="B254" s="3" t="inlineStr">
        <is>
          <t>E</t>
        </is>
      </c>
      <c r="C254" s="3" t="inlineStr">
        <is>
          <t>HVE104</t>
        </is>
      </c>
      <c r="D254" s="3" t="b">
        <v>0</v>
      </c>
      <c r="E254" s="3" t="b">
        <v>0</v>
      </c>
      <c r="F254" s="3">
        <f>SUMIFS('Cashflow Projection'!$C$7:$C$23,'Cashflow Projection'!$B$7:$B$23,Sales!$B254,'Cashflow Projection'!$A$7:$A$23,Sales!$A254)</f>
        <v/>
      </c>
      <c r="G254" s="4" t="n">
        <v>45685</v>
      </c>
      <c r="H254" s="4" t="n">
        <v>45685</v>
      </c>
      <c r="I254" s="3" t="n">
        <v>1649900</v>
      </c>
      <c r="J254" s="3" t="n">
        <v>215204.3478260869</v>
      </c>
      <c r="K254" s="3" t="n">
        <v>1434695.652173913</v>
      </c>
      <c r="L254" s="3" t="n">
        <v>18502.08</v>
      </c>
      <c r="M254" s="3" t="n">
        <v>1789</v>
      </c>
      <c r="N254" s="3" t="n">
        <v>8249.5</v>
      </c>
      <c r="O254" s="3" t="n">
        <v>82495</v>
      </c>
      <c r="P254" s="3" t="n">
        <v>19224.37</v>
      </c>
      <c r="Q254" s="3" t="n">
        <v>1519640.05</v>
      </c>
      <c r="R254" s="9">
        <f>(SUMIFS(Investors!$M:$M,Investors!$E:$E,Sales!$C254,Investors!$O:$O,FALSE)+SUMIFS(Investors!$S:$S,Investors!$E:$E,Sales!$C254,Investors!$O:$O,FALSE))*$F254</f>
        <v/>
      </c>
      <c r="S254" s="9">
        <f>IF(T254=FALSE,Q254-R254,+V254)</f>
        <v/>
      </c>
      <c r="T254" s="3" t="b">
        <v>0</v>
      </c>
      <c r="U254" s="4" t="n">
        <v>45747</v>
      </c>
      <c r="V254" s="9" t="n">
        <v>67640.04999999981</v>
      </c>
    </row>
    <row r="255">
      <c r="A255" s="3" t="inlineStr">
        <is>
          <t>Heron View</t>
        </is>
      </c>
      <c r="B255" s="3" t="inlineStr">
        <is>
          <t>K</t>
        </is>
      </c>
      <c r="C255" s="3" t="inlineStr">
        <is>
          <t>HVK202</t>
        </is>
      </c>
      <c r="D255" s="3" t="b">
        <v>0</v>
      </c>
      <c r="E255" s="3" t="b">
        <v>0</v>
      </c>
      <c r="F255" s="3">
        <f>SUMIFS('Cashflow Projection'!$C$7:$C$23,'Cashflow Projection'!$B$7:$B$23,Sales!$B255,'Cashflow Projection'!$A$7:$A$23,Sales!$A255)</f>
        <v/>
      </c>
      <c r="G255" s="4" t="n">
        <v>45510</v>
      </c>
      <c r="H255" s="4" t="n">
        <v>45510</v>
      </c>
      <c r="I255" s="3" t="n">
        <v>1499900</v>
      </c>
      <c r="J255" s="3" t="n">
        <v>195639.1304347826</v>
      </c>
      <c r="K255" s="3" t="n">
        <v>1304260.869565218</v>
      </c>
      <c r="L255" s="3" t="n">
        <v>18502.08</v>
      </c>
      <c r="M255" s="3" t="n">
        <v>1789</v>
      </c>
      <c r="N255" s="3" t="n">
        <v>7499.5</v>
      </c>
      <c r="O255" s="3" t="n">
        <v>74995</v>
      </c>
      <c r="P255" s="3" t="n">
        <v>19224.37</v>
      </c>
      <c r="Q255" s="3" t="n">
        <v>1377890.05</v>
      </c>
      <c r="R255" s="9">
        <f>(SUMIFS(Investors!$M:$M,Investors!$E:$E,Sales!$C255,Investors!$O:$O,FALSE)+SUMIFS(Investors!$S:$S,Investors!$E:$E,Sales!$C255,Investors!$O:$O,FALSE))*$F255</f>
        <v/>
      </c>
      <c r="S255" s="9">
        <f>IF(T255=FALSE,Q255-R255,+V255)</f>
        <v/>
      </c>
      <c r="T255" s="3" t="b">
        <v>0</v>
      </c>
      <c r="U255" s="4" t="n">
        <v>45565</v>
      </c>
      <c r="V255" s="9" t="n">
        <v>100090.1216166434</v>
      </c>
    </row>
    <row r="256">
      <c r="A256" s="3" t="inlineStr">
        <is>
          <t>Heron View</t>
        </is>
      </c>
      <c r="B256" s="3" t="inlineStr">
        <is>
          <t>K</t>
        </is>
      </c>
      <c r="C256" s="3" t="inlineStr">
        <is>
          <t>HVK203</t>
        </is>
      </c>
      <c r="D256" s="3" t="b">
        <v>0</v>
      </c>
      <c r="E256" s="3" t="b">
        <v>0</v>
      </c>
      <c r="F256" s="3">
        <f>SUMIFS('Cashflow Projection'!$C$7:$C$23,'Cashflow Projection'!$B$7:$B$23,Sales!$B256,'Cashflow Projection'!$A$7:$A$23,Sales!$A256)</f>
        <v/>
      </c>
      <c r="G256" s="4" t="n">
        <v>45510</v>
      </c>
      <c r="H256" s="4" t="n">
        <v>45510</v>
      </c>
      <c r="I256" s="3" t="n">
        <v>1699900</v>
      </c>
      <c r="J256" s="3" t="n">
        <v>221726.0869565217</v>
      </c>
      <c r="K256" s="3" t="n">
        <v>1478173.913043478</v>
      </c>
      <c r="L256" s="3" t="n">
        <v>18502.08</v>
      </c>
      <c r="M256" s="3" t="n">
        <v>1789</v>
      </c>
      <c r="N256" s="3" t="n">
        <v>8499.5</v>
      </c>
      <c r="O256" s="3" t="n">
        <v>84995</v>
      </c>
      <c r="P256" s="3" t="n">
        <v>19224.37</v>
      </c>
      <c r="Q256" s="3" t="n">
        <v>1566890.05</v>
      </c>
      <c r="R256" s="9">
        <f>(SUMIFS(Investors!$M:$M,Investors!$E:$E,Sales!$C256,Investors!$O:$O,FALSE)+SUMIFS(Investors!$S:$S,Investors!$E:$E,Sales!$C256,Investors!$O:$O,FALSE))*$F256</f>
        <v/>
      </c>
      <c r="S256" s="9">
        <f>IF(T256=FALSE,Q256-R256,+V256)</f>
        <v/>
      </c>
      <c r="T256" s="3" t="b">
        <v>0</v>
      </c>
      <c r="U256" s="4" t="n">
        <v>45565</v>
      </c>
      <c r="V256" s="9" t="n">
        <v>197457.6778483558</v>
      </c>
    </row>
    <row r="257">
      <c r="A257" s="3" t="inlineStr">
        <is>
          <t>Heron View</t>
        </is>
      </c>
      <c r="B257" s="3" t="inlineStr">
        <is>
          <t>G</t>
        </is>
      </c>
      <c r="C257" s="3" t="inlineStr">
        <is>
          <t>HVG203</t>
        </is>
      </c>
      <c r="D257" s="3" t="b">
        <v>0</v>
      </c>
      <c r="E257" s="3" t="b">
        <v>0</v>
      </c>
      <c r="F257" s="3">
        <f>SUMIFS('Cashflow Projection'!$C$7:$C$23,'Cashflow Projection'!$B$7:$B$23,Sales!$B257,'Cashflow Projection'!$A$7:$A$23,Sales!$A257)</f>
        <v/>
      </c>
      <c r="G257" s="4" t="n">
        <v>45523</v>
      </c>
      <c r="H257" s="4" t="n">
        <v>45523</v>
      </c>
      <c r="I257" s="3" t="n">
        <v>1449900</v>
      </c>
      <c r="J257" s="3" t="n">
        <v>189117.3913043478</v>
      </c>
      <c r="K257" s="3" t="n">
        <v>1260782.608695652</v>
      </c>
      <c r="L257" s="3" t="n">
        <v>18502.08</v>
      </c>
      <c r="M257" s="3" t="n">
        <v>1789</v>
      </c>
      <c r="N257" s="3" t="n">
        <v>7249.5</v>
      </c>
      <c r="O257" s="3" t="n">
        <v>72495</v>
      </c>
      <c r="P257" s="3" t="n">
        <v>19224.37</v>
      </c>
      <c r="Q257" s="3" t="n">
        <v>1330640.05</v>
      </c>
      <c r="R257" s="9">
        <f>(SUMIFS(Investors!$M:$M,Investors!$E:$E,Sales!$C257,Investors!$O:$O,FALSE)+SUMIFS(Investors!$S:$S,Investors!$E:$E,Sales!$C257,Investors!$O:$O,FALSE))*$F257</f>
        <v/>
      </c>
      <c r="S257" s="9">
        <f>IF(T257=FALSE,Q257-R257,+V257)</f>
        <v/>
      </c>
      <c r="T257" s="3" t="b">
        <v>0</v>
      </c>
      <c r="U257" s="4" t="n">
        <v>45565</v>
      </c>
      <c r="V257" s="9" t="n">
        <v>19431.92394739715</v>
      </c>
    </row>
    <row r="258">
      <c r="A258" s="3" t="inlineStr">
        <is>
          <t>Heron View</t>
        </is>
      </c>
      <c r="B258" s="3" t="inlineStr">
        <is>
          <t>M</t>
        </is>
      </c>
      <c r="C258" s="3" t="inlineStr">
        <is>
          <t>HVM104</t>
        </is>
      </c>
      <c r="D258" s="3" t="b">
        <v>0</v>
      </c>
      <c r="E258" s="3" t="b">
        <v>0</v>
      </c>
      <c r="F258" s="3">
        <f>SUMIFS('Cashflow Projection'!$C$7:$C$23,'Cashflow Projection'!$B$7:$B$23,Sales!$B258,'Cashflow Projection'!$A$7:$A$23,Sales!$A258)</f>
        <v/>
      </c>
      <c r="G258" s="4" t="n">
        <v>45450</v>
      </c>
      <c r="H258" s="4" t="n">
        <v>45450</v>
      </c>
      <c r="I258" s="3" t="n">
        <v>1679900</v>
      </c>
      <c r="J258" s="3" t="n">
        <v>219117.3913043478</v>
      </c>
      <c r="K258" s="3" t="n">
        <v>1460782.608695652</v>
      </c>
      <c r="L258" s="3" t="n">
        <v>18502.08</v>
      </c>
      <c r="M258" s="3" t="n">
        <v>1789</v>
      </c>
      <c r="N258" s="3" t="n">
        <v>8399.5</v>
      </c>
      <c r="O258" s="3" t="n">
        <v>83995</v>
      </c>
      <c r="P258" s="3" t="n">
        <v>19224.37</v>
      </c>
      <c r="Q258" s="3" t="n">
        <v>1547990.05</v>
      </c>
      <c r="R258" s="9">
        <f>(SUMIFS(Investors!$M:$M,Investors!$E:$E,Sales!$C258,Investors!$O:$O,FALSE)+SUMIFS(Investors!$S:$S,Investors!$E:$E,Sales!$C258,Investors!$O:$O,FALSE))*$F258</f>
        <v/>
      </c>
      <c r="S258" s="9">
        <f>IF(T258=FALSE,Q258-R258,+V258)</f>
        <v/>
      </c>
      <c r="T258" s="3" t="b">
        <v>0</v>
      </c>
      <c r="U258" s="4" t="n">
        <v>45504</v>
      </c>
      <c r="V258" s="9" t="n">
        <v>228155.8034246573</v>
      </c>
    </row>
    <row r="259">
      <c r="A259" s="3" t="inlineStr">
        <is>
          <t>Heron View</t>
        </is>
      </c>
      <c r="B259" s="3" t="inlineStr">
        <is>
          <t>K</t>
        </is>
      </c>
      <c r="C259" s="3" t="inlineStr">
        <is>
          <t>HVK406</t>
        </is>
      </c>
      <c r="D259" s="3" t="b">
        <v>0</v>
      </c>
      <c r="E259" s="3" t="b">
        <v>0</v>
      </c>
      <c r="F259" s="3">
        <f>SUMIFS('Cashflow Projection'!$C$7:$C$23,'Cashflow Projection'!$B$7:$B$23,Sales!$B259,'Cashflow Projection'!$A$7:$A$23,Sales!$A259)</f>
        <v/>
      </c>
      <c r="G259" s="4" t="n">
        <v>45510</v>
      </c>
      <c r="H259" s="4" t="n">
        <v>45510</v>
      </c>
      <c r="I259" s="3" t="n">
        <v>1499900</v>
      </c>
      <c r="J259" s="3" t="n">
        <v>195639.1304347826</v>
      </c>
      <c r="K259" s="3" t="n">
        <v>1304260.869565218</v>
      </c>
      <c r="L259" s="3" t="n">
        <v>18502.08</v>
      </c>
      <c r="M259" s="3" t="n">
        <v>1789</v>
      </c>
      <c r="N259" s="3" t="n">
        <v>7499.5</v>
      </c>
      <c r="O259" s="3" t="n">
        <v>74995</v>
      </c>
      <c r="P259" s="3" t="n">
        <v>19224.37</v>
      </c>
      <c r="Q259" s="3" t="n">
        <v>1377890.05</v>
      </c>
      <c r="R259" s="9">
        <f>(SUMIFS(Investors!$M:$M,Investors!$E:$E,Sales!$C259,Investors!$O:$O,FALSE)+SUMIFS(Investors!$S:$S,Investors!$E:$E,Sales!$C259,Investors!$O:$O,FALSE))*$F259</f>
        <v/>
      </c>
      <c r="S259" s="9">
        <f>IF(T259=FALSE,Q259-R259,+V259)</f>
        <v/>
      </c>
      <c r="T259" s="3" t="b">
        <v>0</v>
      </c>
      <c r="U259" s="4" t="n">
        <v>45565</v>
      </c>
      <c r="V259" s="9" t="n">
        <v>-24403.30641226051</v>
      </c>
    </row>
    <row r="260">
      <c r="A260" s="3" t="inlineStr">
        <is>
          <t>Heron View</t>
        </is>
      </c>
      <c r="B260" s="3" t="inlineStr">
        <is>
          <t>I</t>
        </is>
      </c>
      <c r="C260" s="3" t="inlineStr">
        <is>
          <t>HVI103</t>
        </is>
      </c>
      <c r="D260" s="3" t="b">
        <v>0</v>
      </c>
      <c r="E260" s="3" t="b">
        <v>0</v>
      </c>
      <c r="F260" s="3">
        <f>SUMIFS('Cashflow Projection'!$C$7:$C$23,'Cashflow Projection'!$B$7:$B$23,Sales!$B260,'Cashflow Projection'!$A$7:$A$23,Sales!$A260)</f>
        <v/>
      </c>
      <c r="G260" s="4" t="n">
        <v>45491</v>
      </c>
      <c r="H260" s="4" t="n">
        <v>45491</v>
      </c>
      <c r="I260" s="3" t="n">
        <v>1649900</v>
      </c>
      <c r="J260" s="3" t="n">
        <v>215204.3478260869</v>
      </c>
      <c r="K260" s="3" t="n">
        <v>1434695.652173913</v>
      </c>
      <c r="L260" s="3" t="n">
        <v>18502.08</v>
      </c>
      <c r="M260" s="3" t="n">
        <v>1789</v>
      </c>
      <c r="N260" s="3" t="n">
        <v>8249.5</v>
      </c>
      <c r="O260" s="3" t="n">
        <v>82495</v>
      </c>
      <c r="P260" s="3" t="n">
        <v>19224.37</v>
      </c>
      <c r="Q260" s="3" t="n">
        <v>1519640.05</v>
      </c>
      <c r="R260" s="9">
        <f>(SUMIFS(Investors!$M:$M,Investors!$E:$E,Sales!$C260,Investors!$O:$O,FALSE)+SUMIFS(Investors!$S:$S,Investors!$E:$E,Sales!$C260,Investors!$O:$O,FALSE))*$F260</f>
        <v/>
      </c>
      <c r="S260" s="9">
        <f>IF(T260=FALSE,Q260-R260,+V260)</f>
        <v/>
      </c>
      <c r="T260" s="3" t="b">
        <v>0</v>
      </c>
      <c r="U260" s="4" t="n">
        <v>45565</v>
      </c>
      <c r="V260" s="9" t="n">
        <v>240741.4198630136</v>
      </c>
    </row>
    <row r="261">
      <c r="A261" s="3" t="inlineStr">
        <is>
          <t>Heron View</t>
        </is>
      </c>
      <c r="B261" s="3" t="inlineStr">
        <is>
          <t>K</t>
        </is>
      </c>
      <c r="C261" s="3" t="inlineStr">
        <is>
          <t>HVK304</t>
        </is>
      </c>
      <c r="D261" s="3" t="b">
        <v>0</v>
      </c>
      <c r="E261" s="3" t="b">
        <v>0</v>
      </c>
      <c r="F261" s="3">
        <f>SUMIFS('Cashflow Projection'!$C$7:$C$23,'Cashflow Projection'!$B$7:$B$23,Sales!$B261,'Cashflow Projection'!$A$7:$A$23,Sales!$A261)</f>
        <v/>
      </c>
      <c r="G261" s="4" t="n">
        <v>45510</v>
      </c>
      <c r="H261" s="4" t="n">
        <v>45510</v>
      </c>
      <c r="I261" s="3" t="n">
        <v>1529900</v>
      </c>
      <c r="J261" s="3" t="n">
        <v>199552.1739130435</v>
      </c>
      <c r="K261" s="3" t="n">
        <v>1330347.826086957</v>
      </c>
      <c r="L261" s="3" t="n">
        <v>18502.08</v>
      </c>
      <c r="M261" s="3" t="n">
        <v>1789</v>
      </c>
      <c r="N261" s="3" t="n">
        <v>7649.5</v>
      </c>
      <c r="O261" s="3" t="n">
        <v>76495</v>
      </c>
      <c r="P261" s="3" t="n">
        <v>19224.37</v>
      </c>
      <c r="Q261" s="3" t="n">
        <v>1406240.05</v>
      </c>
      <c r="R261" s="9">
        <f>(SUMIFS(Investors!$M:$M,Investors!$E:$E,Sales!$C261,Investors!$O:$O,FALSE)+SUMIFS(Investors!$S:$S,Investors!$E:$E,Sales!$C261,Investors!$O:$O,FALSE))*$F261</f>
        <v/>
      </c>
      <c r="S261" s="9">
        <f>IF(T261=FALSE,Q261-R261,+V261)</f>
        <v/>
      </c>
      <c r="T261" s="3" t="b">
        <v>0</v>
      </c>
      <c r="U261" s="4" t="n">
        <v>45565</v>
      </c>
      <c r="V261" s="9" t="n">
        <v>26263.56270506838</v>
      </c>
    </row>
    <row r="262">
      <c r="A262" s="3" t="inlineStr">
        <is>
          <t>Endulini</t>
        </is>
      </c>
      <c r="B262" s="3" t="inlineStr">
        <is>
          <t>B</t>
        </is>
      </c>
      <c r="C262" s="3" t="inlineStr">
        <is>
          <t>EB201</t>
        </is>
      </c>
      <c r="D262" s="3" t="b">
        <v>0</v>
      </c>
      <c r="E262" s="3" t="b">
        <v>0</v>
      </c>
      <c r="F262" s="3">
        <f>SUMIFS('Cashflow Projection'!$C$7:$C$23,'Cashflow Projection'!$B$7:$B$23,Sales!$B262,'Cashflow Projection'!$A$7:$A$23,Sales!$A262)</f>
        <v/>
      </c>
      <c r="G262" s="4" t="n">
        <v>45478</v>
      </c>
      <c r="H262" s="4" t="n">
        <v>45478</v>
      </c>
      <c r="I262" s="3" t="n">
        <v>1549900</v>
      </c>
      <c r="J262" s="3" t="n">
        <v>0</v>
      </c>
      <c r="K262" s="3" t="n">
        <v>1347739.130434783</v>
      </c>
      <c r="L262" s="3" t="n">
        <v>18502.08</v>
      </c>
      <c r="M262" s="3" t="n">
        <v>1789</v>
      </c>
      <c r="N262" s="3" t="n">
        <v>7749.5</v>
      </c>
      <c r="O262" s="3" t="n">
        <v>77495</v>
      </c>
      <c r="P262" s="3" t="n">
        <v>19224.37</v>
      </c>
      <c r="Q262" s="3" t="n">
        <v>1425140.05</v>
      </c>
      <c r="R262" s="9">
        <f>(SUMIFS(Investors!$M:$M,Investors!$E:$E,Sales!$C262,Investors!$O:$O,FALSE)+SUMIFS(Investors!$S:$S,Investors!$E:$E,Sales!$C262,Investors!$O:$O,FALSE))*$F262</f>
        <v/>
      </c>
      <c r="S262" s="9">
        <f>IF(T262=FALSE,Q262-R262,+V262)</f>
        <v/>
      </c>
      <c r="T262" s="3" t="b">
        <v>1</v>
      </c>
      <c r="U262" s="4" t="n">
        <v>45565</v>
      </c>
      <c r="V262" s="9" t="n">
        <v>921500</v>
      </c>
    </row>
    <row r="263">
      <c r="A263" s="3" t="inlineStr">
        <is>
          <t>Endulini</t>
        </is>
      </c>
      <c r="B263" s="3" t="inlineStr">
        <is>
          <t>C</t>
        </is>
      </c>
      <c r="C263" s="3" t="inlineStr">
        <is>
          <t>EC101</t>
        </is>
      </c>
      <c r="D263" s="3" t="b">
        <v>1</v>
      </c>
      <c r="E263" s="3" t="b">
        <v>1</v>
      </c>
      <c r="F263" s="3">
        <f>SUMIFS('Cashflow Projection'!$C$7:$C$23,'Cashflow Projection'!$B$7:$B$23,Sales!$B263,'Cashflow Projection'!$A$7:$A$23,Sales!$A263)</f>
        <v/>
      </c>
      <c r="G263" s="4" t="n">
        <v>44837</v>
      </c>
      <c r="H263" s="4" t="n">
        <v>45688</v>
      </c>
      <c r="I263" s="3" t="n">
        <v>1559900</v>
      </c>
      <c r="J263" s="3" t="n">
        <v>203465.2173913044</v>
      </c>
      <c r="K263" s="3" t="n">
        <v>1356434.782608696</v>
      </c>
      <c r="L263" s="3" t="n">
        <v>18502.08</v>
      </c>
      <c r="M263" s="3" t="n">
        <v>1789</v>
      </c>
      <c r="N263" s="3" t="n">
        <v>7799.5</v>
      </c>
      <c r="O263" s="3" t="n">
        <v>77995</v>
      </c>
      <c r="P263" s="3" t="n">
        <v>19224.37</v>
      </c>
      <c r="Q263" s="3" t="n">
        <v>1434590.05</v>
      </c>
      <c r="R263" s="9">
        <f>(SUMIFS(Investors!$M:$M,Investors!$E:$E,Sales!$C263,Investors!$O:$O,FALSE)+SUMIFS(Investors!$S:$S,Investors!$E:$E,Sales!$C263,Investors!$O:$O,FALSE))*$F263</f>
        <v/>
      </c>
      <c r="S263" s="9">
        <f>IF(T263=FALSE,Q263-R263,+V263)</f>
        <v/>
      </c>
      <c r="T263" s="3" t="b">
        <v>0</v>
      </c>
      <c r="U263" s="4" t="n">
        <v>45747</v>
      </c>
      <c r="V263" s="9" t="n">
        <v>255059.2280821917</v>
      </c>
    </row>
    <row r="264">
      <c r="A264" s="3" t="inlineStr">
        <is>
          <t>Endulini</t>
        </is>
      </c>
      <c r="B264" s="3" t="inlineStr">
        <is>
          <t>F</t>
        </is>
      </c>
      <c r="C264" s="3" t="inlineStr">
        <is>
          <t>EF101</t>
        </is>
      </c>
      <c r="D264" s="3" t="b">
        <v>1</v>
      </c>
      <c r="E264" s="3" t="b">
        <v>1</v>
      </c>
      <c r="F264" s="3">
        <f>SUMIFS('Cashflow Projection'!$C$7:$C$23,'Cashflow Projection'!$B$7:$B$23,Sales!$B264,'Cashflow Projection'!$A$7:$A$23,Sales!$A264)</f>
        <v/>
      </c>
      <c r="G264" s="4" t="n">
        <v>44657</v>
      </c>
      <c r="H264" s="4" t="n">
        <v>45688</v>
      </c>
      <c r="I264" s="3" t="n">
        <v>1404900</v>
      </c>
      <c r="J264" s="3" t="n">
        <v>183247.8260869565</v>
      </c>
      <c r="K264" s="3" t="n">
        <v>1221652.173913043</v>
      </c>
      <c r="L264" s="3" t="n">
        <v>18502.08</v>
      </c>
      <c r="M264" s="3" t="n">
        <v>1789</v>
      </c>
      <c r="N264" s="3" t="n">
        <v>7024.5</v>
      </c>
      <c r="O264" s="3" t="n">
        <v>70245</v>
      </c>
      <c r="P264" s="3" t="n">
        <v>19224.37</v>
      </c>
      <c r="Q264" s="3" t="n">
        <v>1288115.05</v>
      </c>
      <c r="R264" s="9">
        <f>(SUMIFS(Investors!$M:$M,Investors!$E:$E,Sales!$C264,Investors!$O:$O,FALSE)+SUMIFS(Investors!$S:$S,Investors!$E:$E,Sales!$C264,Investors!$O:$O,FALSE))*$F264</f>
        <v/>
      </c>
      <c r="S264" s="9">
        <f>IF(T264=FALSE,Q264-R264,+V264)</f>
        <v/>
      </c>
      <c r="T264" s="3" t="b">
        <v>0</v>
      </c>
      <c r="U264" s="4" t="n">
        <v>45747</v>
      </c>
      <c r="V264" s="9" t="n">
        <v>177167.5671541095</v>
      </c>
    </row>
    <row r="265">
      <c r="A265" s="3" t="inlineStr">
        <is>
          <t>Heron Fields</t>
        </is>
      </c>
      <c r="B265" s="3" t="inlineStr">
        <is>
          <t>A</t>
        </is>
      </c>
      <c r="C265" s="3" t="inlineStr">
        <is>
          <t>HFA203</t>
        </is>
      </c>
      <c r="D265" s="3" t="b">
        <v>1</v>
      </c>
      <c r="E265" s="3" t="b">
        <v>1</v>
      </c>
      <c r="F265" s="3">
        <f>SUMIFS('Cashflow Projection'!$C$7:$C$23,'Cashflow Projection'!$B$7:$B$23,Sales!$B265,'Cashflow Projection'!$A$7:$A$23,Sales!$A265)</f>
        <v/>
      </c>
      <c r="G265" s="4" t="n">
        <v>44897</v>
      </c>
      <c r="H265" s="4" t="n">
        <v>45688</v>
      </c>
      <c r="I265" s="3" t="n">
        <v>1349900</v>
      </c>
      <c r="J265" s="3" t="n">
        <v>176073.9130434782</v>
      </c>
      <c r="K265" s="3" t="n">
        <v>1173826.086956522</v>
      </c>
      <c r="L265" s="3" t="n">
        <v>18502.08</v>
      </c>
      <c r="M265" s="3" t="n">
        <v>1789</v>
      </c>
      <c r="N265" s="3" t="n">
        <v>6749.5</v>
      </c>
      <c r="O265" s="3" t="n">
        <v>67495</v>
      </c>
      <c r="P265" s="3" t="n">
        <v>19224.37</v>
      </c>
      <c r="Q265" s="3" t="n">
        <v>1236140.05</v>
      </c>
      <c r="R265" s="9">
        <f>(SUMIFS(Investors!$M:$M,Investors!$E:$E,Sales!$C265,Investors!$O:$O,FALSE)+SUMIFS(Investors!$S:$S,Investors!$E:$E,Sales!$C265,Investors!$O:$O,FALSE))*$F265</f>
        <v/>
      </c>
      <c r="S265" s="9">
        <f>IF(T265=FALSE,Q265-R265,+V265)</f>
        <v/>
      </c>
      <c r="T265" s="3" t="b">
        <v>0</v>
      </c>
      <c r="U265" s="4" t="n">
        <v>45747</v>
      </c>
      <c r="V265" s="9" t="n">
        <v>103177.5842465751</v>
      </c>
    </row>
    <row r="266">
      <c r="A266" s="3" t="inlineStr">
        <is>
          <t>Heron Fields</t>
        </is>
      </c>
      <c r="B266" s="3" t="inlineStr">
        <is>
          <t>B</t>
        </is>
      </c>
      <c r="C266" s="3" t="inlineStr">
        <is>
          <t>HFB306</t>
        </is>
      </c>
      <c r="D266" s="3" t="b">
        <v>1</v>
      </c>
      <c r="E266" s="3" t="b">
        <v>1</v>
      </c>
      <c r="F266" s="3">
        <f>SUMIFS('Cashflow Projection'!$C$7:$C$23,'Cashflow Projection'!$B$7:$B$23,Sales!$B266,'Cashflow Projection'!$A$7:$A$23,Sales!$A266)</f>
        <v/>
      </c>
      <c r="G266" s="4" t="n">
        <v>45061</v>
      </c>
      <c r="H266" s="4" t="n">
        <v>45688</v>
      </c>
      <c r="I266" s="3" t="n">
        <v>1399900</v>
      </c>
      <c r="J266" s="3" t="n">
        <v>182595.6521739131</v>
      </c>
      <c r="K266" s="3" t="n">
        <v>1217304.347826087</v>
      </c>
      <c r="L266" s="3" t="n">
        <v>18502.08</v>
      </c>
      <c r="M266" s="3" t="n">
        <v>1789</v>
      </c>
      <c r="N266" s="3" t="n">
        <v>6999.5</v>
      </c>
      <c r="O266" s="3" t="n">
        <v>69995</v>
      </c>
      <c r="P266" s="3" t="n">
        <v>19224.37</v>
      </c>
      <c r="Q266" s="3" t="n">
        <v>1283390.05</v>
      </c>
      <c r="R266" s="9">
        <f>(SUMIFS(Investors!$M:$M,Investors!$E:$E,Sales!$C266,Investors!$O:$O,FALSE)+SUMIFS(Investors!$S:$S,Investors!$E:$E,Sales!$C266,Investors!$O:$O,FALSE))*$F266</f>
        <v/>
      </c>
      <c r="S266" s="9">
        <f>IF(T266=FALSE,Q266-R266,+V266)</f>
        <v/>
      </c>
      <c r="T266" s="3" t="b">
        <v>0</v>
      </c>
      <c r="U266" s="4" t="n">
        <v>45747</v>
      </c>
      <c r="V266" s="9" t="n">
        <v>70629.77602739702</v>
      </c>
    </row>
    <row r="267">
      <c r="A267" s="3" t="inlineStr">
        <is>
          <t>Heron View</t>
        </is>
      </c>
      <c r="B267" s="3" t="inlineStr">
        <is>
          <t>D</t>
        </is>
      </c>
      <c r="C267" s="3" t="inlineStr">
        <is>
          <t>HVD103</t>
        </is>
      </c>
      <c r="D267" s="3" t="b">
        <v>1</v>
      </c>
      <c r="E267" s="3" t="b">
        <v>1</v>
      </c>
      <c r="F267" s="3">
        <f>SUMIFS('Cashflow Projection'!$C$7:$C$23,'Cashflow Projection'!$B$7:$B$23,Sales!$B267,'Cashflow Projection'!$A$7:$A$23,Sales!$A267)</f>
        <v/>
      </c>
      <c r="G267" s="4" t="n">
        <v>45323</v>
      </c>
      <c r="H267" s="4" t="n">
        <v>45688</v>
      </c>
      <c r="I267" s="3" t="n">
        <v>1699900</v>
      </c>
      <c r="J267" s="3" t="n">
        <v>221726.0869565217</v>
      </c>
      <c r="K267" s="3" t="n">
        <v>1478173.913043478</v>
      </c>
      <c r="L267" s="3" t="n">
        <v>18502.08</v>
      </c>
      <c r="M267" s="3" t="n">
        <v>1789</v>
      </c>
      <c r="N267" s="3" t="n">
        <v>8499.5</v>
      </c>
      <c r="O267" s="3" t="n">
        <v>84995</v>
      </c>
      <c r="P267" s="3" t="n">
        <v>19224.37</v>
      </c>
      <c r="Q267" s="3" t="n">
        <v>1566890.05</v>
      </c>
      <c r="R267" s="9">
        <f>(SUMIFS(Investors!$M:$M,Investors!$E:$E,Sales!$C267,Investors!$O:$O,FALSE)+SUMIFS(Investors!$S:$S,Investors!$E:$E,Sales!$C267,Investors!$O:$O,FALSE))*$F267</f>
        <v/>
      </c>
      <c r="S267" s="9">
        <f>IF(T267=FALSE,Q267-R267,+V267)</f>
        <v/>
      </c>
      <c r="T267" s="3" t="b">
        <v>0</v>
      </c>
      <c r="U267" s="4" t="n">
        <v>45747</v>
      </c>
      <c r="V267" s="9" t="n">
        <v>313960.6180572601</v>
      </c>
    </row>
    <row r="268">
      <c r="A268" s="3" t="inlineStr">
        <is>
          <t>Heron View</t>
        </is>
      </c>
      <c r="B268" s="3" t="inlineStr">
        <is>
          <t>N</t>
        </is>
      </c>
      <c r="C268" s="3" t="inlineStr">
        <is>
          <t>HVN104</t>
        </is>
      </c>
      <c r="D268" s="3" t="b">
        <v>1</v>
      </c>
      <c r="E268" s="3" t="b">
        <v>1</v>
      </c>
      <c r="F268" s="3">
        <f>SUMIFS('Cashflow Projection'!$C$7:$C$23,'Cashflow Projection'!$B$7:$B$23,Sales!$B268,'Cashflow Projection'!$A$7:$A$23,Sales!$A268)</f>
        <v/>
      </c>
      <c r="G268" s="4" t="n">
        <v>45399</v>
      </c>
      <c r="H268" s="4" t="n">
        <v>45369</v>
      </c>
      <c r="I268" s="3" t="n">
        <v>1699900</v>
      </c>
      <c r="J268" s="3" t="n">
        <v>221726.0869565217</v>
      </c>
      <c r="K268" s="3" t="n">
        <v>1478173.913043478</v>
      </c>
      <c r="L268" s="3" t="n">
        <v>18502.08</v>
      </c>
      <c r="M268" s="3" t="n">
        <v>1789</v>
      </c>
      <c r="N268" s="3" t="n">
        <v>8499.5</v>
      </c>
      <c r="O268" s="3" t="n">
        <v>84995</v>
      </c>
      <c r="P268" s="3" t="n">
        <v>19224.37</v>
      </c>
      <c r="Q268" s="3" t="n">
        <v>1566890.05</v>
      </c>
      <c r="R268" s="9">
        <f>(SUMIFS(Investors!$M:$M,Investors!$E:$E,Sales!$C268,Investors!$O:$O,FALSE)+SUMIFS(Investors!$S:$S,Investors!$E:$E,Sales!$C268,Investors!$O:$O,FALSE))*$F268</f>
        <v/>
      </c>
      <c r="S268" s="9">
        <f>IF(T268=FALSE,Q268-R268,+V268)</f>
        <v/>
      </c>
      <c r="T268" s="3" t="b">
        <v>0</v>
      </c>
      <c r="U268" s="4" t="n">
        <v>45443</v>
      </c>
      <c r="V268" s="9" t="n">
        <v>251335.2554794517</v>
      </c>
    </row>
    <row r="269">
      <c r="A269" s="3" t="inlineStr">
        <is>
          <t>Heron View</t>
        </is>
      </c>
      <c r="B269" s="3" t="inlineStr">
        <is>
          <t>J</t>
        </is>
      </c>
      <c r="C269" s="3" t="inlineStr">
        <is>
          <t>HVJ101</t>
        </is>
      </c>
      <c r="D269" s="3" t="b">
        <v>1</v>
      </c>
      <c r="E269" s="3" t="b">
        <v>0</v>
      </c>
      <c r="F269" s="3">
        <f>SUMIFS('Cashflow Projection'!$C$7:$C$23,'Cashflow Projection'!$B$7:$B$23,Sales!$B269,'Cashflow Projection'!$A$7:$A$23,Sales!$A269)</f>
        <v/>
      </c>
      <c r="G269" s="4" t="n">
        <v>45552</v>
      </c>
      <c r="H269" s="4" t="n">
        <v>45552</v>
      </c>
      <c r="I269" s="3" t="n">
        <v>1759900</v>
      </c>
      <c r="J269" s="3" t="n">
        <v>229552.1739130435</v>
      </c>
      <c r="K269" s="3" t="n">
        <v>1530347.826086957</v>
      </c>
      <c r="L269" s="3" t="n">
        <v>18502.08</v>
      </c>
      <c r="M269" s="3" t="n">
        <v>1789</v>
      </c>
      <c r="N269" s="3" t="n">
        <v>8799.5</v>
      </c>
      <c r="O269" s="3" t="n">
        <v>87995</v>
      </c>
      <c r="P269" s="3" t="n">
        <v>19224.37</v>
      </c>
      <c r="Q269" s="3" t="n">
        <v>1623590.05</v>
      </c>
      <c r="R269" s="9">
        <f>(SUMIFS(Investors!$M:$M,Investors!$E:$E,Sales!$C269,Investors!$O:$O,FALSE)+SUMIFS(Investors!$S:$S,Investors!$E:$E,Sales!$C269,Investors!$O:$O,FALSE))*$F269</f>
        <v/>
      </c>
      <c r="S269" s="9">
        <f>IF(T269=FALSE,Q269-R269,+V269)</f>
        <v/>
      </c>
      <c r="T269" s="3" t="b">
        <v>0</v>
      </c>
      <c r="U269" s="4" t="n">
        <v>45626</v>
      </c>
      <c r="V269" s="9" t="n">
        <v>196146.2143835614</v>
      </c>
    </row>
    <row r="270">
      <c r="A270" s="3" t="inlineStr">
        <is>
          <t>Heron View</t>
        </is>
      </c>
      <c r="B270" s="3" t="inlineStr">
        <is>
          <t>H</t>
        </is>
      </c>
      <c r="C270" s="3" t="inlineStr">
        <is>
          <t>HVH102</t>
        </is>
      </c>
      <c r="D270" s="3" t="b">
        <v>1</v>
      </c>
      <c r="E270" s="3" t="b">
        <v>0</v>
      </c>
      <c r="F270" s="3">
        <f>SUMIFS('Cashflow Projection'!$C$7:$C$23,'Cashflow Projection'!$B$7:$B$23,Sales!$B270,'Cashflow Projection'!$A$7:$A$23,Sales!$A270)</f>
        <v/>
      </c>
      <c r="G270" s="4" t="n">
        <v>45490</v>
      </c>
      <c r="H270" s="4" t="n">
        <v>45490</v>
      </c>
      <c r="I270" s="3" t="n">
        <v>1669999</v>
      </c>
      <c r="J270" s="3" t="n">
        <v>217825.9565217391</v>
      </c>
      <c r="K270" s="3" t="n">
        <v>1452173.043478261</v>
      </c>
      <c r="L270" s="3" t="n">
        <v>18502.08</v>
      </c>
      <c r="M270" s="3" t="n">
        <v>1789</v>
      </c>
      <c r="N270" s="3" t="n">
        <v>8349.995000000001</v>
      </c>
      <c r="O270" s="3" t="n">
        <v>83499.95000000001</v>
      </c>
      <c r="P270" s="3" t="n">
        <v>19224.37</v>
      </c>
      <c r="Q270" s="3" t="n">
        <v>1538633.605</v>
      </c>
      <c r="R270" s="9">
        <f>(SUMIFS(Investors!$M:$M,Investors!$E:$E,Sales!$C270,Investors!$O:$O,FALSE)+SUMIFS(Investors!$S:$S,Investors!$E:$E,Sales!$C270,Investors!$O:$O,FALSE))*$F270</f>
        <v/>
      </c>
      <c r="S270" s="9">
        <f>IF(T270=FALSE,Q270-R270,+V270)</f>
        <v/>
      </c>
      <c r="T270" s="3" t="b">
        <v>0</v>
      </c>
      <c r="U270" s="4" t="n">
        <v>45565</v>
      </c>
      <c r="V270" s="9" t="n">
        <v>289696.6186986298</v>
      </c>
    </row>
    <row r="271">
      <c r="A271" s="3" t="inlineStr">
        <is>
          <t>Heron View</t>
        </is>
      </c>
      <c r="B271" s="3" t="inlineStr">
        <is>
          <t>C</t>
        </is>
      </c>
      <c r="C271" s="3" t="inlineStr">
        <is>
          <t>HVC301</t>
        </is>
      </c>
      <c r="D271" s="3" t="b">
        <v>1</v>
      </c>
      <c r="E271" s="3" t="b">
        <v>1</v>
      </c>
      <c r="F271" s="3">
        <f>SUMIFS('Cashflow Projection'!$C$7:$C$23,'Cashflow Projection'!$B$7:$B$23,Sales!$B271,'Cashflow Projection'!$A$7:$A$23,Sales!$A271)</f>
        <v/>
      </c>
      <c r="G271" s="4" t="n">
        <v>45154</v>
      </c>
      <c r="H271" s="4" t="n">
        <v>45688</v>
      </c>
      <c r="I271" s="3" t="n">
        <v>1549900</v>
      </c>
      <c r="J271" s="3" t="n">
        <v>202160.8695652174</v>
      </c>
      <c r="K271" s="3" t="n">
        <v>1347739.130434783</v>
      </c>
      <c r="L271" s="3" t="n">
        <v>18502.08</v>
      </c>
      <c r="M271" s="3" t="n">
        <v>1789</v>
      </c>
      <c r="N271" s="3" t="n">
        <v>7749.5</v>
      </c>
      <c r="O271" s="3" t="n">
        <v>77495</v>
      </c>
      <c r="P271" s="3" t="n">
        <v>19224.37</v>
      </c>
      <c r="Q271" s="3" t="n">
        <v>1425140.05</v>
      </c>
      <c r="R271" s="9">
        <f>(SUMIFS(Investors!$M:$M,Investors!$E:$E,Sales!$C271,Investors!$O:$O,FALSE)+SUMIFS(Investors!$S:$S,Investors!$E:$E,Sales!$C271,Investors!$O:$O,FALSE))*$F271</f>
        <v/>
      </c>
      <c r="S271" s="9">
        <f>IF(T271=FALSE,Q271-R271,+V271)</f>
        <v/>
      </c>
      <c r="T271" s="3" t="b">
        <v>0</v>
      </c>
      <c r="U271" s="4" t="n">
        <v>45747</v>
      </c>
      <c r="V271" s="9" t="n">
        <v>174406.3808467123</v>
      </c>
    </row>
    <row r="272">
      <c r="A272" s="3" t="inlineStr">
        <is>
          <t>Heron View</t>
        </is>
      </c>
      <c r="B272" s="3" t="inlineStr">
        <is>
          <t>M</t>
        </is>
      </c>
      <c r="C272" s="3" t="inlineStr">
        <is>
          <t>HVM203</t>
        </is>
      </c>
      <c r="D272" s="3" t="b">
        <v>0</v>
      </c>
      <c r="E272" s="3" t="b">
        <v>0</v>
      </c>
      <c r="F272" s="3">
        <f>SUMIFS('Cashflow Projection'!$C$7:$C$23,'Cashflow Projection'!$B$7:$B$23,Sales!$B272,'Cashflow Projection'!$A$7:$A$23,Sales!$A272)</f>
        <v/>
      </c>
      <c r="G272" s="4" t="n">
        <v>45450</v>
      </c>
      <c r="H272" s="4" t="n">
        <v>45450</v>
      </c>
      <c r="I272" s="3" t="n">
        <v>1729900</v>
      </c>
      <c r="J272" s="3" t="n">
        <v>225639.1304347826</v>
      </c>
      <c r="K272" s="3" t="n">
        <v>1504260.869565218</v>
      </c>
      <c r="L272" s="3" t="n">
        <v>18502.08</v>
      </c>
      <c r="M272" s="3" t="n">
        <v>1789</v>
      </c>
      <c r="N272" s="3" t="n">
        <v>8649.5</v>
      </c>
      <c r="O272" s="3" t="n">
        <v>86495</v>
      </c>
      <c r="P272" s="3" t="n">
        <v>19224.37</v>
      </c>
      <c r="Q272" s="3" t="n">
        <v>1595240.05</v>
      </c>
      <c r="R272" s="9">
        <f>(SUMIFS(Investors!$M:$M,Investors!$E:$E,Sales!$C272,Investors!$O:$O,FALSE)+SUMIFS(Investors!$S:$S,Investors!$E:$E,Sales!$C272,Investors!$O:$O,FALSE))*$F272</f>
        <v/>
      </c>
      <c r="S272" s="9">
        <f>IF(T272=FALSE,Q272-R272,+V272)</f>
        <v/>
      </c>
      <c r="T272" s="3" t="b">
        <v>0</v>
      </c>
      <c r="U272" s="4" t="n">
        <v>45504</v>
      </c>
      <c r="V272" s="9" t="n">
        <v>288048.269178082</v>
      </c>
    </row>
    <row r="273">
      <c r="A273" s="3" t="inlineStr">
        <is>
          <t>Heron View</t>
        </is>
      </c>
      <c r="B273" s="3" t="inlineStr">
        <is>
          <t>L</t>
        </is>
      </c>
      <c r="C273" s="3" t="inlineStr">
        <is>
          <t>HVL101</t>
        </is>
      </c>
      <c r="D273" s="3" t="b">
        <v>0</v>
      </c>
      <c r="E273" s="3" t="b">
        <v>0</v>
      </c>
      <c r="F273" s="3">
        <f>SUMIFS('Cashflow Projection'!$C$7:$C$23,'Cashflow Projection'!$B$7:$B$23,Sales!$B273,'Cashflow Projection'!$A$7:$A$23,Sales!$A273)</f>
        <v/>
      </c>
      <c r="G273" s="4" t="n">
        <v>45499</v>
      </c>
      <c r="H273" s="4" t="n">
        <v>45516</v>
      </c>
      <c r="I273" s="3" t="n">
        <v>1499900</v>
      </c>
      <c r="J273" s="3" t="n">
        <v>195639.1304347826</v>
      </c>
      <c r="K273" s="3" t="n">
        <v>1304260.869565218</v>
      </c>
      <c r="L273" s="3" t="n">
        <v>18502.08</v>
      </c>
      <c r="M273" s="3" t="n">
        <v>1789</v>
      </c>
      <c r="N273" s="3" t="n">
        <v>7499.5</v>
      </c>
      <c r="O273" s="3" t="n">
        <v>74995</v>
      </c>
      <c r="P273" s="3" t="n">
        <v>19224.37</v>
      </c>
      <c r="Q273" s="3" t="n">
        <v>1377890.05</v>
      </c>
      <c r="R273" s="9">
        <f>(SUMIFS(Investors!$M:$M,Investors!$E:$E,Sales!$C273,Investors!$O:$O,FALSE)+SUMIFS(Investors!$S:$S,Investors!$E:$E,Sales!$C273,Investors!$O:$O,FALSE))*$F273</f>
        <v/>
      </c>
      <c r="S273" s="9">
        <f>IF(T273=FALSE,Q273-R273,+V273)</f>
        <v/>
      </c>
      <c r="T273" s="3" t="b">
        <v>0</v>
      </c>
      <c r="U273" s="4" t="n">
        <v>45565</v>
      </c>
      <c r="V273" s="9" t="n">
        <v>89865.39246575325</v>
      </c>
    </row>
    <row r="274">
      <c r="A274" s="3" t="inlineStr">
        <is>
          <t>Heron View</t>
        </is>
      </c>
      <c r="B274" s="3" t="inlineStr">
        <is>
          <t>F</t>
        </is>
      </c>
      <c r="C274" s="3" t="inlineStr">
        <is>
          <t>HVF104</t>
        </is>
      </c>
      <c r="D274" s="3" t="b">
        <v>0</v>
      </c>
      <c r="E274" s="3" t="b">
        <v>0</v>
      </c>
      <c r="F274" s="3">
        <f>SUMIFS('Cashflow Projection'!$C$7:$C$23,'Cashflow Projection'!$B$7:$B$23,Sales!$B274,'Cashflow Projection'!$A$7:$A$23,Sales!$A274)</f>
        <v/>
      </c>
      <c r="G274" s="4" t="n">
        <v>45517</v>
      </c>
      <c r="H274" s="4" t="n">
        <v>45722</v>
      </c>
      <c r="I274" s="3" t="n">
        <v>1619900</v>
      </c>
      <c r="J274" s="3" t="n">
        <v>211291.3043478261</v>
      </c>
      <c r="K274" s="3" t="n">
        <v>1408608.695652174</v>
      </c>
      <c r="L274" s="3" t="n">
        <v>18502.08</v>
      </c>
      <c r="M274" s="3" t="n">
        <v>1789</v>
      </c>
      <c r="N274" s="3" t="n">
        <v>8099.5</v>
      </c>
      <c r="O274" s="3" t="n">
        <v>80995</v>
      </c>
      <c r="P274" s="3" t="n">
        <v>19224.37</v>
      </c>
      <c r="Q274" s="3" t="n">
        <v>1491290.05</v>
      </c>
      <c r="R274" s="9">
        <f>(SUMIFS(Investors!$M:$M,Investors!$E:$E,Sales!$C274,Investors!$O:$O,FALSE)+SUMIFS(Investors!$S:$S,Investors!$E:$E,Sales!$C274,Investors!$O:$O,FALSE))*$F274</f>
        <v/>
      </c>
      <c r="S274" s="9">
        <f>IF(T274=FALSE,Q274-R274,+V274)</f>
        <v/>
      </c>
      <c r="T274" s="3" t="b">
        <v>0</v>
      </c>
      <c r="U274" s="4" t="n">
        <v>45808</v>
      </c>
      <c r="V274" s="9" t="n">
        <v>358449.0610342463</v>
      </c>
    </row>
    <row r="275">
      <c r="A275" s="3" t="inlineStr">
        <is>
          <t>Heron View</t>
        </is>
      </c>
      <c r="B275" s="3" t="inlineStr">
        <is>
          <t>O</t>
        </is>
      </c>
      <c r="C275" s="3" t="inlineStr">
        <is>
          <t>HVO301</t>
        </is>
      </c>
      <c r="D275" s="3" t="b">
        <v>0</v>
      </c>
      <c r="E275" s="3" t="b">
        <v>0</v>
      </c>
      <c r="F275" s="3">
        <f>SUMIFS('Cashflow Projection'!$C$7:$C$23,'Cashflow Projection'!$B$7:$B$23,Sales!$B275,'Cashflow Projection'!$A$7:$A$23,Sales!$A275)</f>
        <v/>
      </c>
      <c r="G275" s="4" t="n">
        <v>45518</v>
      </c>
      <c r="H275" s="4" t="n">
        <v>45518</v>
      </c>
      <c r="I275" s="3" t="n">
        <v>1699900</v>
      </c>
      <c r="J275" s="3" t="n">
        <v>221726.0869565217</v>
      </c>
      <c r="K275" s="3" t="n">
        <v>1478173.913043478</v>
      </c>
      <c r="L275" s="3" t="n">
        <v>18502.08</v>
      </c>
      <c r="M275" s="3" t="n">
        <v>1789</v>
      </c>
      <c r="N275" s="3" t="n">
        <v>8499.5</v>
      </c>
      <c r="O275" s="3" t="n">
        <v>84995</v>
      </c>
      <c r="P275" s="3" t="n">
        <v>19224.37</v>
      </c>
      <c r="Q275" s="3" t="n">
        <v>1566890.05</v>
      </c>
      <c r="R275" s="9">
        <f>(SUMIFS(Investors!$M:$M,Investors!$E:$E,Sales!$C275,Investors!$O:$O,FALSE)+SUMIFS(Investors!$S:$S,Investors!$E:$E,Sales!$C275,Investors!$O:$O,FALSE))*$F275</f>
        <v/>
      </c>
      <c r="S275" s="9">
        <f>IF(T275=FALSE,Q275-R275,+V275)</f>
        <v/>
      </c>
      <c r="T275" s="3" t="b">
        <v>0</v>
      </c>
      <c r="U275" s="4" t="n">
        <v>45565</v>
      </c>
      <c r="V275" s="9" t="n">
        <v>221288.6385268492</v>
      </c>
    </row>
    <row r="276">
      <c r="A276" s="3" t="inlineStr">
        <is>
          <t>Endulini</t>
        </is>
      </c>
      <c r="B276" s="3" t="inlineStr">
        <is>
          <t>E</t>
        </is>
      </c>
      <c r="C276" s="3" t="inlineStr">
        <is>
          <t>EE301</t>
        </is>
      </c>
      <c r="D276" s="3" t="b">
        <v>1</v>
      </c>
      <c r="E276" s="3" t="b">
        <v>1</v>
      </c>
      <c r="F276" s="3">
        <f>SUMIFS('Cashflow Projection'!$C$7:$C$23,'Cashflow Projection'!$B$7:$B$23,Sales!$B276,'Cashflow Projection'!$A$7:$A$23,Sales!$A276)</f>
        <v/>
      </c>
      <c r="G276" s="4" t="n">
        <v>44685</v>
      </c>
      <c r="H276" s="4" t="n">
        <v>45688</v>
      </c>
      <c r="I276" s="3" t="n">
        <v>1549900</v>
      </c>
      <c r="J276" s="3" t="n">
        <v>202160.8695652174</v>
      </c>
      <c r="K276" s="3" t="n">
        <v>1347739.130434783</v>
      </c>
      <c r="L276" s="3" t="n">
        <v>18502.08</v>
      </c>
      <c r="M276" s="3" t="n">
        <v>1789</v>
      </c>
      <c r="N276" s="3" t="n">
        <v>7749.5</v>
      </c>
      <c r="O276" s="3" t="n">
        <v>77495</v>
      </c>
      <c r="P276" s="3" t="n">
        <v>19224.37</v>
      </c>
      <c r="Q276" s="3" t="n">
        <v>1425140.05</v>
      </c>
      <c r="R276" s="9">
        <f>(SUMIFS(Investors!$M:$M,Investors!$E:$E,Sales!$C276,Investors!$O:$O,FALSE)+SUMIFS(Investors!$S:$S,Investors!$E:$E,Sales!$C276,Investors!$O:$O,FALSE))*$F276</f>
        <v/>
      </c>
      <c r="S276" s="9">
        <f>IF(T276=FALSE,Q276-R276,+V276)</f>
        <v/>
      </c>
      <c r="T276" s="3" t="b">
        <v>0</v>
      </c>
      <c r="U276" s="4" t="n">
        <v>45747</v>
      </c>
      <c r="V276" s="9" t="n">
        <v>318915.3105557533</v>
      </c>
    </row>
    <row r="277">
      <c r="A277" s="3" t="inlineStr">
        <is>
          <t>Endulini</t>
        </is>
      </c>
      <c r="B277" s="3" t="inlineStr">
        <is>
          <t>F</t>
        </is>
      </c>
      <c r="C277" s="3" t="inlineStr">
        <is>
          <t>EF203</t>
        </is>
      </c>
      <c r="D277" s="3" t="b">
        <v>1</v>
      </c>
      <c r="E277" s="3" t="b">
        <v>1</v>
      </c>
      <c r="F277" s="3">
        <f>SUMIFS('Cashflow Projection'!$C$7:$C$23,'Cashflow Projection'!$B$7:$B$23,Sales!$B277,'Cashflow Projection'!$A$7:$A$23,Sales!$A277)</f>
        <v/>
      </c>
      <c r="G277" s="4" t="n">
        <v>44657</v>
      </c>
      <c r="H277" s="4" t="n">
        <v>45688</v>
      </c>
      <c r="I277" s="3" t="n">
        <v>1488900</v>
      </c>
      <c r="J277" s="3" t="n">
        <v>194204.3478260869</v>
      </c>
      <c r="K277" s="3" t="n">
        <v>1294695.652173913</v>
      </c>
      <c r="L277" s="3" t="n">
        <v>18502.08</v>
      </c>
      <c r="M277" s="3" t="n">
        <v>1789</v>
      </c>
      <c r="N277" s="3" t="n">
        <v>7444.5</v>
      </c>
      <c r="O277" s="3" t="n">
        <v>74445</v>
      </c>
      <c r="P277" s="3" t="n">
        <v>19224.37</v>
      </c>
      <c r="Q277" s="3" t="n">
        <v>1367495.05</v>
      </c>
      <c r="R277" s="9">
        <f>(SUMIFS(Investors!$M:$M,Investors!$E:$E,Sales!$C277,Investors!$O:$O,FALSE)+SUMIFS(Investors!$S:$S,Investors!$E:$E,Sales!$C277,Investors!$O:$O,FALSE))*$F277</f>
        <v/>
      </c>
      <c r="S277" s="9">
        <f>IF(T277=FALSE,Q277-R277,+V277)</f>
        <v/>
      </c>
      <c r="T277" s="3" t="b">
        <v>0</v>
      </c>
      <c r="U277" s="4" t="n">
        <v>45747</v>
      </c>
      <c r="V277" s="9" t="n">
        <v>116166.2944530135</v>
      </c>
    </row>
    <row r="278">
      <c r="A278" s="3" t="inlineStr">
        <is>
          <t>Heron Fields</t>
        </is>
      </c>
      <c r="B278" s="3" t="inlineStr">
        <is>
          <t>A</t>
        </is>
      </c>
      <c r="C278" s="3" t="inlineStr">
        <is>
          <t>HFA302</t>
        </is>
      </c>
      <c r="D278" s="3" t="b">
        <v>1</v>
      </c>
      <c r="E278" s="3" t="b">
        <v>1</v>
      </c>
      <c r="F278" s="3">
        <f>SUMIFS('Cashflow Projection'!$C$7:$C$23,'Cashflow Projection'!$B$7:$B$23,Sales!$B278,'Cashflow Projection'!$A$7:$A$23,Sales!$A278)</f>
        <v/>
      </c>
      <c r="G278" s="4" t="n">
        <v>44887</v>
      </c>
      <c r="H278" s="4" t="n">
        <v>45688</v>
      </c>
      <c r="I278" s="3" t="n">
        <v>1309900</v>
      </c>
      <c r="J278" s="3" t="n">
        <v>170856.5217391304</v>
      </c>
      <c r="K278" s="3" t="n">
        <v>1139043.47826087</v>
      </c>
      <c r="L278" s="3" t="n">
        <v>18502.08</v>
      </c>
      <c r="M278" s="3" t="n">
        <v>1789</v>
      </c>
      <c r="N278" s="3" t="n">
        <v>6549.5</v>
      </c>
      <c r="O278" s="3" t="n">
        <v>65495</v>
      </c>
      <c r="P278" s="3" t="n">
        <v>19224.37</v>
      </c>
      <c r="Q278" s="3" t="n">
        <v>1198340.05</v>
      </c>
      <c r="R278" s="9">
        <f>(SUMIFS(Investors!$M:$M,Investors!$E:$E,Sales!$C278,Investors!$O:$O,FALSE)+SUMIFS(Investors!$S:$S,Investors!$E:$E,Sales!$C278,Investors!$O:$O,FALSE))*$F278</f>
        <v/>
      </c>
      <c r="S278" s="9">
        <f>IF(T278=FALSE,Q278-R278,+V278)</f>
        <v/>
      </c>
      <c r="T278" s="3" t="b">
        <v>0</v>
      </c>
      <c r="U278" s="4" t="n">
        <v>45747</v>
      </c>
      <c r="V278" s="9" t="n">
        <v>60455.76790821902</v>
      </c>
    </row>
    <row r="279">
      <c r="A279" s="3" t="inlineStr">
        <is>
          <t>Heron Fields</t>
        </is>
      </c>
      <c r="B279" s="3" t="inlineStr">
        <is>
          <t>B</t>
        </is>
      </c>
      <c r="C279" s="3" t="inlineStr">
        <is>
          <t>HFB206</t>
        </is>
      </c>
      <c r="D279" s="3" t="b">
        <v>0</v>
      </c>
      <c r="E279" s="3" t="b">
        <v>0</v>
      </c>
      <c r="F279" s="3">
        <f>SUMIFS('Cashflow Projection'!$C$7:$C$23,'Cashflow Projection'!$B$7:$B$23,Sales!$B279,'Cashflow Projection'!$A$7:$A$23,Sales!$A279)</f>
        <v/>
      </c>
      <c r="G279" s="4" t="n">
        <v>45408</v>
      </c>
      <c r="H279" s="4" t="n">
        <v>45408</v>
      </c>
      <c r="I279" s="3" t="n">
        <v>1399900</v>
      </c>
      <c r="J279" s="3" t="n">
        <v>0</v>
      </c>
      <c r="K279" s="3" t="n">
        <v>1217304.347826087</v>
      </c>
      <c r="L279" s="3" t="n">
        <v>18502.08</v>
      </c>
      <c r="M279" s="3" t="n">
        <v>1789</v>
      </c>
      <c r="N279" s="3" t="n">
        <v>6999.5</v>
      </c>
      <c r="O279" s="3" t="n">
        <v>69995</v>
      </c>
      <c r="P279" s="3" t="n">
        <v>19224.37</v>
      </c>
      <c r="Q279" s="3" t="n">
        <v>1283390.05</v>
      </c>
      <c r="R279" s="9">
        <f>(SUMIFS(Investors!$M:$M,Investors!$E:$E,Sales!$C279,Investors!$O:$O,FALSE)+SUMIFS(Investors!$S:$S,Investors!$E:$E,Sales!$C279,Investors!$O:$O,FALSE))*$F279</f>
        <v/>
      </c>
      <c r="S279" s="9">
        <f>IF(T279=FALSE,Q279-R279,+V279)</f>
        <v/>
      </c>
      <c r="T279" s="3" t="b">
        <v>1</v>
      </c>
      <c r="U279" s="4" t="n">
        <v>45443</v>
      </c>
      <c r="V279" s="9" t="n">
        <v>824500</v>
      </c>
    </row>
    <row r="280">
      <c r="A280" s="3" t="inlineStr">
        <is>
          <t>Heron Fields</t>
        </is>
      </c>
      <c r="B280" s="3" t="inlineStr">
        <is>
          <t>B</t>
        </is>
      </c>
      <c r="C280" s="3" t="inlineStr">
        <is>
          <t>HFB207</t>
        </is>
      </c>
      <c r="D280" s="3" t="b">
        <v>0</v>
      </c>
      <c r="E280" s="3" t="b">
        <v>0</v>
      </c>
      <c r="F280" s="3">
        <f>SUMIFS('Cashflow Projection'!$C$7:$C$23,'Cashflow Projection'!$B$7:$B$23,Sales!$B280,'Cashflow Projection'!$A$7:$A$23,Sales!$A280)</f>
        <v/>
      </c>
      <c r="G280" s="4" t="n">
        <v>45408</v>
      </c>
      <c r="H280" s="4" t="n">
        <v>45408</v>
      </c>
      <c r="I280" s="3" t="n">
        <v>1449900</v>
      </c>
      <c r="J280" s="3" t="n">
        <v>0</v>
      </c>
      <c r="K280" s="3" t="n">
        <v>1260782.608695652</v>
      </c>
      <c r="L280" s="3" t="n">
        <v>18502.08</v>
      </c>
      <c r="M280" s="3" t="n">
        <v>1789</v>
      </c>
      <c r="N280" s="3" t="n">
        <v>7249.5</v>
      </c>
      <c r="O280" s="3" t="n">
        <v>72495</v>
      </c>
      <c r="P280" s="3" t="n">
        <v>19224.37</v>
      </c>
      <c r="Q280" s="3" t="n">
        <v>1330640.05</v>
      </c>
      <c r="R280" s="9">
        <f>(SUMIFS(Investors!$M:$M,Investors!$E:$E,Sales!$C280,Investors!$O:$O,FALSE)+SUMIFS(Investors!$S:$S,Investors!$E:$E,Sales!$C280,Investors!$O:$O,FALSE))*$F280</f>
        <v/>
      </c>
      <c r="S280" s="9">
        <f>IF(T280=FALSE,Q280-R280,+V280)</f>
        <v/>
      </c>
      <c r="T280" s="3" t="b">
        <v>1</v>
      </c>
      <c r="U280" s="4" t="n">
        <v>45443</v>
      </c>
      <c r="V280" s="9" t="n">
        <v>824500</v>
      </c>
    </row>
    <row r="281">
      <c r="A281" s="3" t="inlineStr">
        <is>
          <t>Heron Fields</t>
        </is>
      </c>
      <c r="B281" s="3" t="inlineStr">
        <is>
          <t>B</t>
        </is>
      </c>
      <c r="C281" s="3" t="inlineStr">
        <is>
          <t>HFB304</t>
        </is>
      </c>
      <c r="D281" s="3" t="b">
        <v>1</v>
      </c>
      <c r="E281" s="3" t="b">
        <v>1</v>
      </c>
      <c r="F281" s="3">
        <f>SUMIFS('Cashflow Projection'!$C$7:$C$23,'Cashflow Projection'!$B$7:$B$23,Sales!$B281,'Cashflow Projection'!$A$7:$A$23,Sales!$A281)</f>
        <v/>
      </c>
      <c r="G281" s="4" t="n">
        <v>45027</v>
      </c>
      <c r="H281" s="4" t="n">
        <v>45688</v>
      </c>
      <c r="I281" s="3" t="n">
        <v>1449900</v>
      </c>
      <c r="J281" s="3" t="n">
        <v>189117.3913043478</v>
      </c>
      <c r="K281" s="3" t="n">
        <v>1260782.608695652</v>
      </c>
      <c r="L281" s="3" t="n">
        <v>18502.08</v>
      </c>
      <c r="M281" s="3" t="n">
        <v>1789</v>
      </c>
      <c r="N281" s="3" t="n">
        <v>7249.5</v>
      </c>
      <c r="O281" s="3" t="n">
        <v>72495</v>
      </c>
      <c r="P281" s="3" t="n">
        <v>19224.37</v>
      </c>
      <c r="Q281" s="3" t="n">
        <v>1330640.05</v>
      </c>
      <c r="R281" s="9">
        <f>(SUMIFS(Investors!$M:$M,Investors!$E:$E,Sales!$C281,Investors!$O:$O,FALSE)+SUMIFS(Investors!$S:$S,Investors!$E:$E,Sales!$C281,Investors!$O:$O,FALSE))*$F281</f>
        <v/>
      </c>
      <c r="S281" s="9">
        <f>IF(T281=FALSE,Q281-R281,+V281)</f>
        <v/>
      </c>
      <c r="T281" s="3" t="b">
        <v>0</v>
      </c>
      <c r="U281" s="4" t="n">
        <v>45747</v>
      </c>
      <c r="V281" s="9" t="n">
        <v>132790.7349315067</v>
      </c>
    </row>
    <row r="282">
      <c r="A282" s="3" t="inlineStr">
        <is>
          <t>Heron Fields</t>
        </is>
      </c>
      <c r="B282" s="3" t="inlineStr">
        <is>
          <t>B</t>
        </is>
      </c>
      <c r="C282" s="3" t="inlineStr">
        <is>
          <t>HFB212</t>
        </is>
      </c>
      <c r="D282" s="3" t="b">
        <v>0</v>
      </c>
      <c r="E282" s="3" t="b">
        <v>0</v>
      </c>
      <c r="F282" s="3">
        <f>SUMIFS('Cashflow Projection'!$C$7:$C$23,'Cashflow Projection'!$B$7:$B$23,Sales!$B282,'Cashflow Projection'!$A$7:$A$23,Sales!$A282)</f>
        <v/>
      </c>
      <c r="G282" s="4" t="n">
        <v>45439</v>
      </c>
      <c r="H282" s="4" t="n">
        <v>45439</v>
      </c>
      <c r="I282" s="3" t="n">
        <v>1439900</v>
      </c>
      <c r="J282" s="3" t="n">
        <v>0</v>
      </c>
      <c r="K282" s="3" t="n">
        <v>1252086.956521739</v>
      </c>
      <c r="L282" s="3" t="n">
        <v>18502.08</v>
      </c>
      <c r="M282" s="3" t="n">
        <v>1789</v>
      </c>
      <c r="N282" s="3" t="n">
        <v>7199.5</v>
      </c>
      <c r="O282" s="3" t="n">
        <v>71995</v>
      </c>
      <c r="P282" s="3" t="n">
        <v>19224.37</v>
      </c>
      <c r="Q282" s="3" t="n">
        <v>1321190.05</v>
      </c>
      <c r="R282" s="9">
        <f>(SUMIFS(Investors!$M:$M,Investors!$E:$E,Sales!$C282,Investors!$O:$O,FALSE)+SUMIFS(Investors!$S:$S,Investors!$E:$E,Sales!$C282,Investors!$O:$O,FALSE))*$F282</f>
        <v/>
      </c>
      <c r="S282" s="9">
        <f>IF(T282=FALSE,Q282-R282,+V282)</f>
        <v/>
      </c>
      <c r="T282" s="3" t="b">
        <v>1</v>
      </c>
      <c r="U282" s="4" t="n">
        <v>45504</v>
      </c>
      <c r="V282" s="9" t="n">
        <v>892400</v>
      </c>
    </row>
    <row r="283">
      <c r="A283" s="3" t="inlineStr">
        <is>
          <t>Heron View</t>
        </is>
      </c>
      <c r="B283" s="3" t="inlineStr">
        <is>
          <t>N</t>
        </is>
      </c>
      <c r="C283" s="3" t="inlineStr">
        <is>
          <t>HVN303</t>
        </is>
      </c>
      <c r="D283" s="3" t="b">
        <v>0</v>
      </c>
      <c r="E283" s="3" t="b">
        <v>0</v>
      </c>
      <c r="F283" s="3">
        <f>SUMIFS('Cashflow Projection'!$C$7:$C$23,'Cashflow Projection'!$B$7:$B$23,Sales!$B283,'Cashflow Projection'!$A$7:$A$23,Sales!$A283)</f>
        <v/>
      </c>
      <c r="G283" s="4" t="n">
        <v>45464</v>
      </c>
      <c r="H283" s="4" t="n">
        <v>45464</v>
      </c>
      <c r="I283" s="3" t="n">
        <v>1489900</v>
      </c>
      <c r="J283" s="3" t="n">
        <v>194334.7826086956</v>
      </c>
      <c r="K283" s="3" t="n">
        <v>1295565.217391304</v>
      </c>
      <c r="L283" s="3" t="n">
        <v>18502.08</v>
      </c>
      <c r="M283" s="3" t="n">
        <v>1789</v>
      </c>
      <c r="N283" s="3" t="n">
        <v>7449.5</v>
      </c>
      <c r="O283" s="3" t="n">
        <v>74495</v>
      </c>
      <c r="P283" s="3" t="n">
        <v>19224.37</v>
      </c>
      <c r="Q283" s="3" t="n">
        <v>1368440.05</v>
      </c>
      <c r="R283" s="9">
        <f>(SUMIFS(Investors!$M:$M,Investors!$E:$E,Sales!$C283,Investors!$O:$O,FALSE)+SUMIFS(Investors!$S:$S,Investors!$E:$E,Sales!$C283,Investors!$O:$O,FALSE))*$F283</f>
        <v/>
      </c>
      <c r="S283" s="9">
        <f>IF(T283=FALSE,Q283-R283,+V283)</f>
        <v/>
      </c>
      <c r="T283" s="3" t="b">
        <v>0</v>
      </c>
      <c r="U283" s="4" t="n">
        <v>45504</v>
      </c>
      <c r="V283" s="9" t="n">
        <v>19289.36506849295</v>
      </c>
    </row>
    <row r="284">
      <c r="A284" s="3" t="inlineStr">
        <is>
          <t>Heron View</t>
        </is>
      </c>
      <c r="B284" s="3" t="inlineStr">
        <is>
          <t>J</t>
        </is>
      </c>
      <c r="C284" s="3" t="inlineStr">
        <is>
          <t>HVJ403</t>
        </is>
      </c>
      <c r="D284" s="3" t="b">
        <v>0</v>
      </c>
      <c r="E284" s="3" t="b">
        <v>0</v>
      </c>
      <c r="F284" s="3">
        <f>SUMIFS('Cashflow Projection'!$C$7:$C$23,'Cashflow Projection'!$B$7:$B$23,Sales!$B284,'Cashflow Projection'!$A$7:$A$23,Sales!$A284)</f>
        <v/>
      </c>
      <c r="G284" s="4" t="n">
        <v>45552</v>
      </c>
      <c r="H284" s="4" t="n">
        <v>45552</v>
      </c>
      <c r="I284" s="3" t="n">
        <v>1699900</v>
      </c>
      <c r="J284" s="3" t="n">
        <v>221726.0869565217</v>
      </c>
      <c r="K284" s="3" t="n">
        <v>1478173.913043478</v>
      </c>
      <c r="L284" s="3" t="n">
        <v>18502.08</v>
      </c>
      <c r="M284" s="3" t="n">
        <v>1789</v>
      </c>
      <c r="N284" s="3" t="n">
        <v>8499.5</v>
      </c>
      <c r="O284" s="3" t="n">
        <v>84995</v>
      </c>
      <c r="P284" s="3" t="n">
        <v>19224.37</v>
      </c>
      <c r="Q284" s="3" t="n">
        <v>1566890.05</v>
      </c>
      <c r="R284" s="9">
        <f>(SUMIFS(Investors!$M:$M,Investors!$E:$E,Sales!$C284,Investors!$O:$O,FALSE)+SUMIFS(Investors!$S:$S,Investors!$E:$E,Sales!$C284,Investors!$O:$O,FALSE))*$F284</f>
        <v/>
      </c>
      <c r="S284" s="9">
        <f>IF(T284=FALSE,Q284-R284,+V284)</f>
        <v/>
      </c>
      <c r="T284" s="3" t="b">
        <v>0</v>
      </c>
      <c r="U284" s="4" t="n">
        <v>45626</v>
      </c>
      <c r="V284" s="9" t="n">
        <v>188366.0773972601</v>
      </c>
    </row>
    <row r="285">
      <c r="A285" s="3" t="inlineStr">
        <is>
          <t>Heron View</t>
        </is>
      </c>
      <c r="B285" s="3" t="inlineStr">
        <is>
          <t>P</t>
        </is>
      </c>
      <c r="C285" s="3" t="inlineStr">
        <is>
          <t>HVP301</t>
        </is>
      </c>
      <c r="D285" s="3" t="b">
        <v>1</v>
      </c>
      <c r="E285" s="3" t="b">
        <v>1</v>
      </c>
      <c r="F285" s="3">
        <f>SUMIFS('Cashflow Projection'!$C$7:$C$23,'Cashflow Projection'!$B$7:$B$23,Sales!$B285,'Cashflow Projection'!$A$7:$A$23,Sales!$A285)</f>
        <v/>
      </c>
      <c r="G285" s="4" t="n">
        <v>45247</v>
      </c>
      <c r="H285" s="4" t="n">
        <v>45688</v>
      </c>
      <c r="I285" s="3" t="n">
        <v>1719900</v>
      </c>
      <c r="J285" s="3" t="n">
        <v>224334.7826086956</v>
      </c>
      <c r="K285" s="3" t="n">
        <v>1495565.217391304</v>
      </c>
      <c r="L285" s="3" t="n">
        <v>18502.08</v>
      </c>
      <c r="M285" s="3" t="n">
        <v>1789</v>
      </c>
      <c r="N285" s="3" t="n">
        <v>8599.5</v>
      </c>
      <c r="O285" s="3" t="n">
        <v>85995</v>
      </c>
      <c r="P285" s="3" t="n">
        <v>19224.37</v>
      </c>
      <c r="Q285" s="3" t="n">
        <v>1585790.05</v>
      </c>
      <c r="R285" s="9">
        <f>(SUMIFS(Investors!$M:$M,Investors!$E:$E,Sales!$C285,Investors!$O:$O,FALSE)+SUMIFS(Investors!$S:$S,Investors!$E:$E,Sales!$C285,Investors!$O:$O,FALSE))*$F285</f>
        <v/>
      </c>
      <c r="S285" s="9">
        <f>IF(T285=FALSE,Q285-R285,+V285)</f>
        <v/>
      </c>
      <c r="T285" s="3" t="b">
        <v>0</v>
      </c>
      <c r="U285" s="4" t="n">
        <v>45747</v>
      </c>
      <c r="V285" s="9" t="n">
        <v>254202.2203583559</v>
      </c>
    </row>
    <row r="286">
      <c r="A286" s="3" t="inlineStr">
        <is>
          <t>Heron View</t>
        </is>
      </c>
      <c r="B286" s="3" t="inlineStr">
        <is>
          <t>F</t>
        </is>
      </c>
      <c r="C286" s="3" t="inlineStr">
        <is>
          <t>HVF201</t>
        </is>
      </c>
      <c r="D286" s="3" t="b">
        <v>0</v>
      </c>
      <c r="E286" s="3" t="b">
        <v>0</v>
      </c>
      <c r="F286" s="3">
        <f>SUMIFS('Cashflow Projection'!$C$7:$C$23,'Cashflow Projection'!$B$7:$B$23,Sales!$B286,'Cashflow Projection'!$A$7:$A$23,Sales!$A286)</f>
        <v/>
      </c>
      <c r="G286" s="4" t="n">
        <v>45517</v>
      </c>
      <c r="H286" s="4" t="n">
        <v>45722</v>
      </c>
      <c r="I286" s="3" t="n">
        <v>1599900</v>
      </c>
      <c r="J286" s="3" t="n">
        <v>208682.6086956522</v>
      </c>
      <c r="K286" s="3" t="n">
        <v>1391217.391304348</v>
      </c>
      <c r="L286" s="3" t="n">
        <v>18502.08</v>
      </c>
      <c r="M286" s="3" t="n">
        <v>1789</v>
      </c>
      <c r="N286" s="3" t="n">
        <v>7999.5</v>
      </c>
      <c r="O286" s="3" t="n">
        <v>79995</v>
      </c>
      <c r="P286" s="3" t="n">
        <v>19224.37</v>
      </c>
      <c r="Q286" s="3" t="n">
        <v>1472390.05</v>
      </c>
      <c r="R286" s="9">
        <f>(SUMIFS(Investors!$M:$M,Investors!$E:$E,Sales!$C286,Investors!$O:$O,FALSE)+SUMIFS(Investors!$S:$S,Investors!$E:$E,Sales!$C286,Investors!$O:$O,FALSE))*$F286</f>
        <v/>
      </c>
      <c r="S286" s="9">
        <f>IF(T286=FALSE,Q286-R286,+V286)</f>
        <v/>
      </c>
      <c r="T286" s="3" t="b">
        <v>0</v>
      </c>
      <c r="U286" s="4" t="n">
        <v>45808</v>
      </c>
      <c r="V286" s="9" t="n">
        <v>284828.4061643833</v>
      </c>
    </row>
    <row r="287">
      <c r="A287" s="3" t="inlineStr">
        <is>
          <t>Heron View</t>
        </is>
      </c>
      <c r="B287" s="3" t="inlineStr">
        <is>
          <t>O</t>
        </is>
      </c>
      <c r="C287" s="3" t="inlineStr">
        <is>
          <t>HVO201</t>
        </is>
      </c>
      <c r="D287" s="3" t="b">
        <v>1</v>
      </c>
      <c r="E287" s="3" t="b">
        <v>0</v>
      </c>
      <c r="F287" s="3">
        <f>SUMIFS('Cashflow Projection'!$C$7:$C$23,'Cashflow Projection'!$B$7:$B$23,Sales!$B287,'Cashflow Projection'!$A$7:$A$23,Sales!$A287)</f>
        <v/>
      </c>
      <c r="G287" s="4" t="n">
        <v>45518</v>
      </c>
      <c r="H287" s="4" t="n">
        <v>45518</v>
      </c>
      <c r="I287" s="3" t="n">
        <v>1689900</v>
      </c>
      <c r="J287" s="3" t="n">
        <v>220421.7391304348</v>
      </c>
      <c r="K287" s="3" t="n">
        <v>1469478.260869565</v>
      </c>
      <c r="L287" s="3" t="n">
        <v>18502.08</v>
      </c>
      <c r="M287" s="3" t="n">
        <v>1789</v>
      </c>
      <c r="N287" s="3" t="n">
        <v>8449.5</v>
      </c>
      <c r="O287" s="3" t="n">
        <v>84495</v>
      </c>
      <c r="P287" s="3" t="n">
        <v>19224.37</v>
      </c>
      <c r="Q287" s="3" t="n">
        <v>1557440.05</v>
      </c>
      <c r="R287" s="9">
        <f>(SUMIFS(Investors!$M:$M,Investors!$E:$E,Sales!$C287,Investors!$O:$O,FALSE)+SUMIFS(Investors!$S:$S,Investors!$E:$E,Sales!$C287,Investors!$O:$O,FALSE))*$F287</f>
        <v/>
      </c>
      <c r="S287" s="9">
        <f>IF(T287=FALSE,Q287-R287,+V287)</f>
        <v/>
      </c>
      <c r="T287" s="3" t="b">
        <v>0</v>
      </c>
      <c r="U287" s="4" t="n">
        <v>45565</v>
      </c>
      <c r="V287" s="9" t="n">
        <v>267165.4577508902</v>
      </c>
    </row>
    <row r="288">
      <c r="A288" s="3" t="inlineStr">
        <is>
          <t>Heron View</t>
        </is>
      </c>
      <c r="B288" s="3" t="inlineStr">
        <is>
          <t>E</t>
        </is>
      </c>
      <c r="C288" s="3" t="inlineStr">
        <is>
          <t>HVE103</t>
        </is>
      </c>
      <c r="D288" s="3" t="b">
        <v>0</v>
      </c>
      <c r="E288" s="3" t="b">
        <v>0</v>
      </c>
      <c r="F288" s="3">
        <f>SUMIFS('Cashflow Projection'!$C$7:$C$23,'Cashflow Projection'!$B$7:$B$23,Sales!$B288,'Cashflow Projection'!$A$7:$A$23,Sales!$A288)</f>
        <v/>
      </c>
      <c r="G288" s="4" t="n">
        <v>45685</v>
      </c>
      <c r="H288" s="4" t="n">
        <v>45685</v>
      </c>
      <c r="I288" s="3" t="n">
        <v>1649900</v>
      </c>
      <c r="J288" s="3" t="n">
        <v>215204.3478260869</v>
      </c>
      <c r="K288" s="3" t="n">
        <v>1434695.652173913</v>
      </c>
      <c r="L288" s="3" t="n">
        <v>18502.08</v>
      </c>
      <c r="M288" s="3" t="n">
        <v>1789</v>
      </c>
      <c r="N288" s="3" t="n">
        <v>8249.5</v>
      </c>
      <c r="O288" s="3" t="n">
        <v>82495</v>
      </c>
      <c r="P288" s="3" t="n">
        <v>19224.37</v>
      </c>
      <c r="Q288" s="3" t="n">
        <v>1519640.05</v>
      </c>
      <c r="R288" s="9">
        <f>(SUMIFS(Investors!$M:$M,Investors!$E:$E,Sales!$C288,Investors!$O:$O,FALSE)+SUMIFS(Investors!$S:$S,Investors!$E:$E,Sales!$C288,Investors!$O:$O,FALSE))*$F288</f>
        <v/>
      </c>
      <c r="S288" s="9">
        <f>IF(T288=FALSE,Q288-R288,+V288)</f>
        <v/>
      </c>
      <c r="T288" s="3" t="b">
        <v>0</v>
      </c>
      <c r="U288" s="4" t="n">
        <v>45747</v>
      </c>
      <c r="V288" s="9" t="n">
        <v>0</v>
      </c>
    </row>
    <row r="289">
      <c r="A289" s="3" t="inlineStr">
        <is>
          <t>Heron View</t>
        </is>
      </c>
      <c r="B289" s="3" t="inlineStr">
        <is>
          <t>G</t>
        </is>
      </c>
      <c r="C289" s="3" t="inlineStr">
        <is>
          <t>HVG102</t>
        </is>
      </c>
      <c r="D289" s="3" t="b">
        <v>0</v>
      </c>
      <c r="E289" s="3" t="b">
        <v>0</v>
      </c>
      <c r="F289" s="3">
        <f>SUMIFS('Cashflow Projection'!$C$7:$C$23,'Cashflow Projection'!$B$7:$B$23,Sales!$B289,'Cashflow Projection'!$A$7:$A$23,Sales!$A289)</f>
        <v/>
      </c>
      <c r="G289" s="4" t="n">
        <v>45523</v>
      </c>
      <c r="H289" s="4" t="n">
        <v>45523</v>
      </c>
      <c r="I289" s="3" t="n">
        <v>1649900</v>
      </c>
      <c r="J289" s="3" t="n">
        <v>215204.3478260869</v>
      </c>
      <c r="K289" s="3" t="n">
        <v>1434695.652173913</v>
      </c>
      <c r="L289" s="3" t="n">
        <v>18502.08</v>
      </c>
      <c r="M289" s="3" t="n">
        <v>1789</v>
      </c>
      <c r="N289" s="3" t="n">
        <v>8249.5</v>
      </c>
      <c r="O289" s="3" t="n">
        <v>82495</v>
      </c>
      <c r="P289" s="3" t="n">
        <v>19224.37</v>
      </c>
      <c r="Q289" s="3" t="n">
        <v>1519640.05</v>
      </c>
      <c r="R289" s="9">
        <f>(SUMIFS(Investors!$M:$M,Investors!$E:$E,Sales!$C289,Investors!$O:$O,FALSE)+SUMIFS(Investors!$S:$S,Investors!$E:$E,Sales!$C289,Investors!$O:$O,FALSE))*$F289</f>
        <v/>
      </c>
      <c r="S289" s="9">
        <f>IF(T289=FALSE,Q289-R289,+V289)</f>
        <v/>
      </c>
      <c r="T289" s="3" t="b">
        <v>0</v>
      </c>
      <c r="U289" s="4" t="n">
        <v>45565</v>
      </c>
      <c r="V289" s="9" t="n">
        <v>165231.0096150683</v>
      </c>
    </row>
    <row r="290">
      <c r="A290" s="3" t="inlineStr">
        <is>
          <t>Heron View</t>
        </is>
      </c>
      <c r="B290" s="3" t="inlineStr">
        <is>
          <t>I</t>
        </is>
      </c>
      <c r="C290" s="3" t="inlineStr">
        <is>
          <t>HVI101</t>
        </is>
      </c>
      <c r="D290" s="3" t="b">
        <v>0</v>
      </c>
      <c r="E290" s="3" t="b">
        <v>0</v>
      </c>
      <c r="F290" s="3">
        <f>SUMIFS('Cashflow Projection'!$C$7:$C$23,'Cashflow Projection'!$B$7:$B$23,Sales!$B290,'Cashflow Projection'!$A$7:$A$23,Sales!$A290)</f>
        <v/>
      </c>
      <c r="G290" s="4" t="n">
        <v>45491</v>
      </c>
      <c r="H290" s="4" t="n">
        <v>45491</v>
      </c>
      <c r="I290" s="3" t="n">
        <v>1649900</v>
      </c>
      <c r="J290" s="3" t="n">
        <v>215204.3478260869</v>
      </c>
      <c r="K290" s="3" t="n">
        <v>1434695.652173913</v>
      </c>
      <c r="L290" s="3" t="n">
        <v>18502.08</v>
      </c>
      <c r="M290" s="3" t="n">
        <v>1789</v>
      </c>
      <c r="N290" s="3" t="n">
        <v>8249.5</v>
      </c>
      <c r="O290" s="3" t="n">
        <v>82495</v>
      </c>
      <c r="P290" s="3" t="n">
        <v>19224.37</v>
      </c>
      <c r="Q290" s="3" t="n">
        <v>1519640.05</v>
      </c>
      <c r="R290" s="9">
        <f>(SUMIFS(Investors!$M:$M,Investors!$E:$E,Sales!$C290,Investors!$O:$O,FALSE)+SUMIFS(Investors!$S:$S,Investors!$E:$E,Sales!$C290,Investors!$O:$O,FALSE))*$F290</f>
        <v/>
      </c>
      <c r="S290" s="9">
        <f>IF(T290=FALSE,Q290-R290,+V290)</f>
        <v/>
      </c>
      <c r="T290" s="3" t="b">
        <v>0</v>
      </c>
      <c r="U290" s="4" t="n">
        <v>45565</v>
      </c>
      <c r="V290" s="9" t="n">
        <v>215627.7212328764</v>
      </c>
    </row>
  </sheetData>
  <autoFilter ref="A4:V290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1072BA"/>
    <outlinePr summaryBelow="1" summaryRight="1"/>
    <pageSetUpPr/>
  </sheetPr>
  <dimension ref="A1:N10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6" max="6"/>
    <col width="30" customWidth="1" min="7" max="7"/>
    <col width="30" customWidth="1" min="8" max="8"/>
  </cols>
  <sheetData>
    <row r="1">
      <c r="A1" t="inlineStr">
        <is>
          <t>Operational Costs</t>
        </is>
      </c>
    </row>
    <row r="2">
      <c r="N2" s="1">
        <f>SUBTOTAL(9,N5:N101)</f>
        <v/>
      </c>
    </row>
    <row r="4">
      <c r="A4" s="2" t="inlineStr">
        <is>
          <t>Company</t>
        </is>
      </c>
      <c r="B4" s="2" t="inlineStr">
        <is>
          <t>Account</t>
        </is>
      </c>
      <c r="C4" s="2" t="inlineStr">
        <is>
          <t>Month1</t>
        </is>
      </c>
      <c r="D4" s="2" t="inlineStr">
        <is>
          <t>Month2</t>
        </is>
      </c>
      <c r="E4" s="2" t="inlineStr">
        <is>
          <t>Month3</t>
        </is>
      </c>
      <c r="F4" s="2" t="inlineStr">
        <is>
          <t>Month4</t>
        </is>
      </c>
      <c r="G4" s="2" t="inlineStr">
        <is>
          <t>Month5</t>
        </is>
      </c>
      <c r="H4" s="2" t="inlineStr">
        <is>
          <t>Month6</t>
        </is>
      </c>
      <c r="I4" s="2" t="inlineStr">
        <is>
          <t>Month7</t>
        </is>
      </c>
      <c r="J4" s="2" t="inlineStr">
        <is>
          <t>Month8</t>
        </is>
      </c>
      <c r="K4" s="2" t="inlineStr">
        <is>
          <t>Month9</t>
        </is>
      </c>
      <c r="L4" s="2" t="inlineStr">
        <is>
          <t>Month10</t>
        </is>
      </c>
      <c r="M4" s="2" t="inlineStr">
        <is>
          <t>Month11</t>
        </is>
      </c>
      <c r="N4" s="2" t="inlineStr">
        <is>
          <t>Operating Expenses</t>
        </is>
      </c>
    </row>
    <row r="5">
      <c r="A5" s="3" t="inlineStr">
        <is>
          <t>Heron Fields (Pty) Ltd</t>
        </is>
      </c>
      <c r="B5" s="3" t="inlineStr">
        <is>
          <t>Rates - Heron</t>
        </is>
      </c>
      <c r="C5" s="3" t="n">
        <v>0</v>
      </c>
      <c r="D5" s="3" t="n">
        <v>0</v>
      </c>
      <c r="E5" s="3" t="n">
        <v>213951.5</v>
      </c>
      <c r="F5" s="3" t="n">
        <v>0</v>
      </c>
      <c r="G5" s="3" t="n">
        <v>9078.59</v>
      </c>
      <c r="H5" s="3" t="n">
        <v>0</v>
      </c>
      <c r="I5" s="3" t="n">
        <v>0</v>
      </c>
      <c r="J5" s="3" t="n">
        <v>0</v>
      </c>
      <c r="K5" s="3" t="n">
        <v>1.08</v>
      </c>
      <c r="L5" s="3" t="inlineStr">
        <is>
          <t>-R 42 216,76</t>
        </is>
      </c>
      <c r="M5" s="3" t="n">
        <v>30819.25</v>
      </c>
      <c r="N5" s="3" t="n">
        <v>19239.42</v>
      </c>
    </row>
    <row r="6">
      <c r="A6" s="3" t="inlineStr">
        <is>
          <t>Cape Projects Construction (Pty) Ltd</t>
        </is>
      </c>
      <c r="B6" s="3" t="inlineStr">
        <is>
          <t>Accounting Fees - Other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700</v>
      </c>
      <c r="J6" s="3" t="n">
        <v>580</v>
      </c>
      <c r="K6" s="3" t="n">
        <v>0</v>
      </c>
      <c r="L6" s="3" t="n">
        <v>0</v>
      </c>
      <c r="M6" s="3" t="n">
        <v>0</v>
      </c>
      <c r="N6" s="3" t="n">
        <v>128</v>
      </c>
    </row>
    <row r="7">
      <c r="A7" s="3" t="inlineStr">
        <is>
          <t>Heron View (Pty) Ltd</t>
        </is>
      </c>
      <c r="B7" s="3" t="inlineStr">
        <is>
          <t>Repairs _AND_ Maintenance</t>
        </is>
      </c>
      <c r="C7" s="3" t="n">
        <v>7583.63</v>
      </c>
      <c r="D7" s="3" t="n">
        <v>0</v>
      </c>
      <c r="E7" s="3" t="n">
        <v>0</v>
      </c>
      <c r="F7" s="3" t="inlineStr">
        <is>
          <t>-R 1 003,07</t>
        </is>
      </c>
      <c r="G7" s="3" t="n">
        <v>16566.56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2104.28</v>
      </c>
    </row>
    <row r="8">
      <c r="A8" s="3" t="inlineStr">
        <is>
          <t>Heron View (Pty) Ltd</t>
        </is>
      </c>
      <c r="B8" s="3" t="inlineStr">
        <is>
          <t>Water</t>
        </is>
      </c>
      <c r="C8" s="3" t="n">
        <v>0</v>
      </c>
      <c r="D8" s="3" t="n">
        <v>19.64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1.79</v>
      </c>
    </row>
    <row r="9">
      <c r="A9" s="3" t="inlineStr">
        <is>
          <t>Cape Projects Construction (Pty) Ltd</t>
        </is>
      </c>
      <c r="B9" s="3" t="inlineStr">
        <is>
          <t>Insurance - Santam</t>
        </is>
      </c>
      <c r="C9" s="3" t="n">
        <v>0</v>
      </c>
      <c r="D9" s="3" t="n">
        <v>6204.53</v>
      </c>
      <c r="E9" s="3" t="n">
        <v>2211.15</v>
      </c>
      <c r="F9" s="3" t="n">
        <v>0</v>
      </c>
      <c r="G9" s="3" t="n">
        <v>4390.6</v>
      </c>
      <c r="H9" s="3" t="n">
        <v>2085.79</v>
      </c>
      <c r="I9" s="3" t="n">
        <v>2063.15</v>
      </c>
      <c r="J9" s="3" t="n">
        <v>2089.86</v>
      </c>
      <c r="K9" s="3" t="n">
        <v>0</v>
      </c>
      <c r="L9" s="3" t="n">
        <v>4275.67</v>
      </c>
      <c r="M9" s="3" t="n">
        <v>1458.74</v>
      </c>
      <c r="N9" s="3" t="n">
        <v>2252.68</v>
      </c>
    </row>
    <row r="10">
      <c r="A10" s="3" t="inlineStr">
        <is>
          <t>Cape Projects Construction (Pty) Ltd</t>
        </is>
      </c>
      <c r="B10" s="3" t="inlineStr">
        <is>
          <t>Advertising _AND_ Promotions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2300</v>
      </c>
      <c r="H10" s="3" t="n">
        <v>4025</v>
      </c>
      <c r="I10" s="3" t="n">
        <v>3450</v>
      </c>
      <c r="J10" s="3" t="n">
        <v>1200</v>
      </c>
      <c r="K10" s="3" t="n">
        <v>0</v>
      </c>
      <c r="L10" s="3" t="n">
        <v>0</v>
      </c>
      <c r="M10" s="3" t="n">
        <v>0</v>
      </c>
      <c r="N10" s="3" t="n">
        <v>997.73</v>
      </c>
    </row>
    <row r="11">
      <c r="A11" s="3" t="inlineStr">
        <is>
          <t>Cape Projects Construction (Pty) Ltd</t>
        </is>
      </c>
      <c r="B11" s="3" t="inlineStr">
        <is>
          <t>Computer Expenses</t>
        </is>
      </c>
      <c r="C11" s="3" t="n">
        <v>0</v>
      </c>
      <c r="D11" s="3" t="n">
        <v>0</v>
      </c>
      <c r="E11" s="3" t="n">
        <v>1100</v>
      </c>
      <c r="F11" s="3" t="n">
        <v>950</v>
      </c>
      <c r="G11" s="3" t="n">
        <v>0</v>
      </c>
      <c r="H11" s="3" t="n">
        <v>0</v>
      </c>
      <c r="I11" s="3" t="n">
        <v>749</v>
      </c>
      <c r="J11" s="3" t="n">
        <v>0</v>
      </c>
      <c r="K11" s="3" t="n">
        <v>1999.13</v>
      </c>
      <c r="L11" s="3" t="n">
        <v>0</v>
      </c>
      <c r="M11" s="3" t="n">
        <v>1604.52</v>
      </c>
      <c r="N11" s="3" t="n">
        <v>582.0599999999999</v>
      </c>
    </row>
    <row r="12">
      <c r="A12" s="3" t="inlineStr">
        <is>
          <t>Cape Projects Construction (Pty) Ltd</t>
        </is>
      </c>
      <c r="B12" s="3" t="inlineStr">
        <is>
          <t>Insurance - A_AND_G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24242.76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2203.89</v>
      </c>
    </row>
    <row r="13">
      <c r="A13" s="3" t="inlineStr">
        <is>
          <t>Heron Fields (Pty) Ltd</t>
        </is>
      </c>
      <c r="B13" s="3" t="inlineStr">
        <is>
          <t>General Expenses</t>
        </is>
      </c>
      <c r="C13" s="3" t="n">
        <v>0</v>
      </c>
      <c r="D13" s="3" t="n">
        <v>2956.52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199.99</v>
      </c>
      <c r="N13" s="3" t="n">
        <v>286.96</v>
      </c>
    </row>
    <row r="14">
      <c r="A14" s="3" t="inlineStr">
        <is>
          <t>Heron View (Pty) Ltd</t>
        </is>
      </c>
      <c r="B14" s="3" t="inlineStr">
        <is>
          <t>Advertising _AND_ Promotions</t>
        </is>
      </c>
      <c r="C14" s="3" t="n">
        <v>0</v>
      </c>
      <c r="D14" s="3" t="n">
        <v>431.25</v>
      </c>
      <c r="E14" s="3" t="n">
        <v>0</v>
      </c>
      <c r="F14" s="3" t="n">
        <v>1500</v>
      </c>
      <c r="G14" s="3" t="n">
        <v>9750</v>
      </c>
      <c r="H14" s="3" t="n">
        <v>0</v>
      </c>
      <c r="I14" s="3" t="n">
        <v>7705</v>
      </c>
      <c r="J14" s="3" t="n">
        <v>1293.75</v>
      </c>
      <c r="K14" s="3" t="n">
        <v>5637.5</v>
      </c>
      <c r="L14" s="3" t="n">
        <v>0</v>
      </c>
      <c r="M14" s="3" t="n">
        <v>24975</v>
      </c>
      <c r="N14" s="3" t="n">
        <v>4662.95</v>
      </c>
    </row>
    <row r="15">
      <c r="A15" s="3" t="inlineStr">
        <is>
          <t>Cape Projects Construction (Pty) Ltd</t>
        </is>
      </c>
      <c r="B15" s="3" t="inlineStr">
        <is>
          <t>Rates</t>
        </is>
      </c>
      <c r="C15" s="3" t="n">
        <v>8257.370000000001</v>
      </c>
      <c r="D15" s="3" t="n">
        <v>9027.469999999999</v>
      </c>
      <c r="E15" s="3" t="n">
        <v>989.75</v>
      </c>
      <c r="F15" s="3" t="n">
        <v>989.75</v>
      </c>
      <c r="G15" s="3" t="n">
        <v>989.75</v>
      </c>
      <c r="H15" s="3" t="n">
        <v>2871.04</v>
      </c>
      <c r="I15" s="3" t="n">
        <v>843.6</v>
      </c>
      <c r="J15" s="3" t="n">
        <v>843.6</v>
      </c>
      <c r="K15" s="3" t="n">
        <v>843.6</v>
      </c>
      <c r="L15" s="3" t="n">
        <v>843.6</v>
      </c>
      <c r="M15" s="3" t="n">
        <v>843.6</v>
      </c>
      <c r="N15" s="3" t="n">
        <v>2485.74</v>
      </c>
    </row>
    <row r="16">
      <c r="A16" s="3" t="inlineStr">
        <is>
          <t>Cape Projects Construction (Pty) Ltd</t>
        </is>
      </c>
      <c r="B16" s="3" t="inlineStr">
        <is>
          <t>Advertising - Design Fees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295</v>
      </c>
      <c r="N16" s="3" t="n">
        <v>26.82</v>
      </c>
    </row>
    <row r="17">
      <c r="A17" s="3" t="inlineStr">
        <is>
          <t>Cape Projects Construction (Pty) Ltd</t>
        </is>
      </c>
      <c r="B17" s="3" t="inlineStr">
        <is>
          <t>Bank Charges</t>
        </is>
      </c>
      <c r="C17" s="3" t="n">
        <v>2245.76</v>
      </c>
      <c r="D17" s="3" t="n">
        <v>1798.31</v>
      </c>
      <c r="E17" s="3" t="n">
        <v>1423.87</v>
      </c>
      <c r="F17" s="3" t="n">
        <v>1734.61</v>
      </c>
      <c r="G17" s="3" t="n">
        <v>1574.96</v>
      </c>
      <c r="H17" s="3" t="n">
        <v>2073.8</v>
      </c>
      <c r="I17" s="3" t="n">
        <v>1918.65</v>
      </c>
      <c r="J17" s="3" t="n">
        <v>1821.46</v>
      </c>
      <c r="K17" s="3" t="n">
        <v>1869.9</v>
      </c>
      <c r="L17" s="3" t="n">
        <v>1777.27</v>
      </c>
      <c r="M17" s="3" t="n">
        <v>1931.46</v>
      </c>
      <c r="N17" s="3" t="n">
        <v>1833.64</v>
      </c>
    </row>
    <row r="18">
      <c r="A18" s="3" t="inlineStr">
        <is>
          <t>Cape Projects Construction (Pty) Ltd</t>
        </is>
      </c>
      <c r="B18" s="3" t="inlineStr">
        <is>
          <t>Motor Vehicle - Insurance _AND_ Licence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1069</v>
      </c>
      <c r="K18" s="3" t="n">
        <v>0</v>
      </c>
      <c r="L18" s="3" t="n">
        <v>0</v>
      </c>
      <c r="M18" s="3" t="n">
        <v>0</v>
      </c>
      <c r="N18" s="3" t="n">
        <v>97.18000000000001</v>
      </c>
    </row>
    <row r="19">
      <c r="A19" s="3" t="inlineStr">
        <is>
          <t>Cape Projects Construction (Pty) Ltd</t>
        </is>
      </c>
      <c r="B19" s="3" t="inlineStr">
        <is>
          <t>Advertising - Other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885</v>
      </c>
      <c r="K19" s="3" t="n">
        <v>0</v>
      </c>
      <c r="L19" s="3" t="n">
        <v>0</v>
      </c>
      <c r="M19" s="3" t="n">
        <v>712</v>
      </c>
      <c r="N19" s="3" t="n">
        <v>145.18</v>
      </c>
    </row>
    <row r="20">
      <c r="A20" s="3" t="inlineStr">
        <is>
          <t>Cape Projects Construction (Pty) Ltd</t>
        </is>
      </c>
      <c r="B20" s="3" t="inlineStr">
        <is>
          <t>Accounting Fees - Audit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11170</v>
      </c>
      <c r="K20" s="3" t="n">
        <v>0</v>
      </c>
      <c r="L20" s="3" t="n">
        <v>0</v>
      </c>
      <c r="M20" s="3" t="n">
        <v>0</v>
      </c>
      <c r="N20" s="3" t="n">
        <v>1015.45</v>
      </c>
    </row>
    <row r="21">
      <c r="A21" s="3" t="inlineStr">
        <is>
          <t>Cape Projects Construction (Pty) Ltd</t>
        </is>
      </c>
      <c r="B21" s="3" t="inlineStr">
        <is>
          <t>Courier _AND_ Postage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245</v>
      </c>
      <c r="H21" s="3" t="n">
        <v>0</v>
      </c>
      <c r="I21" s="3" t="n">
        <v>0</v>
      </c>
      <c r="J21" s="3" t="n">
        <v>0</v>
      </c>
      <c r="K21" s="3" t="n">
        <v>86.09</v>
      </c>
      <c r="L21" s="3" t="n">
        <v>0</v>
      </c>
      <c r="M21" s="3" t="n">
        <v>0</v>
      </c>
      <c r="N21" s="3" t="n">
        <v>30.1</v>
      </c>
    </row>
    <row r="22">
      <c r="A22" s="3" t="inlineStr">
        <is>
          <t>Cape Projects Construction (Pty) Ltd</t>
        </is>
      </c>
      <c r="B22" s="3" t="inlineStr">
        <is>
          <t>Salaries &amp; Wages - WCA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5192.13</v>
      </c>
      <c r="L22" s="3" t="n">
        <v>0</v>
      </c>
      <c r="M22" s="3" t="n">
        <v>0</v>
      </c>
      <c r="N22" s="3" t="n">
        <v>472.01</v>
      </c>
    </row>
    <row r="23">
      <c r="A23" s="3" t="inlineStr">
        <is>
          <t>Cape Projects Construction (Pty) Ltd</t>
        </is>
      </c>
      <c r="B23" s="3" t="inlineStr">
        <is>
          <t>Subscriptions  - Adobe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4498.72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408.97</v>
      </c>
    </row>
    <row r="24">
      <c r="A24" s="3" t="inlineStr">
        <is>
          <t>Cape Projects Construction (Pty) Ltd</t>
        </is>
      </c>
      <c r="B24" s="3" t="inlineStr">
        <is>
          <t>Subscriptions - Smartsheet</t>
        </is>
      </c>
      <c r="C24" s="3" t="n">
        <v>2178</v>
      </c>
      <c r="D24" s="3" t="n">
        <v>1089</v>
      </c>
      <c r="E24" s="3" t="n">
        <v>1215.69</v>
      </c>
      <c r="F24" s="3" t="n">
        <v>847</v>
      </c>
      <c r="G24" s="3" t="n">
        <v>846.99</v>
      </c>
      <c r="H24" s="3" t="n">
        <v>847</v>
      </c>
      <c r="I24" s="3" t="n">
        <v>847</v>
      </c>
      <c r="J24" s="3" t="n">
        <v>847</v>
      </c>
      <c r="K24" s="3" t="n">
        <v>937.23</v>
      </c>
      <c r="L24" s="3" t="n">
        <v>803.5</v>
      </c>
      <c r="M24" s="3" t="n">
        <v>605</v>
      </c>
      <c r="N24" s="3" t="n">
        <v>1005.76</v>
      </c>
    </row>
    <row r="25">
      <c r="A25" s="3" t="inlineStr">
        <is>
          <t>Cape Projects Construction (Pty) Ltd</t>
        </is>
      </c>
      <c r="B25" s="3" t="inlineStr">
        <is>
          <t>Subscriptions &amp; Licenses - Caseware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10825.49</v>
      </c>
      <c r="N25" s="3" t="n">
        <v>984.14</v>
      </c>
    </row>
    <row r="26">
      <c r="A26" s="3" t="inlineStr">
        <is>
          <t>Endulini (Pty) Ltd</t>
        </is>
      </c>
      <c r="B26" s="3" t="inlineStr">
        <is>
          <t>Bank Charges</t>
        </is>
      </c>
      <c r="C26" s="3" t="n">
        <v>219.64</v>
      </c>
      <c r="D26" s="3" t="n">
        <v>161.5</v>
      </c>
      <c r="E26" s="3" t="n">
        <v>165.89</v>
      </c>
      <c r="F26" s="3" t="n">
        <v>176.39</v>
      </c>
      <c r="G26" s="3" t="n">
        <v>140.02</v>
      </c>
      <c r="H26" s="3" t="n">
        <v>119.02</v>
      </c>
      <c r="I26" s="3" t="n">
        <v>356.08</v>
      </c>
      <c r="J26" s="3" t="n">
        <v>258.59</v>
      </c>
      <c r="K26" s="3" t="n">
        <v>246.22</v>
      </c>
      <c r="L26" s="3" t="n">
        <v>243.13</v>
      </c>
      <c r="M26" s="3" t="n">
        <v>108.92</v>
      </c>
      <c r="N26" s="3" t="n">
        <v>199.58</v>
      </c>
    </row>
    <row r="27">
      <c r="A27" s="3" t="inlineStr">
        <is>
          <t>Cape Projects Construction (Pty) Ltd</t>
        </is>
      </c>
      <c r="B27" s="3" t="inlineStr">
        <is>
          <t>Consulting Fees - Admin and Finance</t>
        </is>
      </c>
      <c r="C27" s="3" t="n">
        <v>128868.17</v>
      </c>
      <c r="D27" s="3" t="n">
        <v>125097.01</v>
      </c>
      <c r="E27" s="3" t="n">
        <v>124297</v>
      </c>
      <c r="F27" s="3" t="n">
        <v>124297</v>
      </c>
      <c r="G27" s="3" t="n">
        <v>125697</v>
      </c>
      <c r="H27" s="3" t="n">
        <v>119697</v>
      </c>
      <c r="I27" s="3" t="n">
        <v>119527</v>
      </c>
      <c r="J27" s="3" t="n">
        <v>119527</v>
      </c>
      <c r="K27" s="3" t="n">
        <v>119527</v>
      </c>
      <c r="L27" s="3" t="n">
        <v>110452</v>
      </c>
      <c r="M27" s="3" t="n">
        <v>144016.7</v>
      </c>
      <c r="N27" s="3" t="n">
        <v>123727.53</v>
      </c>
    </row>
    <row r="28">
      <c r="A28" s="3" t="inlineStr">
        <is>
          <t>Cape Projects Construction (Pty) Ltd</t>
        </is>
      </c>
      <c r="B28" s="3" t="inlineStr">
        <is>
          <t>Depreciation - Generator Fixed Asset</t>
        </is>
      </c>
      <c r="C28" s="3" t="n">
        <v>1188.71</v>
      </c>
      <c r="D28" s="3" t="n">
        <v>1188.69</v>
      </c>
      <c r="E28" s="3" t="n">
        <v>1188.7</v>
      </c>
      <c r="F28" s="3" t="n">
        <v>1188.71</v>
      </c>
      <c r="G28" s="3" t="n">
        <v>1188.69</v>
      </c>
      <c r="H28" s="3" t="n">
        <v>1188.7</v>
      </c>
      <c r="I28" s="3" t="n">
        <v>1188.71</v>
      </c>
      <c r="J28" s="3" t="n">
        <v>1188.69</v>
      </c>
      <c r="K28" s="3" t="n">
        <v>1188.7</v>
      </c>
      <c r="L28" s="3" t="n">
        <v>193.34</v>
      </c>
      <c r="M28" s="3" t="n">
        <v>193.33</v>
      </c>
      <c r="N28" s="3" t="n">
        <v>1007.72</v>
      </c>
    </row>
    <row r="29">
      <c r="A29" s="3" t="inlineStr">
        <is>
          <t>Cape Projects Construction (Pty) Ltd</t>
        </is>
      </c>
      <c r="B29" s="3" t="inlineStr">
        <is>
          <t>Motor Vehicle Expenses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362</v>
      </c>
      <c r="M29" s="3" t="n">
        <v>0</v>
      </c>
      <c r="N29" s="3" t="n">
        <v>32.91</v>
      </c>
    </row>
    <row r="30">
      <c r="A30" s="3" t="inlineStr">
        <is>
          <t>Cape Projects Construction (Pty) Ltd</t>
        </is>
      </c>
      <c r="B30" s="3" t="inlineStr">
        <is>
          <t>Printing - Printer rental</t>
        </is>
      </c>
      <c r="C30" s="3" t="n">
        <v>2233.3</v>
      </c>
      <c r="D30" s="3" t="n">
        <v>2401.59</v>
      </c>
      <c r="E30" s="3" t="n">
        <v>2280.91</v>
      </c>
      <c r="F30" s="3" t="n">
        <v>2304.82</v>
      </c>
      <c r="G30" s="3" t="n">
        <v>2745.32</v>
      </c>
      <c r="H30" s="3" t="n">
        <v>4215.07</v>
      </c>
      <c r="I30" s="3" t="n">
        <v>1459.35</v>
      </c>
      <c r="J30" s="3" t="n">
        <v>704.96</v>
      </c>
      <c r="K30" s="3" t="n">
        <v>2190.96</v>
      </c>
      <c r="L30" s="3" t="n">
        <v>1777.93</v>
      </c>
      <c r="M30" s="3" t="n">
        <v>1375.3</v>
      </c>
      <c r="N30" s="3" t="n">
        <v>2153.59</v>
      </c>
    </row>
    <row r="31">
      <c r="A31" s="3" t="inlineStr">
        <is>
          <t>Cape Projects Construction (Pty) Ltd</t>
        </is>
      </c>
      <c r="B31" s="3" t="inlineStr">
        <is>
          <t>Subscriptions / Licenses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3016</v>
      </c>
      <c r="I31" s="3" t="n">
        <v>2162.32</v>
      </c>
      <c r="J31" s="3" t="n">
        <v>8349.65</v>
      </c>
      <c r="K31" s="3" t="n">
        <v>0</v>
      </c>
      <c r="L31" s="3" t="n">
        <v>0</v>
      </c>
      <c r="M31" s="3" t="n">
        <v>0</v>
      </c>
      <c r="N31" s="3" t="n">
        <v>1229.82</v>
      </c>
    </row>
    <row r="32">
      <c r="A32" s="3" t="inlineStr">
        <is>
          <t>Cape Projects Construction (Pty) Ltd</t>
        </is>
      </c>
      <c r="B32" s="3" t="inlineStr">
        <is>
          <t>Telephone _AND_ Fax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11566.33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1051.48</v>
      </c>
    </row>
    <row r="33">
      <c r="A33" s="3" t="inlineStr">
        <is>
          <t>Heron Fields (Pty) Ltd</t>
        </is>
      </c>
      <c r="B33" s="3" t="inlineStr">
        <is>
          <t>CoCT - Refuse</t>
        </is>
      </c>
      <c r="C33" s="3" t="n">
        <v>0</v>
      </c>
      <c r="D33" s="3" t="n">
        <v>0</v>
      </c>
      <c r="E33" s="3" t="n">
        <v>0</v>
      </c>
      <c r="F33" s="3" t="n">
        <v>36288.17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10690.2</v>
      </c>
      <c r="N33" s="3" t="n">
        <v>4270.76</v>
      </c>
    </row>
    <row r="34">
      <c r="A34" s="3" t="inlineStr">
        <is>
          <t>Heron Fields (Pty) Ltd</t>
        </is>
      </c>
      <c r="B34" s="3" t="inlineStr">
        <is>
          <t>Developers Levies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5282.68</v>
      </c>
      <c r="J34" s="3" t="n">
        <v>71583.14999999999</v>
      </c>
      <c r="K34" s="3" t="n">
        <v>0</v>
      </c>
      <c r="L34" s="3" t="n">
        <v>0</v>
      </c>
      <c r="M34" s="3" t="n">
        <v>0</v>
      </c>
      <c r="N34" s="3" t="n">
        <v>6987.8</v>
      </c>
    </row>
    <row r="35">
      <c r="A35" s="3" t="inlineStr">
        <is>
          <t>Heron Fields (Pty) Ltd</t>
        </is>
      </c>
      <c r="B35" s="3" t="inlineStr">
        <is>
          <t>Momentum Admin Fee</t>
        </is>
      </c>
      <c r="C35" s="3" t="n">
        <v>0</v>
      </c>
      <c r="D35" s="3" t="n">
        <v>11793.8</v>
      </c>
      <c r="E35" s="3" t="n">
        <v>17979.75</v>
      </c>
      <c r="F35" s="3" t="n">
        <v>19033.8</v>
      </c>
      <c r="G35" s="3" t="n">
        <v>15149.62</v>
      </c>
      <c r="H35" s="3" t="n">
        <v>12954.16</v>
      </c>
      <c r="I35" s="3" t="n">
        <v>15190</v>
      </c>
      <c r="J35" s="3" t="n">
        <v>10523.82</v>
      </c>
      <c r="K35" s="3" t="n">
        <v>5264.82</v>
      </c>
      <c r="L35" s="3" t="n">
        <v>8404.200000000001</v>
      </c>
      <c r="M35" s="3" t="n">
        <v>5169.95</v>
      </c>
      <c r="N35" s="3" t="n">
        <v>11042.17</v>
      </c>
    </row>
    <row r="36">
      <c r="A36" s="3" t="inlineStr">
        <is>
          <t>Heron Fields (Pty) Ltd</t>
        </is>
      </c>
      <c r="B36" s="3" t="inlineStr">
        <is>
          <t>Security</t>
        </is>
      </c>
      <c r="C36" s="3" t="n">
        <v>0</v>
      </c>
      <c r="D36" s="3" t="n">
        <v>0</v>
      </c>
      <c r="E36" s="3" t="n">
        <v>7198.71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654.4299999999999</v>
      </c>
    </row>
    <row r="37">
      <c r="A37" s="3" t="inlineStr">
        <is>
          <t>Heron Fields (Pty) Ltd</t>
        </is>
      </c>
      <c r="B37" s="3" t="inlineStr">
        <is>
          <t>Subscriptions - Xero</t>
        </is>
      </c>
      <c r="C37" s="3" t="n">
        <v>600</v>
      </c>
      <c r="D37" s="3" t="n">
        <v>600</v>
      </c>
      <c r="E37" s="3" t="n">
        <v>600</v>
      </c>
      <c r="F37" s="3" t="n">
        <v>600</v>
      </c>
      <c r="G37" s="3" t="n">
        <v>600</v>
      </c>
      <c r="H37" s="3" t="n">
        <v>600</v>
      </c>
      <c r="I37" s="3" t="n">
        <v>600</v>
      </c>
      <c r="J37" s="3" t="n">
        <v>600</v>
      </c>
      <c r="K37" s="3" t="n">
        <v>600</v>
      </c>
      <c r="L37" s="3" t="n">
        <v>600</v>
      </c>
      <c r="M37" s="3" t="n">
        <v>600</v>
      </c>
      <c r="N37" s="3" t="n">
        <v>600</v>
      </c>
    </row>
    <row r="38">
      <c r="A38" s="3" t="inlineStr">
        <is>
          <t>Endulini (Pty) Ltd</t>
        </is>
      </c>
      <c r="B38" s="3" t="inlineStr">
        <is>
          <t>Subscriptions - Xero</t>
        </is>
      </c>
      <c r="C38" s="3" t="n">
        <v>600</v>
      </c>
      <c r="D38" s="3" t="n">
        <v>600</v>
      </c>
      <c r="E38" s="3" t="n">
        <v>600</v>
      </c>
      <c r="F38" s="3" t="n">
        <v>600</v>
      </c>
      <c r="G38" s="3" t="n">
        <v>600</v>
      </c>
      <c r="H38" s="3" t="n">
        <v>600</v>
      </c>
      <c r="I38" s="3" t="n">
        <v>600</v>
      </c>
      <c r="J38" s="3" t="n">
        <v>600</v>
      </c>
      <c r="K38" s="3" t="n">
        <v>600</v>
      </c>
      <c r="L38" s="3" t="n">
        <v>600</v>
      </c>
      <c r="M38" s="3" t="n">
        <v>600</v>
      </c>
      <c r="N38" s="3" t="n">
        <v>600</v>
      </c>
    </row>
    <row r="39">
      <c r="A39" s="3" t="inlineStr">
        <is>
          <t>Cape Projects Construction (Pty) Ltd</t>
        </is>
      </c>
      <c r="B39" s="3" t="inlineStr">
        <is>
          <t>Electricity _AND_ Water</t>
        </is>
      </c>
      <c r="C39" s="3" t="n">
        <v>0</v>
      </c>
      <c r="D39" s="3" t="n">
        <v>0</v>
      </c>
      <c r="E39" s="3" t="n">
        <v>7400.09</v>
      </c>
      <c r="F39" s="3" t="n">
        <v>6675.2</v>
      </c>
      <c r="G39" s="3" t="n">
        <v>7040.33</v>
      </c>
      <c r="H39" s="3" t="n">
        <v>7399.44</v>
      </c>
      <c r="I39" s="3" t="n">
        <v>7214.2</v>
      </c>
      <c r="J39" s="3" t="n">
        <v>6082.97</v>
      </c>
      <c r="K39" s="3" t="n">
        <v>5058.34</v>
      </c>
      <c r="L39" s="3" t="n">
        <v>6676.08</v>
      </c>
      <c r="M39" s="3" t="n">
        <v>7428.07</v>
      </c>
      <c r="N39" s="3" t="n">
        <v>5543.16</v>
      </c>
    </row>
    <row r="40">
      <c r="A40" s="3" t="inlineStr">
        <is>
          <t>Cape Projects Construction (Pty) Ltd</t>
        </is>
      </c>
      <c r="B40" s="3" t="inlineStr">
        <is>
          <t>SDL Contributions</t>
        </is>
      </c>
      <c r="C40" s="3" t="n">
        <v>5237.23</v>
      </c>
      <c r="D40" s="3" t="n">
        <v>5533.95</v>
      </c>
      <c r="E40" s="3" t="n">
        <v>5370.73</v>
      </c>
      <c r="F40" s="3" t="n">
        <v>5014.74</v>
      </c>
      <c r="G40" s="3" t="n">
        <v>4371.35</v>
      </c>
      <c r="H40" s="3" t="n">
        <v>4381.84</v>
      </c>
      <c r="I40" s="3" t="n">
        <v>4480.77</v>
      </c>
      <c r="J40" s="3" t="n">
        <v>4434.64</v>
      </c>
      <c r="K40" s="3" t="n">
        <v>3980.49</v>
      </c>
      <c r="L40" s="3" t="n">
        <v>3918.5</v>
      </c>
      <c r="M40" s="3" t="n">
        <v>3744.13</v>
      </c>
      <c r="N40" s="3" t="n">
        <v>4588.03</v>
      </c>
    </row>
    <row r="41">
      <c r="A41" s="3" t="inlineStr">
        <is>
          <t>Cape Projects Construction (Pty) Ltd</t>
        </is>
      </c>
      <c r="B41" s="3" t="inlineStr">
        <is>
          <t>Secretarial fees - CIPC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4000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363.64</v>
      </c>
    </row>
    <row r="42">
      <c r="A42" s="3" t="inlineStr">
        <is>
          <t>Heron Fields (Pty) Ltd</t>
        </is>
      </c>
      <c r="B42" s="3" t="inlineStr">
        <is>
          <t>CoCT - Water</t>
        </is>
      </c>
      <c r="C42" s="3" t="inlineStr">
        <is>
          <t>-R 147,72</t>
        </is>
      </c>
      <c r="D42" s="3" t="n">
        <v>971.22</v>
      </c>
      <c r="E42" s="3" t="n">
        <v>478.58</v>
      </c>
      <c r="F42" s="3" t="n">
        <v>47156.78</v>
      </c>
      <c r="G42" s="3" t="n">
        <v>1094.18</v>
      </c>
      <c r="H42" s="3" t="n">
        <v>0</v>
      </c>
      <c r="I42" s="3" t="n">
        <v>0</v>
      </c>
      <c r="J42" s="3" t="n">
        <v>0</v>
      </c>
      <c r="K42" s="3" t="n">
        <v>8832.24</v>
      </c>
      <c r="L42" s="3" t="inlineStr">
        <is>
          <t>-R 4 301,84</t>
        </is>
      </c>
      <c r="M42" s="3" t="n">
        <v>39349.03</v>
      </c>
      <c r="N42" s="3" t="n">
        <v>8493.860000000001</v>
      </c>
    </row>
    <row r="43">
      <c r="A43" s="3" t="inlineStr">
        <is>
          <t>Endulini (Pty) Ltd</t>
        </is>
      </c>
      <c r="B43" s="3" t="inlineStr">
        <is>
          <t>Consulting Fees - Admin and Finance</t>
        </is>
      </c>
      <c r="C43" s="3" t="n">
        <v>42094.19</v>
      </c>
      <c r="D43" s="3" t="n">
        <v>40680</v>
      </c>
      <c r="E43" s="3" t="n">
        <v>40380</v>
      </c>
      <c r="F43" s="3" t="n">
        <v>40380</v>
      </c>
      <c r="G43" s="3" t="n">
        <v>42480</v>
      </c>
      <c r="H43" s="3" t="n">
        <v>40230</v>
      </c>
      <c r="I43" s="3" t="n">
        <v>39975</v>
      </c>
      <c r="J43" s="3" t="n">
        <v>39975</v>
      </c>
      <c r="K43" s="3" t="n">
        <v>39975</v>
      </c>
      <c r="L43" s="3" t="n">
        <v>49900</v>
      </c>
      <c r="M43" s="3" t="n">
        <v>61022.57</v>
      </c>
      <c r="N43" s="3" t="n">
        <v>43371.98</v>
      </c>
    </row>
    <row r="44">
      <c r="A44" s="3" t="inlineStr">
        <is>
          <t>Endulini (Pty) Ltd</t>
        </is>
      </c>
      <c r="B44" s="3" t="inlineStr">
        <is>
          <t>Repairs _AND_ Maintenance</t>
        </is>
      </c>
      <c r="C44" s="3" t="n">
        <v>3297.62</v>
      </c>
      <c r="D44" s="3" t="n">
        <v>0</v>
      </c>
      <c r="E44" s="3" t="n">
        <v>0</v>
      </c>
      <c r="F44" s="3" t="n">
        <v>0</v>
      </c>
      <c r="G44" s="3" t="n">
        <v>4539.88</v>
      </c>
      <c r="H44" s="3" t="n">
        <v>0</v>
      </c>
      <c r="I44" s="3" t="n">
        <v>9269.25</v>
      </c>
      <c r="J44" s="3" t="n">
        <v>0</v>
      </c>
      <c r="K44" s="3" t="n">
        <v>15702.19</v>
      </c>
      <c r="L44" s="3" t="n">
        <v>0</v>
      </c>
      <c r="M44" s="3" t="n">
        <v>0</v>
      </c>
      <c r="N44" s="3" t="n">
        <v>2982.63</v>
      </c>
    </row>
    <row r="45">
      <c r="A45" s="3" t="inlineStr">
        <is>
          <t>Cape Projects Construction (Pty) Ltd</t>
        </is>
      </c>
      <c r="B45" s="3" t="inlineStr">
        <is>
          <t>Printing _AND_ Stationery</t>
        </is>
      </c>
      <c r="C45" s="3" t="n">
        <v>6732.42</v>
      </c>
      <c r="D45" s="3" t="n">
        <v>4891.29</v>
      </c>
      <c r="E45" s="3" t="n">
        <v>2706.92</v>
      </c>
      <c r="F45" s="3" t="n">
        <v>5021.88</v>
      </c>
      <c r="G45" s="3" t="n">
        <v>7557.38</v>
      </c>
      <c r="H45" s="3" t="n">
        <v>2648.22</v>
      </c>
      <c r="I45" s="3" t="n">
        <v>5699.68</v>
      </c>
      <c r="J45" s="3" t="n">
        <v>4327.12</v>
      </c>
      <c r="K45" s="3" t="n">
        <v>2190.86</v>
      </c>
      <c r="L45" s="3" t="n">
        <v>1173.91</v>
      </c>
      <c r="M45" s="3" t="n">
        <v>2299.13</v>
      </c>
      <c r="N45" s="3" t="n">
        <v>4113.53</v>
      </c>
    </row>
    <row r="46">
      <c r="A46" s="3" t="inlineStr">
        <is>
          <t>Heron Fields (Pty) Ltd</t>
        </is>
      </c>
      <c r="B46" s="3" t="inlineStr">
        <is>
          <t>Bank Charges</t>
        </is>
      </c>
      <c r="C46" s="3" t="n">
        <v>399.76</v>
      </c>
      <c r="D46" s="3" t="n">
        <v>369.23</v>
      </c>
      <c r="E46" s="3" t="n">
        <v>398.2</v>
      </c>
      <c r="F46" s="3" t="n">
        <v>369.15</v>
      </c>
      <c r="G46" s="3" t="n">
        <v>256.55</v>
      </c>
      <c r="H46" s="3" t="n">
        <v>390.11</v>
      </c>
      <c r="I46" s="3" t="n">
        <v>644.17</v>
      </c>
      <c r="J46" s="3" t="n">
        <v>516.95</v>
      </c>
      <c r="K46" s="3" t="n">
        <v>449.38</v>
      </c>
      <c r="L46" s="3" t="n">
        <v>374.2</v>
      </c>
      <c r="M46" s="3" t="n">
        <v>582.98</v>
      </c>
      <c r="N46" s="3" t="n">
        <v>431.88</v>
      </c>
    </row>
    <row r="47">
      <c r="A47" s="3" t="inlineStr">
        <is>
          <t>Cape Projects Construction (Pty) Ltd</t>
        </is>
      </c>
      <c r="B47" s="3" t="inlineStr">
        <is>
          <t>BIBC Company Contribution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3007.35</v>
      </c>
      <c r="L47" s="3" t="n">
        <v>7034</v>
      </c>
      <c r="M47" s="3" t="n">
        <v>5034</v>
      </c>
      <c r="N47" s="3" t="n">
        <v>1370.49</v>
      </c>
    </row>
    <row r="48">
      <c r="A48" s="3" t="inlineStr">
        <is>
          <t>Cape Projects Construction (Pty) Ltd</t>
        </is>
      </c>
      <c r="B48" s="3" t="inlineStr">
        <is>
          <t>Depreciation - Furniture and Fittings</t>
        </is>
      </c>
      <c r="C48" s="3" t="n">
        <v>547.6799999999999</v>
      </c>
      <c r="D48" s="3" t="n">
        <v>547.6799999999999</v>
      </c>
      <c r="E48" s="3" t="n">
        <v>547.67</v>
      </c>
      <c r="F48" s="3" t="n">
        <v>547.6799999999999</v>
      </c>
      <c r="G48" s="3" t="n">
        <v>547.6799999999999</v>
      </c>
      <c r="H48" s="3" t="n">
        <v>547.67</v>
      </c>
      <c r="I48" s="3" t="n">
        <v>547.6900000000001</v>
      </c>
      <c r="J48" s="3" t="n">
        <v>547.67</v>
      </c>
      <c r="K48" s="3" t="n">
        <v>547.6799999999999</v>
      </c>
      <c r="L48" s="3" t="n">
        <v>547.67</v>
      </c>
      <c r="M48" s="3" t="n">
        <v>547.6799999999999</v>
      </c>
      <c r="N48" s="3" t="n">
        <v>547.6799999999999</v>
      </c>
    </row>
    <row r="49">
      <c r="A49" s="3" t="inlineStr">
        <is>
          <t>Cape Projects Construction (Pty) Ltd</t>
        </is>
      </c>
      <c r="B49" s="3" t="inlineStr">
        <is>
          <t>Depreciation - Computer Equipment</t>
        </is>
      </c>
      <c r="C49" s="3" t="n">
        <v>4562.87</v>
      </c>
      <c r="D49" s="3" t="n">
        <v>4562.87</v>
      </c>
      <c r="E49" s="3" t="n">
        <v>4549.49</v>
      </c>
      <c r="F49" s="3" t="n">
        <v>4562.86</v>
      </c>
      <c r="G49" s="3" t="n">
        <v>3631.27</v>
      </c>
      <c r="H49" s="3" t="n">
        <v>3323.89</v>
      </c>
      <c r="I49" s="3" t="n">
        <v>3323.92</v>
      </c>
      <c r="J49" s="3" t="n">
        <v>3323.88</v>
      </c>
      <c r="K49" s="3" t="n">
        <v>3323.91</v>
      </c>
      <c r="L49" s="3" t="n">
        <v>3323.88</v>
      </c>
      <c r="M49" s="3" t="n">
        <v>3323.91</v>
      </c>
      <c r="N49" s="3" t="n">
        <v>3801.16</v>
      </c>
    </row>
    <row r="50">
      <c r="A50" s="3" t="inlineStr">
        <is>
          <t>Heron Fields (Pty) Ltd</t>
        </is>
      </c>
      <c r="B50" s="3" t="inlineStr">
        <is>
          <t>Levies - Amari</t>
        </is>
      </c>
      <c r="C50" s="3" t="n">
        <v>3292.17</v>
      </c>
      <c r="D50" s="3" t="n">
        <v>5105.18</v>
      </c>
      <c r="E50" s="3" t="n">
        <v>5862.1</v>
      </c>
      <c r="F50" s="3" t="n">
        <v>9670.93</v>
      </c>
      <c r="G50" s="3" t="n">
        <v>4142.54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2552.08</v>
      </c>
    </row>
    <row r="51">
      <c r="A51" s="3" t="inlineStr">
        <is>
          <t>Heron Fields (Pty) Ltd</t>
        </is>
      </c>
      <c r="B51" s="3" t="inlineStr">
        <is>
          <t>Motor Vehicle Expenses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20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1.82</v>
      </c>
    </row>
    <row r="52">
      <c r="A52" s="3" t="inlineStr">
        <is>
          <t>Heron Fields (Pty) Ltd</t>
        </is>
      </c>
      <c r="B52" s="3" t="inlineStr">
        <is>
          <t>Repairs _AND_ Maintenance</t>
        </is>
      </c>
      <c r="C52" s="3" t="n">
        <v>0</v>
      </c>
      <c r="D52" s="3" t="n">
        <v>0</v>
      </c>
      <c r="E52" s="3" t="n">
        <v>0</v>
      </c>
      <c r="F52" s="3" t="n">
        <v>900</v>
      </c>
      <c r="G52" s="3" t="n">
        <v>0</v>
      </c>
      <c r="H52" s="3" t="n">
        <v>0</v>
      </c>
      <c r="I52" s="3" t="n">
        <v>33647.28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3140.66</v>
      </c>
    </row>
    <row r="53">
      <c r="A53" s="3" t="inlineStr">
        <is>
          <t>Heron View (Pty) Ltd</t>
        </is>
      </c>
      <c r="B53" s="3" t="inlineStr">
        <is>
          <t>Advertising - Pure Brand Activation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9967.1</v>
      </c>
      <c r="H53" s="3" t="n">
        <v>0</v>
      </c>
      <c r="I53" s="3" t="n">
        <v>4602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1324.46</v>
      </c>
    </row>
    <row r="54">
      <c r="A54" s="3" t="inlineStr">
        <is>
          <t>Heron View (Pty) Ltd</t>
        </is>
      </c>
      <c r="B54" s="3" t="inlineStr">
        <is>
          <t>Advertising - Real Marketing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18500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1681.82</v>
      </c>
    </row>
    <row r="55">
      <c r="A55" s="3" t="inlineStr">
        <is>
          <t>Cape Projects Construction (Pty) Ltd</t>
        </is>
      </c>
      <c r="B55" s="3" t="inlineStr">
        <is>
          <t>Legal Fees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5202.88</v>
      </c>
      <c r="M55" s="3" t="n">
        <v>0</v>
      </c>
      <c r="N55" s="3" t="n">
        <v>472.99</v>
      </c>
    </row>
    <row r="56">
      <c r="A56" s="3" t="inlineStr">
        <is>
          <t>Heron Fields (Pty) Ltd</t>
        </is>
      </c>
      <c r="B56" s="3" t="inlineStr">
        <is>
          <t>Consulting fees - Trustee</t>
        </is>
      </c>
      <c r="C56" s="3" t="n">
        <v>4200</v>
      </c>
      <c r="D56" s="3" t="n">
        <v>0</v>
      </c>
      <c r="E56" s="3" t="n">
        <v>4200</v>
      </c>
      <c r="F56" s="3" t="n">
        <v>5700</v>
      </c>
      <c r="G56" s="3" t="n">
        <v>0</v>
      </c>
      <c r="H56" s="3" t="n">
        <v>0</v>
      </c>
      <c r="I56" s="3" t="n">
        <v>0</v>
      </c>
      <c r="J56" s="3" t="n">
        <v>4200</v>
      </c>
      <c r="K56" s="3" t="n">
        <v>4000</v>
      </c>
      <c r="L56" s="3" t="n">
        <v>4000</v>
      </c>
      <c r="M56" s="3" t="n">
        <v>0</v>
      </c>
      <c r="N56" s="3" t="n">
        <v>2390.91</v>
      </c>
    </row>
    <row r="57">
      <c r="A57" s="3" t="inlineStr">
        <is>
          <t>Cape Projects Construction (Pty) Ltd</t>
        </is>
      </c>
      <c r="B57" s="3" t="inlineStr">
        <is>
          <t>Rent Paid</t>
        </is>
      </c>
      <c r="C57" s="3" t="n">
        <v>31820</v>
      </c>
      <c r="D57" s="3" t="n">
        <v>31820</v>
      </c>
      <c r="E57" s="3" t="n">
        <v>31820</v>
      </c>
      <c r="F57" s="3" t="n">
        <v>29600</v>
      </c>
      <c r="G57" s="3" t="n">
        <v>29600</v>
      </c>
      <c r="H57" s="3" t="n">
        <v>29600</v>
      </c>
      <c r="I57" s="3" t="n">
        <v>29600</v>
      </c>
      <c r="J57" s="3" t="n">
        <v>29600</v>
      </c>
      <c r="K57" s="3" t="n">
        <v>29600</v>
      </c>
      <c r="L57" s="3" t="n">
        <v>29600</v>
      </c>
      <c r="M57" s="3" t="n">
        <v>29600</v>
      </c>
      <c r="N57" s="3" t="n">
        <v>30205.45</v>
      </c>
    </row>
    <row r="58">
      <c r="A58" s="3" t="inlineStr">
        <is>
          <t>Cape Projects Construction (Pty) Ltd</t>
        </is>
      </c>
      <c r="B58" s="3" t="inlineStr">
        <is>
          <t>Motor Vehicle - Repairs _AND_ Maint.</t>
        </is>
      </c>
      <c r="C58" s="3" t="n">
        <v>0</v>
      </c>
      <c r="D58" s="3" t="n">
        <v>0</v>
      </c>
      <c r="E58" s="3" t="n">
        <v>0</v>
      </c>
      <c r="F58" s="3" t="n">
        <v>31.3</v>
      </c>
      <c r="G58" s="3" t="n">
        <v>3637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333.48</v>
      </c>
    </row>
    <row r="59">
      <c r="A59" s="3" t="inlineStr">
        <is>
          <t>Cape Projects Construction (Pty) Ltd</t>
        </is>
      </c>
      <c r="B59" s="3" t="inlineStr">
        <is>
          <t>Repairs _AND_ Maintenance</t>
        </is>
      </c>
      <c r="C59" s="3" t="n">
        <v>0</v>
      </c>
      <c r="D59" s="3" t="n">
        <v>0</v>
      </c>
      <c r="E59" s="3" t="n">
        <v>599.97</v>
      </c>
      <c r="F59" s="3" t="n">
        <v>63.04</v>
      </c>
      <c r="G59" s="3" t="n">
        <v>0</v>
      </c>
      <c r="H59" s="3" t="n">
        <v>682.61</v>
      </c>
      <c r="I59" s="3" t="n">
        <v>5400</v>
      </c>
      <c r="J59" s="3" t="n">
        <v>155</v>
      </c>
      <c r="K59" s="3" t="n">
        <v>2121.6</v>
      </c>
      <c r="L59" s="3" t="n">
        <v>750</v>
      </c>
      <c r="M59" s="3" t="n">
        <v>6352.8</v>
      </c>
      <c r="N59" s="3" t="n">
        <v>1465.91</v>
      </c>
    </row>
    <row r="60">
      <c r="A60" s="3" t="inlineStr">
        <is>
          <t>Heron View (Pty) Ltd</t>
        </is>
      </c>
      <c r="B60" s="3" t="inlineStr">
        <is>
          <t>Consulting fees - Trustee</t>
        </is>
      </c>
      <c r="C60" s="3" t="n">
        <v>10500</v>
      </c>
      <c r="D60" s="3" t="n">
        <v>14250</v>
      </c>
      <c r="E60" s="3" t="n">
        <v>11250</v>
      </c>
      <c r="F60" s="3" t="n">
        <v>11750</v>
      </c>
      <c r="G60" s="3" t="n">
        <v>7250</v>
      </c>
      <c r="H60" s="3" t="n">
        <v>7250</v>
      </c>
      <c r="I60" s="3" t="n">
        <v>7250</v>
      </c>
      <c r="J60" s="3" t="n">
        <v>7250</v>
      </c>
      <c r="K60" s="3" t="n">
        <v>0</v>
      </c>
      <c r="L60" s="3" t="n">
        <v>0</v>
      </c>
      <c r="M60" s="3" t="n">
        <v>0</v>
      </c>
      <c r="N60" s="3" t="n">
        <v>6977.27</v>
      </c>
    </row>
    <row r="61">
      <c r="A61" s="3" t="inlineStr">
        <is>
          <t>Cape Projects Construction (Pty) Ltd</t>
        </is>
      </c>
      <c r="B61" s="3" t="inlineStr">
        <is>
          <t>Salaries _AND_ Wages</t>
        </is>
      </c>
      <c r="C61" s="3" t="n">
        <v>441360.94</v>
      </c>
      <c r="D61" s="3" t="n">
        <v>463088.48</v>
      </c>
      <c r="E61" s="3" t="n">
        <v>448756.2</v>
      </c>
      <c r="F61" s="3" t="n">
        <v>424105.1</v>
      </c>
      <c r="G61" s="3" t="n">
        <v>367762.35</v>
      </c>
      <c r="H61" s="3" t="n">
        <v>368859.45</v>
      </c>
      <c r="I61" s="3" t="n">
        <v>377867.45</v>
      </c>
      <c r="J61" s="3" t="n">
        <v>373109.3</v>
      </c>
      <c r="K61" s="3" t="n">
        <v>333418.54</v>
      </c>
      <c r="L61" s="3" t="n">
        <v>327361.08</v>
      </c>
      <c r="M61" s="3" t="n">
        <v>311179.66</v>
      </c>
      <c r="N61" s="3" t="n">
        <v>385169.87</v>
      </c>
    </row>
    <row r="62">
      <c r="A62" s="3" t="inlineStr">
        <is>
          <t>Endulini (Pty) Ltd</t>
        </is>
      </c>
      <c r="B62" s="3" t="inlineStr">
        <is>
          <t>Advertising _AND_ Promotions</t>
        </is>
      </c>
      <c r="C62" s="3" t="n">
        <v>0</v>
      </c>
      <c r="D62" s="3" t="n">
        <v>0</v>
      </c>
      <c r="E62" s="3" t="n">
        <v>415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4180</v>
      </c>
      <c r="K62" s="3" t="n">
        <v>0</v>
      </c>
      <c r="L62" s="3" t="n">
        <v>0</v>
      </c>
      <c r="M62" s="3" t="n">
        <v>0</v>
      </c>
      <c r="N62" s="3" t="n">
        <v>417.73</v>
      </c>
    </row>
    <row r="63">
      <c r="A63" s="3" t="inlineStr">
        <is>
          <t>Cape Projects Construction (Pty) Ltd</t>
        </is>
      </c>
      <c r="B63" s="3" t="inlineStr">
        <is>
          <t>Staff Welfare _AND_ Refreshmts</t>
        </is>
      </c>
      <c r="C63" s="3" t="n">
        <v>2314.69</v>
      </c>
      <c r="D63" s="3" t="n">
        <v>1639.02</v>
      </c>
      <c r="E63" s="3" t="n">
        <v>1697.41</v>
      </c>
      <c r="F63" s="3" t="n">
        <v>2655.98</v>
      </c>
      <c r="G63" s="3" t="n">
        <v>3395.64</v>
      </c>
      <c r="H63" s="3" t="n">
        <v>14904.84</v>
      </c>
      <c r="I63" s="3" t="n">
        <v>4892.56</v>
      </c>
      <c r="J63" s="3" t="n">
        <v>2814.73</v>
      </c>
      <c r="K63" s="3" t="n">
        <v>2227.4</v>
      </c>
      <c r="L63" s="3" t="n">
        <v>244.98</v>
      </c>
      <c r="M63" s="3" t="n">
        <v>0</v>
      </c>
      <c r="N63" s="3" t="n">
        <v>3344.3</v>
      </c>
    </row>
    <row r="64">
      <c r="A64" s="3" t="inlineStr">
        <is>
          <t>Cape Projects Construction (Pty) Ltd</t>
        </is>
      </c>
      <c r="B64" s="3" t="inlineStr">
        <is>
          <t>UIF Company Contributions</t>
        </is>
      </c>
      <c r="C64" s="3" t="n">
        <v>3004.75</v>
      </c>
      <c r="D64" s="3" t="n">
        <v>3179.47</v>
      </c>
      <c r="E64" s="3" t="n">
        <v>3093.33</v>
      </c>
      <c r="F64" s="3" t="n">
        <v>3028.4</v>
      </c>
      <c r="G64" s="3" t="n">
        <v>2385.07</v>
      </c>
      <c r="H64" s="3" t="n">
        <v>2396.05</v>
      </c>
      <c r="I64" s="3" t="n">
        <v>2495.21</v>
      </c>
      <c r="J64" s="3" t="n">
        <v>2442.38</v>
      </c>
      <c r="K64" s="3" t="n">
        <v>2059.18</v>
      </c>
      <c r="L64" s="3" t="n">
        <v>2003.44</v>
      </c>
      <c r="M64" s="3" t="n">
        <v>1920.62</v>
      </c>
      <c r="N64" s="3" t="n">
        <v>2546.17</v>
      </c>
    </row>
    <row r="65">
      <c r="A65" s="3" t="inlineStr">
        <is>
          <t>Heron Fields (Pty) Ltd</t>
        </is>
      </c>
      <c r="B65" s="3" t="inlineStr">
        <is>
          <t>Accounting - CIPC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3050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277.27</v>
      </c>
    </row>
    <row r="66">
      <c r="A66" s="3" t="inlineStr">
        <is>
          <t>Heron Fields (Pty) Ltd</t>
        </is>
      </c>
      <c r="B66" s="3" t="inlineStr">
        <is>
          <t>Subscription - NHBRC</t>
        </is>
      </c>
      <c r="C66" s="3" t="n">
        <v>0</v>
      </c>
      <c r="D66" s="3" t="n">
        <v>0</v>
      </c>
      <c r="E66" s="3" t="n">
        <v>0</v>
      </c>
      <c r="F66" s="3" t="n">
        <v>526.3200000000001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47.85</v>
      </c>
    </row>
    <row r="67">
      <c r="A67" s="3" t="inlineStr">
        <is>
          <t>Heron View (Pty) Ltd</t>
        </is>
      </c>
      <c r="B67" s="3" t="inlineStr">
        <is>
          <t>Subscriptions - Xero</t>
        </is>
      </c>
      <c r="C67" s="3" t="n">
        <v>0</v>
      </c>
      <c r="D67" s="3" t="n">
        <v>600</v>
      </c>
      <c r="E67" s="3" t="n">
        <v>600</v>
      </c>
      <c r="F67" s="3" t="n">
        <v>600</v>
      </c>
      <c r="G67" s="3" t="n">
        <v>600</v>
      </c>
      <c r="H67" s="3" t="n">
        <v>600</v>
      </c>
      <c r="I67" s="3" t="n">
        <v>600</v>
      </c>
      <c r="J67" s="3" t="n">
        <v>600</v>
      </c>
      <c r="K67" s="3" t="n">
        <v>600</v>
      </c>
      <c r="L67" s="3" t="n">
        <v>600</v>
      </c>
      <c r="M67" s="3" t="n">
        <v>600</v>
      </c>
      <c r="N67" s="3" t="n">
        <v>545.45</v>
      </c>
    </row>
    <row r="68">
      <c r="A68" s="3" t="inlineStr">
        <is>
          <t>Endulini (Pty) Ltd</t>
        </is>
      </c>
      <c r="B68" s="3" t="inlineStr">
        <is>
          <t>Momentum Admin Fee</t>
        </is>
      </c>
      <c r="C68" s="3" t="n">
        <v>0</v>
      </c>
      <c r="D68" s="3" t="n">
        <v>0</v>
      </c>
      <c r="E68" s="3" t="n">
        <v>0</v>
      </c>
      <c r="F68" s="3" t="n">
        <v>0.77</v>
      </c>
      <c r="G68" s="3" t="n">
        <v>0</v>
      </c>
      <c r="H68" s="3" t="n">
        <v>3.41</v>
      </c>
      <c r="I68" s="3" t="n">
        <v>0</v>
      </c>
      <c r="J68" s="3" t="n">
        <v>0</v>
      </c>
      <c r="K68" s="3" t="n">
        <v>1.07</v>
      </c>
      <c r="L68" s="3" t="n">
        <v>1.14</v>
      </c>
      <c r="M68" s="3" t="n">
        <v>1.03</v>
      </c>
      <c r="N68" s="3" t="n">
        <v>0.67</v>
      </c>
    </row>
    <row r="69">
      <c r="A69" s="3" t="inlineStr">
        <is>
          <t>Endulini (Pty) Ltd</t>
        </is>
      </c>
      <c r="B69" s="3" t="inlineStr">
        <is>
          <t>Repair &amp; Maintenance - Rentals</t>
        </is>
      </c>
      <c r="C69" s="3" t="n">
        <v>0</v>
      </c>
      <c r="D69" s="3" t="n">
        <v>102.75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391.3</v>
      </c>
      <c r="J69" s="3" t="n">
        <v>1521.74</v>
      </c>
      <c r="K69" s="3" t="n">
        <v>0</v>
      </c>
      <c r="L69" s="3" t="n">
        <v>0</v>
      </c>
      <c r="M69" s="3" t="n">
        <v>0</v>
      </c>
      <c r="N69" s="3" t="n">
        <v>183.25</v>
      </c>
    </row>
    <row r="70">
      <c r="A70" s="3" t="inlineStr">
        <is>
          <t>Cape Projects Construction (Pty) Ltd</t>
        </is>
      </c>
      <c r="B70" s="3" t="inlineStr">
        <is>
          <t>Subscriptions &amp; Licenses - Sage payroll</t>
        </is>
      </c>
      <c r="C70" s="3" t="n">
        <v>0</v>
      </c>
      <c r="D70" s="3" t="n">
        <v>747</v>
      </c>
      <c r="E70" s="3" t="n">
        <v>747</v>
      </c>
      <c r="F70" s="3" t="n">
        <v>747</v>
      </c>
      <c r="G70" s="3" t="n">
        <v>747</v>
      </c>
      <c r="H70" s="3" t="n">
        <v>747</v>
      </c>
      <c r="I70" s="3" t="n">
        <v>747</v>
      </c>
      <c r="J70" s="3" t="n">
        <v>747</v>
      </c>
      <c r="K70" s="3" t="n">
        <v>747</v>
      </c>
      <c r="L70" s="3" t="n">
        <v>747</v>
      </c>
      <c r="M70" s="3" t="n">
        <v>747</v>
      </c>
      <c r="N70" s="3" t="n">
        <v>679.09</v>
      </c>
    </row>
    <row r="71">
      <c r="A71" s="3" t="inlineStr">
        <is>
          <t>Cape Projects Construction (Pty) Ltd</t>
        </is>
      </c>
      <c r="B71" s="3" t="inlineStr">
        <is>
          <t>UIF Employee Contribution</t>
        </is>
      </c>
      <c r="C71" s="3" t="n">
        <v>3004.75</v>
      </c>
      <c r="D71" s="3" t="n">
        <v>3179.47</v>
      </c>
      <c r="E71" s="3" t="n">
        <v>3093.33</v>
      </c>
      <c r="F71" s="3" t="n">
        <v>3028.4</v>
      </c>
      <c r="G71" s="3" t="n">
        <v>2385.07</v>
      </c>
      <c r="H71" s="3" t="n">
        <v>2396.05</v>
      </c>
      <c r="I71" s="3" t="n">
        <v>2495.21</v>
      </c>
      <c r="J71" s="3" t="n">
        <v>2442.38</v>
      </c>
      <c r="K71" s="3" t="n">
        <v>2059.18</v>
      </c>
      <c r="L71" s="3" t="n">
        <v>2003.44</v>
      </c>
      <c r="M71" s="3" t="n">
        <v>1920.62</v>
      </c>
      <c r="N71" s="3" t="n">
        <v>2546.17</v>
      </c>
    </row>
    <row r="72">
      <c r="A72" s="3" t="inlineStr">
        <is>
          <t>Heron Fields (Pty) Ltd</t>
        </is>
      </c>
      <c r="B72" s="3" t="inlineStr">
        <is>
          <t>Advertising - Real Marketing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10250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931.8200000000001</v>
      </c>
    </row>
    <row r="73">
      <c r="A73" s="3" t="inlineStr">
        <is>
          <t>Heron Fields (Pty) Ltd</t>
        </is>
      </c>
      <c r="B73" s="3" t="inlineStr">
        <is>
          <t>Entertainment Expenses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39.47</v>
      </c>
      <c r="L73" s="3" t="n">
        <v>0</v>
      </c>
      <c r="M73" s="3" t="n">
        <v>0</v>
      </c>
      <c r="N73" s="3" t="n">
        <v>3.59</v>
      </c>
    </row>
    <row r="74">
      <c r="A74" s="3" t="inlineStr">
        <is>
          <t>Heron Fields (Pty) Ltd</t>
        </is>
      </c>
      <c r="B74" s="3" t="inlineStr">
        <is>
          <t>OPP INVEST</t>
        </is>
      </c>
      <c r="C74" s="3" t="n">
        <v>392914.3</v>
      </c>
      <c r="D74" s="3" t="n">
        <v>392914.3</v>
      </c>
      <c r="E74" s="3" t="n">
        <v>392914.3</v>
      </c>
      <c r="F74" s="3" t="n">
        <v>392914.3</v>
      </c>
      <c r="G74" s="3" t="n">
        <v>392914.3</v>
      </c>
      <c r="H74" s="3" t="n">
        <v>392914.3</v>
      </c>
      <c r="I74" s="3" t="n">
        <v>392914.3</v>
      </c>
      <c r="J74" s="3" t="n">
        <v>392914.3</v>
      </c>
      <c r="K74" s="3" t="n">
        <v>392914.3</v>
      </c>
      <c r="L74" s="3" t="n">
        <v>392914.3</v>
      </c>
      <c r="M74" s="3" t="n">
        <v>392914.3</v>
      </c>
      <c r="N74" s="3" t="n">
        <v>392914.3</v>
      </c>
    </row>
    <row r="75">
      <c r="A75" s="3" t="inlineStr">
        <is>
          <t>Heron View (Pty) Ltd</t>
        </is>
      </c>
      <c r="B75" s="3" t="inlineStr">
        <is>
          <t>Levies - Developer</t>
        </is>
      </c>
      <c r="C75" s="3" t="n">
        <v>0</v>
      </c>
      <c r="D75" s="3" t="n">
        <v>11879.1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1079.92</v>
      </c>
    </row>
    <row r="76">
      <c r="A76" s="3" t="inlineStr">
        <is>
          <t>Heron View (Pty) Ltd</t>
        </is>
      </c>
      <c r="B76" s="3" t="inlineStr">
        <is>
          <t>Levies - Special Levies</t>
        </is>
      </c>
      <c r="C76" s="3" t="n">
        <v>0</v>
      </c>
      <c r="D76" s="3" t="n">
        <v>66011.50999999999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6001.05</v>
      </c>
    </row>
    <row r="77">
      <c r="A77" s="3" t="inlineStr">
        <is>
          <t>Cape Projects Construction (Pty) Ltd</t>
        </is>
      </c>
      <c r="B77" s="3" t="inlineStr">
        <is>
          <t>Cell Phone - Nick Morgan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26779.67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2434.52</v>
      </c>
    </row>
    <row r="78">
      <c r="A78" s="3" t="inlineStr">
        <is>
          <t>Heron Fields (Pty) Ltd</t>
        </is>
      </c>
      <c r="B78" s="3" t="inlineStr">
        <is>
          <t>Advertising _AND_ Promotions</t>
        </is>
      </c>
      <c r="C78" s="3" t="n">
        <v>0</v>
      </c>
      <c r="D78" s="3" t="n">
        <v>931.25</v>
      </c>
      <c r="E78" s="3" t="n">
        <v>7641.04</v>
      </c>
      <c r="F78" s="3" t="n">
        <v>500</v>
      </c>
      <c r="G78" s="3" t="n">
        <v>500</v>
      </c>
      <c r="H78" s="3" t="n">
        <v>5439.56</v>
      </c>
      <c r="I78" s="3" t="n">
        <v>26226.57</v>
      </c>
      <c r="J78" s="3" t="n">
        <v>39589.13</v>
      </c>
      <c r="K78" s="3" t="n">
        <v>52232.03</v>
      </c>
      <c r="L78" s="3" t="n">
        <v>23300</v>
      </c>
      <c r="M78" s="3" t="n">
        <v>22554.76</v>
      </c>
      <c r="N78" s="3" t="n">
        <v>16264.94</v>
      </c>
    </row>
    <row r="79">
      <c r="A79" s="3" t="inlineStr">
        <is>
          <t>Heron Fields (Pty) Ltd</t>
        </is>
      </c>
      <c r="B79" s="3" t="inlineStr">
        <is>
          <t>CoCT - Electricity</t>
        </is>
      </c>
      <c r="C79" s="3" t="n">
        <v>68.37</v>
      </c>
      <c r="D79" s="3" t="inlineStr">
        <is>
          <t>-R 971,22</t>
        </is>
      </c>
      <c r="E79" s="3" t="n">
        <v>498.69</v>
      </c>
      <c r="F79" s="3" t="n">
        <v>12352.28</v>
      </c>
      <c r="G79" s="3" t="n">
        <v>833.84</v>
      </c>
      <c r="H79" s="3" t="n">
        <v>0</v>
      </c>
      <c r="I79" s="3" t="n">
        <v>0</v>
      </c>
      <c r="J79" s="3" t="n">
        <v>0</v>
      </c>
      <c r="K79" s="3" t="n">
        <v>2524.84</v>
      </c>
      <c r="L79" s="3" t="inlineStr">
        <is>
          <t>-R 2 477,51</t>
        </is>
      </c>
      <c r="M79" s="3" t="n">
        <v>11216.13</v>
      </c>
      <c r="N79" s="3" t="n">
        <v>2185.95</v>
      </c>
    </row>
    <row r="80">
      <c r="A80" s="3" t="inlineStr">
        <is>
          <t>Heron Fields (Pty) Ltd</t>
        </is>
      </c>
      <c r="B80" s="3" t="inlineStr">
        <is>
          <t>Consulting Fees - Admin and Finance</t>
        </is>
      </c>
      <c r="C80" s="3" t="n">
        <v>120475.57</v>
      </c>
      <c r="D80" s="3" t="n">
        <v>116233</v>
      </c>
      <c r="E80" s="3" t="n">
        <v>115333</v>
      </c>
      <c r="F80" s="3" t="n">
        <v>115333</v>
      </c>
      <c r="G80" s="3" t="n">
        <v>128833</v>
      </c>
      <c r="H80" s="3" t="n">
        <v>122083</v>
      </c>
      <c r="I80" s="3" t="n">
        <v>121658</v>
      </c>
      <c r="J80" s="3" t="n">
        <v>121658</v>
      </c>
      <c r="K80" s="3" t="n">
        <v>121658</v>
      </c>
      <c r="L80" s="3" t="n">
        <v>98308</v>
      </c>
      <c r="M80" s="3" t="n">
        <v>109218.57</v>
      </c>
      <c r="N80" s="3" t="n">
        <v>117344.65</v>
      </c>
    </row>
    <row r="81">
      <c r="A81" s="3" t="inlineStr">
        <is>
          <t>Cape Projects Construction (Pty) Ltd</t>
        </is>
      </c>
      <c r="B81" s="3" t="inlineStr">
        <is>
          <t>BIBC Employee Contribution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1011.6</v>
      </c>
      <c r="L81" s="3" t="n">
        <v>1775.25</v>
      </c>
      <c r="M81" s="3" t="n">
        <v>1775.25</v>
      </c>
      <c r="N81" s="3" t="n">
        <v>414.74</v>
      </c>
    </row>
    <row r="82">
      <c r="A82" s="3" t="inlineStr">
        <is>
          <t>Cape Projects Construction (Pty) Ltd</t>
        </is>
      </c>
      <c r="B82" s="3" t="inlineStr">
        <is>
          <t>Cell Phone - CT Office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4123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374.82</v>
      </c>
    </row>
    <row r="83">
      <c r="A83" s="3" t="inlineStr">
        <is>
          <t>Cape Projects Construction (Pty) Ltd</t>
        </is>
      </c>
      <c r="B83" s="3" t="inlineStr">
        <is>
          <t>Cleaning</t>
        </is>
      </c>
      <c r="C83" s="3" t="n">
        <v>483.52</v>
      </c>
      <c r="D83" s="3" t="n">
        <v>0</v>
      </c>
      <c r="E83" s="3" t="n">
        <v>216.48</v>
      </c>
      <c r="F83" s="3" t="n">
        <v>0</v>
      </c>
      <c r="G83" s="3" t="n">
        <v>0</v>
      </c>
      <c r="H83" s="3" t="n">
        <v>0</v>
      </c>
      <c r="I83" s="3" t="n">
        <v>78.23999999999999</v>
      </c>
      <c r="J83" s="3" t="n">
        <v>0</v>
      </c>
      <c r="K83" s="3" t="n">
        <v>78.25</v>
      </c>
      <c r="L83" s="3" t="n">
        <v>0</v>
      </c>
      <c r="M83" s="3" t="n">
        <v>355.4</v>
      </c>
      <c r="N83" s="3" t="n">
        <v>110.17</v>
      </c>
    </row>
    <row r="84">
      <c r="A84" s="3" t="inlineStr">
        <is>
          <t>Cape Projects Construction (Pty) Ltd</t>
        </is>
      </c>
      <c r="B84" s="3" t="inlineStr">
        <is>
          <t>Computer Exp - IT, Internet/Hosting Fee</t>
        </is>
      </c>
      <c r="C84" s="3" t="n">
        <v>3975</v>
      </c>
      <c r="D84" s="3" t="n">
        <v>3230</v>
      </c>
      <c r="E84" s="3" t="n">
        <v>3230</v>
      </c>
      <c r="F84" s="3" t="n">
        <v>3230</v>
      </c>
      <c r="G84" s="3" t="n">
        <v>6080</v>
      </c>
      <c r="H84" s="3" t="n">
        <v>5130</v>
      </c>
      <c r="I84" s="3" t="n">
        <v>3130</v>
      </c>
      <c r="J84" s="3" t="n">
        <v>4230</v>
      </c>
      <c r="K84" s="3" t="n">
        <v>3130</v>
      </c>
      <c r="L84" s="3" t="n">
        <v>2532</v>
      </c>
      <c r="M84" s="3" t="n">
        <v>5177</v>
      </c>
      <c r="N84" s="3" t="n">
        <v>3915.82</v>
      </c>
    </row>
    <row r="85">
      <c r="A85" s="3" t="inlineStr">
        <is>
          <t>Cape Projects Construction (Pty) Ltd</t>
        </is>
      </c>
      <c r="B85" s="3" t="inlineStr">
        <is>
          <t>PAYE Contributions</t>
        </is>
      </c>
      <c r="C85" s="3" t="n">
        <v>209433.39</v>
      </c>
      <c r="D85" s="3" t="n">
        <v>101779.19</v>
      </c>
      <c r="E85" s="3" t="n">
        <v>98374.47</v>
      </c>
      <c r="F85" s="3" t="n">
        <v>89188.14999999999</v>
      </c>
      <c r="G85" s="3" t="n">
        <v>81838.63</v>
      </c>
      <c r="H85" s="3" t="n">
        <v>81778.72</v>
      </c>
      <c r="I85" s="3" t="n">
        <v>82564.37</v>
      </c>
      <c r="J85" s="3" t="n">
        <v>82763.78</v>
      </c>
      <c r="K85" s="3" t="n">
        <v>77215.96000000001</v>
      </c>
      <c r="L85" s="3" t="n">
        <v>76990.11</v>
      </c>
      <c r="M85" s="3" t="n">
        <v>75818.38</v>
      </c>
      <c r="N85" s="3" t="n">
        <v>96158.64999999999</v>
      </c>
    </row>
    <row r="86">
      <c r="A86" s="3" t="inlineStr">
        <is>
          <t>Cape Projects Construction (Pty) Ltd</t>
        </is>
      </c>
      <c r="B86" s="3" t="inlineStr">
        <is>
          <t>Small Assets</t>
        </is>
      </c>
      <c r="C86" s="3" t="n">
        <v>2431.25</v>
      </c>
      <c r="D86" s="3" t="n">
        <v>0</v>
      </c>
      <c r="E86" s="3" t="n">
        <v>0</v>
      </c>
      <c r="F86" s="3" t="n">
        <v>7942.28</v>
      </c>
      <c r="G86" s="3" t="n">
        <v>3800</v>
      </c>
      <c r="H86" s="3" t="n">
        <v>9888.959999999999</v>
      </c>
      <c r="I86" s="3" t="n">
        <v>2165.59</v>
      </c>
      <c r="J86" s="3" t="n">
        <v>4172.17</v>
      </c>
      <c r="K86" s="3" t="n">
        <v>607.83</v>
      </c>
      <c r="L86" s="3" t="n">
        <v>1600</v>
      </c>
      <c r="M86" s="3" t="n">
        <v>833.91</v>
      </c>
      <c r="N86" s="3" t="n">
        <v>3040.18</v>
      </c>
    </row>
    <row r="87">
      <c r="A87" s="3" t="inlineStr">
        <is>
          <t>Heron Fields (Pty) Ltd</t>
        </is>
      </c>
      <c r="B87" s="3" t="inlineStr">
        <is>
          <t>Advertising - Property24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inlineStr">
        <is>
          <t>-R 12 480,00</t>
        </is>
      </c>
      <c r="L87" s="3" t="n">
        <v>24960</v>
      </c>
      <c r="M87" s="3" t="n">
        <v>0</v>
      </c>
      <c r="N87" s="3" t="n">
        <v>1134.55</v>
      </c>
    </row>
    <row r="88">
      <c r="A88" s="3" t="inlineStr">
        <is>
          <t>Cape Projects Construction (Pty) Ltd</t>
        </is>
      </c>
      <c r="B88" s="3" t="inlineStr">
        <is>
          <t>Staff Training</t>
        </is>
      </c>
      <c r="C88" s="3" t="n">
        <v>0</v>
      </c>
      <c r="D88" s="3" t="n">
        <v>0</v>
      </c>
      <c r="E88" s="3" t="n">
        <v>1190.1</v>
      </c>
      <c r="F88" s="3" t="n">
        <v>2262.6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313.88</v>
      </c>
    </row>
    <row r="89">
      <c r="A89" s="3" t="inlineStr">
        <is>
          <t>Cape Projects Construction (Pty) Ltd</t>
        </is>
      </c>
      <c r="B89" s="3" t="inlineStr">
        <is>
          <t>Subscription &amp; Licenses - ERS Bio</t>
        </is>
      </c>
      <c r="C89" s="3" t="n">
        <v>718.9299999999999</v>
      </c>
      <c r="D89" s="3" t="n">
        <v>718.9299999999999</v>
      </c>
      <c r="E89" s="3" t="n">
        <v>1437.86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261.43</v>
      </c>
    </row>
    <row r="90">
      <c r="A90" s="3" t="inlineStr">
        <is>
          <t>Heron Fields (Pty) Ltd</t>
        </is>
      </c>
      <c r="B90" s="3" t="inlineStr">
        <is>
          <t>Accounting Fees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1620</v>
      </c>
      <c r="I90" s="3" t="n">
        <v>13404.96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1365.91</v>
      </c>
    </row>
    <row r="91">
      <c r="A91" s="3" t="inlineStr">
        <is>
          <t>Heron Fields (Pty) Ltd</t>
        </is>
      </c>
      <c r="B91" s="3" t="inlineStr">
        <is>
          <t>Security - ADT</t>
        </is>
      </c>
      <c r="C91" s="3" t="n">
        <v>0</v>
      </c>
      <c r="D91" s="3" t="n">
        <v>1119.77</v>
      </c>
      <c r="E91" s="3" t="n">
        <v>366.14</v>
      </c>
      <c r="F91" s="3" t="n">
        <v>366.14</v>
      </c>
      <c r="G91" s="3" t="n">
        <v>366.14</v>
      </c>
      <c r="H91" s="3" t="n">
        <v>366.14</v>
      </c>
      <c r="I91" s="3" t="n">
        <v>366.14</v>
      </c>
      <c r="J91" s="3" t="n">
        <v>366.14</v>
      </c>
      <c r="K91" s="3" t="n">
        <v>328.38</v>
      </c>
      <c r="L91" s="3" t="n">
        <v>328.38</v>
      </c>
      <c r="M91" s="3" t="n">
        <v>328.38</v>
      </c>
      <c r="N91" s="3" t="n">
        <v>391.07</v>
      </c>
    </row>
    <row r="92">
      <c r="A92" s="3" t="inlineStr">
        <is>
          <t>Heron Fields (Pty) Ltd</t>
        </is>
      </c>
      <c r="B92" s="3" t="inlineStr">
        <is>
          <t>CPSD</t>
        </is>
      </c>
      <c r="C92" s="3" t="n">
        <v>314037.88</v>
      </c>
      <c r="D92" s="3" t="n">
        <v>314037.88</v>
      </c>
      <c r="E92" s="3" t="n">
        <v>314037.88</v>
      </c>
      <c r="F92" s="3" t="n">
        <v>314037.88</v>
      </c>
      <c r="G92" s="3" t="n">
        <v>314037.88</v>
      </c>
      <c r="H92" s="3" t="n">
        <v>314037.88</v>
      </c>
      <c r="I92" s="3" t="n">
        <v>314037.88</v>
      </c>
      <c r="J92" s="3" t="n">
        <v>314037.88</v>
      </c>
      <c r="K92" s="3" t="n">
        <v>314037.88</v>
      </c>
      <c r="L92" s="3" t="n">
        <v>314037.88</v>
      </c>
      <c r="M92" s="3" t="n">
        <v>314037.88</v>
      </c>
      <c r="N92" s="3" t="n">
        <v>314037.88</v>
      </c>
    </row>
    <row r="93">
      <c r="A93" s="3" t="inlineStr">
        <is>
          <t>Heron View (Pty) Ltd</t>
        </is>
      </c>
      <c r="B93" s="3" t="inlineStr">
        <is>
          <t>Levies</t>
        </is>
      </c>
      <c r="C93" s="3" t="n">
        <v>1773.44</v>
      </c>
      <c r="D93" s="3" t="inlineStr">
        <is>
          <t>-R 92 227,34</t>
        </is>
      </c>
      <c r="E93" s="3" t="n">
        <v>0</v>
      </c>
      <c r="F93" s="3" t="n">
        <v>0</v>
      </c>
      <c r="G93" s="3" t="n">
        <v>95314.44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441.87</v>
      </c>
    </row>
    <row r="94">
      <c r="A94" s="3" t="inlineStr">
        <is>
          <t>Heron View (Pty) Ltd</t>
        </is>
      </c>
      <c r="B94" s="3" t="inlineStr">
        <is>
          <t>Management fees - OMH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50000</v>
      </c>
      <c r="I94" s="3" t="n">
        <v>0</v>
      </c>
      <c r="J94" s="3" t="n">
        <v>350000</v>
      </c>
      <c r="K94" s="3" t="n">
        <v>0</v>
      </c>
      <c r="L94" s="3" t="n">
        <v>0</v>
      </c>
      <c r="M94" s="3" t="n">
        <v>0</v>
      </c>
      <c r="N94" s="3" t="n">
        <v>36363.64</v>
      </c>
    </row>
    <row r="95">
      <c r="A95" s="3" t="inlineStr">
        <is>
          <t>Endulini (Pty) Ltd</t>
        </is>
      </c>
      <c r="B95" s="3" t="inlineStr">
        <is>
          <t>Advertising _AND_ Promotions - Media Agenda</t>
        </is>
      </c>
      <c r="C95" s="3" t="n">
        <v>0</v>
      </c>
      <c r="D95" s="3" t="n">
        <v>575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575</v>
      </c>
      <c r="J95" s="3" t="n">
        <v>0</v>
      </c>
      <c r="K95" s="3" t="n">
        <v>2300</v>
      </c>
      <c r="L95" s="3" t="n">
        <v>0</v>
      </c>
      <c r="M95" s="3" t="n">
        <v>1437.5</v>
      </c>
      <c r="N95" s="3" t="n">
        <v>444.32</v>
      </c>
    </row>
    <row r="96">
      <c r="A96" s="3" t="inlineStr">
        <is>
          <t>Endulini (Pty) Ltd</t>
        </is>
      </c>
      <c r="B96" s="3" t="inlineStr">
        <is>
          <t>Advertiving - Real Marketing</t>
        </is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10250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931.8200000000001</v>
      </c>
    </row>
    <row r="97">
      <c r="A97" s="3" t="inlineStr">
        <is>
          <t>Cape Projects Construction (Pty) Ltd</t>
        </is>
      </c>
      <c r="B97" s="3" t="inlineStr">
        <is>
          <t>Motor Vehicle - Petrol _AND_ Oil</t>
        </is>
      </c>
      <c r="C97" s="3" t="n">
        <v>1463.16</v>
      </c>
      <c r="D97" s="3" t="n">
        <v>3281.84</v>
      </c>
      <c r="E97" s="3" t="n">
        <v>3911.97</v>
      </c>
      <c r="F97" s="3" t="n">
        <v>1789.91</v>
      </c>
      <c r="G97" s="3" t="n">
        <v>5244.4</v>
      </c>
      <c r="H97" s="3" t="n">
        <v>0</v>
      </c>
      <c r="I97" s="3" t="n">
        <v>4022.51</v>
      </c>
      <c r="J97" s="3" t="n">
        <v>3175.51</v>
      </c>
      <c r="K97" s="3" t="n">
        <v>4892.22</v>
      </c>
      <c r="L97" s="3" t="n">
        <v>7124.28</v>
      </c>
      <c r="M97" s="3" t="n">
        <v>5589.51</v>
      </c>
      <c r="N97" s="3" t="n">
        <v>3681.39</v>
      </c>
    </row>
    <row r="98">
      <c r="A98" s="3" t="inlineStr">
        <is>
          <t>Cape Projects Construction (Pty) Ltd</t>
        </is>
      </c>
      <c r="B98" s="3" t="inlineStr">
        <is>
          <t>Security</t>
        </is>
      </c>
      <c r="C98" s="3" t="n">
        <v>191.17</v>
      </c>
      <c r="D98" s="3" t="n">
        <v>191.17</v>
      </c>
      <c r="E98" s="3" t="n">
        <v>191.17</v>
      </c>
      <c r="F98" s="3" t="n">
        <v>191.17</v>
      </c>
      <c r="G98" s="3" t="n">
        <v>177.33</v>
      </c>
      <c r="H98" s="3" t="n">
        <v>177.33</v>
      </c>
      <c r="I98" s="3" t="n">
        <v>177.33</v>
      </c>
      <c r="J98" s="3" t="n">
        <v>177.33</v>
      </c>
      <c r="K98" s="3" t="n">
        <v>177.33</v>
      </c>
      <c r="L98" s="3" t="n">
        <v>177.33</v>
      </c>
      <c r="M98" s="3" t="n">
        <v>177.33</v>
      </c>
      <c r="N98" s="3" t="n">
        <v>182.36</v>
      </c>
    </row>
    <row r="99">
      <c r="A99" s="3" t="inlineStr">
        <is>
          <t>Cape Projects Construction (Pty) Ltd</t>
        </is>
      </c>
      <c r="B99" s="3" t="inlineStr">
        <is>
          <t>Subscriptions &amp; Licenses - Xero</t>
        </is>
      </c>
      <c r="C99" s="3" t="n">
        <v>600</v>
      </c>
      <c r="D99" s="3" t="n">
        <v>600</v>
      </c>
      <c r="E99" s="3" t="n">
        <v>600</v>
      </c>
      <c r="F99" s="3" t="n">
        <v>600</v>
      </c>
      <c r="G99" s="3" t="n">
        <v>600</v>
      </c>
      <c r="H99" s="3" t="n">
        <v>600</v>
      </c>
      <c r="I99" s="3" t="n">
        <v>600</v>
      </c>
      <c r="J99" s="3" t="n">
        <v>600</v>
      </c>
      <c r="K99" s="3" t="n">
        <v>600</v>
      </c>
      <c r="L99" s="3" t="n">
        <v>600</v>
      </c>
      <c r="M99" s="3" t="n">
        <v>600</v>
      </c>
      <c r="N99" s="3" t="n">
        <v>600</v>
      </c>
    </row>
    <row r="100">
      <c r="A100" s="3" t="inlineStr">
        <is>
          <t>Heron Fields (Pty) Ltd</t>
        </is>
      </c>
      <c r="B100" s="3" t="inlineStr">
        <is>
          <t>Insurance</t>
        </is>
      </c>
      <c r="C100" s="3" t="n">
        <v>15043.78</v>
      </c>
      <c r="D100" s="3" t="n">
        <v>17021.08</v>
      </c>
      <c r="E100" s="3" t="n">
        <v>12118.18</v>
      </c>
      <c r="F100" s="3" t="n">
        <v>12147.19</v>
      </c>
      <c r="G100" s="3" t="n">
        <v>13224.43</v>
      </c>
      <c r="H100" s="3" t="n">
        <v>10516.5</v>
      </c>
      <c r="I100" s="3" t="n">
        <v>10459.97</v>
      </c>
      <c r="J100" s="3" t="n">
        <v>10741.66</v>
      </c>
      <c r="K100" s="3" t="n">
        <v>8823.9</v>
      </c>
      <c r="L100" s="3" t="n">
        <v>7350.33</v>
      </c>
      <c r="M100" s="3" t="n">
        <v>0</v>
      </c>
      <c r="N100" s="3" t="n">
        <v>10677</v>
      </c>
    </row>
    <row r="101">
      <c r="A101" s="3" t="inlineStr">
        <is>
          <t>Heron View (Pty) Ltd</t>
        </is>
      </c>
      <c r="B101" s="3" t="inlineStr">
        <is>
          <t>Advertising - Thinkink</t>
        </is>
      </c>
      <c r="C101" s="3" t="n">
        <v>0</v>
      </c>
      <c r="D101" s="3" t="n">
        <v>0</v>
      </c>
      <c r="E101" s="3" t="n">
        <v>0</v>
      </c>
      <c r="F101" s="3" t="n">
        <v>17110</v>
      </c>
      <c r="G101" s="3" t="n">
        <v>745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1623.18</v>
      </c>
    </row>
  </sheetData>
  <autoFilter ref="A4:N10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1072BA"/>
    <outlinePr summaryBelow="1" summaryRight="1"/>
    <pageSetUpPr/>
  </sheetPr>
  <dimension ref="A1:G667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6" max="6"/>
    <col width="30" customWidth="1" min="7" max="7"/>
    <col width="30" customWidth="1" min="8" max="8"/>
  </cols>
  <sheetData>
    <row r="1">
      <c r="A1" t="inlineStr">
        <is>
          <t>Xero</t>
        </is>
      </c>
    </row>
    <row r="2">
      <c r="F2" s="1">
        <f>SUBTOTAL(9,F5:F6673)</f>
        <v/>
      </c>
      <c r="G2" s="1">
        <f>SUBTOTAL(9,G5:G6673)</f>
        <v/>
      </c>
    </row>
    <row r="4">
      <c r="A4" s="2" t="inlineStr">
        <is>
          <t>Reporttitle</t>
        </is>
      </c>
      <c r="B4" s="2" t="inlineStr">
        <is>
          <t>Reportdate</t>
        </is>
      </c>
      <c r="C4" s="2" t="inlineStr">
        <is>
          <t>Category</t>
        </is>
      </c>
      <c r="D4" s="2" t="inlineStr">
        <is>
          <t>Accountcode</t>
        </is>
      </c>
      <c r="E4" s="2" t="inlineStr">
        <is>
          <t>Accountname</t>
        </is>
      </c>
      <c r="F4" s="2" t="inlineStr">
        <is>
          <t>Current</t>
        </is>
      </c>
      <c r="G4" s="2" t="inlineStr">
        <is>
          <t>Ytd</t>
        </is>
      </c>
    </row>
    <row r="5">
      <c r="A5" s="3" t="inlineStr">
        <is>
          <t>Heron Fields (Pty) Ltd</t>
        </is>
      </c>
      <c r="B5" s="4" t="n">
        <v>44286</v>
      </c>
      <c r="C5" s="3" t="inlineStr">
        <is>
          <t>Expenses</t>
        </is>
      </c>
      <c r="D5" s="3" t="inlineStr">
        <is>
          <t>3050/000</t>
        </is>
      </c>
      <c r="E5" s="3" t="inlineStr">
        <is>
          <t>Advertising _AND_ Promotions</t>
        </is>
      </c>
      <c r="F5" s="3" t="n">
        <v>5750</v>
      </c>
      <c r="G5" s="3" t="n">
        <v>5750</v>
      </c>
    </row>
    <row r="6">
      <c r="A6" s="3" t="inlineStr">
        <is>
          <t>Heron Fields (Pty) Ltd</t>
        </is>
      </c>
      <c r="B6" s="4" t="n">
        <v>44286</v>
      </c>
      <c r="C6" s="3" t="inlineStr">
        <is>
          <t>Expenses</t>
        </is>
      </c>
      <c r="D6" s="3" t="inlineStr">
        <is>
          <t>4410/000</t>
        </is>
      </c>
      <c r="E6" s="3" t="inlineStr">
        <is>
          <t>Secretarial fees</t>
        </is>
      </c>
      <c r="F6" s="3" t="n">
        <v>100</v>
      </c>
      <c r="G6" s="3" t="n">
        <v>100</v>
      </c>
    </row>
    <row r="7">
      <c r="A7" s="3" t="inlineStr">
        <is>
          <t>Heron Fields (Pty) Ltd</t>
        </is>
      </c>
      <c r="B7" s="4" t="n">
        <v>44286</v>
      </c>
      <c r="C7" s="3" t="inlineStr">
        <is>
          <t>Equity</t>
        </is>
      </c>
      <c r="D7" s="3" t="inlineStr">
        <is>
          <t>5100-000</t>
        </is>
      </c>
      <c r="E7" s="3" t="inlineStr">
        <is>
          <t>Share Capital</t>
        </is>
      </c>
      <c r="F7" s="3" t="n">
        <v>-100</v>
      </c>
      <c r="G7" s="3" t="n">
        <v>-100</v>
      </c>
    </row>
    <row r="8">
      <c r="A8" s="3" t="inlineStr">
        <is>
          <t>Heron Fields (Pty) Ltd</t>
        </is>
      </c>
      <c r="B8" s="4" t="n">
        <v>44286</v>
      </c>
      <c r="C8" s="3" t="inlineStr">
        <is>
          <t>Liabilities</t>
        </is>
      </c>
      <c r="D8" s="3" t="inlineStr">
        <is>
          <t>5500/010</t>
        </is>
      </c>
      <c r="E8" s="3" t="inlineStr">
        <is>
          <t>Loan - Quinate</t>
        </is>
      </c>
      <c r="F8" s="3" t="n">
        <v>-300000</v>
      </c>
      <c r="G8" s="3" t="n">
        <v>-300000</v>
      </c>
    </row>
    <row r="9">
      <c r="A9" s="3" t="inlineStr">
        <is>
          <t>Heron Fields (Pty) Ltd</t>
        </is>
      </c>
      <c r="B9" s="4" t="n">
        <v>44286</v>
      </c>
      <c r="C9" s="3" t="inlineStr">
        <is>
          <t>Liabilities</t>
        </is>
      </c>
      <c r="D9" s="3" t="inlineStr">
        <is>
          <t>5500/020</t>
        </is>
      </c>
      <c r="E9" s="3" t="inlineStr">
        <is>
          <t>Loan - Cape Projects Construction</t>
        </is>
      </c>
      <c r="F9" s="3" t="n">
        <v>30000</v>
      </c>
      <c r="G9" s="3" t="n">
        <v>30000</v>
      </c>
    </row>
    <row r="10">
      <c r="A10" s="3" t="inlineStr">
        <is>
          <t>Heron Fields (Pty) Ltd</t>
        </is>
      </c>
      <c r="B10" s="4" t="n">
        <v>44286</v>
      </c>
      <c r="C10" s="3" t="inlineStr">
        <is>
          <t>Assets</t>
        </is>
      </c>
      <c r="D10" s="3" t="inlineStr">
        <is>
          <t>7620/240</t>
        </is>
      </c>
      <c r="E10" s="3" t="inlineStr">
        <is>
          <t>HF CIP Civil Engineering</t>
        </is>
      </c>
      <c r="F10" s="3" t="n">
        <v>54000</v>
      </c>
      <c r="G10" s="3" t="n">
        <v>54000</v>
      </c>
    </row>
    <row r="11">
      <c r="A11" s="3" t="inlineStr">
        <is>
          <t>Heron Fields (Pty) Ltd</t>
        </is>
      </c>
      <c r="B11" s="4" t="n">
        <v>44286</v>
      </c>
      <c r="C11" s="3" t="inlineStr">
        <is>
          <t>Assets</t>
        </is>
      </c>
      <c r="D11" s="3" t="inlineStr">
        <is>
          <t>7620/280</t>
        </is>
      </c>
      <c r="E11" s="3" t="inlineStr">
        <is>
          <t>HF CIP Site Establishment</t>
        </is>
      </c>
      <c r="F11" s="3" t="n">
        <v>23034.26</v>
      </c>
      <c r="G11" s="3" t="n">
        <v>23034.26</v>
      </c>
    </row>
    <row r="12">
      <c r="A12" s="3" t="inlineStr">
        <is>
          <t>Heron Fields (Pty) Ltd</t>
        </is>
      </c>
      <c r="B12" s="4" t="n">
        <v>44286</v>
      </c>
      <c r="C12" s="3" t="inlineStr">
        <is>
          <t>Assets</t>
        </is>
      </c>
      <c r="D12" s="3" t="inlineStr">
        <is>
          <t>8300/001</t>
        </is>
      </c>
      <c r="E12" s="3" t="inlineStr">
        <is>
          <t>Deposit Paid - Grey Heron Langeberg</t>
        </is>
      </c>
      <c r="F12" s="3" t="n">
        <v>200000</v>
      </c>
      <c r="G12" s="3" t="n">
        <v>200000</v>
      </c>
    </row>
    <row r="13">
      <c r="A13" s="3" t="inlineStr">
        <is>
          <t>Heron Fields (Pty) Ltd</t>
        </is>
      </c>
      <c r="B13" s="4" t="n">
        <v>44286</v>
      </c>
      <c r="C13" s="3" t="inlineStr">
        <is>
          <t>Assets</t>
        </is>
      </c>
      <c r="D13" s="3" t="inlineStr">
        <is>
          <t>8400/000</t>
        </is>
      </c>
      <c r="E13" s="3" t="inlineStr">
        <is>
          <t>RMB - 62882379087</t>
        </is>
      </c>
      <c r="F13" s="3" t="n">
        <v>7900</v>
      </c>
      <c r="G13" s="3" t="n">
        <v>7900</v>
      </c>
    </row>
    <row r="14">
      <c r="A14" s="3" t="inlineStr">
        <is>
          <t>Heron Fields (Pty) Ltd</t>
        </is>
      </c>
      <c r="B14" s="4" t="n">
        <v>44286</v>
      </c>
      <c r="C14" s="3" t="inlineStr">
        <is>
          <t>Assets</t>
        </is>
      </c>
      <c r="D14" s="3" t="inlineStr">
        <is>
          <t>8410/000</t>
        </is>
      </c>
      <c r="E14" s="3" t="inlineStr">
        <is>
          <t>STBB Trust Account</t>
        </is>
      </c>
      <c r="F14" s="3" t="n">
        <v>11150100</v>
      </c>
      <c r="G14" s="3" t="n">
        <v>25505236.61</v>
      </c>
    </row>
    <row r="15">
      <c r="A15" s="3" t="inlineStr">
        <is>
          <t>Heron Fields (Pty) Ltd</t>
        </is>
      </c>
      <c r="B15" s="4" t="n">
        <v>44286</v>
      </c>
      <c r="C15" s="3" t="inlineStr">
        <is>
          <t>Liabilities</t>
        </is>
      </c>
      <c r="D15" s="3" t="inlineStr">
        <is>
          <t>9000/000</t>
        </is>
      </c>
      <c r="E15" s="3" t="inlineStr">
        <is>
          <t>Supplier Control Account</t>
        </is>
      </c>
      <c r="F15" s="3" t="n">
        <v>-11182339.4</v>
      </c>
      <c r="G15" s="3" t="n">
        <v>-25537476.01</v>
      </c>
    </row>
    <row r="16">
      <c r="A16" s="3" t="inlineStr">
        <is>
          <t>Heron Fields (Pty) Ltd</t>
        </is>
      </c>
      <c r="B16" s="4" t="n">
        <v>44286</v>
      </c>
      <c r="C16" s="3" t="inlineStr">
        <is>
          <t>Liabilities</t>
        </is>
      </c>
      <c r="D16" s="3" t="inlineStr">
        <is>
          <t>9500/000</t>
        </is>
      </c>
      <c r="E16" s="3" t="inlineStr">
        <is>
          <t>Vat / Tax Control Account</t>
        </is>
      </c>
      <c r="F16" s="3" t="n">
        <v>11555.14</v>
      </c>
      <c r="G16" s="3" t="n">
        <v>11555.14</v>
      </c>
    </row>
    <row r="17">
      <c r="A17" s="3" t="inlineStr">
        <is>
          <t>Heron Fields (Pty) Ltd</t>
        </is>
      </c>
      <c r="B17" s="4" t="n">
        <v>44316</v>
      </c>
      <c r="C17" s="3" t="inlineStr">
        <is>
          <t>Expenses</t>
        </is>
      </c>
      <c r="D17" s="3" t="inlineStr">
        <is>
          <t>3050/000</t>
        </is>
      </c>
      <c r="E17" s="3" t="inlineStr">
        <is>
          <t>Advertising _AND_ Promotions</t>
        </is>
      </c>
      <c r="F17" s="3" t="n">
        <v>0</v>
      </c>
      <c r="G17" s="3" t="n">
        <v>5750</v>
      </c>
    </row>
    <row r="18">
      <c r="A18" s="3" t="inlineStr">
        <is>
          <t>Heron Fields (Pty) Ltd</t>
        </is>
      </c>
      <c r="B18" s="4" t="n">
        <v>44316</v>
      </c>
      <c r="C18" s="3" t="inlineStr">
        <is>
          <t>Expenses</t>
        </is>
      </c>
      <c r="D18" s="3" t="inlineStr">
        <is>
          <t>3200/000</t>
        </is>
      </c>
      <c r="E18" s="3" t="inlineStr">
        <is>
          <t>Bank Charges</t>
        </is>
      </c>
      <c r="F18" s="3" t="n">
        <v>140.21</v>
      </c>
      <c r="G18" s="3" t="n">
        <v>140.21</v>
      </c>
    </row>
    <row r="19">
      <c r="A19" s="3" t="inlineStr">
        <is>
          <t>Heron Fields (Pty) Ltd</t>
        </is>
      </c>
      <c r="B19" s="4" t="n">
        <v>44316</v>
      </c>
      <c r="C19" s="3" t="inlineStr">
        <is>
          <t>Expenses</t>
        </is>
      </c>
      <c r="D19" s="3" t="inlineStr">
        <is>
          <t>3700/000</t>
        </is>
      </c>
      <c r="E19" s="3" t="inlineStr">
        <is>
          <t>Entertainment Expenses</t>
        </is>
      </c>
      <c r="F19" s="3" t="n">
        <v>250</v>
      </c>
      <c r="G19" s="3" t="n">
        <v>250</v>
      </c>
    </row>
    <row r="20">
      <c r="A20" s="3" t="inlineStr">
        <is>
          <t>Heron Fields (Pty) Ltd</t>
        </is>
      </c>
      <c r="B20" s="4" t="n">
        <v>44316</v>
      </c>
      <c r="C20" s="3" t="inlineStr">
        <is>
          <t>Expenses</t>
        </is>
      </c>
      <c r="D20" s="3" t="inlineStr">
        <is>
          <t>4410/000</t>
        </is>
      </c>
      <c r="E20" s="3" t="inlineStr">
        <is>
          <t>Secretarial fees</t>
        </is>
      </c>
      <c r="F20" s="3" t="n">
        <v>0</v>
      </c>
      <c r="G20" s="3" t="n">
        <v>100</v>
      </c>
    </row>
    <row r="21">
      <c r="A21" s="3" t="inlineStr">
        <is>
          <t>Heron Fields (Pty) Ltd</t>
        </is>
      </c>
      <c r="B21" s="4" t="n">
        <v>44316</v>
      </c>
      <c r="C21" s="3" t="inlineStr">
        <is>
          <t>Equity</t>
        </is>
      </c>
      <c r="D21" s="3" t="inlineStr">
        <is>
          <t>5100-000</t>
        </is>
      </c>
      <c r="E21" s="3" t="inlineStr">
        <is>
          <t>Share Capital</t>
        </is>
      </c>
      <c r="F21" s="3" t="n">
        <v>0</v>
      </c>
      <c r="G21" s="3" t="n">
        <v>-100</v>
      </c>
    </row>
    <row r="22">
      <c r="A22" s="3" t="inlineStr">
        <is>
          <t>Heron Fields (Pty) Ltd</t>
        </is>
      </c>
      <c r="B22" s="4" t="n">
        <v>44316</v>
      </c>
      <c r="C22" s="3" t="inlineStr">
        <is>
          <t>Liabilities</t>
        </is>
      </c>
      <c r="D22" s="3" t="inlineStr">
        <is>
          <t>5500/010</t>
        </is>
      </c>
      <c r="E22" s="3" t="inlineStr">
        <is>
          <t>Loan - Quinate</t>
        </is>
      </c>
      <c r="F22" s="3" t="n">
        <v>-15250</v>
      </c>
      <c r="G22" s="3" t="n">
        <v>-315250</v>
      </c>
    </row>
    <row r="23">
      <c r="A23" s="3" t="inlineStr">
        <is>
          <t>Heron Fields (Pty) Ltd</t>
        </is>
      </c>
      <c r="B23" s="4" t="n">
        <v>44316</v>
      </c>
      <c r="C23" s="3" t="inlineStr">
        <is>
          <t>Liabilities</t>
        </is>
      </c>
      <c r="D23" s="3" t="inlineStr">
        <is>
          <t>5500/020</t>
        </is>
      </c>
      <c r="E23" s="3" t="inlineStr">
        <is>
          <t>Loan - Cape Projects Construction</t>
        </is>
      </c>
      <c r="F23" s="3" t="n">
        <v>0</v>
      </c>
      <c r="G23" s="3" t="n">
        <v>30000</v>
      </c>
    </row>
    <row r="24">
      <c r="A24" s="3" t="inlineStr">
        <is>
          <t>Heron Fields (Pty) Ltd</t>
        </is>
      </c>
      <c r="B24" s="4" t="n">
        <v>44316</v>
      </c>
      <c r="C24" s="3" t="inlineStr">
        <is>
          <t>Assets</t>
        </is>
      </c>
      <c r="D24" s="3" t="inlineStr">
        <is>
          <t>7620/220</t>
        </is>
      </c>
      <c r="E24" s="3" t="inlineStr">
        <is>
          <t>HF CIP Architectural Designs</t>
        </is>
      </c>
      <c r="F24" s="3" t="n">
        <v>20000</v>
      </c>
      <c r="G24" s="3" t="n">
        <v>20000</v>
      </c>
    </row>
    <row r="25">
      <c r="A25" s="3" t="inlineStr">
        <is>
          <t>Heron Fields (Pty) Ltd</t>
        </is>
      </c>
      <c r="B25" s="4" t="n">
        <v>44316</v>
      </c>
      <c r="C25" s="3" t="inlineStr">
        <is>
          <t>Assets</t>
        </is>
      </c>
      <c r="D25" s="3" t="inlineStr">
        <is>
          <t>7620/240</t>
        </is>
      </c>
      <c r="E25" s="3" t="inlineStr">
        <is>
          <t>HF CIP Civil Engineering</t>
        </is>
      </c>
      <c r="F25" s="3" t="n">
        <v>0</v>
      </c>
      <c r="G25" s="3" t="n">
        <v>54000</v>
      </c>
    </row>
    <row r="26">
      <c r="A26" s="3" t="inlineStr">
        <is>
          <t>Heron Fields (Pty) Ltd</t>
        </is>
      </c>
      <c r="B26" s="4" t="n">
        <v>44316</v>
      </c>
      <c r="C26" s="3" t="inlineStr">
        <is>
          <t>Assets</t>
        </is>
      </c>
      <c r="D26" s="3" t="inlineStr">
        <is>
          <t>7620/260</t>
        </is>
      </c>
      <c r="E26" s="3" t="inlineStr">
        <is>
          <t>HF CIP Mechanical Engineers</t>
        </is>
      </c>
      <c r="F26" s="3" t="n">
        <v>39000</v>
      </c>
      <c r="G26" s="3" t="n">
        <v>39000</v>
      </c>
    </row>
    <row r="27">
      <c r="A27" s="3" t="inlineStr">
        <is>
          <t>Heron Fields (Pty) Ltd</t>
        </is>
      </c>
      <c r="B27" s="4" t="n">
        <v>44316</v>
      </c>
      <c r="C27" s="3" t="inlineStr">
        <is>
          <t>Assets</t>
        </is>
      </c>
      <c r="D27" s="3" t="inlineStr">
        <is>
          <t>7620/280</t>
        </is>
      </c>
      <c r="E27" s="3" t="inlineStr">
        <is>
          <t>HF CIP Site Establishment</t>
        </is>
      </c>
      <c r="F27" s="3" t="n">
        <v>0</v>
      </c>
      <c r="G27" s="3" t="n">
        <v>23034.26</v>
      </c>
    </row>
    <row r="28">
      <c r="A28" s="3" t="inlineStr">
        <is>
          <t>Heron Fields (Pty) Ltd</t>
        </is>
      </c>
      <c r="B28" s="4" t="n">
        <v>44316</v>
      </c>
      <c r="C28" s="3" t="inlineStr">
        <is>
          <t>Assets</t>
        </is>
      </c>
      <c r="D28" s="3" t="inlineStr">
        <is>
          <t>8300/001</t>
        </is>
      </c>
      <c r="E28" s="3" t="inlineStr">
        <is>
          <t>Deposit Paid - Grey Heron Langeberg</t>
        </is>
      </c>
      <c r="F28" s="3" t="n">
        <v>0</v>
      </c>
      <c r="G28" s="3" t="n">
        <v>200000</v>
      </c>
    </row>
    <row r="29">
      <c r="A29" s="3" t="inlineStr">
        <is>
          <t>Heron Fields (Pty) Ltd</t>
        </is>
      </c>
      <c r="B29" s="4" t="n">
        <v>44316</v>
      </c>
      <c r="C29" s="3" t="inlineStr">
        <is>
          <t>Assets</t>
        </is>
      </c>
      <c r="D29" s="3" t="inlineStr">
        <is>
          <t>8400/000</t>
        </is>
      </c>
      <c r="E29" s="3" t="inlineStr">
        <is>
          <t>RMB - 62882379087</t>
        </is>
      </c>
      <c r="F29" s="3" t="n">
        <v>484.79</v>
      </c>
      <c r="G29" s="3" t="n">
        <v>8384.790000000001</v>
      </c>
    </row>
    <row r="30">
      <c r="A30" s="3" t="inlineStr">
        <is>
          <t>Heron Fields (Pty) Ltd</t>
        </is>
      </c>
      <c r="B30" s="4" t="n">
        <v>44316</v>
      </c>
      <c r="C30" s="3" t="inlineStr">
        <is>
          <t>Assets</t>
        </is>
      </c>
      <c r="D30" s="3" t="inlineStr">
        <is>
          <t>8410/000</t>
        </is>
      </c>
      <c r="E30" s="3" t="inlineStr">
        <is>
          <t>STBB Trust Account</t>
        </is>
      </c>
      <c r="F30" s="3" t="n">
        <v>2788000</v>
      </c>
      <c r="G30" s="3" t="n">
        <v>28293236.61</v>
      </c>
    </row>
    <row r="31">
      <c r="A31" s="3" t="inlineStr">
        <is>
          <t>Heron Fields (Pty) Ltd</t>
        </is>
      </c>
      <c r="B31" s="4" t="n">
        <v>44316</v>
      </c>
      <c r="C31" s="3" t="inlineStr">
        <is>
          <t>Liabilities</t>
        </is>
      </c>
      <c r="D31" s="3" t="inlineStr">
        <is>
          <t>9000/000</t>
        </is>
      </c>
      <c r="E31" s="3" t="inlineStr">
        <is>
          <t>Supplier Control Account</t>
        </is>
      </c>
      <c r="F31" s="3" t="n">
        <v>-2841475</v>
      </c>
      <c r="G31" s="3" t="n">
        <v>-28378951.01</v>
      </c>
    </row>
    <row r="32">
      <c r="A32" s="3" t="inlineStr">
        <is>
          <t>Heron Fields (Pty) Ltd</t>
        </is>
      </c>
      <c r="B32" s="4" t="n">
        <v>44316</v>
      </c>
      <c r="C32" s="3" t="inlineStr">
        <is>
          <t>Liabilities</t>
        </is>
      </c>
      <c r="D32" s="3" t="inlineStr">
        <is>
          <t>9500/000</t>
        </is>
      </c>
      <c r="E32" s="3" t="inlineStr">
        <is>
          <t>Vat / Tax Control Account</t>
        </is>
      </c>
      <c r="F32" s="3" t="n">
        <v>8850</v>
      </c>
      <c r="G32" s="3" t="n">
        <v>20405.14</v>
      </c>
    </row>
    <row r="33">
      <c r="A33" s="3" t="inlineStr">
        <is>
          <t>Heron Fields (Pty) Ltd</t>
        </is>
      </c>
      <c r="B33" s="4" t="n">
        <v>44347</v>
      </c>
      <c r="C33" s="3" t="inlineStr">
        <is>
          <t>Expenses</t>
        </is>
      </c>
      <c r="D33" s="3" t="inlineStr">
        <is>
          <t>3050/000</t>
        </is>
      </c>
      <c r="E33" s="3" t="inlineStr">
        <is>
          <t>Advertising _AND_ Promotions</t>
        </is>
      </c>
      <c r="F33" s="3" t="n">
        <v>0</v>
      </c>
      <c r="G33" s="3" t="n">
        <v>5750</v>
      </c>
    </row>
    <row r="34">
      <c r="A34" s="3" t="inlineStr">
        <is>
          <t>Heron Fields (Pty) Ltd</t>
        </is>
      </c>
      <c r="B34" s="4" t="n">
        <v>44347</v>
      </c>
      <c r="C34" s="3" t="inlineStr">
        <is>
          <t>Expenses</t>
        </is>
      </c>
      <c r="D34" s="3" t="inlineStr">
        <is>
          <t>3200/000</t>
        </is>
      </c>
      <c r="E34" s="3" t="inlineStr">
        <is>
          <t>Bank Charges</t>
        </is>
      </c>
      <c r="F34" s="3" t="n">
        <v>116.5</v>
      </c>
      <c r="G34" s="3" t="n">
        <v>256.71</v>
      </c>
    </row>
    <row r="35">
      <c r="A35" s="3" t="inlineStr">
        <is>
          <t>Heron Fields (Pty) Ltd</t>
        </is>
      </c>
      <c r="B35" s="4" t="n">
        <v>44347</v>
      </c>
      <c r="C35" s="3" t="inlineStr">
        <is>
          <t>Expenses</t>
        </is>
      </c>
      <c r="D35" s="3" t="inlineStr">
        <is>
          <t>3700/000</t>
        </is>
      </c>
      <c r="E35" s="3" t="inlineStr">
        <is>
          <t>Entertainment Expenses</t>
        </is>
      </c>
      <c r="F35" s="3" t="n">
        <v>0</v>
      </c>
      <c r="G35" s="3" t="n">
        <v>250</v>
      </c>
    </row>
    <row r="36">
      <c r="A36" s="3" t="inlineStr">
        <is>
          <t>Heron Fields (Pty) Ltd</t>
        </is>
      </c>
      <c r="B36" s="4" t="n">
        <v>44347</v>
      </c>
      <c r="C36" s="3" t="inlineStr">
        <is>
          <t>Expenses</t>
        </is>
      </c>
      <c r="D36" s="3" t="inlineStr">
        <is>
          <t>4200/000</t>
        </is>
      </c>
      <c r="E36" s="3" t="inlineStr">
        <is>
          <t>Printing _AND_ Stationery</t>
        </is>
      </c>
      <c r="F36" s="3" t="n">
        <v>765</v>
      </c>
      <c r="G36" s="3" t="n">
        <v>765</v>
      </c>
    </row>
    <row r="37">
      <c r="A37" s="3" t="inlineStr">
        <is>
          <t>Heron Fields (Pty) Ltd</t>
        </is>
      </c>
      <c r="B37" s="4" t="n">
        <v>44347</v>
      </c>
      <c r="C37" s="3" t="inlineStr">
        <is>
          <t>Expenses</t>
        </is>
      </c>
      <c r="D37" s="3" t="inlineStr">
        <is>
          <t>4410/000</t>
        </is>
      </c>
      <c r="E37" s="3" t="inlineStr">
        <is>
          <t>Secretarial fees</t>
        </is>
      </c>
      <c r="F37" s="3" t="n">
        <v>0</v>
      </c>
      <c r="G37" s="3" t="n">
        <v>100</v>
      </c>
    </row>
    <row r="38">
      <c r="A38" s="3" t="inlineStr">
        <is>
          <t>Heron Fields (Pty) Ltd</t>
        </is>
      </c>
      <c r="B38" s="4" t="n">
        <v>44347</v>
      </c>
      <c r="C38" s="3" t="inlineStr">
        <is>
          <t>Equity</t>
        </is>
      </c>
      <c r="D38" s="3" t="inlineStr">
        <is>
          <t>5100-000</t>
        </is>
      </c>
      <c r="E38" s="3" t="inlineStr">
        <is>
          <t>Share Capital</t>
        </is>
      </c>
      <c r="F38" s="3" t="n">
        <v>0</v>
      </c>
      <c r="G38" s="3" t="n">
        <v>-100</v>
      </c>
    </row>
    <row r="39">
      <c r="A39" s="3" t="inlineStr">
        <is>
          <t>Heron Fields (Pty) Ltd</t>
        </is>
      </c>
      <c r="B39" s="4" t="n">
        <v>44347</v>
      </c>
      <c r="C39" s="3" t="inlineStr">
        <is>
          <t>Liabilities</t>
        </is>
      </c>
      <c r="D39" s="3" t="inlineStr">
        <is>
          <t>5500/010</t>
        </is>
      </c>
      <c r="E39" s="3" t="inlineStr">
        <is>
          <t>Loan - Quinate</t>
        </is>
      </c>
      <c r="F39" s="3" t="n">
        <v>0</v>
      </c>
      <c r="G39" s="3" t="n">
        <v>-315250</v>
      </c>
    </row>
    <row r="40">
      <c r="A40" s="3" t="inlineStr">
        <is>
          <t>Heron Fields (Pty) Ltd</t>
        </is>
      </c>
      <c r="B40" s="4" t="n">
        <v>44347</v>
      </c>
      <c r="C40" s="3" t="inlineStr">
        <is>
          <t>Liabilities</t>
        </is>
      </c>
      <c r="D40" s="3" t="inlineStr">
        <is>
          <t>5500/020</t>
        </is>
      </c>
      <c r="E40" s="3" t="inlineStr">
        <is>
          <t>Loan - Cape Projects Construction</t>
        </is>
      </c>
      <c r="F40" s="3" t="n">
        <v>0</v>
      </c>
      <c r="G40" s="3" t="n">
        <v>30000</v>
      </c>
    </row>
    <row r="41">
      <c r="A41" s="3" t="inlineStr">
        <is>
          <t>Heron Fields (Pty) Ltd</t>
        </is>
      </c>
      <c r="B41" s="4" t="n">
        <v>44347</v>
      </c>
      <c r="C41" s="3" t="inlineStr">
        <is>
          <t>Assets</t>
        </is>
      </c>
      <c r="D41" s="3" t="inlineStr">
        <is>
          <t>7620/220</t>
        </is>
      </c>
      <c r="E41" s="3" t="inlineStr">
        <is>
          <t>HF CIP Architectural Designs</t>
        </is>
      </c>
      <c r="F41" s="3" t="n">
        <v>0</v>
      </c>
      <c r="G41" s="3" t="n">
        <v>20000</v>
      </c>
    </row>
    <row r="42">
      <c r="A42" s="3" t="inlineStr">
        <is>
          <t>Heron Fields (Pty) Ltd</t>
        </is>
      </c>
      <c r="B42" s="4" t="n">
        <v>44347</v>
      </c>
      <c r="C42" s="3" t="inlineStr">
        <is>
          <t>Assets</t>
        </is>
      </c>
      <c r="D42" s="3" t="inlineStr">
        <is>
          <t>7620/240</t>
        </is>
      </c>
      <c r="E42" s="3" t="inlineStr">
        <is>
          <t>HF CIP Civil Engineering</t>
        </is>
      </c>
      <c r="F42" s="3" t="n">
        <v>0</v>
      </c>
      <c r="G42" s="3" t="n">
        <v>54000</v>
      </c>
    </row>
    <row r="43">
      <c r="A43" s="3" t="inlineStr">
        <is>
          <t>Heron Fields (Pty) Ltd</t>
        </is>
      </c>
      <c r="B43" s="4" t="n">
        <v>44347</v>
      </c>
      <c r="C43" s="3" t="inlineStr">
        <is>
          <t>Assets</t>
        </is>
      </c>
      <c r="D43" s="3" t="inlineStr">
        <is>
          <t>7620/250</t>
        </is>
      </c>
      <c r="E43" s="3" t="inlineStr">
        <is>
          <t>HF CIP Land Surveyor</t>
        </is>
      </c>
      <c r="F43" s="3" t="n">
        <v>4510</v>
      </c>
      <c r="G43" s="3" t="n">
        <v>4510</v>
      </c>
    </row>
    <row r="44">
      <c r="A44" s="3" t="inlineStr">
        <is>
          <t>Heron Fields (Pty) Ltd</t>
        </is>
      </c>
      <c r="B44" s="4" t="n">
        <v>44347</v>
      </c>
      <c r="C44" s="3" t="inlineStr">
        <is>
          <t>Assets</t>
        </is>
      </c>
      <c r="D44" s="3" t="inlineStr">
        <is>
          <t>7620/255</t>
        </is>
      </c>
      <c r="E44" s="3" t="inlineStr">
        <is>
          <t>HF CIP Landscaping</t>
        </is>
      </c>
      <c r="F44" s="3" t="n">
        <v>7500</v>
      </c>
      <c r="G44" s="3" t="n">
        <v>7500</v>
      </c>
    </row>
    <row r="45">
      <c r="A45" s="3" t="inlineStr">
        <is>
          <t>Heron Fields (Pty) Ltd</t>
        </is>
      </c>
      <c r="B45" s="4" t="n">
        <v>44347</v>
      </c>
      <c r="C45" s="3" t="inlineStr">
        <is>
          <t>Assets</t>
        </is>
      </c>
      <c r="D45" s="3" t="inlineStr">
        <is>
          <t>7620/260</t>
        </is>
      </c>
      <c r="E45" s="3" t="inlineStr">
        <is>
          <t>HF CIP Mechanical Engineers</t>
        </is>
      </c>
      <c r="F45" s="3" t="n">
        <v>0</v>
      </c>
      <c r="G45" s="3" t="n">
        <v>39000</v>
      </c>
    </row>
    <row r="46">
      <c r="A46" s="3" t="inlineStr">
        <is>
          <t>Heron Fields (Pty) Ltd</t>
        </is>
      </c>
      <c r="B46" s="4" t="n">
        <v>44347</v>
      </c>
      <c r="C46" s="3" t="inlineStr">
        <is>
          <t>Assets</t>
        </is>
      </c>
      <c r="D46" s="3" t="inlineStr">
        <is>
          <t>7620/280</t>
        </is>
      </c>
      <c r="E46" s="3" t="inlineStr">
        <is>
          <t>HF CIP Site Establishment</t>
        </is>
      </c>
      <c r="F46" s="3" t="n">
        <v>0</v>
      </c>
      <c r="G46" s="3" t="n">
        <v>23034.26</v>
      </c>
    </row>
    <row r="47">
      <c r="A47" s="3" t="inlineStr">
        <is>
          <t>Heron Fields (Pty) Ltd</t>
        </is>
      </c>
      <c r="B47" s="4" t="n">
        <v>44347</v>
      </c>
      <c r="C47" s="3" t="inlineStr">
        <is>
          <t>Assets</t>
        </is>
      </c>
      <c r="D47" s="3" t="inlineStr">
        <is>
          <t>7620/290</t>
        </is>
      </c>
      <c r="E47" s="3" t="inlineStr">
        <is>
          <t>HF CIP Town Planning</t>
        </is>
      </c>
      <c r="F47" s="3" t="n">
        <v>123150</v>
      </c>
      <c r="G47" s="3" t="n">
        <v>123150</v>
      </c>
    </row>
    <row r="48">
      <c r="A48" s="3" t="inlineStr">
        <is>
          <t>Heron Fields (Pty) Ltd</t>
        </is>
      </c>
      <c r="B48" s="4" t="n">
        <v>44347</v>
      </c>
      <c r="C48" s="3" t="inlineStr">
        <is>
          <t>Assets</t>
        </is>
      </c>
      <c r="D48" s="3" t="inlineStr">
        <is>
          <t>7620/295</t>
        </is>
      </c>
      <c r="E48" s="3" t="inlineStr">
        <is>
          <t>HF CIP Traffic Planning</t>
        </is>
      </c>
      <c r="F48" s="3" t="n">
        <v>45000</v>
      </c>
      <c r="G48" s="3" t="n">
        <v>45000</v>
      </c>
    </row>
    <row r="49">
      <c r="A49" s="3" t="inlineStr">
        <is>
          <t>Heron Fields (Pty) Ltd</t>
        </is>
      </c>
      <c r="B49" s="4" t="n">
        <v>44347</v>
      </c>
      <c r="C49" s="3" t="inlineStr">
        <is>
          <t>Assets</t>
        </is>
      </c>
      <c r="D49" s="3" t="inlineStr">
        <is>
          <t>8300/001</t>
        </is>
      </c>
      <c r="E49" s="3" t="inlineStr">
        <is>
          <t>Deposit Paid - Grey Heron Langeberg</t>
        </is>
      </c>
      <c r="F49" s="3" t="n">
        <v>0</v>
      </c>
      <c r="G49" s="3" t="n">
        <v>200000</v>
      </c>
    </row>
    <row r="50">
      <c r="A50" s="3" t="inlineStr">
        <is>
          <t>Heron Fields (Pty) Ltd</t>
        </is>
      </c>
      <c r="B50" s="4" t="n">
        <v>44347</v>
      </c>
      <c r="C50" s="3" t="inlineStr">
        <is>
          <t>Assets</t>
        </is>
      </c>
      <c r="D50" s="3" t="inlineStr">
        <is>
          <t>8400/000</t>
        </is>
      </c>
      <c r="E50" s="3" t="inlineStr">
        <is>
          <t>RMB - 62882379087</t>
        </is>
      </c>
      <c r="F50" s="3" t="n">
        <v>-133.97</v>
      </c>
      <c r="G50" s="3" t="n">
        <v>8250.82</v>
      </c>
    </row>
    <row r="51">
      <c r="A51" s="3" t="inlineStr">
        <is>
          <t>Heron Fields (Pty) Ltd</t>
        </is>
      </c>
      <c r="B51" s="4" t="n">
        <v>44347</v>
      </c>
      <c r="C51" s="3" t="inlineStr">
        <is>
          <t>Assets</t>
        </is>
      </c>
      <c r="D51" s="3" t="inlineStr">
        <is>
          <t>8410/000</t>
        </is>
      </c>
      <c r="E51" s="3" t="inlineStr">
        <is>
          <t>STBB Trust Account</t>
        </is>
      </c>
      <c r="F51" s="3" t="n">
        <v>1100100</v>
      </c>
      <c r="G51" s="3" t="n">
        <v>29393336.61</v>
      </c>
    </row>
    <row r="52">
      <c r="A52" s="3" t="inlineStr">
        <is>
          <t>Heron Fields (Pty) Ltd</t>
        </is>
      </c>
      <c r="B52" s="4" t="n">
        <v>44347</v>
      </c>
      <c r="C52" s="3" t="inlineStr">
        <is>
          <t>Liabilities</t>
        </is>
      </c>
      <c r="D52" s="3" t="inlineStr">
        <is>
          <t>9000/000</t>
        </is>
      </c>
      <c r="E52" s="3" t="inlineStr">
        <is>
          <t>Supplier Control Account</t>
        </is>
      </c>
      <c r="F52" s="3" t="n">
        <v>-1288451.5</v>
      </c>
      <c r="G52" s="3" t="n">
        <v>-29667402.51</v>
      </c>
    </row>
    <row r="53">
      <c r="A53" s="3" t="inlineStr">
        <is>
          <t>Heron Fields (Pty) Ltd</t>
        </is>
      </c>
      <c r="B53" s="4" t="n">
        <v>44347</v>
      </c>
      <c r="C53" s="3" t="inlineStr">
        <is>
          <t>Liabilities</t>
        </is>
      </c>
      <c r="D53" s="3" t="inlineStr">
        <is>
          <t>9500/000</t>
        </is>
      </c>
      <c r="E53" s="3" t="inlineStr">
        <is>
          <t>Vat / Tax Control Account</t>
        </is>
      </c>
      <c r="F53" s="3" t="n">
        <v>7443.97</v>
      </c>
      <c r="G53" s="3" t="n">
        <v>27849.11</v>
      </c>
    </row>
    <row r="54">
      <c r="A54" s="3" t="inlineStr">
        <is>
          <t>Heron Fields (Pty) Ltd</t>
        </is>
      </c>
      <c r="B54" s="4" t="n">
        <v>44377</v>
      </c>
      <c r="C54" s="3" t="inlineStr">
        <is>
          <t>Revenue</t>
        </is>
      </c>
      <c r="D54" s="3" t="inlineStr">
        <is>
          <t>2753/001</t>
        </is>
      </c>
      <c r="E54" s="3" t="inlineStr">
        <is>
          <t>Interest Received - Deposit Grey Heron</t>
        </is>
      </c>
      <c r="F54" s="3" t="n">
        <v>-1245</v>
      </c>
      <c r="G54" s="3" t="n">
        <v>-1245</v>
      </c>
    </row>
    <row r="55">
      <c r="A55" s="3" t="inlineStr">
        <is>
          <t>Heron Fields (Pty) Ltd</t>
        </is>
      </c>
      <c r="B55" s="4" t="n">
        <v>44377</v>
      </c>
      <c r="C55" s="3" t="inlineStr">
        <is>
          <t>Expenses</t>
        </is>
      </c>
      <c r="D55" s="3" t="inlineStr">
        <is>
          <t>3050/000</t>
        </is>
      </c>
      <c r="E55" s="3" t="inlineStr">
        <is>
          <t>Advertising _AND_ Promotions</t>
        </is>
      </c>
      <c r="F55" s="3" t="n">
        <v>0</v>
      </c>
      <c r="G55" s="3" t="n">
        <v>5750</v>
      </c>
    </row>
    <row r="56">
      <c r="A56" s="3" t="inlineStr">
        <is>
          <t>Heron Fields (Pty) Ltd</t>
        </is>
      </c>
      <c r="B56" s="4" t="n">
        <v>44377</v>
      </c>
      <c r="C56" s="3" t="inlineStr">
        <is>
          <t>Expenses</t>
        </is>
      </c>
      <c r="D56" s="3" t="inlineStr">
        <is>
          <t>3200/000</t>
        </is>
      </c>
      <c r="E56" s="3" t="inlineStr">
        <is>
          <t>Bank Charges</t>
        </is>
      </c>
      <c r="F56" s="3" t="n">
        <v>758.04</v>
      </c>
      <c r="G56" s="3" t="n">
        <v>1014.75</v>
      </c>
    </row>
    <row r="57">
      <c r="A57" s="3" t="inlineStr">
        <is>
          <t>Heron Fields (Pty) Ltd</t>
        </is>
      </c>
      <c r="B57" s="4" t="n">
        <v>44377</v>
      </c>
      <c r="C57" s="3" t="inlineStr">
        <is>
          <t>Expenses</t>
        </is>
      </c>
      <c r="D57" s="3" t="inlineStr">
        <is>
          <t>3700/000</t>
        </is>
      </c>
      <c r="E57" s="3" t="inlineStr">
        <is>
          <t>Entertainment Expenses</t>
        </is>
      </c>
      <c r="F57" s="3" t="n">
        <v>0</v>
      </c>
      <c r="G57" s="3" t="n">
        <v>250</v>
      </c>
    </row>
    <row r="58">
      <c r="A58" s="3" t="inlineStr">
        <is>
          <t>Heron Fields (Pty) Ltd</t>
        </is>
      </c>
      <c r="B58" s="4" t="n">
        <v>44377</v>
      </c>
      <c r="C58" s="3" t="inlineStr">
        <is>
          <t>Expenses</t>
        </is>
      </c>
      <c r="D58" s="3" t="inlineStr">
        <is>
          <t>4200/000</t>
        </is>
      </c>
      <c r="E58" s="3" t="inlineStr">
        <is>
          <t>Printing _AND_ Stationery</t>
        </is>
      </c>
      <c r="F58" s="3" t="n">
        <v>0</v>
      </c>
      <c r="G58" s="3" t="n">
        <v>765</v>
      </c>
    </row>
    <row r="59">
      <c r="A59" s="3" t="inlineStr">
        <is>
          <t>Heron Fields (Pty) Ltd</t>
        </is>
      </c>
      <c r="B59" s="4" t="n">
        <v>44377</v>
      </c>
      <c r="C59" s="3" t="inlineStr">
        <is>
          <t>Expenses</t>
        </is>
      </c>
      <c r="D59" s="3" t="inlineStr">
        <is>
          <t>4410/000</t>
        </is>
      </c>
      <c r="E59" s="3" t="inlineStr">
        <is>
          <t>Secretarial fees</t>
        </is>
      </c>
      <c r="F59" s="3" t="n">
        <v>2000</v>
      </c>
      <c r="G59" s="3" t="n">
        <v>2100</v>
      </c>
    </row>
    <row r="60">
      <c r="A60" s="3" t="inlineStr">
        <is>
          <t>Heron Fields (Pty) Ltd</t>
        </is>
      </c>
      <c r="B60" s="4" t="n">
        <v>44377</v>
      </c>
      <c r="C60" s="3" t="inlineStr">
        <is>
          <t>Expenses</t>
        </is>
      </c>
      <c r="D60" s="3" t="inlineStr">
        <is>
          <t>4420/001</t>
        </is>
      </c>
      <c r="E60" s="3" t="inlineStr">
        <is>
          <t>Security - ADT</t>
        </is>
      </c>
      <c r="F60" s="3" t="n">
        <v>1078.97</v>
      </c>
      <c r="G60" s="3" t="n">
        <v>1078.97</v>
      </c>
    </row>
    <row r="61">
      <c r="A61" s="3" t="inlineStr">
        <is>
          <t>Heron Fields (Pty) Ltd</t>
        </is>
      </c>
      <c r="B61" s="4" t="n">
        <v>44377</v>
      </c>
      <c r="C61" s="3" t="inlineStr">
        <is>
          <t>Equity</t>
        </is>
      </c>
      <c r="D61" s="3" t="inlineStr">
        <is>
          <t>5100-000</t>
        </is>
      </c>
      <c r="E61" s="3" t="inlineStr">
        <is>
          <t>Share Capital</t>
        </is>
      </c>
      <c r="F61" s="3" t="n">
        <v>0</v>
      </c>
      <c r="G61" s="3" t="n">
        <v>-100</v>
      </c>
    </row>
    <row r="62">
      <c r="A62" s="3" t="inlineStr">
        <is>
          <t>Heron Fields (Pty) Ltd</t>
        </is>
      </c>
      <c r="B62" s="4" t="n">
        <v>44377</v>
      </c>
      <c r="C62" s="3" t="inlineStr">
        <is>
          <t>Liabilities</t>
        </is>
      </c>
      <c r="D62" s="3" t="inlineStr">
        <is>
          <t>5500/010</t>
        </is>
      </c>
      <c r="E62" s="3" t="inlineStr">
        <is>
          <t>Loan - Quinate</t>
        </is>
      </c>
      <c r="F62" s="3" t="n">
        <v>200000</v>
      </c>
      <c r="G62" s="3" t="n">
        <v>-115250</v>
      </c>
    </row>
    <row r="63">
      <c r="A63" s="3" t="inlineStr">
        <is>
          <t>Heron Fields (Pty) Ltd</t>
        </is>
      </c>
      <c r="B63" s="4" t="n">
        <v>44377</v>
      </c>
      <c r="C63" s="3" t="inlineStr">
        <is>
          <t>Liabilities</t>
        </is>
      </c>
      <c r="D63" s="3" t="inlineStr">
        <is>
          <t>5500/020</t>
        </is>
      </c>
      <c r="E63" s="3" t="inlineStr">
        <is>
          <t>Loan - Cape Projects Construction</t>
        </is>
      </c>
      <c r="F63" s="3" t="n">
        <v>0</v>
      </c>
      <c r="G63" s="3" t="n">
        <v>30000</v>
      </c>
    </row>
    <row r="64">
      <c r="A64" s="3" t="inlineStr">
        <is>
          <t>Heron Fields (Pty) Ltd</t>
        </is>
      </c>
      <c r="B64" s="4" t="n">
        <v>44377</v>
      </c>
      <c r="C64" s="3" t="inlineStr">
        <is>
          <t>Assets</t>
        </is>
      </c>
      <c r="D64" s="3" t="inlineStr">
        <is>
          <t>7620/100</t>
        </is>
      </c>
      <c r="E64" s="3" t="inlineStr">
        <is>
          <t>Heron View Land</t>
        </is>
      </c>
      <c r="F64" s="3" t="n">
        <v>26200000</v>
      </c>
      <c r="G64" s="3" t="n">
        <v>26200000</v>
      </c>
    </row>
    <row r="65">
      <c r="A65" s="3" t="inlineStr">
        <is>
          <t>Heron Fields (Pty) Ltd</t>
        </is>
      </c>
      <c r="B65" s="4" t="n">
        <v>44377</v>
      </c>
      <c r="C65" s="3" t="inlineStr">
        <is>
          <t>Assets</t>
        </is>
      </c>
      <c r="D65" s="3" t="inlineStr">
        <is>
          <t>7620/101</t>
        </is>
      </c>
      <c r="E65" s="3" t="inlineStr">
        <is>
          <t>HF CIP Bond Registration Fee</t>
        </is>
      </c>
      <c r="F65" s="3" t="n">
        <v>68427</v>
      </c>
      <c r="G65" s="3" t="n">
        <v>68427</v>
      </c>
    </row>
    <row r="66">
      <c r="A66" s="3" t="inlineStr">
        <is>
          <t>Heron Fields (Pty) Ltd</t>
        </is>
      </c>
      <c r="B66" s="4" t="n">
        <v>44377</v>
      </c>
      <c r="C66" s="3" t="inlineStr">
        <is>
          <t>Assets</t>
        </is>
      </c>
      <c r="D66" s="3" t="inlineStr">
        <is>
          <t>7620/102</t>
        </is>
      </c>
      <c r="E66" s="3" t="inlineStr">
        <is>
          <t>HF CIP Transfer Fee</t>
        </is>
      </c>
      <c r="F66" s="3" t="n">
        <v>103812</v>
      </c>
      <c r="G66" s="3" t="n">
        <v>103812</v>
      </c>
    </row>
    <row r="67">
      <c r="A67" s="3" t="inlineStr">
        <is>
          <t>Heron Fields (Pty) Ltd</t>
        </is>
      </c>
      <c r="B67" s="4" t="n">
        <v>44377</v>
      </c>
      <c r="C67" s="3" t="inlineStr">
        <is>
          <t>Assets</t>
        </is>
      </c>
      <c r="D67" s="3" t="inlineStr">
        <is>
          <t>7620/220</t>
        </is>
      </c>
      <c r="E67" s="3" t="inlineStr">
        <is>
          <t>HF CIP Architectural Designs</t>
        </is>
      </c>
      <c r="F67" s="3" t="n">
        <v>100000</v>
      </c>
      <c r="G67" s="3" t="n">
        <v>120000</v>
      </c>
    </row>
    <row r="68">
      <c r="A68" s="3" t="inlineStr">
        <is>
          <t>Heron Fields (Pty) Ltd</t>
        </is>
      </c>
      <c r="B68" s="4" t="n">
        <v>44377</v>
      </c>
      <c r="C68" s="3" t="inlineStr">
        <is>
          <t>Assets</t>
        </is>
      </c>
      <c r="D68" s="3" t="inlineStr">
        <is>
          <t>7620/240</t>
        </is>
      </c>
      <c r="E68" s="3" t="inlineStr">
        <is>
          <t>HF CIP Civil Engineering</t>
        </is>
      </c>
      <c r="F68" s="3" t="n">
        <v>273000</v>
      </c>
      <c r="G68" s="3" t="n">
        <v>327000</v>
      </c>
    </row>
    <row r="69">
      <c r="A69" s="3" t="inlineStr">
        <is>
          <t>Heron Fields (Pty) Ltd</t>
        </is>
      </c>
      <c r="B69" s="4" t="n">
        <v>44377</v>
      </c>
      <c r="C69" s="3" t="inlineStr">
        <is>
          <t>Assets</t>
        </is>
      </c>
      <c r="D69" s="3" t="inlineStr">
        <is>
          <t>7620/250</t>
        </is>
      </c>
      <c r="E69" s="3" t="inlineStr">
        <is>
          <t>HF CIP Land Surveyor</t>
        </is>
      </c>
      <c r="F69" s="3" t="n">
        <v>0</v>
      </c>
      <c r="G69" s="3" t="n">
        <v>4510</v>
      </c>
    </row>
    <row r="70">
      <c r="A70" s="3" t="inlineStr">
        <is>
          <t>Heron Fields (Pty) Ltd</t>
        </is>
      </c>
      <c r="B70" s="4" t="n">
        <v>44377</v>
      </c>
      <c r="C70" s="3" t="inlineStr">
        <is>
          <t>Assets</t>
        </is>
      </c>
      <c r="D70" s="3" t="inlineStr">
        <is>
          <t>7620/255</t>
        </is>
      </c>
      <c r="E70" s="3" t="inlineStr">
        <is>
          <t>HF CIP Landscaping</t>
        </is>
      </c>
      <c r="F70" s="3" t="n">
        <v>0</v>
      </c>
      <c r="G70" s="3" t="n">
        <v>7500</v>
      </c>
    </row>
    <row r="71">
      <c r="A71" s="3" t="inlineStr">
        <is>
          <t>Heron Fields (Pty) Ltd</t>
        </is>
      </c>
      <c r="B71" s="4" t="n">
        <v>44377</v>
      </c>
      <c r="C71" s="3" t="inlineStr">
        <is>
          <t>Assets</t>
        </is>
      </c>
      <c r="D71" s="3" t="inlineStr">
        <is>
          <t>7620/260</t>
        </is>
      </c>
      <c r="E71" s="3" t="inlineStr">
        <is>
          <t>HF CIP Mechanical Engineers</t>
        </is>
      </c>
      <c r="F71" s="3" t="n">
        <v>0</v>
      </c>
      <c r="G71" s="3" t="n">
        <v>39000</v>
      </c>
    </row>
    <row r="72">
      <c r="A72" s="3" t="inlineStr">
        <is>
          <t>Heron Fields (Pty) Ltd</t>
        </is>
      </c>
      <c r="B72" s="4" t="n">
        <v>44377</v>
      </c>
      <c r="C72" s="3" t="inlineStr">
        <is>
          <t>Assets</t>
        </is>
      </c>
      <c r="D72" s="3" t="inlineStr">
        <is>
          <t>7620/270</t>
        </is>
      </c>
      <c r="E72" s="3" t="inlineStr">
        <is>
          <t>HF CIP Geotechnical</t>
        </is>
      </c>
      <c r="F72" s="3" t="n">
        <v>15175</v>
      </c>
      <c r="G72" s="3" t="n">
        <v>15175</v>
      </c>
    </row>
    <row r="73">
      <c r="A73" s="3" t="inlineStr">
        <is>
          <t>Heron Fields (Pty) Ltd</t>
        </is>
      </c>
      <c r="B73" s="4" t="n">
        <v>44377</v>
      </c>
      <c r="C73" s="3" t="inlineStr">
        <is>
          <t>Assets</t>
        </is>
      </c>
      <c r="D73" s="3" t="inlineStr">
        <is>
          <t>7620/280</t>
        </is>
      </c>
      <c r="E73" s="3" t="inlineStr">
        <is>
          <t>HF CIP Site Establishment</t>
        </is>
      </c>
      <c r="F73" s="3" t="n">
        <v>0</v>
      </c>
      <c r="G73" s="3" t="n">
        <v>23034.26</v>
      </c>
    </row>
    <row r="74">
      <c r="A74" s="3" t="inlineStr">
        <is>
          <t>Heron Fields (Pty) Ltd</t>
        </is>
      </c>
      <c r="B74" s="4" t="n">
        <v>44377</v>
      </c>
      <c r="C74" s="3" t="inlineStr">
        <is>
          <t>Assets</t>
        </is>
      </c>
      <c r="D74" s="3" t="inlineStr">
        <is>
          <t>7620/285</t>
        </is>
      </c>
      <c r="E74" s="3" t="inlineStr">
        <is>
          <t>HF CIP Structuring Fee - Invest</t>
        </is>
      </c>
      <c r="F74" s="3" t="n">
        <v>1363107.22</v>
      </c>
      <c r="G74" s="3" t="n">
        <v>1363107.22</v>
      </c>
    </row>
    <row r="75">
      <c r="A75" s="3" t="inlineStr">
        <is>
          <t>Heron Fields (Pty) Ltd</t>
        </is>
      </c>
      <c r="B75" s="4" t="n">
        <v>44377</v>
      </c>
      <c r="C75" s="3" t="inlineStr">
        <is>
          <t>Assets</t>
        </is>
      </c>
      <c r="D75" s="3" t="inlineStr">
        <is>
          <t>7620/290</t>
        </is>
      </c>
      <c r="E75" s="3" t="inlineStr">
        <is>
          <t>HF CIP Town Planning</t>
        </is>
      </c>
      <c r="F75" s="3" t="n">
        <v>0</v>
      </c>
      <c r="G75" s="3" t="n">
        <v>123150</v>
      </c>
    </row>
    <row r="76">
      <c r="A76" s="3" t="inlineStr">
        <is>
          <t>Heron Fields (Pty) Ltd</t>
        </is>
      </c>
      <c r="B76" s="4" t="n">
        <v>44377</v>
      </c>
      <c r="C76" s="3" t="inlineStr">
        <is>
          <t>Assets</t>
        </is>
      </c>
      <c r="D76" s="3" t="inlineStr">
        <is>
          <t>7620/295</t>
        </is>
      </c>
      <c r="E76" s="3" t="inlineStr">
        <is>
          <t>HF CIP Traffic Planning</t>
        </is>
      </c>
      <c r="F76" s="3" t="n">
        <v>0</v>
      </c>
      <c r="G76" s="3" t="n">
        <v>45000</v>
      </c>
    </row>
    <row r="77">
      <c r="A77" s="3" t="inlineStr">
        <is>
          <t>Heron Fields (Pty) Ltd</t>
        </is>
      </c>
      <c r="B77" s="4" t="n">
        <v>44377</v>
      </c>
      <c r="C77" s="3" t="inlineStr">
        <is>
          <t>Assets</t>
        </is>
      </c>
      <c r="D77" s="3" t="inlineStr">
        <is>
          <t>8300/001</t>
        </is>
      </c>
      <c r="E77" s="3" t="inlineStr">
        <is>
          <t>Deposit Paid - Grey Heron Langeberg</t>
        </is>
      </c>
      <c r="F77" s="3" t="n">
        <v>-200000</v>
      </c>
      <c r="G77" s="3" t="n">
        <v>0</v>
      </c>
    </row>
    <row r="78">
      <c r="A78" s="3" t="inlineStr">
        <is>
          <t>Heron Fields (Pty) Ltd</t>
        </is>
      </c>
      <c r="B78" s="4" t="n">
        <v>44377</v>
      </c>
      <c r="C78" s="3" t="inlineStr">
        <is>
          <t>Assets</t>
        </is>
      </c>
      <c r="D78" s="3" t="inlineStr">
        <is>
          <t>8400/000</t>
        </is>
      </c>
      <c r="E78" s="3" t="inlineStr">
        <is>
          <t>RMB - 62882379087</t>
        </is>
      </c>
      <c r="F78" s="3" t="n">
        <v>119999.73</v>
      </c>
      <c r="G78" s="3" t="n">
        <v>128250.55</v>
      </c>
    </row>
    <row r="79">
      <c r="A79" s="3" t="inlineStr">
        <is>
          <t>Heron Fields (Pty) Ltd</t>
        </is>
      </c>
      <c r="B79" s="4" t="n">
        <v>44377</v>
      </c>
      <c r="C79" s="3" t="inlineStr">
        <is>
          <t>Assets</t>
        </is>
      </c>
      <c r="D79" s="3" t="inlineStr">
        <is>
          <t>8410/000</t>
        </is>
      </c>
      <c r="E79" s="3" t="inlineStr">
        <is>
          <t>STBB Trust Account</t>
        </is>
      </c>
      <c r="F79" s="3" t="n">
        <v>-26644599.14</v>
      </c>
      <c r="G79" s="3" t="n">
        <v>2748737.47</v>
      </c>
    </row>
    <row r="80">
      <c r="A80" s="3" t="inlineStr">
        <is>
          <t>Heron Fields (Pty) Ltd</t>
        </is>
      </c>
      <c r="B80" s="4" t="n">
        <v>44377</v>
      </c>
      <c r="C80" s="3" t="inlineStr">
        <is>
          <t>Liabilities</t>
        </is>
      </c>
      <c r="D80" s="3" t="inlineStr">
        <is>
          <t>9000/000</t>
        </is>
      </c>
      <c r="E80" s="3" t="inlineStr">
        <is>
          <t>Supplier Control Account</t>
        </is>
      </c>
      <c r="F80" s="3" t="n">
        <v>-4888314.41</v>
      </c>
      <c r="G80" s="3" t="n">
        <v>-34555716.92</v>
      </c>
    </row>
    <row r="81">
      <c r="A81" s="3" t="inlineStr">
        <is>
          <t>Heron Fields (Pty) Ltd</t>
        </is>
      </c>
      <c r="B81" s="4" t="n">
        <v>44377</v>
      </c>
      <c r="C81" s="3" t="inlineStr">
        <is>
          <t>Liabilities</t>
        </is>
      </c>
      <c r="D81" s="3" t="inlineStr">
        <is>
          <t>9500/000</t>
        </is>
      </c>
      <c r="E81" s="3" t="inlineStr">
        <is>
          <t>Vat / Tax Control Account</t>
        </is>
      </c>
      <c r="F81" s="3" t="n">
        <v>3286800.59</v>
      </c>
      <c r="G81" s="3" t="n">
        <v>3314649.7</v>
      </c>
    </row>
    <row r="82">
      <c r="A82" s="3" t="inlineStr">
        <is>
          <t>Heron Fields (Pty) Ltd</t>
        </is>
      </c>
      <c r="B82" s="4" t="n">
        <v>44408</v>
      </c>
      <c r="C82" s="3" t="inlineStr">
        <is>
          <t>Revenue</t>
        </is>
      </c>
      <c r="D82" s="3" t="inlineStr">
        <is>
          <t>2753/001</t>
        </is>
      </c>
      <c r="E82" s="3" t="inlineStr">
        <is>
          <t>Interest Received - Deposit Grey Heron</t>
        </is>
      </c>
      <c r="F82" s="3" t="n">
        <v>0</v>
      </c>
      <c r="G82" s="3" t="n">
        <v>-1245</v>
      </c>
    </row>
    <row r="83">
      <c r="A83" s="3" t="inlineStr">
        <is>
          <t>Heron Fields (Pty) Ltd</t>
        </is>
      </c>
      <c r="B83" s="4" t="n">
        <v>44408</v>
      </c>
      <c r="C83" s="3" t="inlineStr">
        <is>
          <t>Revenue</t>
        </is>
      </c>
      <c r="D83" s="3" t="inlineStr">
        <is>
          <t>2754/001</t>
        </is>
      </c>
      <c r="E83" s="3" t="inlineStr">
        <is>
          <t>Interest Received - STBB Trust Account</t>
        </is>
      </c>
      <c r="F83" s="3" t="n">
        <v>-149149.4</v>
      </c>
      <c r="G83" s="3" t="n">
        <v>-149149.4</v>
      </c>
    </row>
    <row r="84">
      <c r="A84" s="3" t="inlineStr">
        <is>
          <t>Heron Fields (Pty) Ltd</t>
        </is>
      </c>
      <c r="B84" s="4" t="n">
        <v>44408</v>
      </c>
      <c r="C84" s="3" t="inlineStr">
        <is>
          <t>Expenses</t>
        </is>
      </c>
      <c r="D84" s="3" t="inlineStr">
        <is>
          <t>3000/100</t>
        </is>
      </c>
      <c r="E84" s="3" t="inlineStr">
        <is>
          <t>Accounting - CIPC</t>
        </is>
      </c>
      <c r="F84" s="3" t="n">
        <v>100</v>
      </c>
      <c r="G84" s="3" t="n">
        <v>100</v>
      </c>
    </row>
    <row r="85">
      <c r="A85" s="3" t="inlineStr">
        <is>
          <t>Heron Fields (Pty) Ltd</t>
        </is>
      </c>
      <c r="B85" s="4" t="n">
        <v>44408</v>
      </c>
      <c r="C85" s="3" t="inlineStr">
        <is>
          <t>Expenses</t>
        </is>
      </c>
      <c r="D85" s="3" t="inlineStr">
        <is>
          <t>3050/000</t>
        </is>
      </c>
      <c r="E85" s="3" t="inlineStr">
        <is>
          <t>Advertising _AND_ Promotions</t>
        </is>
      </c>
      <c r="F85" s="3" t="n">
        <v>0</v>
      </c>
      <c r="G85" s="3" t="n">
        <v>5750</v>
      </c>
    </row>
    <row r="86">
      <c r="A86" s="3" t="inlineStr">
        <is>
          <t>Heron Fields (Pty) Ltd</t>
        </is>
      </c>
      <c r="B86" s="4" t="n">
        <v>44408</v>
      </c>
      <c r="C86" s="3" t="inlineStr">
        <is>
          <t>Expenses</t>
        </is>
      </c>
      <c r="D86" s="3" t="inlineStr">
        <is>
          <t>3200/000</t>
        </is>
      </c>
      <c r="E86" s="3" t="inlineStr">
        <is>
          <t>Bank Charges</t>
        </is>
      </c>
      <c r="F86" s="3" t="n">
        <v>162.02</v>
      </c>
      <c r="G86" s="3" t="n">
        <v>1176.77</v>
      </c>
    </row>
    <row r="87">
      <c r="A87" s="3" t="inlineStr">
        <is>
          <t>Heron Fields (Pty) Ltd</t>
        </is>
      </c>
      <c r="B87" s="4" t="n">
        <v>44408</v>
      </c>
      <c r="C87" s="3" t="inlineStr">
        <is>
          <t>Expenses</t>
        </is>
      </c>
      <c r="D87" s="3" t="inlineStr">
        <is>
          <t>3301/000</t>
        </is>
      </c>
      <c r="E87" s="3" t="inlineStr">
        <is>
          <t>Computer Expenses - Xero</t>
        </is>
      </c>
      <c r="F87" s="3" t="n">
        <v>3000</v>
      </c>
      <c r="G87" s="3" t="n">
        <v>3000</v>
      </c>
    </row>
    <row r="88">
      <c r="A88" s="3" t="inlineStr">
        <is>
          <t>Heron Fields (Pty) Ltd</t>
        </is>
      </c>
      <c r="B88" s="4" t="n">
        <v>44408</v>
      </c>
      <c r="C88" s="3" t="inlineStr">
        <is>
          <t>Expenses</t>
        </is>
      </c>
      <c r="D88" s="3" t="inlineStr">
        <is>
          <t>3650/000</t>
        </is>
      </c>
      <c r="E88" s="3" t="inlineStr">
        <is>
          <t>CoCT - Electricity</t>
        </is>
      </c>
      <c r="F88" s="3" t="n">
        <v>3259.25</v>
      </c>
      <c r="G88" s="3" t="n">
        <v>3259.25</v>
      </c>
    </row>
    <row r="89">
      <c r="A89" s="3" t="inlineStr">
        <is>
          <t>Heron Fields (Pty) Ltd</t>
        </is>
      </c>
      <c r="B89" s="4" t="n">
        <v>44408</v>
      </c>
      <c r="C89" s="3" t="inlineStr">
        <is>
          <t>Expenses</t>
        </is>
      </c>
      <c r="D89" s="3" t="inlineStr">
        <is>
          <t>3660/000</t>
        </is>
      </c>
      <c r="E89" s="3" t="inlineStr">
        <is>
          <t>CoCT - Water</t>
        </is>
      </c>
      <c r="F89" s="3" t="n">
        <v>173.86</v>
      </c>
      <c r="G89" s="3" t="n">
        <v>173.86</v>
      </c>
    </row>
    <row r="90">
      <c r="A90" s="3" t="inlineStr">
        <is>
          <t>Heron Fields (Pty) Ltd</t>
        </is>
      </c>
      <c r="B90" s="4" t="n">
        <v>44408</v>
      </c>
      <c r="C90" s="3" t="inlineStr">
        <is>
          <t>Expenses</t>
        </is>
      </c>
      <c r="D90" s="3" t="inlineStr">
        <is>
          <t>3700/000</t>
        </is>
      </c>
      <c r="E90" s="3" t="inlineStr">
        <is>
          <t>Entertainment Expenses</t>
        </is>
      </c>
      <c r="F90" s="3" t="n">
        <v>0</v>
      </c>
      <c r="G90" s="3" t="n">
        <v>250</v>
      </c>
    </row>
    <row r="91">
      <c r="A91" s="3" t="inlineStr">
        <is>
          <t>Heron Fields (Pty) Ltd</t>
        </is>
      </c>
      <c r="B91" s="4" t="n">
        <v>44408</v>
      </c>
      <c r="C91" s="3" t="inlineStr">
        <is>
          <t>Expenses</t>
        </is>
      </c>
      <c r="D91" s="3" t="inlineStr">
        <is>
          <t>4200/000</t>
        </is>
      </c>
      <c r="E91" s="3" t="inlineStr">
        <is>
          <t>Printing _AND_ Stationery</t>
        </is>
      </c>
      <c r="F91" s="3" t="n">
        <v>0</v>
      </c>
      <c r="G91" s="3" t="n">
        <v>765</v>
      </c>
    </row>
    <row r="92">
      <c r="A92" s="3" t="inlineStr">
        <is>
          <t>Heron Fields (Pty) Ltd</t>
        </is>
      </c>
      <c r="B92" s="4" t="n">
        <v>44408</v>
      </c>
      <c r="C92" s="3" t="inlineStr">
        <is>
          <t>Expenses</t>
        </is>
      </c>
      <c r="D92" s="3" t="inlineStr">
        <is>
          <t>4310/000</t>
        </is>
      </c>
      <c r="E92" s="3" t="inlineStr">
        <is>
          <t>Rates - Heron</t>
        </is>
      </c>
      <c r="F92" s="3" t="n">
        <v>5505.37</v>
      </c>
      <c r="G92" s="3" t="n">
        <v>5505.37</v>
      </c>
    </row>
    <row r="93">
      <c r="A93" s="3" t="inlineStr">
        <is>
          <t>Heron Fields (Pty) Ltd</t>
        </is>
      </c>
      <c r="B93" s="4" t="n">
        <v>44408</v>
      </c>
      <c r="C93" s="3" t="inlineStr">
        <is>
          <t>Expenses</t>
        </is>
      </c>
      <c r="D93" s="3" t="inlineStr">
        <is>
          <t>4410/000</t>
        </is>
      </c>
      <c r="E93" s="3" t="inlineStr">
        <is>
          <t>Secretarial fees</t>
        </is>
      </c>
      <c r="F93" s="3" t="n">
        <v>0</v>
      </c>
      <c r="G93" s="3" t="n">
        <v>2100</v>
      </c>
    </row>
    <row r="94">
      <c r="A94" s="3" t="inlineStr">
        <is>
          <t>Heron Fields (Pty) Ltd</t>
        </is>
      </c>
      <c r="B94" s="4" t="n">
        <v>44408</v>
      </c>
      <c r="C94" s="3" t="inlineStr">
        <is>
          <t>Expenses</t>
        </is>
      </c>
      <c r="D94" s="3" t="inlineStr">
        <is>
          <t>4420/001</t>
        </is>
      </c>
      <c r="E94" s="3" t="inlineStr">
        <is>
          <t>Security - ADT</t>
        </is>
      </c>
      <c r="F94" s="3" t="n">
        <v>430.43</v>
      </c>
      <c r="G94" s="3" t="n">
        <v>1509.4</v>
      </c>
    </row>
    <row r="95">
      <c r="A95" s="3" t="inlineStr">
        <is>
          <t>Heron Fields (Pty) Ltd</t>
        </is>
      </c>
      <c r="B95" s="4" t="n">
        <v>44408</v>
      </c>
      <c r="C95" s="3" t="inlineStr">
        <is>
          <t>Expenses</t>
        </is>
      </c>
      <c r="D95" s="3" t="inlineStr">
        <is>
          <t>4550/100</t>
        </is>
      </c>
      <c r="E95" s="3" t="inlineStr">
        <is>
          <t>Subscriptions - Xero</t>
        </is>
      </c>
      <c r="F95" s="3" t="n">
        <v>550</v>
      </c>
      <c r="G95" s="3" t="n">
        <v>550</v>
      </c>
    </row>
    <row r="96">
      <c r="A96" s="3" t="inlineStr">
        <is>
          <t>Heron Fields (Pty) Ltd</t>
        </is>
      </c>
      <c r="B96" s="4" t="n">
        <v>44408</v>
      </c>
      <c r="C96" s="3" t="inlineStr">
        <is>
          <t>Equity</t>
        </is>
      </c>
      <c r="D96" s="3" t="inlineStr">
        <is>
          <t>5100-000</t>
        </is>
      </c>
      <c r="E96" s="3" t="inlineStr">
        <is>
          <t>Share Capital</t>
        </is>
      </c>
      <c r="F96" s="3" t="n">
        <v>0</v>
      </c>
      <c r="G96" s="3" t="n">
        <v>-100</v>
      </c>
    </row>
    <row r="97">
      <c r="A97" s="3" t="inlineStr">
        <is>
          <t>Heron Fields (Pty) Ltd</t>
        </is>
      </c>
      <c r="B97" s="4" t="n">
        <v>44408</v>
      </c>
      <c r="C97" s="3" t="inlineStr">
        <is>
          <t>Liabilities</t>
        </is>
      </c>
      <c r="D97" s="3" t="inlineStr">
        <is>
          <t>5500/010</t>
        </is>
      </c>
      <c r="E97" s="3" t="inlineStr">
        <is>
          <t>Loan - Quinate</t>
        </is>
      </c>
      <c r="F97" s="3" t="n">
        <v>115250</v>
      </c>
      <c r="G97" s="3" t="n">
        <v>0</v>
      </c>
    </row>
    <row r="98">
      <c r="A98" s="3" t="inlineStr">
        <is>
          <t>Heron Fields (Pty) Ltd</t>
        </is>
      </c>
      <c r="B98" s="4" t="n">
        <v>44408</v>
      </c>
      <c r="C98" s="3" t="inlineStr">
        <is>
          <t>Liabilities</t>
        </is>
      </c>
      <c r="D98" s="3" t="inlineStr">
        <is>
          <t>5500/020</t>
        </is>
      </c>
      <c r="E98" s="3" t="inlineStr">
        <is>
          <t>Loan - Cape Projects Construction</t>
        </is>
      </c>
      <c r="F98" s="3" t="n">
        <v>80000</v>
      </c>
      <c r="G98" s="3" t="n">
        <v>110000</v>
      </c>
    </row>
    <row r="99">
      <c r="A99" s="3" t="inlineStr">
        <is>
          <t>Heron Fields (Pty) Ltd</t>
        </is>
      </c>
      <c r="B99" s="4" t="n">
        <v>44408</v>
      </c>
      <c r="C99" s="3" t="inlineStr">
        <is>
          <t>Liabilities</t>
        </is>
      </c>
      <c r="D99" s="3" t="inlineStr">
        <is>
          <t>5500/030</t>
        </is>
      </c>
      <c r="E99" s="3" t="inlineStr">
        <is>
          <t>Loan - Opportunity Global Investments</t>
        </is>
      </c>
      <c r="F99" s="3" t="n">
        <v>-28000</v>
      </c>
      <c r="G99" s="3" t="n">
        <v>-28000</v>
      </c>
    </row>
    <row r="100">
      <c r="A100" s="3" t="inlineStr">
        <is>
          <t>Heron Fields (Pty) Ltd</t>
        </is>
      </c>
      <c r="B100" s="4" t="n">
        <v>44408</v>
      </c>
      <c r="C100" s="3" t="inlineStr">
        <is>
          <t>Assets</t>
        </is>
      </c>
      <c r="D100" s="3" t="inlineStr">
        <is>
          <t>7620/100</t>
        </is>
      </c>
      <c r="E100" s="3" t="inlineStr">
        <is>
          <t>Heron View Land</t>
        </is>
      </c>
      <c r="F100" s="3" t="n">
        <v>0</v>
      </c>
      <c r="G100" s="3" t="n">
        <v>26200000</v>
      </c>
    </row>
    <row r="101">
      <c r="A101" s="3" t="inlineStr">
        <is>
          <t>Heron Fields (Pty) Ltd</t>
        </is>
      </c>
      <c r="B101" s="4" t="n">
        <v>44408</v>
      </c>
      <c r="C101" s="3" t="inlineStr">
        <is>
          <t>Assets</t>
        </is>
      </c>
      <c r="D101" s="3" t="inlineStr">
        <is>
          <t>7620/101</t>
        </is>
      </c>
      <c r="E101" s="3" t="inlineStr">
        <is>
          <t>HF CIP Bond Registration Fee</t>
        </is>
      </c>
      <c r="F101" s="3" t="n">
        <v>0</v>
      </c>
      <c r="G101" s="3" t="n">
        <v>68427</v>
      </c>
    </row>
    <row r="102">
      <c r="A102" s="3" t="inlineStr">
        <is>
          <t>Heron Fields (Pty) Ltd</t>
        </is>
      </c>
      <c r="B102" s="4" t="n">
        <v>44408</v>
      </c>
      <c r="C102" s="3" t="inlineStr">
        <is>
          <t>Assets</t>
        </is>
      </c>
      <c r="D102" s="3" t="inlineStr">
        <is>
          <t>7620/102</t>
        </is>
      </c>
      <c r="E102" s="3" t="inlineStr">
        <is>
          <t>HF CIP Transfer Fee</t>
        </is>
      </c>
      <c r="F102" s="3" t="n">
        <v>0</v>
      </c>
      <c r="G102" s="3" t="n">
        <v>103812</v>
      </c>
    </row>
    <row r="103">
      <c r="A103" s="3" t="inlineStr">
        <is>
          <t>Heron Fields (Pty) Ltd</t>
        </is>
      </c>
      <c r="B103" s="4" t="n">
        <v>44408</v>
      </c>
      <c r="C103" s="3" t="inlineStr">
        <is>
          <t>Assets</t>
        </is>
      </c>
      <c r="D103" s="3" t="inlineStr">
        <is>
          <t>7620/220</t>
        </is>
      </c>
      <c r="E103" s="3" t="inlineStr">
        <is>
          <t>HF CIP Architectural Designs</t>
        </is>
      </c>
      <c r="F103" s="3" t="n">
        <v>0</v>
      </c>
      <c r="G103" s="3" t="n">
        <v>120000</v>
      </c>
    </row>
    <row r="104">
      <c r="A104" s="3" t="inlineStr">
        <is>
          <t>Heron Fields (Pty) Ltd</t>
        </is>
      </c>
      <c r="B104" s="4" t="n">
        <v>44408</v>
      </c>
      <c r="C104" s="3" t="inlineStr">
        <is>
          <t>Assets</t>
        </is>
      </c>
      <c r="D104" s="3" t="inlineStr">
        <is>
          <t>7620/240</t>
        </is>
      </c>
      <c r="E104" s="3" t="inlineStr">
        <is>
          <t>HF CIP Civil Engineering</t>
        </is>
      </c>
      <c r="F104" s="3" t="n">
        <v>31500</v>
      </c>
      <c r="G104" s="3" t="n">
        <v>358500</v>
      </c>
    </row>
    <row r="105">
      <c r="A105" s="3" t="inlineStr">
        <is>
          <t>Heron Fields (Pty) Ltd</t>
        </is>
      </c>
      <c r="B105" s="4" t="n">
        <v>44408</v>
      </c>
      <c r="C105" s="3" t="inlineStr">
        <is>
          <t>Assets</t>
        </is>
      </c>
      <c r="D105" s="3" t="inlineStr">
        <is>
          <t>7620/250</t>
        </is>
      </c>
      <c r="E105" s="3" t="inlineStr">
        <is>
          <t>HF CIP Land Surveyor</t>
        </is>
      </c>
      <c r="F105" s="3" t="n">
        <v>0</v>
      </c>
      <c r="G105" s="3" t="n">
        <v>4510</v>
      </c>
    </row>
    <row r="106">
      <c r="A106" s="3" t="inlineStr">
        <is>
          <t>Heron Fields (Pty) Ltd</t>
        </is>
      </c>
      <c r="B106" s="4" t="n">
        <v>44408</v>
      </c>
      <c r="C106" s="3" t="inlineStr">
        <is>
          <t>Assets</t>
        </is>
      </c>
      <c r="D106" s="3" t="inlineStr">
        <is>
          <t>7620/255</t>
        </is>
      </c>
      <c r="E106" s="3" t="inlineStr">
        <is>
          <t>HF CIP Landscaping</t>
        </is>
      </c>
      <c r="F106" s="3" t="n">
        <v>0</v>
      </c>
      <c r="G106" s="3" t="n">
        <v>7500</v>
      </c>
    </row>
    <row r="107">
      <c r="A107" s="3" t="inlineStr">
        <is>
          <t>Heron Fields (Pty) Ltd</t>
        </is>
      </c>
      <c r="B107" s="4" t="n">
        <v>44408</v>
      </c>
      <c r="C107" s="3" t="inlineStr">
        <is>
          <t>Assets</t>
        </is>
      </c>
      <c r="D107" s="3" t="inlineStr">
        <is>
          <t>7620/260</t>
        </is>
      </c>
      <c r="E107" s="3" t="inlineStr">
        <is>
          <t>HF CIP Mechanical Engineers</t>
        </is>
      </c>
      <c r="F107" s="3" t="n">
        <v>0</v>
      </c>
      <c r="G107" s="3" t="n">
        <v>39000</v>
      </c>
    </row>
    <row r="108">
      <c r="A108" s="3" t="inlineStr">
        <is>
          <t>Heron Fields (Pty) Ltd</t>
        </is>
      </c>
      <c r="B108" s="4" t="n">
        <v>44408</v>
      </c>
      <c r="C108" s="3" t="inlineStr">
        <is>
          <t>Assets</t>
        </is>
      </c>
      <c r="D108" s="3" t="inlineStr">
        <is>
          <t>7620/270</t>
        </is>
      </c>
      <c r="E108" s="3" t="inlineStr">
        <is>
          <t>HF CIP Geotechnical</t>
        </is>
      </c>
      <c r="F108" s="3" t="n">
        <v>0</v>
      </c>
      <c r="G108" s="3" t="n">
        <v>15175</v>
      </c>
    </row>
    <row r="109">
      <c r="A109" s="3" t="inlineStr">
        <is>
          <t>Heron Fields (Pty) Ltd</t>
        </is>
      </c>
      <c r="B109" s="4" t="n">
        <v>44408</v>
      </c>
      <c r="C109" s="3" t="inlineStr">
        <is>
          <t>Assets</t>
        </is>
      </c>
      <c r="D109" s="3" t="inlineStr">
        <is>
          <t>7620/280</t>
        </is>
      </c>
      <c r="E109" s="3" t="inlineStr">
        <is>
          <t>HF CIP Site Establishment</t>
        </is>
      </c>
      <c r="F109" s="3" t="n">
        <v>0</v>
      </c>
      <c r="G109" s="3" t="n">
        <v>23034.26</v>
      </c>
    </row>
    <row r="110">
      <c r="A110" s="3" t="inlineStr">
        <is>
          <t>Heron Fields (Pty) Ltd</t>
        </is>
      </c>
      <c r="B110" s="4" t="n">
        <v>44408</v>
      </c>
      <c r="C110" s="3" t="inlineStr">
        <is>
          <t>Assets</t>
        </is>
      </c>
      <c r="D110" s="3" t="inlineStr">
        <is>
          <t>7620/285</t>
        </is>
      </c>
      <c r="E110" s="3" t="inlineStr">
        <is>
          <t>HF CIP Structuring Fee - Invest</t>
        </is>
      </c>
      <c r="F110" s="3" t="n">
        <v>0</v>
      </c>
      <c r="G110" s="3" t="n">
        <v>1363107.22</v>
      </c>
    </row>
    <row r="111">
      <c r="A111" s="3" t="inlineStr">
        <is>
          <t>Heron Fields (Pty) Ltd</t>
        </is>
      </c>
      <c r="B111" s="4" t="n">
        <v>44408</v>
      </c>
      <c r="C111" s="3" t="inlineStr">
        <is>
          <t>Assets</t>
        </is>
      </c>
      <c r="D111" s="3" t="inlineStr">
        <is>
          <t>7620/287</t>
        </is>
      </c>
      <c r="E111" s="3" t="inlineStr">
        <is>
          <t>HF CIP Structuring Fee - Development</t>
        </is>
      </c>
      <c r="F111" s="3" t="n">
        <v>782608.0699999999</v>
      </c>
      <c r="G111" s="3" t="n">
        <v>782608.0699999999</v>
      </c>
    </row>
    <row r="112">
      <c r="A112" s="3" t="inlineStr">
        <is>
          <t>Heron Fields (Pty) Ltd</t>
        </is>
      </c>
      <c r="B112" s="4" t="n">
        <v>44408</v>
      </c>
      <c r="C112" s="3" t="inlineStr">
        <is>
          <t>Assets</t>
        </is>
      </c>
      <c r="D112" s="3" t="inlineStr">
        <is>
          <t>7620/290</t>
        </is>
      </c>
      <c r="E112" s="3" t="inlineStr">
        <is>
          <t>HF CIP Town Planning</t>
        </is>
      </c>
      <c r="F112" s="3" t="n">
        <v>0</v>
      </c>
      <c r="G112" s="3" t="n">
        <v>123150</v>
      </c>
    </row>
    <row r="113">
      <c r="A113" s="3" t="inlineStr">
        <is>
          <t>Heron Fields (Pty) Ltd</t>
        </is>
      </c>
      <c r="B113" s="4" t="n">
        <v>44408</v>
      </c>
      <c r="C113" s="3" t="inlineStr">
        <is>
          <t>Assets</t>
        </is>
      </c>
      <c r="D113" s="3" t="inlineStr">
        <is>
          <t>7620/295</t>
        </is>
      </c>
      <c r="E113" s="3" t="inlineStr">
        <is>
          <t>HF CIP Traffic Planning</t>
        </is>
      </c>
      <c r="F113" s="3" t="n">
        <v>0</v>
      </c>
      <c r="G113" s="3" t="n">
        <v>45000</v>
      </c>
    </row>
    <row r="114">
      <c r="A114" s="3" t="inlineStr">
        <is>
          <t>Heron Fields (Pty) Ltd</t>
        </is>
      </c>
      <c r="B114" s="4" t="n">
        <v>44408</v>
      </c>
      <c r="C114" s="3" t="inlineStr">
        <is>
          <t>Assets</t>
        </is>
      </c>
      <c r="D114" s="3" t="inlineStr">
        <is>
          <t>8400/000</t>
        </is>
      </c>
      <c r="E114" s="3" t="inlineStr">
        <is>
          <t>RMB - 62882379087</t>
        </is>
      </c>
      <c r="F114" s="3" t="n">
        <v>-125105.31</v>
      </c>
      <c r="G114" s="3" t="n">
        <v>3145.24</v>
      </c>
    </row>
    <row r="115">
      <c r="A115" s="3" t="inlineStr">
        <is>
          <t>Heron Fields (Pty) Ltd</t>
        </is>
      </c>
      <c r="B115" s="4" t="n">
        <v>44408</v>
      </c>
      <c r="C115" s="3" t="inlineStr">
        <is>
          <t>Assets</t>
        </is>
      </c>
      <c r="D115" s="3" t="inlineStr">
        <is>
          <t>8410/000</t>
        </is>
      </c>
      <c r="E115" s="3" t="inlineStr">
        <is>
          <t>STBB Trust Account</t>
        </is>
      </c>
      <c r="F115" s="3" t="n">
        <v>-2748737.47</v>
      </c>
      <c r="G115" s="3" t="n">
        <v>0</v>
      </c>
    </row>
    <row r="116">
      <c r="A116" s="3" t="inlineStr">
        <is>
          <t>Heron Fields (Pty) Ltd</t>
        </is>
      </c>
      <c r="B116" s="4" t="n">
        <v>44408</v>
      </c>
      <c r="C116" s="3" t="inlineStr">
        <is>
          <t>Liabilities</t>
        </is>
      </c>
      <c r="D116" s="3" t="inlineStr">
        <is>
          <t>9000/000</t>
        </is>
      </c>
      <c r="E116" s="3" t="inlineStr">
        <is>
          <t>Supplier Control Account</t>
        </is>
      </c>
      <c r="F116" s="3" t="n">
        <v>1905695.63</v>
      </c>
      <c r="G116" s="3" t="n">
        <v>-32650021.29</v>
      </c>
    </row>
    <row r="117">
      <c r="A117" s="3" t="inlineStr">
        <is>
          <t>Heron Fields (Pty) Ltd</t>
        </is>
      </c>
      <c r="B117" s="4" t="n">
        <v>44408</v>
      </c>
      <c r="C117" s="3" t="inlineStr">
        <is>
          <t>Liabilities</t>
        </is>
      </c>
      <c r="D117" s="3" t="inlineStr">
        <is>
          <t>9210/001</t>
        </is>
      </c>
      <c r="E117" s="3" t="inlineStr">
        <is>
          <t>Accrued Expenses</t>
        </is>
      </c>
      <c r="F117" s="3" t="n">
        <v>-430.43</v>
      </c>
      <c r="G117" s="3" t="n">
        <v>-430.43</v>
      </c>
    </row>
    <row r="118">
      <c r="A118" s="3" t="inlineStr">
        <is>
          <t>Heron Fields (Pty) Ltd</t>
        </is>
      </c>
      <c r="B118" s="4" t="n">
        <v>44408</v>
      </c>
      <c r="C118" s="3" t="inlineStr">
        <is>
          <t>Liabilities</t>
        </is>
      </c>
      <c r="D118" s="3" t="inlineStr">
        <is>
          <t>9500/000</t>
        </is>
      </c>
      <c r="E118" s="3" t="inlineStr">
        <is>
          <t>Vat / Tax Control Account</t>
        </is>
      </c>
      <c r="F118" s="3" t="n">
        <v>123187.98</v>
      </c>
      <c r="G118" s="3" t="n">
        <v>3437837.68</v>
      </c>
    </row>
    <row r="119">
      <c r="A119" s="3" t="inlineStr">
        <is>
          <t>Heron Fields (Pty) Ltd</t>
        </is>
      </c>
      <c r="B119" s="4" t="n">
        <v>44439</v>
      </c>
      <c r="C119" s="3" t="inlineStr">
        <is>
          <t>Revenue</t>
        </is>
      </c>
      <c r="D119" s="3" t="inlineStr">
        <is>
          <t>1500/001</t>
        </is>
      </c>
      <c r="E119" s="3" t="inlineStr">
        <is>
          <t>Revaluation of Land</t>
        </is>
      </c>
      <c r="F119" s="3" t="n">
        <v>-1000000</v>
      </c>
      <c r="G119" s="3" t="n">
        <v>-1000000</v>
      </c>
    </row>
    <row r="120">
      <c r="A120" s="3" t="inlineStr">
        <is>
          <t>Heron Fields (Pty) Ltd</t>
        </is>
      </c>
      <c r="B120" s="4" t="n">
        <v>44439</v>
      </c>
      <c r="C120" s="3" t="inlineStr">
        <is>
          <t>Revenue</t>
        </is>
      </c>
      <c r="D120" s="3" t="inlineStr">
        <is>
          <t>2753/001</t>
        </is>
      </c>
      <c r="E120" s="3" t="inlineStr">
        <is>
          <t>Interest Received - Deposit Grey Heron</t>
        </is>
      </c>
      <c r="F120" s="3" t="n">
        <v>0</v>
      </c>
      <c r="G120" s="3" t="n">
        <v>-1245</v>
      </c>
    </row>
    <row r="121">
      <c r="A121" s="3" t="inlineStr">
        <is>
          <t>Heron Fields (Pty) Ltd</t>
        </is>
      </c>
      <c r="B121" s="4" t="n">
        <v>44439</v>
      </c>
      <c r="C121" s="3" t="inlineStr">
        <is>
          <t>Revenue</t>
        </is>
      </c>
      <c r="D121" s="3" t="inlineStr">
        <is>
          <t>2754/001</t>
        </is>
      </c>
      <c r="E121" s="3" t="inlineStr">
        <is>
          <t>Interest Received - STBB Trust Account</t>
        </is>
      </c>
      <c r="F121" s="3" t="n">
        <v>0</v>
      </c>
      <c r="G121" s="3" t="n">
        <v>-149149.4</v>
      </c>
    </row>
    <row r="122">
      <c r="A122" s="3" t="inlineStr">
        <is>
          <t>Heron Fields (Pty) Ltd</t>
        </is>
      </c>
      <c r="B122" s="4" t="n">
        <v>44439</v>
      </c>
      <c r="C122" s="3" t="inlineStr">
        <is>
          <t>Expenses</t>
        </is>
      </c>
      <c r="D122" s="3" t="inlineStr">
        <is>
          <t>3000/100</t>
        </is>
      </c>
      <c r="E122" s="3" t="inlineStr">
        <is>
          <t>Accounting - CIPC</t>
        </is>
      </c>
      <c r="F122" s="3" t="n">
        <v>0</v>
      </c>
      <c r="G122" s="3" t="n">
        <v>100</v>
      </c>
    </row>
    <row r="123">
      <c r="A123" s="3" t="inlineStr">
        <is>
          <t>Heron Fields (Pty) Ltd</t>
        </is>
      </c>
      <c r="B123" s="4" t="n">
        <v>44439</v>
      </c>
      <c r="C123" s="3" t="inlineStr">
        <is>
          <t>Expenses</t>
        </is>
      </c>
      <c r="D123" s="3" t="inlineStr">
        <is>
          <t>3050/000</t>
        </is>
      </c>
      <c r="E123" s="3" t="inlineStr">
        <is>
          <t>Advertising _AND_ Promotions</t>
        </is>
      </c>
      <c r="F123" s="3" t="n">
        <v>1020</v>
      </c>
      <c r="G123" s="3" t="n">
        <v>6770</v>
      </c>
    </row>
    <row r="124">
      <c r="A124" s="3" t="inlineStr">
        <is>
          <t>Heron Fields (Pty) Ltd</t>
        </is>
      </c>
      <c r="B124" s="4" t="n">
        <v>44439</v>
      </c>
      <c r="C124" s="3" t="inlineStr">
        <is>
          <t>Expenses</t>
        </is>
      </c>
      <c r="D124" s="3" t="inlineStr">
        <is>
          <t>3200/000</t>
        </is>
      </c>
      <c r="E124" s="3" t="inlineStr">
        <is>
          <t>Bank Charges</t>
        </is>
      </c>
      <c r="F124" s="3" t="n">
        <v>295.94</v>
      </c>
      <c r="G124" s="3" t="n">
        <v>1472.71</v>
      </c>
    </row>
    <row r="125">
      <c r="A125" s="3" t="inlineStr">
        <is>
          <t>Heron Fields (Pty) Ltd</t>
        </is>
      </c>
      <c r="B125" s="4" t="n">
        <v>44439</v>
      </c>
      <c r="C125" s="3" t="inlineStr">
        <is>
          <t>Expenses</t>
        </is>
      </c>
      <c r="D125" s="3" t="inlineStr">
        <is>
          <t>3301/000</t>
        </is>
      </c>
      <c r="E125" s="3" t="inlineStr">
        <is>
          <t>Computer Expenses - Xero</t>
        </is>
      </c>
      <c r="F125" s="3" t="n">
        <v>0</v>
      </c>
      <c r="G125" s="3" t="n">
        <v>3000</v>
      </c>
    </row>
    <row r="126">
      <c r="A126" s="3" t="inlineStr">
        <is>
          <t>Heron Fields (Pty) Ltd</t>
        </is>
      </c>
      <c r="B126" s="4" t="n">
        <v>44439</v>
      </c>
      <c r="C126" s="3" t="inlineStr">
        <is>
          <t>Expenses</t>
        </is>
      </c>
      <c r="D126" s="3" t="inlineStr">
        <is>
          <t>3650/000</t>
        </is>
      </c>
      <c r="E126" s="3" t="inlineStr">
        <is>
          <t>CoCT - Electricity</t>
        </is>
      </c>
      <c r="F126" s="3" t="n">
        <v>2700.55</v>
      </c>
      <c r="G126" s="3" t="n">
        <v>5959.8</v>
      </c>
    </row>
    <row r="127">
      <c r="A127" s="3" t="inlineStr">
        <is>
          <t>Heron Fields (Pty) Ltd</t>
        </is>
      </c>
      <c r="B127" s="4" t="n">
        <v>44439</v>
      </c>
      <c r="C127" s="3" t="inlineStr">
        <is>
          <t>Expenses</t>
        </is>
      </c>
      <c r="D127" s="3" t="inlineStr">
        <is>
          <t>3660/000</t>
        </is>
      </c>
      <c r="E127" s="3" t="inlineStr">
        <is>
          <t>CoCT - Water</t>
        </is>
      </c>
      <c r="F127" s="3" t="n">
        <v>316.96</v>
      </c>
      <c r="G127" s="3" t="n">
        <v>490.82</v>
      </c>
    </row>
    <row r="128">
      <c r="A128" s="3" t="inlineStr">
        <is>
          <t>Heron Fields (Pty) Ltd</t>
        </is>
      </c>
      <c r="B128" s="4" t="n">
        <v>44439</v>
      </c>
      <c r="C128" s="3" t="inlineStr">
        <is>
          <t>Expenses</t>
        </is>
      </c>
      <c r="D128" s="3" t="inlineStr">
        <is>
          <t>3700/000</t>
        </is>
      </c>
      <c r="E128" s="3" t="inlineStr">
        <is>
          <t>Entertainment Expenses</t>
        </is>
      </c>
      <c r="F128" s="3" t="n">
        <v>0</v>
      </c>
      <c r="G128" s="3" t="n">
        <v>250</v>
      </c>
    </row>
    <row r="129">
      <c r="A129" s="3" t="inlineStr">
        <is>
          <t>Heron Fields (Pty) Ltd</t>
        </is>
      </c>
      <c r="B129" s="4" t="n">
        <v>44439</v>
      </c>
      <c r="C129" s="3" t="inlineStr">
        <is>
          <t>Expenses</t>
        </is>
      </c>
      <c r="D129" s="3" t="inlineStr">
        <is>
          <t>4200/000</t>
        </is>
      </c>
      <c r="E129" s="3" t="inlineStr">
        <is>
          <t>Printing _AND_ Stationery</t>
        </is>
      </c>
      <c r="F129" s="3" t="n">
        <v>0</v>
      </c>
      <c r="G129" s="3" t="n">
        <v>765</v>
      </c>
    </row>
    <row r="130">
      <c r="A130" s="3" t="inlineStr">
        <is>
          <t>Heron Fields (Pty) Ltd</t>
        </is>
      </c>
      <c r="B130" s="4" t="n">
        <v>44439</v>
      </c>
      <c r="C130" s="3" t="inlineStr">
        <is>
          <t>Expenses</t>
        </is>
      </c>
      <c r="D130" s="3" t="inlineStr">
        <is>
          <t>4310/000</t>
        </is>
      </c>
      <c r="E130" s="3" t="inlineStr">
        <is>
          <t>Rates - Heron</t>
        </is>
      </c>
      <c r="F130" s="3" t="n">
        <v>3374.65</v>
      </c>
      <c r="G130" s="3" t="n">
        <v>8880.02</v>
      </c>
    </row>
    <row r="131">
      <c r="A131" s="3" t="inlineStr">
        <is>
          <t>Heron Fields (Pty) Ltd</t>
        </is>
      </c>
      <c r="B131" s="4" t="n">
        <v>44439</v>
      </c>
      <c r="C131" s="3" t="inlineStr">
        <is>
          <t>Expenses</t>
        </is>
      </c>
      <c r="D131" s="3" t="inlineStr">
        <is>
          <t>4410/000</t>
        </is>
      </c>
      <c r="E131" s="3" t="inlineStr">
        <is>
          <t>Secretarial fees</t>
        </is>
      </c>
      <c r="F131" s="3" t="n">
        <v>0</v>
      </c>
      <c r="G131" s="3" t="n">
        <v>2100</v>
      </c>
    </row>
    <row r="132">
      <c r="A132" s="3" t="inlineStr">
        <is>
          <t>Heron Fields (Pty) Ltd</t>
        </is>
      </c>
      <c r="B132" s="4" t="n">
        <v>44439</v>
      </c>
      <c r="C132" s="3" t="inlineStr">
        <is>
          <t>Expenses</t>
        </is>
      </c>
      <c r="D132" s="3" t="inlineStr">
        <is>
          <t>4420/001</t>
        </is>
      </c>
      <c r="E132" s="3" t="inlineStr">
        <is>
          <t>Security - ADT</t>
        </is>
      </c>
      <c r="F132" s="3" t="n">
        <v>-430.43</v>
      </c>
      <c r="G132" s="3" t="n">
        <v>1078.97</v>
      </c>
    </row>
    <row r="133">
      <c r="A133" s="3" t="inlineStr">
        <is>
          <t>Heron Fields (Pty) Ltd</t>
        </is>
      </c>
      <c r="B133" s="4" t="n">
        <v>44439</v>
      </c>
      <c r="C133" s="3" t="inlineStr">
        <is>
          <t>Expenses</t>
        </is>
      </c>
      <c r="D133" s="3" t="inlineStr">
        <is>
          <t>4550/100</t>
        </is>
      </c>
      <c r="E133" s="3" t="inlineStr">
        <is>
          <t>Subscriptions - Xero</t>
        </is>
      </c>
      <c r="F133" s="3" t="n">
        <v>550</v>
      </c>
      <c r="G133" s="3" t="n">
        <v>1100</v>
      </c>
    </row>
    <row r="134">
      <c r="A134" s="3" t="inlineStr">
        <is>
          <t>Heron Fields (Pty) Ltd</t>
        </is>
      </c>
      <c r="B134" s="4" t="n">
        <v>44439</v>
      </c>
      <c r="C134" s="3" t="inlineStr">
        <is>
          <t>Equity</t>
        </is>
      </c>
      <c r="D134" s="3" t="inlineStr">
        <is>
          <t>5100-000</t>
        </is>
      </c>
      <c r="E134" s="3" t="inlineStr">
        <is>
          <t>Share Capital</t>
        </is>
      </c>
      <c r="F134" s="3" t="n">
        <v>0</v>
      </c>
      <c r="G134" s="3" t="n">
        <v>-100</v>
      </c>
    </row>
    <row r="135">
      <c r="A135" s="3" t="inlineStr">
        <is>
          <t>Heron Fields (Pty) Ltd</t>
        </is>
      </c>
      <c r="B135" s="4" t="n">
        <v>44439</v>
      </c>
      <c r="C135" s="3" t="inlineStr">
        <is>
          <t>Assets</t>
        </is>
      </c>
      <c r="D135" s="3" t="inlineStr">
        <is>
          <t>5300/001</t>
        </is>
      </c>
      <c r="E135" s="3" t="inlineStr">
        <is>
          <t>Revaluation of Land stock</t>
        </is>
      </c>
      <c r="F135" s="3" t="n">
        <v>1000000</v>
      </c>
      <c r="G135" s="3" t="n">
        <v>1000000</v>
      </c>
    </row>
    <row r="136">
      <c r="A136" s="3" t="inlineStr">
        <is>
          <t>Heron Fields (Pty) Ltd</t>
        </is>
      </c>
      <c r="B136" s="4" t="n">
        <v>44439</v>
      </c>
      <c r="C136" s="3" t="inlineStr">
        <is>
          <t>Liabilities</t>
        </is>
      </c>
      <c r="D136" s="3" t="inlineStr">
        <is>
          <t>5500/020</t>
        </is>
      </c>
      <c r="E136" s="3" t="inlineStr">
        <is>
          <t>Loan - Cape Projects Construction</t>
        </is>
      </c>
      <c r="F136" s="3" t="n">
        <v>-110000</v>
      </c>
      <c r="G136" s="3" t="n">
        <v>0</v>
      </c>
    </row>
    <row r="137">
      <c r="A137" s="3" t="inlineStr">
        <is>
          <t>Heron Fields (Pty) Ltd</t>
        </is>
      </c>
      <c r="B137" s="4" t="n">
        <v>44439</v>
      </c>
      <c r="C137" s="3" t="inlineStr">
        <is>
          <t>Liabilities</t>
        </is>
      </c>
      <c r="D137" s="3" t="inlineStr">
        <is>
          <t>5500/030</t>
        </is>
      </c>
      <c r="E137" s="3" t="inlineStr">
        <is>
          <t>Loan - Opportunity Global Investments</t>
        </is>
      </c>
      <c r="F137" s="3" t="n">
        <v>0</v>
      </c>
      <c r="G137" s="3" t="n">
        <v>-28000</v>
      </c>
    </row>
    <row r="138">
      <c r="A138" s="3" t="inlineStr">
        <is>
          <t>Heron Fields (Pty) Ltd</t>
        </is>
      </c>
      <c r="B138" s="4" t="n">
        <v>44439</v>
      </c>
      <c r="C138" s="3" t="inlineStr">
        <is>
          <t>Assets</t>
        </is>
      </c>
      <c r="D138" s="3" t="inlineStr">
        <is>
          <t>7620/100</t>
        </is>
      </c>
      <c r="E138" s="3" t="inlineStr">
        <is>
          <t>Heron View Land</t>
        </is>
      </c>
      <c r="F138" s="3" t="n">
        <v>0</v>
      </c>
      <c r="G138" s="3" t="n">
        <v>26200000</v>
      </c>
    </row>
    <row r="139">
      <c r="A139" s="3" t="inlineStr">
        <is>
          <t>Heron Fields (Pty) Ltd</t>
        </is>
      </c>
      <c r="B139" s="4" t="n">
        <v>44439</v>
      </c>
      <c r="C139" s="3" t="inlineStr">
        <is>
          <t>Assets</t>
        </is>
      </c>
      <c r="D139" s="3" t="inlineStr">
        <is>
          <t>7620/101</t>
        </is>
      </c>
      <c r="E139" s="3" t="inlineStr">
        <is>
          <t>HF CIP Bond Registration Fee</t>
        </is>
      </c>
      <c r="F139" s="3" t="n">
        <v>0</v>
      </c>
      <c r="G139" s="3" t="n">
        <v>68427</v>
      </c>
    </row>
    <row r="140">
      <c r="A140" s="3" t="inlineStr">
        <is>
          <t>Heron Fields (Pty) Ltd</t>
        </is>
      </c>
      <c r="B140" s="4" t="n">
        <v>44439</v>
      </c>
      <c r="C140" s="3" t="inlineStr">
        <is>
          <t>Assets</t>
        </is>
      </c>
      <c r="D140" s="3" t="inlineStr">
        <is>
          <t>7620/102</t>
        </is>
      </c>
      <c r="E140" s="3" t="inlineStr">
        <is>
          <t>HF CIP Transfer Fee</t>
        </is>
      </c>
      <c r="F140" s="3" t="n">
        <v>0</v>
      </c>
      <c r="G140" s="3" t="n">
        <v>103812</v>
      </c>
    </row>
    <row r="141">
      <c r="A141" s="3" t="inlineStr">
        <is>
          <t>Heron Fields (Pty) Ltd</t>
        </is>
      </c>
      <c r="B141" s="4" t="n">
        <v>44439</v>
      </c>
      <c r="C141" s="3" t="inlineStr">
        <is>
          <t>Assets</t>
        </is>
      </c>
      <c r="D141" s="3" t="inlineStr">
        <is>
          <t>7620/220</t>
        </is>
      </c>
      <c r="E141" s="3" t="inlineStr">
        <is>
          <t>HF CIP Architectural Designs</t>
        </is>
      </c>
      <c r="F141" s="3" t="n">
        <v>0</v>
      </c>
      <c r="G141" s="3" t="n">
        <v>120000</v>
      </c>
    </row>
    <row r="142">
      <c r="A142" s="3" t="inlineStr">
        <is>
          <t>Heron Fields (Pty) Ltd</t>
        </is>
      </c>
      <c r="B142" s="4" t="n">
        <v>44439</v>
      </c>
      <c r="C142" s="3" t="inlineStr">
        <is>
          <t>Assets</t>
        </is>
      </c>
      <c r="D142" s="3" t="inlineStr">
        <is>
          <t>7620/240</t>
        </is>
      </c>
      <c r="E142" s="3" t="inlineStr">
        <is>
          <t>HF CIP Civil Engineering</t>
        </is>
      </c>
      <c r="F142" s="3" t="n">
        <v>31500</v>
      </c>
      <c r="G142" s="3" t="n">
        <v>390000</v>
      </c>
    </row>
    <row r="143">
      <c r="A143" s="3" t="inlineStr">
        <is>
          <t>Heron Fields (Pty) Ltd</t>
        </is>
      </c>
      <c r="B143" s="4" t="n">
        <v>44439</v>
      </c>
      <c r="C143" s="3" t="inlineStr">
        <is>
          <t>Assets</t>
        </is>
      </c>
      <c r="D143" s="3" t="inlineStr">
        <is>
          <t>7620/250</t>
        </is>
      </c>
      <c r="E143" s="3" t="inlineStr">
        <is>
          <t>HF CIP Land Surveyor</t>
        </is>
      </c>
      <c r="F143" s="3" t="n">
        <v>0</v>
      </c>
      <c r="G143" s="3" t="n">
        <v>4510</v>
      </c>
    </row>
    <row r="144">
      <c r="A144" s="3" t="inlineStr">
        <is>
          <t>Heron Fields (Pty) Ltd</t>
        </is>
      </c>
      <c r="B144" s="4" t="n">
        <v>44439</v>
      </c>
      <c r="C144" s="3" t="inlineStr">
        <is>
          <t>Assets</t>
        </is>
      </c>
      <c r="D144" s="3" t="inlineStr">
        <is>
          <t>7620/255</t>
        </is>
      </c>
      <c r="E144" s="3" t="inlineStr">
        <is>
          <t>HF CIP Landscaping</t>
        </is>
      </c>
      <c r="F144" s="3" t="n">
        <v>0</v>
      </c>
      <c r="G144" s="3" t="n">
        <v>7500</v>
      </c>
    </row>
    <row r="145">
      <c r="A145" s="3" t="inlineStr">
        <is>
          <t>Heron Fields (Pty) Ltd</t>
        </is>
      </c>
      <c r="B145" s="4" t="n">
        <v>44439</v>
      </c>
      <c r="C145" s="3" t="inlineStr">
        <is>
          <t>Assets</t>
        </is>
      </c>
      <c r="D145" s="3" t="inlineStr">
        <is>
          <t>7620/260</t>
        </is>
      </c>
      <c r="E145" s="3" t="inlineStr">
        <is>
          <t>HF CIP Mechanical Engineers</t>
        </is>
      </c>
      <c r="F145" s="3" t="n">
        <v>0</v>
      </c>
      <c r="G145" s="3" t="n">
        <v>39000</v>
      </c>
    </row>
    <row r="146">
      <c r="A146" s="3" t="inlineStr">
        <is>
          <t>Heron Fields (Pty) Ltd</t>
        </is>
      </c>
      <c r="B146" s="4" t="n">
        <v>44439</v>
      </c>
      <c r="C146" s="3" t="inlineStr">
        <is>
          <t>Assets</t>
        </is>
      </c>
      <c r="D146" s="3" t="inlineStr">
        <is>
          <t>7620/270</t>
        </is>
      </c>
      <c r="E146" s="3" t="inlineStr">
        <is>
          <t>HF CIP Geotechnical</t>
        </is>
      </c>
      <c r="F146" s="3" t="n">
        <v>0</v>
      </c>
      <c r="G146" s="3" t="n">
        <v>15175</v>
      </c>
    </row>
    <row r="147">
      <c r="A147" s="3" t="inlineStr">
        <is>
          <t>Heron Fields (Pty) Ltd</t>
        </is>
      </c>
      <c r="B147" s="4" t="n">
        <v>44439</v>
      </c>
      <c r="C147" s="3" t="inlineStr">
        <is>
          <t>Assets</t>
        </is>
      </c>
      <c r="D147" s="3" t="inlineStr">
        <is>
          <t>7620/280</t>
        </is>
      </c>
      <c r="E147" s="3" t="inlineStr">
        <is>
          <t>HF CIP Site Establishment</t>
        </is>
      </c>
      <c r="F147" s="3" t="n">
        <v>0</v>
      </c>
      <c r="G147" s="3" t="n">
        <v>23034.26</v>
      </c>
    </row>
    <row r="148">
      <c r="A148" s="3" t="inlineStr">
        <is>
          <t>Heron Fields (Pty) Ltd</t>
        </is>
      </c>
      <c r="B148" s="4" t="n">
        <v>44439</v>
      </c>
      <c r="C148" s="3" t="inlineStr">
        <is>
          <t>Assets</t>
        </is>
      </c>
      <c r="D148" s="3" t="inlineStr">
        <is>
          <t>7620/285</t>
        </is>
      </c>
      <c r="E148" s="3" t="inlineStr">
        <is>
          <t>HF CIP Structuring Fee - Invest</t>
        </is>
      </c>
      <c r="F148" s="3" t="n">
        <v>0</v>
      </c>
      <c r="G148" s="3" t="n">
        <v>1363107.22</v>
      </c>
    </row>
    <row r="149">
      <c r="A149" s="3" t="inlineStr">
        <is>
          <t>Heron Fields (Pty) Ltd</t>
        </is>
      </c>
      <c r="B149" s="4" t="n">
        <v>44439</v>
      </c>
      <c r="C149" s="3" t="inlineStr">
        <is>
          <t>Assets</t>
        </is>
      </c>
      <c r="D149" s="3" t="inlineStr">
        <is>
          <t>7620/287</t>
        </is>
      </c>
      <c r="E149" s="3" t="inlineStr">
        <is>
          <t>HF CIP Structuring Fee - Development</t>
        </is>
      </c>
      <c r="F149" s="3" t="n">
        <v>0</v>
      </c>
      <c r="G149" s="3" t="n">
        <v>782608.0699999999</v>
      </c>
    </row>
    <row r="150">
      <c r="A150" s="3" t="inlineStr">
        <is>
          <t>Heron Fields (Pty) Ltd</t>
        </is>
      </c>
      <c r="B150" s="4" t="n">
        <v>44439</v>
      </c>
      <c r="C150" s="3" t="inlineStr">
        <is>
          <t>Assets</t>
        </is>
      </c>
      <c r="D150" s="3" t="inlineStr">
        <is>
          <t>7620/290</t>
        </is>
      </c>
      <c r="E150" s="3" t="inlineStr">
        <is>
          <t>HF CIP Town Planning</t>
        </is>
      </c>
      <c r="F150" s="3" t="n">
        <v>0</v>
      </c>
      <c r="G150" s="3" t="n">
        <v>123150</v>
      </c>
    </row>
    <row r="151">
      <c r="A151" s="3" t="inlineStr">
        <is>
          <t>Heron Fields (Pty) Ltd</t>
        </is>
      </c>
      <c r="B151" s="4" t="n">
        <v>44439</v>
      </c>
      <c r="C151" s="3" t="inlineStr">
        <is>
          <t>Assets</t>
        </is>
      </c>
      <c r="D151" s="3" t="inlineStr">
        <is>
          <t>7620/295</t>
        </is>
      </c>
      <c r="E151" s="3" t="inlineStr">
        <is>
          <t>HF CIP Traffic Planning</t>
        </is>
      </c>
      <c r="F151" s="3" t="n">
        <v>0</v>
      </c>
      <c r="G151" s="3" t="n">
        <v>45000</v>
      </c>
    </row>
    <row r="152">
      <c r="A152" s="3" t="inlineStr">
        <is>
          <t>Heron Fields (Pty) Ltd</t>
        </is>
      </c>
      <c r="B152" s="4" t="n">
        <v>44439</v>
      </c>
      <c r="C152" s="3" t="inlineStr">
        <is>
          <t>Assets</t>
        </is>
      </c>
      <c r="D152" s="3" t="inlineStr">
        <is>
          <t>8400/000</t>
        </is>
      </c>
      <c r="E152" s="3" t="inlineStr">
        <is>
          <t>RMB - 62882379087</t>
        </is>
      </c>
      <c r="F152" s="3" t="n">
        <v>85046.94</v>
      </c>
      <c r="G152" s="3" t="n">
        <v>88192.17999999999</v>
      </c>
    </row>
    <row r="153">
      <c r="A153" s="3" t="inlineStr">
        <is>
          <t>Heron Fields (Pty) Ltd</t>
        </is>
      </c>
      <c r="B153" s="4" t="n">
        <v>44439</v>
      </c>
      <c r="C153" s="3" t="inlineStr">
        <is>
          <t>Assets</t>
        </is>
      </c>
      <c r="D153" s="3" t="inlineStr">
        <is>
          <t>8430/000</t>
        </is>
      </c>
      <c r="E153" s="3" t="inlineStr">
        <is>
          <t>Momentum Private Account RU502230151</t>
        </is>
      </c>
      <c r="F153" s="3" t="n">
        <v>500</v>
      </c>
      <c r="G153" s="3" t="n">
        <v>500</v>
      </c>
    </row>
    <row r="154">
      <c r="A154" s="3" t="inlineStr">
        <is>
          <t>Heron Fields (Pty) Ltd</t>
        </is>
      </c>
      <c r="B154" s="4" t="n">
        <v>44439</v>
      </c>
      <c r="C154" s="3" t="inlineStr">
        <is>
          <t>Assets</t>
        </is>
      </c>
      <c r="D154" s="3" t="inlineStr">
        <is>
          <t>8440/000</t>
        </is>
      </c>
      <c r="E154" s="3" t="inlineStr">
        <is>
          <t>Momentum Investors Account RU502229930</t>
        </is>
      </c>
      <c r="F154" s="3" t="n">
        <v>1000500</v>
      </c>
      <c r="G154" s="3" t="n">
        <v>1000500</v>
      </c>
    </row>
    <row r="155">
      <c r="A155" s="3" t="inlineStr">
        <is>
          <t>Heron Fields (Pty) Ltd</t>
        </is>
      </c>
      <c r="B155" s="4" t="n">
        <v>44439</v>
      </c>
      <c r="C155" s="3" t="inlineStr">
        <is>
          <t>Liabilities</t>
        </is>
      </c>
      <c r="D155" s="3" t="inlineStr">
        <is>
          <t>9000/000</t>
        </is>
      </c>
      <c r="E155" s="3" t="inlineStr">
        <is>
          <t>Supplier Control Account</t>
        </is>
      </c>
      <c r="F155" s="3" t="n">
        <v>-1000704.4</v>
      </c>
      <c r="G155" s="3" t="n">
        <v>-33650725.69</v>
      </c>
    </row>
    <row r="156">
      <c r="A156" s="3" t="inlineStr">
        <is>
          <t>Heron Fields (Pty) Ltd</t>
        </is>
      </c>
      <c r="B156" s="4" t="n">
        <v>44439</v>
      </c>
      <c r="C156" s="3" t="inlineStr">
        <is>
          <t>Liabilities</t>
        </is>
      </c>
      <c r="D156" s="3" t="inlineStr">
        <is>
          <t>9210/001</t>
        </is>
      </c>
      <c r="E156" s="3" t="inlineStr">
        <is>
          <t>Accrued Expenses</t>
        </is>
      </c>
      <c r="F156" s="3" t="n">
        <v>430.43</v>
      </c>
      <c r="G156" s="3" t="n">
        <v>0</v>
      </c>
    </row>
    <row r="157">
      <c r="A157" s="3" t="inlineStr">
        <is>
          <t>Heron Fields (Pty) Ltd</t>
        </is>
      </c>
      <c r="B157" s="4" t="n">
        <v>44439</v>
      </c>
      <c r="C157" s="3" t="inlineStr">
        <is>
          <t>Liabilities</t>
        </is>
      </c>
      <c r="D157" s="3" t="inlineStr">
        <is>
          <t>9500/000</t>
        </is>
      </c>
      <c r="E157" s="3" t="inlineStr">
        <is>
          <t>Vat / Tax Control Account</t>
        </is>
      </c>
      <c r="F157" s="3" t="n">
        <v>-15100.64</v>
      </c>
      <c r="G157" s="3" t="n">
        <v>3422737.04</v>
      </c>
    </row>
    <row r="158">
      <c r="A158" s="3" t="inlineStr">
        <is>
          <t>Heron Fields (Pty) Ltd</t>
        </is>
      </c>
      <c r="B158" s="4" t="n">
        <v>44469</v>
      </c>
      <c r="C158" s="3" t="inlineStr">
        <is>
          <t>Revenue</t>
        </is>
      </c>
      <c r="D158" s="3" t="inlineStr">
        <is>
          <t>1500/001</t>
        </is>
      </c>
      <c r="E158" s="3" t="inlineStr">
        <is>
          <t>Revaluation of Land</t>
        </is>
      </c>
      <c r="F158" s="3" t="n">
        <v>-20976776.45</v>
      </c>
      <c r="G158" s="3" t="n">
        <v>-21976776.45</v>
      </c>
    </row>
    <row r="159">
      <c r="A159" s="3" t="inlineStr">
        <is>
          <t>Heron Fields (Pty) Ltd</t>
        </is>
      </c>
      <c r="B159" s="4" t="n">
        <v>44469</v>
      </c>
      <c r="C159" s="3" t="inlineStr">
        <is>
          <t>Expenses</t>
        </is>
      </c>
      <c r="D159" s="3" t="inlineStr">
        <is>
          <t>2000/020</t>
        </is>
      </c>
      <c r="E159" s="3" t="inlineStr">
        <is>
          <t>COS - Heron sales office</t>
        </is>
      </c>
      <c r="F159" s="3" t="n">
        <v>3380</v>
      </c>
      <c r="G159" s="3" t="n">
        <v>3380</v>
      </c>
    </row>
    <row r="160">
      <c r="A160" s="3" t="inlineStr">
        <is>
          <t>Heron Fields (Pty) Ltd</t>
        </is>
      </c>
      <c r="B160" s="4" t="n">
        <v>44469</v>
      </c>
      <c r="C160" s="3" t="inlineStr">
        <is>
          <t>Revenue</t>
        </is>
      </c>
      <c r="D160" s="3" t="inlineStr">
        <is>
          <t>2753/001</t>
        </is>
      </c>
      <c r="E160" s="3" t="inlineStr">
        <is>
          <t>Interest Received - Deposit Grey Heron</t>
        </is>
      </c>
      <c r="F160" s="3" t="n">
        <v>0</v>
      </c>
      <c r="G160" s="3" t="n">
        <v>-1245</v>
      </c>
    </row>
    <row r="161">
      <c r="A161" s="3" t="inlineStr">
        <is>
          <t>Heron Fields (Pty) Ltd</t>
        </is>
      </c>
      <c r="B161" s="4" t="n">
        <v>44469</v>
      </c>
      <c r="C161" s="3" t="inlineStr">
        <is>
          <t>Revenue</t>
        </is>
      </c>
      <c r="D161" s="3" t="inlineStr">
        <is>
          <t>2754/001</t>
        </is>
      </c>
      <c r="E161" s="3" t="inlineStr">
        <is>
          <t>Interest Received - STBB Trust Account</t>
        </is>
      </c>
      <c r="F161" s="3" t="n">
        <v>0</v>
      </c>
      <c r="G161" s="3" t="n">
        <v>-149149.4</v>
      </c>
    </row>
    <row r="162">
      <c r="A162" s="3" t="inlineStr">
        <is>
          <t>Heron Fields (Pty) Ltd</t>
        </is>
      </c>
      <c r="B162" s="4" t="n">
        <v>44469</v>
      </c>
      <c r="C162" s="3" t="inlineStr">
        <is>
          <t>Revenue</t>
        </is>
      </c>
      <c r="D162" s="3" t="inlineStr">
        <is>
          <t>2755/001</t>
        </is>
      </c>
      <c r="E162" s="3" t="inlineStr">
        <is>
          <t>Interest Received - Momentum</t>
        </is>
      </c>
      <c r="F162" s="3" t="n">
        <v>-6154.84</v>
      </c>
      <c r="G162" s="3" t="n">
        <v>-6154.84</v>
      </c>
    </row>
    <row r="163">
      <c r="A163" s="3" t="inlineStr">
        <is>
          <t>Heron Fields (Pty) Ltd</t>
        </is>
      </c>
      <c r="B163" s="4" t="n">
        <v>44469</v>
      </c>
      <c r="C163" s="3" t="inlineStr">
        <is>
          <t>Expenses</t>
        </is>
      </c>
      <c r="D163" s="3" t="inlineStr">
        <is>
          <t>3000/100</t>
        </is>
      </c>
      <c r="E163" s="3" t="inlineStr">
        <is>
          <t>Accounting - CIPC</t>
        </is>
      </c>
      <c r="F163" s="3" t="n">
        <v>0</v>
      </c>
      <c r="G163" s="3" t="n">
        <v>100</v>
      </c>
    </row>
    <row r="164">
      <c r="A164" s="3" t="inlineStr">
        <is>
          <t>Heron Fields (Pty) Ltd</t>
        </is>
      </c>
      <c r="B164" s="4" t="n">
        <v>44469</v>
      </c>
      <c r="C164" s="3" t="inlineStr">
        <is>
          <t>Expenses</t>
        </is>
      </c>
      <c r="D164" s="3" t="inlineStr">
        <is>
          <t>3050/000</t>
        </is>
      </c>
      <c r="E164" s="3" t="inlineStr">
        <is>
          <t>Advertising _AND_ Promotions</t>
        </is>
      </c>
      <c r="F164" s="3" t="n">
        <v>3224.52</v>
      </c>
      <c r="G164" s="3" t="n">
        <v>9994.52</v>
      </c>
    </row>
    <row r="165">
      <c r="A165" s="3" t="inlineStr">
        <is>
          <t>Heron Fields (Pty) Ltd</t>
        </is>
      </c>
      <c r="B165" s="4" t="n">
        <v>44469</v>
      </c>
      <c r="C165" s="3" t="inlineStr">
        <is>
          <t>Expenses</t>
        </is>
      </c>
      <c r="D165" s="3" t="inlineStr">
        <is>
          <t>3200/000</t>
        </is>
      </c>
      <c r="E165" s="3" t="inlineStr">
        <is>
          <t>Bank Charges</t>
        </is>
      </c>
      <c r="F165" s="3" t="n">
        <v>303.01</v>
      </c>
      <c r="G165" s="3" t="n">
        <v>1775.72</v>
      </c>
    </row>
    <row r="166">
      <c r="A166" s="3" t="inlineStr">
        <is>
          <t>Heron Fields (Pty) Ltd</t>
        </is>
      </c>
      <c r="B166" s="4" t="n">
        <v>44469</v>
      </c>
      <c r="C166" s="3" t="inlineStr">
        <is>
          <t>Expenses</t>
        </is>
      </c>
      <c r="D166" s="3" t="inlineStr">
        <is>
          <t>3301/000</t>
        </is>
      </c>
      <c r="E166" s="3" t="inlineStr">
        <is>
          <t>Computer Expenses - Xero</t>
        </is>
      </c>
      <c r="F166" s="3" t="n">
        <v>0</v>
      </c>
      <c r="G166" s="3" t="n">
        <v>3000</v>
      </c>
    </row>
    <row r="167">
      <c r="A167" s="3" t="inlineStr">
        <is>
          <t>Heron Fields (Pty) Ltd</t>
        </is>
      </c>
      <c r="B167" s="4" t="n">
        <v>44469</v>
      </c>
      <c r="C167" s="3" t="inlineStr">
        <is>
          <t>Expenses</t>
        </is>
      </c>
      <c r="D167" s="3" t="inlineStr">
        <is>
          <t>3350/100</t>
        </is>
      </c>
      <c r="E167" s="3" t="inlineStr">
        <is>
          <t>Consulting Fees - Admin and Finance</t>
        </is>
      </c>
      <c r="F167" s="3" t="n">
        <v>67385</v>
      </c>
      <c r="G167" s="3" t="n">
        <v>67385</v>
      </c>
    </row>
    <row r="168">
      <c r="A168" s="3" t="inlineStr">
        <is>
          <t>Heron Fields (Pty) Ltd</t>
        </is>
      </c>
      <c r="B168" s="4" t="n">
        <v>44469</v>
      </c>
      <c r="C168" s="3" t="inlineStr">
        <is>
          <t>Expenses</t>
        </is>
      </c>
      <c r="D168" s="3" t="inlineStr">
        <is>
          <t>3351/000</t>
        </is>
      </c>
      <c r="E168" s="3" t="inlineStr">
        <is>
          <t>Consulting fees - Trustee</t>
        </is>
      </c>
      <c r="F168" s="3" t="n">
        <v>5940</v>
      </c>
      <c r="G168" s="3" t="n">
        <v>5940</v>
      </c>
    </row>
    <row r="169">
      <c r="A169" s="3" t="inlineStr">
        <is>
          <t>Heron Fields (Pty) Ltd</t>
        </is>
      </c>
      <c r="B169" s="4" t="n">
        <v>44469</v>
      </c>
      <c r="C169" s="3" t="inlineStr">
        <is>
          <t>Expenses</t>
        </is>
      </c>
      <c r="D169" s="3" t="inlineStr">
        <is>
          <t>3650/000</t>
        </is>
      </c>
      <c r="E169" s="3" t="inlineStr">
        <is>
          <t>CoCT - Electricity</t>
        </is>
      </c>
      <c r="F169" s="3" t="n">
        <v>2300.82</v>
      </c>
      <c r="G169" s="3" t="n">
        <v>8260.620000000001</v>
      </c>
    </row>
    <row r="170">
      <c r="A170" s="3" t="inlineStr">
        <is>
          <t>Heron Fields (Pty) Ltd</t>
        </is>
      </c>
      <c r="B170" s="4" t="n">
        <v>44469</v>
      </c>
      <c r="C170" s="3" t="inlineStr">
        <is>
          <t>Expenses</t>
        </is>
      </c>
      <c r="D170" s="3" t="inlineStr">
        <is>
          <t>3660/000</t>
        </is>
      </c>
      <c r="E170" s="3" t="inlineStr">
        <is>
          <t>CoCT - Water</t>
        </is>
      </c>
      <c r="F170" s="3" t="n">
        <v>544.08</v>
      </c>
      <c r="G170" s="3" t="n">
        <v>1034.9</v>
      </c>
    </row>
    <row r="171">
      <c r="A171" s="3" t="inlineStr">
        <is>
          <t>Heron Fields (Pty) Ltd</t>
        </is>
      </c>
      <c r="B171" s="4" t="n">
        <v>44469</v>
      </c>
      <c r="C171" s="3" t="inlineStr">
        <is>
          <t>Expenses</t>
        </is>
      </c>
      <c r="D171" s="3" t="inlineStr">
        <is>
          <t>3700/000</t>
        </is>
      </c>
      <c r="E171" s="3" t="inlineStr">
        <is>
          <t>Entertainment Expenses</t>
        </is>
      </c>
      <c r="F171" s="3" t="n">
        <v>0</v>
      </c>
      <c r="G171" s="3" t="n">
        <v>250</v>
      </c>
    </row>
    <row r="172">
      <c r="A172" s="3" t="inlineStr">
        <is>
          <t>Heron Fields (Pty) Ltd</t>
        </is>
      </c>
      <c r="B172" s="4" t="n">
        <v>44469</v>
      </c>
      <c r="C172" s="3" t="inlineStr">
        <is>
          <t>Expenses</t>
        </is>
      </c>
      <c r="D172" s="3" t="inlineStr">
        <is>
          <t>4100/001</t>
        </is>
      </c>
      <c r="E172" s="3" t="inlineStr">
        <is>
          <t>Momentum Admin Fee</t>
        </is>
      </c>
      <c r="F172" s="3" t="n">
        <v>18131.87</v>
      </c>
      <c r="G172" s="3" t="n">
        <v>18131.87</v>
      </c>
    </row>
    <row r="173">
      <c r="A173" s="3" t="inlineStr">
        <is>
          <t>Heron Fields (Pty) Ltd</t>
        </is>
      </c>
      <c r="B173" s="4" t="n">
        <v>44469</v>
      </c>
      <c r="C173" s="3" t="inlineStr">
        <is>
          <t>Expenses</t>
        </is>
      </c>
      <c r="D173" s="3" t="inlineStr">
        <is>
          <t>4200/000</t>
        </is>
      </c>
      <c r="E173" s="3" t="inlineStr">
        <is>
          <t>Printing _AND_ Stationery</t>
        </is>
      </c>
      <c r="F173" s="3" t="n">
        <v>0</v>
      </c>
      <c r="G173" s="3" t="n">
        <v>765</v>
      </c>
    </row>
    <row r="174">
      <c r="A174" s="3" t="inlineStr">
        <is>
          <t>Heron Fields (Pty) Ltd</t>
        </is>
      </c>
      <c r="B174" s="4" t="n">
        <v>44469</v>
      </c>
      <c r="C174" s="3" t="inlineStr">
        <is>
          <t>Expenses</t>
        </is>
      </c>
      <c r="D174" s="3" t="inlineStr">
        <is>
          <t>4310/000</t>
        </is>
      </c>
      <c r="E174" s="3" t="inlineStr">
        <is>
          <t>Rates - Heron</t>
        </is>
      </c>
      <c r="F174" s="3" t="n">
        <v>3067.87</v>
      </c>
      <c r="G174" s="3" t="n">
        <v>11947.89</v>
      </c>
    </row>
    <row r="175">
      <c r="A175" s="3" t="inlineStr">
        <is>
          <t>Heron Fields (Pty) Ltd</t>
        </is>
      </c>
      <c r="B175" s="4" t="n">
        <v>44469</v>
      </c>
      <c r="C175" s="3" t="inlineStr">
        <is>
          <t>Expenses</t>
        </is>
      </c>
      <c r="D175" s="3" t="inlineStr">
        <is>
          <t>4350/000</t>
        </is>
      </c>
      <c r="E175" s="3" t="inlineStr">
        <is>
          <t>Repairs _AND_ Maintenance</t>
        </is>
      </c>
      <c r="F175" s="3" t="n">
        <v>250</v>
      </c>
      <c r="G175" s="3" t="n">
        <v>250</v>
      </c>
    </row>
    <row r="176">
      <c r="A176" s="3" t="inlineStr">
        <is>
          <t>Heron Fields (Pty) Ltd</t>
        </is>
      </c>
      <c r="B176" s="4" t="n">
        <v>44469</v>
      </c>
      <c r="C176" s="3" t="inlineStr">
        <is>
          <t>Expenses</t>
        </is>
      </c>
      <c r="D176" s="3" t="inlineStr">
        <is>
          <t>4410/000</t>
        </is>
      </c>
      <c r="E176" s="3" t="inlineStr">
        <is>
          <t>Secretarial fees</t>
        </is>
      </c>
      <c r="F176" s="3" t="n">
        <v>14900</v>
      </c>
      <c r="G176" s="3" t="n">
        <v>17000</v>
      </c>
    </row>
    <row r="177">
      <c r="A177" s="3" t="inlineStr">
        <is>
          <t>Heron Fields (Pty) Ltd</t>
        </is>
      </c>
      <c r="B177" s="4" t="n">
        <v>44469</v>
      </c>
      <c r="C177" s="3" t="inlineStr">
        <is>
          <t>Expenses</t>
        </is>
      </c>
      <c r="D177" s="3" t="inlineStr">
        <is>
          <t>4420/001</t>
        </is>
      </c>
      <c r="E177" s="3" t="inlineStr">
        <is>
          <t>Security - ADT</t>
        </is>
      </c>
      <c r="F177" s="3" t="n">
        <v>278.26</v>
      </c>
      <c r="G177" s="3" t="n">
        <v>1357.23</v>
      </c>
    </row>
    <row r="178">
      <c r="A178" s="3" t="inlineStr">
        <is>
          <t>Heron Fields (Pty) Ltd</t>
        </is>
      </c>
      <c r="B178" s="4" t="n">
        <v>44469</v>
      </c>
      <c r="C178" s="3" t="inlineStr">
        <is>
          <t>Expenses</t>
        </is>
      </c>
      <c r="D178" s="3" t="inlineStr">
        <is>
          <t>4550/100</t>
        </is>
      </c>
      <c r="E178" s="3" t="inlineStr">
        <is>
          <t>Subscriptions - Xero</t>
        </is>
      </c>
      <c r="F178" s="3" t="n">
        <v>550</v>
      </c>
      <c r="G178" s="3" t="n">
        <v>1650</v>
      </c>
    </row>
    <row r="179">
      <c r="A179" s="3" t="inlineStr">
        <is>
          <t>Heron Fields (Pty) Ltd</t>
        </is>
      </c>
      <c r="B179" s="4" t="n">
        <v>44469</v>
      </c>
      <c r="C179" s="3" t="inlineStr">
        <is>
          <t>Equity</t>
        </is>
      </c>
      <c r="D179" s="3" t="inlineStr">
        <is>
          <t>5100-000</t>
        </is>
      </c>
      <c r="E179" s="3" t="inlineStr">
        <is>
          <t>Share Capital</t>
        </is>
      </c>
      <c r="F179" s="3" t="n">
        <v>0</v>
      </c>
      <c r="G179" s="3" t="n">
        <v>-100</v>
      </c>
    </row>
    <row r="180">
      <c r="A180" s="3" t="inlineStr">
        <is>
          <t>Heron Fields (Pty) Ltd</t>
        </is>
      </c>
      <c r="B180" s="4" t="n">
        <v>44469</v>
      </c>
      <c r="C180" s="3" t="inlineStr">
        <is>
          <t>Assets</t>
        </is>
      </c>
      <c r="D180" s="3" t="inlineStr">
        <is>
          <t>5300/001</t>
        </is>
      </c>
      <c r="E180" s="3" t="inlineStr">
        <is>
          <t>Revaluation of Land stock</t>
        </is>
      </c>
      <c r="F180" s="3" t="n">
        <v>20976776.45</v>
      </c>
      <c r="G180" s="3" t="n">
        <v>21976776.45</v>
      </c>
    </row>
    <row r="181">
      <c r="A181" s="3" t="inlineStr">
        <is>
          <t>Heron Fields (Pty) Ltd</t>
        </is>
      </c>
      <c r="B181" s="4" t="n">
        <v>44469</v>
      </c>
      <c r="C181" s="3" t="inlineStr">
        <is>
          <t>Liabilities</t>
        </is>
      </c>
      <c r="D181" s="3" t="inlineStr">
        <is>
          <t>5500/010</t>
        </is>
      </c>
      <c r="E181" s="3" t="inlineStr">
        <is>
          <t>Loan - Quinate</t>
        </is>
      </c>
      <c r="F181" s="3" t="n">
        <v>-14900</v>
      </c>
      <c r="G181" s="3" t="n">
        <v>-14900</v>
      </c>
    </row>
    <row r="182">
      <c r="A182" s="3" t="inlineStr">
        <is>
          <t>Heron Fields (Pty) Ltd</t>
        </is>
      </c>
      <c r="B182" s="4" t="n">
        <v>44469</v>
      </c>
      <c r="C182" s="3" t="inlineStr">
        <is>
          <t>Liabilities</t>
        </is>
      </c>
      <c r="D182" s="3" t="inlineStr">
        <is>
          <t>5500/020</t>
        </is>
      </c>
      <c r="E182" s="3" t="inlineStr">
        <is>
          <t>Loan - Cape Projects Construction</t>
        </is>
      </c>
      <c r="F182" s="3" t="n">
        <v>18850</v>
      </c>
      <c r="G182" s="3" t="n">
        <v>18850</v>
      </c>
    </row>
    <row r="183">
      <c r="A183" s="3" t="inlineStr">
        <is>
          <t>Heron Fields (Pty) Ltd</t>
        </is>
      </c>
      <c r="B183" s="4" t="n">
        <v>44469</v>
      </c>
      <c r="C183" s="3" t="inlineStr">
        <is>
          <t>Liabilities</t>
        </is>
      </c>
      <c r="D183" s="3" t="inlineStr">
        <is>
          <t>5500/030</t>
        </is>
      </c>
      <c r="E183" s="3" t="inlineStr">
        <is>
          <t>Loan - Opportunity Global Investments</t>
        </is>
      </c>
      <c r="F183" s="3" t="n">
        <v>-2600</v>
      </c>
      <c r="G183" s="3" t="n">
        <v>-30600</v>
      </c>
    </row>
    <row r="184">
      <c r="A184" s="3" t="inlineStr">
        <is>
          <t>Heron Fields (Pty) Ltd</t>
        </is>
      </c>
      <c r="B184" s="4" t="n">
        <v>44469</v>
      </c>
      <c r="C184" s="3" t="inlineStr">
        <is>
          <t>Liabilities</t>
        </is>
      </c>
      <c r="D184" s="3" t="inlineStr">
        <is>
          <t>5500/040</t>
        </is>
      </c>
      <c r="E184" s="3" t="inlineStr">
        <is>
          <t>Loan - Trademark</t>
        </is>
      </c>
      <c r="F184" s="3" t="n">
        <v>-3635</v>
      </c>
      <c r="G184" s="3" t="n">
        <v>-3635</v>
      </c>
    </row>
    <row r="185">
      <c r="A185" s="3" t="inlineStr">
        <is>
          <t>Heron Fields (Pty) Ltd</t>
        </is>
      </c>
      <c r="B185" s="4" t="n">
        <v>44469</v>
      </c>
      <c r="C185" s="3" t="inlineStr">
        <is>
          <t>Assets</t>
        </is>
      </c>
      <c r="D185" s="3" t="inlineStr">
        <is>
          <t>7620/100</t>
        </is>
      </c>
      <c r="E185" s="3" t="inlineStr">
        <is>
          <t>Heron View Land</t>
        </is>
      </c>
      <c r="F185" s="3" t="n">
        <v>0</v>
      </c>
      <c r="G185" s="3" t="n">
        <v>26200000</v>
      </c>
    </row>
    <row r="186">
      <c r="A186" s="3" t="inlineStr">
        <is>
          <t>Heron Fields (Pty) Ltd</t>
        </is>
      </c>
      <c r="B186" s="4" t="n">
        <v>44469</v>
      </c>
      <c r="C186" s="3" t="inlineStr">
        <is>
          <t>Assets</t>
        </is>
      </c>
      <c r="D186" s="3" t="inlineStr">
        <is>
          <t>7620/101</t>
        </is>
      </c>
      <c r="E186" s="3" t="inlineStr">
        <is>
          <t>HF CIP Bond Registration Fee</t>
        </is>
      </c>
      <c r="F186" s="3" t="n">
        <v>0</v>
      </c>
      <c r="G186" s="3" t="n">
        <v>68427</v>
      </c>
    </row>
    <row r="187">
      <c r="A187" s="3" t="inlineStr">
        <is>
          <t>Heron Fields (Pty) Ltd</t>
        </is>
      </c>
      <c r="B187" s="4" t="n">
        <v>44469</v>
      </c>
      <c r="C187" s="3" t="inlineStr">
        <is>
          <t>Assets</t>
        </is>
      </c>
      <c r="D187" s="3" t="inlineStr">
        <is>
          <t>7620/102</t>
        </is>
      </c>
      <c r="E187" s="3" t="inlineStr">
        <is>
          <t>HF CIP Transfer Fee</t>
        </is>
      </c>
      <c r="F187" s="3" t="n">
        <v>0</v>
      </c>
      <c r="G187" s="3" t="n">
        <v>103812</v>
      </c>
    </row>
    <row r="188">
      <c r="A188" s="3" t="inlineStr">
        <is>
          <t>Heron Fields (Pty) Ltd</t>
        </is>
      </c>
      <c r="B188" s="4" t="n">
        <v>44469</v>
      </c>
      <c r="C188" s="3" t="inlineStr">
        <is>
          <t>Assets</t>
        </is>
      </c>
      <c r="D188" s="3" t="inlineStr">
        <is>
          <t>7620/220</t>
        </is>
      </c>
      <c r="E188" s="3" t="inlineStr">
        <is>
          <t>HF CIP Architectural Designs</t>
        </is>
      </c>
      <c r="F188" s="3" t="n">
        <v>0</v>
      </c>
      <c r="G188" s="3" t="n">
        <v>120000</v>
      </c>
    </row>
    <row r="189">
      <c r="A189" s="3" t="inlineStr">
        <is>
          <t>Heron Fields (Pty) Ltd</t>
        </is>
      </c>
      <c r="B189" s="4" t="n">
        <v>44469</v>
      </c>
      <c r="C189" s="3" t="inlineStr">
        <is>
          <t>Assets</t>
        </is>
      </c>
      <c r="D189" s="3" t="inlineStr">
        <is>
          <t>7620/240</t>
        </is>
      </c>
      <c r="E189" s="3" t="inlineStr">
        <is>
          <t>HF CIP Civil Engineering</t>
        </is>
      </c>
      <c r="F189" s="3" t="n">
        <v>31500</v>
      </c>
      <c r="G189" s="3" t="n">
        <v>421500</v>
      </c>
    </row>
    <row r="190">
      <c r="A190" s="3" t="inlineStr">
        <is>
          <t>Heron Fields (Pty) Ltd</t>
        </is>
      </c>
      <c r="B190" s="4" t="n">
        <v>44469</v>
      </c>
      <c r="C190" s="3" t="inlineStr">
        <is>
          <t>Assets</t>
        </is>
      </c>
      <c r="D190" s="3" t="inlineStr">
        <is>
          <t>7620/250</t>
        </is>
      </c>
      <c r="E190" s="3" t="inlineStr">
        <is>
          <t>HF CIP Land Surveyor</t>
        </is>
      </c>
      <c r="F190" s="3" t="n">
        <v>0</v>
      </c>
      <c r="G190" s="3" t="n">
        <v>4510</v>
      </c>
    </row>
    <row r="191">
      <c r="A191" s="3" t="inlineStr">
        <is>
          <t>Heron Fields (Pty) Ltd</t>
        </is>
      </c>
      <c r="B191" s="4" t="n">
        <v>44469</v>
      </c>
      <c r="C191" s="3" t="inlineStr">
        <is>
          <t>Assets</t>
        </is>
      </c>
      <c r="D191" s="3" t="inlineStr">
        <is>
          <t>7620/255</t>
        </is>
      </c>
      <c r="E191" s="3" t="inlineStr">
        <is>
          <t>HF CIP Landscaping</t>
        </is>
      </c>
      <c r="F191" s="3" t="n">
        <v>0</v>
      </c>
      <c r="G191" s="3" t="n">
        <v>7500</v>
      </c>
    </row>
    <row r="192">
      <c r="A192" s="3" t="inlineStr">
        <is>
          <t>Heron Fields (Pty) Ltd</t>
        </is>
      </c>
      <c r="B192" s="4" t="n">
        <v>44469</v>
      </c>
      <c r="C192" s="3" t="inlineStr">
        <is>
          <t>Assets</t>
        </is>
      </c>
      <c r="D192" s="3" t="inlineStr">
        <is>
          <t>7620/260</t>
        </is>
      </c>
      <c r="E192" s="3" t="inlineStr">
        <is>
          <t>HF CIP Mechanical Engineers</t>
        </is>
      </c>
      <c r="F192" s="3" t="n">
        <v>0</v>
      </c>
      <c r="G192" s="3" t="n">
        <v>39000</v>
      </c>
    </row>
    <row r="193">
      <c r="A193" s="3" t="inlineStr">
        <is>
          <t>Heron Fields (Pty) Ltd</t>
        </is>
      </c>
      <c r="B193" s="4" t="n">
        <v>44469</v>
      </c>
      <c r="C193" s="3" t="inlineStr">
        <is>
          <t>Assets</t>
        </is>
      </c>
      <c r="D193" s="3" t="inlineStr">
        <is>
          <t>7620/270</t>
        </is>
      </c>
      <c r="E193" s="3" t="inlineStr">
        <is>
          <t>HF CIP Geotechnical</t>
        </is>
      </c>
      <c r="F193" s="3" t="n">
        <v>0</v>
      </c>
      <c r="G193" s="3" t="n">
        <v>15175</v>
      </c>
    </row>
    <row r="194">
      <c r="A194" s="3" t="inlineStr">
        <is>
          <t>Heron Fields (Pty) Ltd</t>
        </is>
      </c>
      <c r="B194" s="4" t="n">
        <v>44469</v>
      </c>
      <c r="C194" s="3" t="inlineStr">
        <is>
          <t>Assets</t>
        </is>
      </c>
      <c r="D194" s="3" t="inlineStr">
        <is>
          <t>7620/280</t>
        </is>
      </c>
      <c r="E194" s="3" t="inlineStr">
        <is>
          <t>HF CIP Site Establishment</t>
        </is>
      </c>
      <c r="F194" s="3" t="n">
        <v>0</v>
      </c>
      <c r="G194" s="3" t="n">
        <v>23034.26</v>
      </c>
    </row>
    <row r="195">
      <c r="A195" s="3" t="inlineStr">
        <is>
          <t>Heron Fields (Pty) Ltd</t>
        </is>
      </c>
      <c r="B195" s="4" t="n">
        <v>44469</v>
      </c>
      <c r="C195" s="3" t="inlineStr">
        <is>
          <t>Assets</t>
        </is>
      </c>
      <c r="D195" s="3" t="inlineStr">
        <is>
          <t>7620/285</t>
        </is>
      </c>
      <c r="E195" s="3" t="inlineStr">
        <is>
          <t>HF CIP Structuring Fee - Invest</t>
        </is>
      </c>
      <c r="F195" s="3" t="n">
        <v>0</v>
      </c>
      <c r="G195" s="3" t="n">
        <v>1363107.22</v>
      </c>
    </row>
    <row r="196">
      <c r="A196" s="3" t="inlineStr">
        <is>
          <t>Heron Fields (Pty) Ltd</t>
        </is>
      </c>
      <c r="B196" s="4" t="n">
        <v>44469</v>
      </c>
      <c r="C196" s="3" t="inlineStr">
        <is>
          <t>Assets</t>
        </is>
      </c>
      <c r="D196" s="3" t="inlineStr">
        <is>
          <t>7620/287</t>
        </is>
      </c>
      <c r="E196" s="3" t="inlineStr">
        <is>
          <t>HF CIP Structuring Fee - Development</t>
        </is>
      </c>
      <c r="F196" s="3" t="n">
        <v>0</v>
      </c>
      <c r="G196" s="3" t="n">
        <v>782608.0699999999</v>
      </c>
    </row>
    <row r="197">
      <c r="A197" s="3" t="inlineStr">
        <is>
          <t>Heron Fields (Pty) Ltd</t>
        </is>
      </c>
      <c r="B197" s="4" t="n">
        <v>44469</v>
      </c>
      <c r="C197" s="3" t="inlineStr">
        <is>
          <t>Assets</t>
        </is>
      </c>
      <c r="D197" s="3" t="inlineStr">
        <is>
          <t>7620/290</t>
        </is>
      </c>
      <c r="E197" s="3" t="inlineStr">
        <is>
          <t>HF CIP Town Planning</t>
        </is>
      </c>
      <c r="F197" s="3" t="n">
        <v>6400</v>
      </c>
      <c r="G197" s="3" t="n">
        <v>129550</v>
      </c>
    </row>
    <row r="198">
      <c r="A198" s="3" t="inlineStr">
        <is>
          <t>Heron Fields (Pty) Ltd</t>
        </is>
      </c>
      <c r="B198" s="4" t="n">
        <v>44469</v>
      </c>
      <c r="C198" s="3" t="inlineStr">
        <is>
          <t>Assets</t>
        </is>
      </c>
      <c r="D198" s="3" t="inlineStr">
        <is>
          <t>7620/295</t>
        </is>
      </c>
      <c r="E198" s="3" t="inlineStr">
        <is>
          <t>HF CIP Traffic Planning</t>
        </is>
      </c>
      <c r="F198" s="3" t="n">
        <v>0</v>
      </c>
      <c r="G198" s="3" t="n">
        <v>45000</v>
      </c>
    </row>
    <row r="199">
      <c r="A199" s="3" t="inlineStr">
        <is>
          <t>Heron Fields (Pty) Ltd</t>
        </is>
      </c>
      <c r="B199" s="4" t="n">
        <v>44469</v>
      </c>
      <c r="C199" s="3" t="inlineStr">
        <is>
          <t>Assets</t>
        </is>
      </c>
      <c r="D199" s="3" t="inlineStr">
        <is>
          <t>8200/200</t>
        </is>
      </c>
      <c r="E199" s="3" t="inlineStr">
        <is>
          <t>Sundry Debtor - Quinate</t>
        </is>
      </c>
      <c r="F199" s="3" t="n">
        <v>300000</v>
      </c>
      <c r="G199" s="3" t="n">
        <v>300000</v>
      </c>
    </row>
    <row r="200">
      <c r="A200" s="3" t="inlineStr">
        <is>
          <t>Heron Fields (Pty) Ltd</t>
        </is>
      </c>
      <c r="B200" s="4" t="n">
        <v>44469</v>
      </c>
      <c r="C200" s="3" t="inlineStr">
        <is>
          <t>Assets</t>
        </is>
      </c>
      <c r="D200" s="3" t="inlineStr">
        <is>
          <t>8400/000</t>
        </is>
      </c>
      <c r="E200" s="3" t="inlineStr">
        <is>
          <t>RMB - 62882379087</t>
        </is>
      </c>
      <c r="F200" s="3" t="n">
        <v>-86186.02</v>
      </c>
      <c r="G200" s="3" t="n">
        <v>2006.16</v>
      </c>
    </row>
    <row r="201">
      <c r="A201" s="3" t="inlineStr">
        <is>
          <t>Heron Fields (Pty) Ltd</t>
        </is>
      </c>
      <c r="B201" s="4" t="n">
        <v>44469</v>
      </c>
      <c r="C201" s="3" t="inlineStr">
        <is>
          <t>Assets</t>
        </is>
      </c>
      <c r="D201" s="3" t="inlineStr">
        <is>
          <t>8430/000</t>
        </is>
      </c>
      <c r="E201" s="3" t="inlineStr">
        <is>
          <t>Momentum Private Account RU502230151</t>
        </is>
      </c>
      <c r="F201" s="3" t="n">
        <v>-5.27</v>
      </c>
      <c r="G201" s="3" t="n">
        <v>494.73</v>
      </c>
    </row>
    <row r="202">
      <c r="A202" s="3" t="inlineStr">
        <is>
          <t>Heron Fields (Pty) Ltd</t>
        </is>
      </c>
      <c r="B202" s="4" t="n">
        <v>44469</v>
      </c>
      <c r="C202" s="3" t="inlineStr">
        <is>
          <t>Assets</t>
        </is>
      </c>
      <c r="D202" s="3" t="inlineStr">
        <is>
          <t>8440/000</t>
        </is>
      </c>
      <c r="E202" s="3" t="inlineStr">
        <is>
          <t>Momentum Investors Account RU502229930</t>
        </is>
      </c>
      <c r="F202" s="3" t="n">
        <v>2785308.45</v>
      </c>
      <c r="G202" s="3" t="n">
        <v>3785808.45</v>
      </c>
    </row>
    <row r="203">
      <c r="A203" s="3" t="inlineStr">
        <is>
          <t>Heron Fields (Pty) Ltd</t>
        </is>
      </c>
      <c r="B203" s="4" t="n">
        <v>44469</v>
      </c>
      <c r="C203" s="3" t="inlineStr">
        <is>
          <t>Liabilities</t>
        </is>
      </c>
      <c r="D203" s="3" t="inlineStr">
        <is>
          <t>9000/000</t>
        </is>
      </c>
      <c r="E203" s="3" t="inlineStr">
        <is>
          <t>Supplier Control Account</t>
        </is>
      </c>
      <c r="F203" s="3" t="n">
        <v>-3159208.64</v>
      </c>
      <c r="G203" s="3" t="n">
        <v>-36809934.33</v>
      </c>
    </row>
    <row r="204">
      <c r="A204" s="3" t="inlineStr">
        <is>
          <t>Heron Fields (Pty) Ltd</t>
        </is>
      </c>
      <c r="B204" s="4" t="n">
        <v>44469</v>
      </c>
      <c r="C204" s="3" t="inlineStr">
        <is>
          <t>Liabilities</t>
        </is>
      </c>
      <c r="D204" s="3" t="inlineStr">
        <is>
          <t>9500/000</t>
        </is>
      </c>
      <c r="E204" s="3" t="inlineStr">
        <is>
          <t>Vat / Tax Control Account</t>
        </is>
      </c>
      <c r="F204" s="3" t="n">
        <v>10375.89</v>
      </c>
      <c r="G204" s="3" t="n">
        <v>3433112.93</v>
      </c>
    </row>
    <row r="205">
      <c r="A205" s="3" t="inlineStr">
        <is>
          <t>Heron Fields (Pty) Ltd</t>
        </is>
      </c>
      <c r="B205" s="4" t="n">
        <v>44500</v>
      </c>
      <c r="C205" s="3" t="inlineStr">
        <is>
          <t>Revenue</t>
        </is>
      </c>
      <c r="D205" s="3" t="inlineStr">
        <is>
          <t>1500/001</t>
        </is>
      </c>
      <c r="E205" s="3" t="inlineStr">
        <is>
          <t>Revaluation of Land</t>
        </is>
      </c>
      <c r="F205" s="3" t="n">
        <v>2263732.77</v>
      </c>
      <c r="G205" s="3" t="n">
        <v>-19713043.68</v>
      </c>
    </row>
    <row r="206">
      <c r="A206" s="3" t="inlineStr">
        <is>
          <t>Heron Fields (Pty) Ltd</t>
        </is>
      </c>
      <c r="B206" s="4" t="n">
        <v>44500</v>
      </c>
      <c r="C206" s="3" t="inlineStr">
        <is>
          <t>Expenses</t>
        </is>
      </c>
      <c r="D206" s="3" t="inlineStr">
        <is>
          <t>2000/020</t>
        </is>
      </c>
      <c r="E206" s="3" t="inlineStr">
        <is>
          <t>COS - Heron sales office</t>
        </is>
      </c>
      <c r="F206" s="3" t="n">
        <v>2850</v>
      </c>
      <c r="G206" s="3" t="n">
        <v>6230</v>
      </c>
    </row>
    <row r="207">
      <c r="A207" s="3" t="inlineStr">
        <is>
          <t>Heron Fields (Pty) Ltd</t>
        </is>
      </c>
      <c r="B207" s="4" t="n">
        <v>44500</v>
      </c>
      <c r="C207" s="3" t="inlineStr">
        <is>
          <t>Revenue</t>
        </is>
      </c>
      <c r="D207" s="3" t="inlineStr">
        <is>
          <t>2753/001</t>
        </is>
      </c>
      <c r="E207" s="3" t="inlineStr">
        <is>
          <t>Interest Received - Deposit Grey Heron</t>
        </is>
      </c>
      <c r="F207" s="3" t="n">
        <v>0</v>
      </c>
      <c r="G207" s="3" t="n">
        <v>-1245</v>
      </c>
    </row>
    <row r="208">
      <c r="A208" s="3" t="inlineStr">
        <is>
          <t>Heron Fields (Pty) Ltd</t>
        </is>
      </c>
      <c r="B208" s="4" t="n">
        <v>44500</v>
      </c>
      <c r="C208" s="3" t="inlineStr">
        <is>
          <t>Revenue</t>
        </is>
      </c>
      <c r="D208" s="3" t="inlineStr">
        <is>
          <t>2754/001</t>
        </is>
      </c>
      <c r="E208" s="3" t="inlineStr">
        <is>
          <t>Interest Received - STBB Trust Account</t>
        </is>
      </c>
      <c r="F208" s="3" t="n">
        <v>0</v>
      </c>
      <c r="G208" s="3" t="n">
        <v>-149149.4</v>
      </c>
    </row>
    <row r="209">
      <c r="A209" s="3" t="inlineStr">
        <is>
          <t>Heron Fields (Pty) Ltd</t>
        </is>
      </c>
      <c r="B209" s="4" t="n">
        <v>44500</v>
      </c>
      <c r="C209" s="3" t="inlineStr">
        <is>
          <t>Revenue</t>
        </is>
      </c>
      <c r="D209" s="3" t="inlineStr">
        <is>
          <t>2755/001</t>
        </is>
      </c>
      <c r="E209" s="3" t="inlineStr">
        <is>
          <t>Interest Received - Momentum</t>
        </is>
      </c>
      <c r="F209" s="3" t="n">
        <v>-34679.27</v>
      </c>
      <c r="G209" s="3" t="n">
        <v>-40834.11</v>
      </c>
    </row>
    <row r="210">
      <c r="A210" s="3" t="inlineStr">
        <is>
          <t>Heron Fields (Pty) Ltd</t>
        </is>
      </c>
      <c r="B210" s="4" t="n">
        <v>44500</v>
      </c>
      <c r="C210" s="3" t="inlineStr">
        <is>
          <t>Expenses</t>
        </is>
      </c>
      <c r="D210" s="3" t="inlineStr">
        <is>
          <t>3000/100</t>
        </is>
      </c>
      <c r="E210" s="3" t="inlineStr">
        <is>
          <t>Accounting - CIPC</t>
        </is>
      </c>
      <c r="F210" s="3" t="n">
        <v>0</v>
      </c>
      <c r="G210" s="3" t="n">
        <v>100</v>
      </c>
    </row>
    <row r="211">
      <c r="A211" s="3" t="inlineStr">
        <is>
          <t>Heron Fields (Pty) Ltd</t>
        </is>
      </c>
      <c r="B211" s="4" t="n">
        <v>44500</v>
      </c>
      <c r="C211" s="3" t="inlineStr">
        <is>
          <t>Expenses</t>
        </is>
      </c>
      <c r="D211" s="3" t="inlineStr">
        <is>
          <t>3050/000</t>
        </is>
      </c>
      <c r="E211" s="3" t="inlineStr">
        <is>
          <t>Advertising _AND_ Promotions</t>
        </is>
      </c>
      <c r="F211" s="3" t="n">
        <v>36211</v>
      </c>
      <c r="G211" s="3" t="n">
        <v>46205.52</v>
      </c>
    </row>
    <row r="212">
      <c r="A212" s="3" t="inlineStr">
        <is>
          <t>Heron Fields (Pty) Ltd</t>
        </is>
      </c>
      <c r="B212" s="4" t="n">
        <v>44500</v>
      </c>
      <c r="C212" s="3" t="inlineStr">
        <is>
          <t>Expenses</t>
        </is>
      </c>
      <c r="D212" s="3" t="inlineStr">
        <is>
          <t>3200/000</t>
        </is>
      </c>
      <c r="E212" s="3" t="inlineStr">
        <is>
          <t>Bank Charges</t>
        </is>
      </c>
      <c r="F212" s="3" t="n">
        <v>411.55</v>
      </c>
      <c r="G212" s="3" t="n">
        <v>2187.27</v>
      </c>
    </row>
    <row r="213">
      <c r="A213" s="3" t="inlineStr">
        <is>
          <t>Heron Fields (Pty) Ltd</t>
        </is>
      </c>
      <c r="B213" s="4" t="n">
        <v>44500</v>
      </c>
      <c r="C213" s="3" t="inlineStr">
        <is>
          <t>Expenses</t>
        </is>
      </c>
      <c r="D213" s="3" t="inlineStr">
        <is>
          <t>3301/000</t>
        </is>
      </c>
      <c r="E213" s="3" t="inlineStr">
        <is>
          <t>Computer Expenses - Xero</t>
        </is>
      </c>
      <c r="F213" s="3" t="n">
        <v>0</v>
      </c>
      <c r="G213" s="3" t="n">
        <v>3000</v>
      </c>
    </row>
    <row r="214">
      <c r="A214" s="3" t="inlineStr">
        <is>
          <t>Heron Fields (Pty) Ltd</t>
        </is>
      </c>
      <c r="B214" s="4" t="n">
        <v>44500</v>
      </c>
      <c r="C214" s="3" t="inlineStr">
        <is>
          <t>Expenses</t>
        </is>
      </c>
      <c r="D214" s="3" t="inlineStr">
        <is>
          <t>3350/100</t>
        </is>
      </c>
      <c r="E214" s="3" t="inlineStr">
        <is>
          <t>Consulting Fees - Admin and Finance</t>
        </is>
      </c>
      <c r="F214" s="3" t="n">
        <v>73220.73</v>
      </c>
      <c r="G214" s="3" t="n">
        <v>140605.73</v>
      </c>
    </row>
    <row r="215">
      <c r="A215" s="3" t="inlineStr">
        <is>
          <t>Heron Fields (Pty) Ltd</t>
        </is>
      </c>
      <c r="B215" s="4" t="n">
        <v>44500</v>
      </c>
      <c r="C215" s="3" t="inlineStr">
        <is>
          <t>Expenses</t>
        </is>
      </c>
      <c r="D215" s="3" t="inlineStr">
        <is>
          <t>3351/000</t>
        </is>
      </c>
      <c r="E215" s="3" t="inlineStr">
        <is>
          <t>Consulting fees - Trustee</t>
        </is>
      </c>
      <c r="F215" s="3" t="n">
        <v>7568</v>
      </c>
      <c r="G215" s="3" t="n">
        <v>13508</v>
      </c>
    </row>
    <row r="216">
      <c r="A216" s="3" t="inlineStr">
        <is>
          <t>Heron Fields (Pty) Ltd</t>
        </is>
      </c>
      <c r="B216" s="4" t="n">
        <v>44500</v>
      </c>
      <c r="C216" s="3" t="inlineStr">
        <is>
          <t>Expenses</t>
        </is>
      </c>
      <c r="D216" s="3" t="inlineStr">
        <is>
          <t>3650/000</t>
        </is>
      </c>
      <c r="E216" s="3" t="inlineStr">
        <is>
          <t>CoCT - Electricity</t>
        </is>
      </c>
      <c r="F216" s="3" t="n">
        <v>2325.02</v>
      </c>
      <c r="G216" s="3" t="n">
        <v>10585.64</v>
      </c>
    </row>
    <row r="217">
      <c r="A217" s="3" t="inlineStr">
        <is>
          <t>Heron Fields (Pty) Ltd</t>
        </is>
      </c>
      <c r="B217" s="4" t="n">
        <v>44500</v>
      </c>
      <c r="C217" s="3" t="inlineStr">
        <is>
          <t>Expenses</t>
        </is>
      </c>
      <c r="D217" s="3" t="inlineStr">
        <is>
          <t>3660/000</t>
        </is>
      </c>
      <c r="E217" s="3" t="inlineStr">
        <is>
          <t>CoCT - Water</t>
        </is>
      </c>
      <c r="F217" s="3" t="n">
        <v>345.35</v>
      </c>
      <c r="G217" s="3" t="n">
        <v>1380.25</v>
      </c>
    </row>
    <row r="218">
      <c r="A218" s="3" t="inlineStr">
        <is>
          <t>Heron Fields (Pty) Ltd</t>
        </is>
      </c>
      <c r="B218" s="4" t="n">
        <v>44500</v>
      </c>
      <c r="C218" s="3" t="inlineStr">
        <is>
          <t>Expenses</t>
        </is>
      </c>
      <c r="D218" s="3" t="inlineStr">
        <is>
          <t>3700/000</t>
        </is>
      </c>
      <c r="E218" s="3" t="inlineStr">
        <is>
          <t>Entertainment Expenses</t>
        </is>
      </c>
      <c r="F218" s="3" t="n">
        <v>0</v>
      </c>
      <c r="G218" s="3" t="n">
        <v>250</v>
      </c>
    </row>
    <row r="219">
      <c r="A219" s="3" t="inlineStr">
        <is>
          <t>Heron Fields (Pty) Ltd</t>
        </is>
      </c>
      <c r="B219" s="4" t="n">
        <v>44500</v>
      </c>
      <c r="C219" s="3" t="inlineStr">
        <is>
          <t>Expenses</t>
        </is>
      </c>
      <c r="D219" s="3" t="inlineStr">
        <is>
          <t>4100/001</t>
        </is>
      </c>
      <c r="E219" s="3" t="inlineStr">
        <is>
          <t>Momentum Admin Fee</t>
        </is>
      </c>
      <c r="F219" s="3" t="n">
        <v>51075.43</v>
      </c>
      <c r="G219" s="3" t="n">
        <v>69207.3</v>
      </c>
    </row>
    <row r="220">
      <c r="A220" s="3" t="inlineStr">
        <is>
          <t>Heron Fields (Pty) Ltd</t>
        </is>
      </c>
      <c r="B220" s="4" t="n">
        <v>44500</v>
      </c>
      <c r="C220" s="3" t="inlineStr">
        <is>
          <t>Expenses</t>
        </is>
      </c>
      <c r="D220" s="3" t="inlineStr">
        <is>
          <t>4200/000</t>
        </is>
      </c>
      <c r="E220" s="3" t="inlineStr">
        <is>
          <t>Printing _AND_ Stationery</t>
        </is>
      </c>
      <c r="F220" s="3" t="n">
        <v>0</v>
      </c>
      <c r="G220" s="3" t="n">
        <v>765</v>
      </c>
    </row>
    <row r="221">
      <c r="A221" s="3" t="inlineStr">
        <is>
          <t>Heron Fields (Pty) Ltd</t>
        </is>
      </c>
      <c r="B221" s="4" t="n">
        <v>44500</v>
      </c>
      <c r="C221" s="3" t="inlineStr">
        <is>
          <t>Expenses</t>
        </is>
      </c>
      <c r="D221" s="3" t="inlineStr">
        <is>
          <t>4310/000</t>
        </is>
      </c>
      <c r="E221" s="3" t="inlineStr">
        <is>
          <t>Rates - Heron</t>
        </is>
      </c>
      <c r="F221" s="3" t="n">
        <v>2965.61</v>
      </c>
      <c r="G221" s="3" t="n">
        <v>14913.5</v>
      </c>
    </row>
    <row r="222">
      <c r="A222" s="3" t="inlineStr">
        <is>
          <t>Heron Fields (Pty) Ltd</t>
        </is>
      </c>
      <c r="B222" s="4" t="n">
        <v>44500</v>
      </c>
      <c r="C222" s="3" t="inlineStr">
        <is>
          <t>Expenses</t>
        </is>
      </c>
      <c r="D222" s="3" t="inlineStr">
        <is>
          <t>4350/000</t>
        </is>
      </c>
      <c r="E222" s="3" t="inlineStr">
        <is>
          <t>Repairs _AND_ Maintenance</t>
        </is>
      </c>
      <c r="F222" s="3" t="n">
        <v>0</v>
      </c>
      <c r="G222" s="3" t="n">
        <v>250</v>
      </c>
    </row>
    <row r="223">
      <c r="A223" s="3" t="inlineStr">
        <is>
          <t>Heron Fields (Pty) Ltd</t>
        </is>
      </c>
      <c r="B223" s="4" t="n">
        <v>44500</v>
      </c>
      <c r="C223" s="3" t="inlineStr">
        <is>
          <t>Expenses</t>
        </is>
      </c>
      <c r="D223" s="3" t="inlineStr">
        <is>
          <t>4410/000</t>
        </is>
      </c>
      <c r="E223" s="3" t="inlineStr">
        <is>
          <t>Secretarial fees</t>
        </is>
      </c>
      <c r="F223" s="3" t="n">
        <v>0</v>
      </c>
      <c r="G223" s="3" t="n">
        <v>17000</v>
      </c>
    </row>
    <row r="224">
      <c r="A224" s="3" t="inlineStr">
        <is>
          <t>Heron Fields (Pty) Ltd</t>
        </is>
      </c>
      <c r="B224" s="4" t="n">
        <v>44500</v>
      </c>
      <c r="C224" s="3" t="inlineStr">
        <is>
          <t>Expenses</t>
        </is>
      </c>
      <c r="D224" s="3" t="inlineStr">
        <is>
          <t>4420/001</t>
        </is>
      </c>
      <c r="E224" s="3" t="inlineStr">
        <is>
          <t>Security - ADT</t>
        </is>
      </c>
      <c r="F224" s="3" t="n">
        <v>1095.26</v>
      </c>
      <c r="G224" s="3" t="n">
        <v>2452.49</v>
      </c>
    </row>
    <row r="225">
      <c r="A225" s="3" t="inlineStr">
        <is>
          <t>Heron Fields (Pty) Ltd</t>
        </is>
      </c>
      <c r="B225" s="4" t="n">
        <v>44500</v>
      </c>
      <c r="C225" s="3" t="inlineStr">
        <is>
          <t>Expenses</t>
        </is>
      </c>
      <c r="D225" s="3" t="inlineStr">
        <is>
          <t>4550/100</t>
        </is>
      </c>
      <c r="E225" s="3" t="inlineStr">
        <is>
          <t>Subscriptions - Xero</t>
        </is>
      </c>
      <c r="F225" s="3" t="n">
        <v>550</v>
      </c>
      <c r="G225" s="3" t="n">
        <v>2200</v>
      </c>
    </row>
    <row r="226">
      <c r="A226" s="3" t="inlineStr">
        <is>
          <t>Heron Fields (Pty) Ltd</t>
        </is>
      </c>
      <c r="B226" s="4" t="n">
        <v>44500</v>
      </c>
      <c r="C226" s="3" t="inlineStr">
        <is>
          <t>Equity</t>
        </is>
      </c>
      <c r="D226" s="3" t="inlineStr">
        <is>
          <t>5100-000</t>
        </is>
      </c>
      <c r="E226" s="3" t="inlineStr">
        <is>
          <t>Share Capital</t>
        </is>
      </c>
      <c r="F226" s="3" t="n">
        <v>0</v>
      </c>
      <c r="G226" s="3" t="n">
        <v>-100</v>
      </c>
    </row>
    <row r="227">
      <c r="A227" s="3" t="inlineStr">
        <is>
          <t>Heron Fields (Pty) Ltd</t>
        </is>
      </c>
      <c r="B227" s="4" t="n">
        <v>44500</v>
      </c>
      <c r="C227" s="3" t="inlineStr">
        <is>
          <t>Assets</t>
        </is>
      </c>
      <c r="D227" s="3" t="inlineStr">
        <is>
          <t>5300/001</t>
        </is>
      </c>
      <c r="E227" s="3" t="inlineStr">
        <is>
          <t>Revaluation of Land stock</t>
        </is>
      </c>
      <c r="F227" s="3" t="n">
        <v>-2263732.77</v>
      </c>
      <c r="G227" s="3" t="n">
        <v>19713043.68</v>
      </c>
    </row>
    <row r="228">
      <c r="A228" s="3" t="inlineStr">
        <is>
          <t>Heron Fields (Pty) Ltd</t>
        </is>
      </c>
      <c r="B228" s="4" t="n">
        <v>44500</v>
      </c>
      <c r="C228" s="3" t="inlineStr">
        <is>
          <t>Liabilities</t>
        </is>
      </c>
      <c r="D228" s="3" t="inlineStr">
        <is>
          <t>5500/010</t>
        </is>
      </c>
      <c r="E228" s="3" t="inlineStr">
        <is>
          <t>Loan - Quinate</t>
        </is>
      </c>
      <c r="F228" s="3" t="n">
        <v>0</v>
      </c>
      <c r="G228" s="3" t="n">
        <v>-14900</v>
      </c>
    </row>
    <row r="229">
      <c r="A229" s="3" t="inlineStr">
        <is>
          <t>Heron Fields (Pty) Ltd</t>
        </is>
      </c>
      <c r="B229" s="4" t="n">
        <v>44500</v>
      </c>
      <c r="C229" s="3" t="inlineStr">
        <is>
          <t>Liabilities</t>
        </is>
      </c>
      <c r="D229" s="3" t="inlineStr">
        <is>
          <t>5500/020</t>
        </is>
      </c>
      <c r="E229" s="3" t="inlineStr">
        <is>
          <t>Loan - Cape Projects Construction</t>
        </is>
      </c>
      <c r="F229" s="3" t="n">
        <v>324000</v>
      </c>
      <c r="G229" s="3" t="n">
        <v>342850</v>
      </c>
    </row>
    <row r="230">
      <c r="A230" s="3" t="inlineStr">
        <is>
          <t>Heron Fields (Pty) Ltd</t>
        </is>
      </c>
      <c r="B230" s="4" t="n">
        <v>44500</v>
      </c>
      <c r="C230" s="3" t="inlineStr">
        <is>
          <t>Liabilities</t>
        </is>
      </c>
      <c r="D230" s="3" t="inlineStr">
        <is>
          <t>5500/030</t>
        </is>
      </c>
      <c r="E230" s="3" t="inlineStr">
        <is>
          <t>Loan - Opportunity Global Investments</t>
        </is>
      </c>
      <c r="F230" s="3" t="n">
        <v>-10000</v>
      </c>
      <c r="G230" s="3" t="n">
        <v>-40600</v>
      </c>
    </row>
    <row r="231">
      <c r="A231" s="3" t="inlineStr">
        <is>
          <t>Heron Fields (Pty) Ltd</t>
        </is>
      </c>
      <c r="B231" s="4" t="n">
        <v>44500</v>
      </c>
      <c r="C231" s="3" t="inlineStr">
        <is>
          <t>Liabilities</t>
        </is>
      </c>
      <c r="D231" s="3" t="inlineStr">
        <is>
          <t>5500/040</t>
        </is>
      </c>
      <c r="E231" s="3" t="inlineStr">
        <is>
          <t>Loan - Trademark</t>
        </is>
      </c>
      <c r="F231" s="3" t="n">
        <v>0</v>
      </c>
      <c r="G231" s="3" t="n">
        <v>-3635</v>
      </c>
    </row>
    <row r="232">
      <c r="A232" s="3" t="inlineStr">
        <is>
          <t>Heron Fields (Pty) Ltd</t>
        </is>
      </c>
      <c r="B232" s="4" t="n">
        <v>44500</v>
      </c>
      <c r="C232" s="3" t="inlineStr">
        <is>
          <t>Assets</t>
        </is>
      </c>
      <c r="D232" s="3" t="inlineStr">
        <is>
          <t>7620/100</t>
        </is>
      </c>
      <c r="E232" s="3" t="inlineStr">
        <is>
          <t>Heron View Land</t>
        </is>
      </c>
      <c r="F232" s="3" t="n">
        <v>0</v>
      </c>
      <c r="G232" s="3" t="n">
        <v>26200000</v>
      </c>
    </row>
    <row r="233">
      <c r="A233" s="3" t="inlineStr">
        <is>
          <t>Heron Fields (Pty) Ltd</t>
        </is>
      </c>
      <c r="B233" s="4" t="n">
        <v>44500</v>
      </c>
      <c r="C233" s="3" t="inlineStr">
        <is>
          <t>Assets</t>
        </is>
      </c>
      <c r="D233" s="3" t="inlineStr">
        <is>
          <t>7620/101</t>
        </is>
      </c>
      <c r="E233" s="3" t="inlineStr">
        <is>
          <t>HF CIP Bond Registration Fee</t>
        </is>
      </c>
      <c r="F233" s="3" t="n">
        <v>0</v>
      </c>
      <c r="G233" s="3" t="n">
        <v>68427</v>
      </c>
    </row>
    <row r="234">
      <c r="A234" s="3" t="inlineStr">
        <is>
          <t>Heron Fields (Pty) Ltd</t>
        </is>
      </c>
      <c r="B234" s="4" t="n">
        <v>44500</v>
      </c>
      <c r="C234" s="3" t="inlineStr">
        <is>
          <t>Assets</t>
        </is>
      </c>
      <c r="D234" s="3" t="inlineStr">
        <is>
          <t>7620/102</t>
        </is>
      </c>
      <c r="E234" s="3" t="inlineStr">
        <is>
          <t>HF CIP Transfer Fee</t>
        </is>
      </c>
      <c r="F234" s="3" t="n">
        <v>0</v>
      </c>
      <c r="G234" s="3" t="n">
        <v>103812</v>
      </c>
    </row>
    <row r="235">
      <c r="A235" s="3" t="inlineStr">
        <is>
          <t>Heron Fields (Pty) Ltd</t>
        </is>
      </c>
      <c r="B235" s="4" t="n">
        <v>44500</v>
      </c>
      <c r="C235" s="3" t="inlineStr">
        <is>
          <t>Assets</t>
        </is>
      </c>
      <c r="D235" s="3" t="inlineStr">
        <is>
          <t>7620/220</t>
        </is>
      </c>
      <c r="E235" s="3" t="inlineStr">
        <is>
          <t>HF CIP Architectural Designs</t>
        </is>
      </c>
      <c r="F235" s="3" t="n">
        <v>7000</v>
      </c>
      <c r="G235" s="3" t="n">
        <v>127000</v>
      </c>
    </row>
    <row r="236">
      <c r="A236" s="3" t="inlineStr">
        <is>
          <t>Heron Fields (Pty) Ltd</t>
        </is>
      </c>
      <c r="B236" s="4" t="n">
        <v>44500</v>
      </c>
      <c r="C236" s="3" t="inlineStr">
        <is>
          <t>Assets</t>
        </is>
      </c>
      <c r="D236" s="3" t="inlineStr">
        <is>
          <t>7620/240</t>
        </is>
      </c>
      <c r="E236" s="3" t="inlineStr">
        <is>
          <t>HF CIP Civil Engineering</t>
        </is>
      </c>
      <c r="F236" s="3" t="n">
        <v>2034735</v>
      </c>
      <c r="G236" s="3" t="n">
        <v>2456235</v>
      </c>
    </row>
    <row r="237">
      <c r="A237" s="3" t="inlineStr">
        <is>
          <t>Heron Fields (Pty) Ltd</t>
        </is>
      </c>
      <c r="B237" s="4" t="n">
        <v>44500</v>
      </c>
      <c r="C237" s="3" t="inlineStr">
        <is>
          <t>Assets</t>
        </is>
      </c>
      <c r="D237" s="3" t="inlineStr">
        <is>
          <t>7620/250</t>
        </is>
      </c>
      <c r="E237" s="3" t="inlineStr">
        <is>
          <t>HF CIP Land Surveyor</t>
        </is>
      </c>
      <c r="F237" s="3" t="n">
        <v>0</v>
      </c>
      <c r="G237" s="3" t="n">
        <v>4510</v>
      </c>
    </row>
    <row r="238">
      <c r="A238" s="3" t="inlineStr">
        <is>
          <t>Heron Fields (Pty) Ltd</t>
        </is>
      </c>
      <c r="B238" s="4" t="n">
        <v>44500</v>
      </c>
      <c r="C238" s="3" t="inlineStr">
        <is>
          <t>Assets</t>
        </is>
      </c>
      <c r="D238" s="3" t="inlineStr">
        <is>
          <t>7620/255</t>
        </is>
      </c>
      <c r="E238" s="3" t="inlineStr">
        <is>
          <t>HF CIP Landscaping</t>
        </is>
      </c>
      <c r="F238" s="3" t="n">
        <v>0</v>
      </c>
      <c r="G238" s="3" t="n">
        <v>7500</v>
      </c>
    </row>
    <row r="239">
      <c r="A239" s="3" t="inlineStr">
        <is>
          <t>Heron Fields (Pty) Ltd</t>
        </is>
      </c>
      <c r="B239" s="4" t="n">
        <v>44500</v>
      </c>
      <c r="C239" s="3" t="inlineStr">
        <is>
          <t>Assets</t>
        </is>
      </c>
      <c r="D239" s="3" t="inlineStr">
        <is>
          <t>7620/260</t>
        </is>
      </c>
      <c r="E239" s="3" t="inlineStr">
        <is>
          <t>HF CIP Mechanical Engineers</t>
        </is>
      </c>
      <c r="F239" s="3" t="n">
        <v>0</v>
      </c>
      <c r="G239" s="3" t="n">
        <v>39000</v>
      </c>
    </row>
    <row r="240">
      <c r="A240" s="3" t="inlineStr">
        <is>
          <t>Heron Fields (Pty) Ltd</t>
        </is>
      </c>
      <c r="B240" s="4" t="n">
        <v>44500</v>
      </c>
      <c r="C240" s="3" t="inlineStr">
        <is>
          <t>Assets</t>
        </is>
      </c>
      <c r="D240" s="3" t="inlineStr">
        <is>
          <t>7620/270</t>
        </is>
      </c>
      <c r="E240" s="3" t="inlineStr">
        <is>
          <t>HF CIP Geotechnical</t>
        </is>
      </c>
      <c r="F240" s="3" t="n">
        <v>0</v>
      </c>
      <c r="G240" s="3" t="n">
        <v>15175</v>
      </c>
    </row>
    <row r="241">
      <c r="A241" s="3" t="inlineStr">
        <is>
          <t>Heron Fields (Pty) Ltd</t>
        </is>
      </c>
      <c r="B241" s="4" t="n">
        <v>44500</v>
      </c>
      <c r="C241" s="3" t="inlineStr">
        <is>
          <t>Assets</t>
        </is>
      </c>
      <c r="D241" s="3" t="inlineStr">
        <is>
          <t>7620/280</t>
        </is>
      </c>
      <c r="E241" s="3" t="inlineStr">
        <is>
          <t>HF CIP Site Establishment</t>
        </is>
      </c>
      <c r="F241" s="3" t="n">
        <v>0</v>
      </c>
      <c r="G241" s="3" t="n">
        <v>23034.26</v>
      </c>
    </row>
    <row r="242">
      <c r="A242" s="3" t="inlineStr">
        <is>
          <t>Heron Fields (Pty) Ltd</t>
        </is>
      </c>
      <c r="B242" s="4" t="n">
        <v>44500</v>
      </c>
      <c r="C242" s="3" t="inlineStr">
        <is>
          <t>Assets</t>
        </is>
      </c>
      <c r="D242" s="3" t="inlineStr">
        <is>
          <t>7620/285</t>
        </is>
      </c>
      <c r="E242" s="3" t="inlineStr">
        <is>
          <t>HF CIP Structuring Fee - Invest</t>
        </is>
      </c>
      <c r="F242" s="3" t="n">
        <v>191997.77</v>
      </c>
      <c r="G242" s="3" t="n">
        <v>1555104.99</v>
      </c>
    </row>
    <row r="243">
      <c r="A243" s="3" t="inlineStr">
        <is>
          <t>Heron Fields (Pty) Ltd</t>
        </is>
      </c>
      <c r="B243" s="4" t="n">
        <v>44500</v>
      </c>
      <c r="C243" s="3" t="inlineStr">
        <is>
          <t>Assets</t>
        </is>
      </c>
      <c r="D243" s="3" t="inlineStr">
        <is>
          <t>7620/287</t>
        </is>
      </c>
      <c r="E243" s="3" t="inlineStr">
        <is>
          <t>HF CIP Structuring Fee - Development</t>
        </is>
      </c>
      <c r="F243" s="3" t="n">
        <v>0</v>
      </c>
      <c r="G243" s="3" t="n">
        <v>782608.0699999999</v>
      </c>
    </row>
    <row r="244">
      <c r="A244" s="3" t="inlineStr">
        <is>
          <t>Heron Fields (Pty) Ltd</t>
        </is>
      </c>
      <c r="B244" s="4" t="n">
        <v>44500</v>
      </c>
      <c r="C244" s="3" t="inlineStr">
        <is>
          <t>Assets</t>
        </is>
      </c>
      <c r="D244" s="3" t="inlineStr">
        <is>
          <t>7620/290</t>
        </is>
      </c>
      <c r="E244" s="3" t="inlineStr">
        <is>
          <t>HF CIP Town Planning</t>
        </is>
      </c>
      <c r="F244" s="3" t="n">
        <v>0</v>
      </c>
      <c r="G244" s="3" t="n">
        <v>129550</v>
      </c>
    </row>
    <row r="245">
      <c r="A245" s="3" t="inlineStr">
        <is>
          <t>Heron Fields (Pty) Ltd</t>
        </is>
      </c>
      <c r="B245" s="4" t="n">
        <v>44500</v>
      </c>
      <c r="C245" s="3" t="inlineStr">
        <is>
          <t>Assets</t>
        </is>
      </c>
      <c r="D245" s="3" t="inlineStr">
        <is>
          <t>7620/295</t>
        </is>
      </c>
      <c r="E245" s="3" t="inlineStr">
        <is>
          <t>HF CIP Traffic Planning</t>
        </is>
      </c>
      <c r="F245" s="3" t="n">
        <v>0</v>
      </c>
      <c r="G245" s="3" t="n">
        <v>45000</v>
      </c>
    </row>
    <row r="246">
      <c r="A246" s="3" t="inlineStr">
        <is>
          <t>Heron Fields (Pty) Ltd</t>
        </is>
      </c>
      <c r="B246" s="4" t="n">
        <v>44500</v>
      </c>
      <c r="C246" s="3" t="inlineStr">
        <is>
          <t>Assets</t>
        </is>
      </c>
      <c r="D246" s="3" t="inlineStr">
        <is>
          <t>7620/600</t>
        </is>
      </c>
      <c r="E246" s="3" t="inlineStr">
        <is>
          <t>HF CIP Eco work</t>
        </is>
      </c>
      <c r="F246" s="3" t="n">
        <v>30000</v>
      </c>
      <c r="G246" s="3" t="n">
        <v>30000</v>
      </c>
    </row>
    <row r="247">
      <c r="A247" s="3" t="inlineStr">
        <is>
          <t>Heron Fields (Pty) Ltd</t>
        </is>
      </c>
      <c r="B247" s="4" t="n">
        <v>44500</v>
      </c>
      <c r="C247" s="3" t="inlineStr">
        <is>
          <t>Assets</t>
        </is>
      </c>
      <c r="D247" s="3" t="inlineStr">
        <is>
          <t>8200/200</t>
        </is>
      </c>
      <c r="E247" s="3" t="inlineStr">
        <is>
          <t>Sundry Debtor - Quinate</t>
        </is>
      </c>
      <c r="F247" s="3" t="n">
        <v>0</v>
      </c>
      <c r="G247" s="3" t="n">
        <v>300000</v>
      </c>
    </row>
    <row r="248">
      <c r="A248" s="3" t="inlineStr">
        <is>
          <t>Heron Fields (Pty) Ltd</t>
        </is>
      </c>
      <c r="B248" s="4" t="n">
        <v>44500</v>
      </c>
      <c r="C248" s="3" t="inlineStr">
        <is>
          <t>Assets</t>
        </is>
      </c>
      <c r="D248" s="3" t="inlineStr">
        <is>
          <t>8400/000</t>
        </is>
      </c>
      <c r="E248" s="3" t="inlineStr">
        <is>
          <t>RMB - 62882379087</t>
        </is>
      </c>
      <c r="F248" s="3" t="n">
        <v>58528.48</v>
      </c>
      <c r="G248" s="3" t="n">
        <v>60534.64</v>
      </c>
    </row>
    <row r="249">
      <c r="A249" s="3" t="inlineStr">
        <is>
          <t>Heron Fields (Pty) Ltd</t>
        </is>
      </c>
      <c r="B249" s="4" t="n">
        <v>44500</v>
      </c>
      <c r="C249" s="3" t="inlineStr">
        <is>
          <t>Assets</t>
        </is>
      </c>
      <c r="D249" s="3" t="inlineStr">
        <is>
          <t>8430/000</t>
        </is>
      </c>
      <c r="E249" s="3" t="inlineStr">
        <is>
          <t>Momentum Private Account RU502230151</t>
        </is>
      </c>
      <c r="F249" s="3" t="n">
        <v>389512.35</v>
      </c>
      <c r="G249" s="3" t="n">
        <v>390007.08</v>
      </c>
    </row>
    <row r="250">
      <c r="A250" s="3" t="inlineStr">
        <is>
          <t>Heron Fields (Pty) Ltd</t>
        </is>
      </c>
      <c r="B250" s="4" t="n">
        <v>44500</v>
      </c>
      <c r="C250" s="3" t="inlineStr">
        <is>
          <t>Assets</t>
        </is>
      </c>
      <c r="D250" s="3" t="inlineStr">
        <is>
          <t>8440/000</t>
        </is>
      </c>
      <c r="E250" s="3" t="inlineStr">
        <is>
          <t>Momentum Investors Account RU502229930</t>
        </is>
      </c>
      <c r="F250" s="3" t="n">
        <v>8736430.18</v>
      </c>
      <c r="G250" s="3" t="n">
        <v>12522238.63</v>
      </c>
    </row>
    <row r="251">
      <c r="A251" s="3" t="inlineStr">
        <is>
          <t>Heron Fields (Pty) Ltd</t>
        </is>
      </c>
      <c r="B251" s="4" t="n">
        <v>44500</v>
      </c>
      <c r="C251" s="3" t="inlineStr">
        <is>
          <t>Liabilities</t>
        </is>
      </c>
      <c r="D251" s="3" t="inlineStr">
        <is>
          <t>9000/000</t>
        </is>
      </c>
      <c r="E251" s="3" t="inlineStr">
        <is>
          <t>Supplier Control Account</t>
        </is>
      </c>
      <c r="F251" s="3" t="n">
        <v>-8843754.029999999</v>
      </c>
      <c r="G251" s="3" t="n">
        <v>-45653688.36</v>
      </c>
    </row>
    <row r="252">
      <c r="A252" s="3" t="inlineStr">
        <is>
          <t>Heron Fields (Pty) Ltd</t>
        </is>
      </c>
      <c r="B252" s="4" t="n">
        <v>44500</v>
      </c>
      <c r="C252" s="3" t="inlineStr">
        <is>
          <t>Liabilities</t>
        </is>
      </c>
      <c r="D252" s="3" t="inlineStr">
        <is>
          <t>9500/000</t>
        </is>
      </c>
      <c r="E252" s="3" t="inlineStr">
        <is>
          <t>Vat / Tax Control Account</t>
        </is>
      </c>
      <c r="F252" s="3" t="n">
        <v>-3062388.43</v>
      </c>
      <c r="G252" s="3" t="n">
        <v>370724.5</v>
      </c>
    </row>
    <row r="253">
      <c r="A253" s="3" t="inlineStr">
        <is>
          <t>Heron Fields (Pty) Ltd</t>
        </is>
      </c>
      <c r="B253" s="4" t="n">
        <v>44530</v>
      </c>
      <c r="C253" s="3" t="inlineStr">
        <is>
          <t>Revenue</t>
        </is>
      </c>
      <c r="D253" s="3" t="inlineStr">
        <is>
          <t>1500/001</t>
        </is>
      </c>
      <c r="E253" s="3" t="inlineStr">
        <is>
          <t>Revaluation of Land</t>
        </is>
      </c>
      <c r="F253" s="3" t="n">
        <v>0</v>
      </c>
      <c r="G253" s="3" t="n">
        <v>-19713043.68</v>
      </c>
    </row>
    <row r="254">
      <c r="A254" s="3" t="inlineStr">
        <is>
          <t>Heron Fields (Pty) Ltd</t>
        </is>
      </c>
      <c r="B254" s="4" t="n">
        <v>44530</v>
      </c>
      <c r="C254" s="3" t="inlineStr">
        <is>
          <t>Expenses</t>
        </is>
      </c>
      <c r="D254" s="3" t="inlineStr">
        <is>
          <t>2000/020</t>
        </is>
      </c>
      <c r="E254" s="3" t="inlineStr">
        <is>
          <t>COS - Heron sales office</t>
        </is>
      </c>
      <c r="F254" s="3" t="n">
        <v>2084</v>
      </c>
      <c r="G254" s="3" t="n">
        <v>8314</v>
      </c>
    </row>
    <row r="255">
      <c r="A255" s="3" t="inlineStr">
        <is>
          <t>Heron Fields (Pty) Ltd</t>
        </is>
      </c>
      <c r="B255" s="4" t="n">
        <v>44530</v>
      </c>
      <c r="C255" s="3" t="inlineStr">
        <is>
          <t>Revenue</t>
        </is>
      </c>
      <c r="D255" s="3" t="inlineStr">
        <is>
          <t>2753/001</t>
        </is>
      </c>
      <c r="E255" s="3" t="inlineStr">
        <is>
          <t>Interest Received - Deposit Grey Heron</t>
        </is>
      </c>
      <c r="F255" s="3" t="n">
        <v>0</v>
      </c>
      <c r="G255" s="3" t="n">
        <v>-1245</v>
      </c>
    </row>
    <row r="256">
      <c r="A256" s="3" t="inlineStr">
        <is>
          <t>Heron Fields (Pty) Ltd</t>
        </is>
      </c>
      <c r="B256" s="4" t="n">
        <v>44530</v>
      </c>
      <c r="C256" s="3" t="inlineStr">
        <is>
          <t>Revenue</t>
        </is>
      </c>
      <c r="D256" s="3" t="inlineStr">
        <is>
          <t>2754/001</t>
        </is>
      </c>
      <c r="E256" s="3" t="inlineStr">
        <is>
          <t>Interest Received - STBB Trust Account</t>
        </is>
      </c>
      <c r="F256" s="3" t="n">
        <v>0</v>
      </c>
      <c r="G256" s="3" t="n">
        <v>-149149.4</v>
      </c>
    </row>
    <row r="257">
      <c r="A257" s="3" t="inlineStr">
        <is>
          <t>Heron Fields (Pty) Ltd</t>
        </is>
      </c>
      <c r="B257" s="4" t="n">
        <v>44530</v>
      </c>
      <c r="C257" s="3" t="inlineStr">
        <is>
          <t>Revenue</t>
        </is>
      </c>
      <c r="D257" s="3" t="inlineStr">
        <is>
          <t>2755/001</t>
        </is>
      </c>
      <c r="E257" s="3" t="inlineStr">
        <is>
          <t>Interest Received - Momentum</t>
        </is>
      </c>
      <c r="F257" s="3" t="n">
        <v>-39490.48</v>
      </c>
      <c r="G257" s="3" t="n">
        <v>-80324.59</v>
      </c>
    </row>
    <row r="258">
      <c r="A258" s="3" t="inlineStr">
        <is>
          <t>Heron Fields (Pty) Ltd</t>
        </is>
      </c>
      <c r="B258" s="4" t="n">
        <v>44530</v>
      </c>
      <c r="C258" s="3" t="inlineStr">
        <is>
          <t>Expenses</t>
        </is>
      </c>
      <c r="D258" s="3" t="inlineStr">
        <is>
          <t>3000/100</t>
        </is>
      </c>
      <c r="E258" s="3" t="inlineStr">
        <is>
          <t>Accounting - CIPC</t>
        </is>
      </c>
      <c r="F258" s="3" t="n">
        <v>0</v>
      </c>
      <c r="G258" s="3" t="n">
        <v>100</v>
      </c>
    </row>
    <row r="259">
      <c r="A259" s="3" t="inlineStr">
        <is>
          <t>Heron Fields (Pty) Ltd</t>
        </is>
      </c>
      <c r="B259" s="4" t="n">
        <v>44530</v>
      </c>
      <c r="C259" s="3" t="inlineStr">
        <is>
          <t>Expenses</t>
        </is>
      </c>
      <c r="D259" s="3" t="inlineStr">
        <is>
          <t>3050/000</t>
        </is>
      </c>
      <c r="E259" s="3" t="inlineStr">
        <is>
          <t>Advertising _AND_ Promotions</t>
        </is>
      </c>
      <c r="F259" s="3" t="n">
        <v>15319.5</v>
      </c>
      <c r="G259" s="3" t="n">
        <v>61525.02</v>
      </c>
    </row>
    <row r="260">
      <c r="A260" s="3" t="inlineStr">
        <is>
          <t>Heron Fields (Pty) Ltd</t>
        </is>
      </c>
      <c r="B260" s="4" t="n">
        <v>44530</v>
      </c>
      <c r="C260" s="3" t="inlineStr">
        <is>
          <t>Expenses</t>
        </is>
      </c>
      <c r="D260" s="3" t="inlineStr">
        <is>
          <t>3050/100</t>
        </is>
      </c>
      <c r="E260" s="3" t="inlineStr">
        <is>
          <t>Advertising - Property24</t>
        </is>
      </c>
      <c r="F260" s="3" t="n">
        <v>32400</v>
      </c>
      <c r="G260" s="3" t="n">
        <v>32400</v>
      </c>
    </row>
    <row r="261">
      <c r="A261" s="3" t="inlineStr">
        <is>
          <t>Heron Fields (Pty) Ltd</t>
        </is>
      </c>
      <c r="B261" s="4" t="n">
        <v>44530</v>
      </c>
      <c r="C261" s="3" t="inlineStr">
        <is>
          <t>Expenses</t>
        </is>
      </c>
      <c r="D261" s="3" t="inlineStr">
        <is>
          <t>3200/000</t>
        </is>
      </c>
      <c r="E261" s="3" t="inlineStr">
        <is>
          <t>Bank Charges</t>
        </is>
      </c>
      <c r="F261" s="3" t="n">
        <v>530.11</v>
      </c>
      <c r="G261" s="3" t="n">
        <v>2717.38</v>
      </c>
    </row>
    <row r="262">
      <c r="A262" s="3" t="inlineStr">
        <is>
          <t>Heron Fields (Pty) Ltd</t>
        </is>
      </c>
      <c r="B262" s="4" t="n">
        <v>44530</v>
      </c>
      <c r="C262" s="3" t="inlineStr">
        <is>
          <t>Expenses</t>
        </is>
      </c>
      <c r="D262" s="3" t="inlineStr">
        <is>
          <t>3301/000</t>
        </is>
      </c>
      <c r="E262" s="3" t="inlineStr">
        <is>
          <t>Computer Expenses - Xero</t>
        </is>
      </c>
      <c r="F262" s="3" t="n">
        <v>0</v>
      </c>
      <c r="G262" s="3" t="n">
        <v>3000</v>
      </c>
    </row>
    <row r="263">
      <c r="A263" s="3" t="inlineStr">
        <is>
          <t>Heron Fields (Pty) Ltd</t>
        </is>
      </c>
      <c r="B263" s="4" t="n">
        <v>44530</v>
      </c>
      <c r="C263" s="3" t="inlineStr">
        <is>
          <t>Expenses</t>
        </is>
      </c>
      <c r="D263" s="3" t="inlineStr">
        <is>
          <t>3350/100</t>
        </is>
      </c>
      <c r="E263" s="3" t="inlineStr">
        <is>
          <t>Consulting Fees - Admin and Finance</t>
        </is>
      </c>
      <c r="F263" s="3" t="n">
        <v>73960</v>
      </c>
      <c r="G263" s="3" t="n">
        <v>214565.73</v>
      </c>
    </row>
    <row r="264">
      <c r="A264" s="3" t="inlineStr">
        <is>
          <t>Heron Fields (Pty) Ltd</t>
        </is>
      </c>
      <c r="B264" s="4" t="n">
        <v>44530</v>
      </c>
      <c r="C264" s="3" t="inlineStr">
        <is>
          <t>Expenses</t>
        </is>
      </c>
      <c r="D264" s="3" t="inlineStr">
        <is>
          <t>3351/000</t>
        </is>
      </c>
      <c r="E264" s="3" t="inlineStr">
        <is>
          <t>Consulting fees - Trustee</t>
        </is>
      </c>
      <c r="F264" s="3" t="n">
        <v>0</v>
      </c>
      <c r="G264" s="3" t="n">
        <v>13508</v>
      </c>
    </row>
    <row r="265">
      <c r="A265" s="3" t="inlineStr">
        <is>
          <t>Heron Fields (Pty) Ltd</t>
        </is>
      </c>
      <c r="B265" s="4" t="n">
        <v>44530</v>
      </c>
      <c r="C265" s="3" t="inlineStr">
        <is>
          <t>Expenses</t>
        </is>
      </c>
      <c r="D265" s="3" t="inlineStr">
        <is>
          <t>3650/000</t>
        </is>
      </c>
      <c r="E265" s="3" t="inlineStr">
        <is>
          <t>CoCT - Electricity</t>
        </is>
      </c>
      <c r="F265" s="3" t="n">
        <v>2508.88</v>
      </c>
      <c r="G265" s="3" t="n">
        <v>13094.52</v>
      </c>
    </row>
    <row r="266">
      <c r="A266" s="3" t="inlineStr">
        <is>
          <t>Heron Fields (Pty) Ltd</t>
        </is>
      </c>
      <c r="B266" s="4" t="n">
        <v>44530</v>
      </c>
      <c r="C266" s="3" t="inlineStr">
        <is>
          <t>Expenses</t>
        </is>
      </c>
      <c r="D266" s="3" t="inlineStr">
        <is>
          <t>3660/000</t>
        </is>
      </c>
      <c r="E266" s="3" t="inlineStr">
        <is>
          <t>CoCT - Water</t>
        </is>
      </c>
      <c r="F266" s="3" t="n">
        <v>402.13</v>
      </c>
      <c r="G266" s="3" t="n">
        <v>1782.38</v>
      </c>
    </row>
    <row r="267">
      <c r="A267" s="3" t="inlineStr">
        <is>
          <t>Heron Fields (Pty) Ltd</t>
        </is>
      </c>
      <c r="B267" s="4" t="n">
        <v>44530</v>
      </c>
      <c r="C267" s="3" t="inlineStr">
        <is>
          <t>Expenses</t>
        </is>
      </c>
      <c r="D267" s="3" t="inlineStr">
        <is>
          <t>3700/000</t>
        </is>
      </c>
      <c r="E267" s="3" t="inlineStr">
        <is>
          <t>Entertainment Expenses</t>
        </is>
      </c>
      <c r="F267" s="3" t="n">
        <v>0</v>
      </c>
      <c r="G267" s="3" t="n">
        <v>250</v>
      </c>
    </row>
    <row r="268">
      <c r="A268" s="3" t="inlineStr">
        <is>
          <t>Heron Fields (Pty) Ltd</t>
        </is>
      </c>
      <c r="B268" s="4" t="n">
        <v>44530</v>
      </c>
      <c r="C268" s="3" t="inlineStr">
        <is>
          <t>Expenses</t>
        </is>
      </c>
      <c r="D268" s="3" t="inlineStr">
        <is>
          <t>4100/001</t>
        </is>
      </c>
      <c r="E268" s="3" t="inlineStr">
        <is>
          <t>Momentum Admin Fee</t>
        </is>
      </c>
      <c r="F268" s="3" t="n">
        <v>9753.08</v>
      </c>
      <c r="G268" s="3" t="n">
        <v>78960.38</v>
      </c>
    </row>
    <row r="269">
      <c r="A269" s="3" t="inlineStr">
        <is>
          <t>Heron Fields (Pty) Ltd</t>
        </is>
      </c>
      <c r="B269" s="4" t="n">
        <v>44530</v>
      </c>
      <c r="C269" s="3" t="inlineStr">
        <is>
          <t>Expenses</t>
        </is>
      </c>
      <c r="D269" s="3" t="inlineStr">
        <is>
          <t>4200/000</t>
        </is>
      </c>
      <c r="E269" s="3" t="inlineStr">
        <is>
          <t>Printing _AND_ Stationery</t>
        </is>
      </c>
      <c r="F269" s="3" t="n">
        <v>0</v>
      </c>
      <c r="G269" s="3" t="n">
        <v>765</v>
      </c>
    </row>
    <row r="270">
      <c r="A270" s="3" t="inlineStr">
        <is>
          <t>Heron Fields (Pty) Ltd</t>
        </is>
      </c>
      <c r="B270" s="4" t="n">
        <v>44530</v>
      </c>
      <c r="C270" s="3" t="inlineStr">
        <is>
          <t>Expenses</t>
        </is>
      </c>
      <c r="D270" s="3" t="inlineStr">
        <is>
          <t>4310/000</t>
        </is>
      </c>
      <c r="E270" s="3" t="inlineStr">
        <is>
          <t>Rates - Heron</t>
        </is>
      </c>
      <c r="F270" s="3" t="n">
        <v>2965.61</v>
      </c>
      <c r="G270" s="3" t="n">
        <v>17879.11</v>
      </c>
    </row>
    <row r="271">
      <c r="A271" s="3" t="inlineStr">
        <is>
          <t>Heron Fields (Pty) Ltd</t>
        </is>
      </c>
      <c r="B271" s="4" t="n">
        <v>44530</v>
      </c>
      <c r="C271" s="3" t="inlineStr">
        <is>
          <t>Expenses</t>
        </is>
      </c>
      <c r="D271" s="3" t="inlineStr">
        <is>
          <t>4350/000</t>
        </is>
      </c>
      <c r="E271" s="3" t="inlineStr">
        <is>
          <t>Repairs _AND_ Maintenance</t>
        </is>
      </c>
      <c r="F271" s="3" t="n">
        <v>0</v>
      </c>
      <c r="G271" s="3" t="n">
        <v>250</v>
      </c>
    </row>
    <row r="272">
      <c r="A272" s="3" t="inlineStr">
        <is>
          <t>Heron Fields (Pty) Ltd</t>
        </is>
      </c>
      <c r="B272" s="4" t="n">
        <v>44530</v>
      </c>
      <c r="C272" s="3" t="inlineStr">
        <is>
          <t>Expenses</t>
        </is>
      </c>
      <c r="D272" s="3" t="inlineStr">
        <is>
          <t>4410/000</t>
        </is>
      </c>
      <c r="E272" s="3" t="inlineStr">
        <is>
          <t>Secretarial fees</t>
        </is>
      </c>
      <c r="F272" s="3" t="n">
        <v>0</v>
      </c>
      <c r="G272" s="3" t="n">
        <v>17000</v>
      </c>
    </row>
    <row r="273">
      <c r="A273" s="3" t="inlineStr">
        <is>
          <t>Heron Fields (Pty) Ltd</t>
        </is>
      </c>
      <c r="B273" s="4" t="n">
        <v>44530</v>
      </c>
      <c r="C273" s="3" t="inlineStr">
        <is>
          <t>Expenses</t>
        </is>
      </c>
      <c r="D273" s="3" t="inlineStr">
        <is>
          <t>4420/001</t>
        </is>
      </c>
      <c r="E273" s="3" t="inlineStr">
        <is>
          <t>Security - ADT</t>
        </is>
      </c>
      <c r="F273" s="3" t="n">
        <v>783.26</v>
      </c>
      <c r="G273" s="3" t="n">
        <v>3235.75</v>
      </c>
    </row>
    <row r="274">
      <c r="A274" s="3" t="inlineStr">
        <is>
          <t>Heron Fields (Pty) Ltd</t>
        </is>
      </c>
      <c r="B274" s="4" t="n">
        <v>44530</v>
      </c>
      <c r="C274" s="3" t="inlineStr">
        <is>
          <t>Expenses</t>
        </is>
      </c>
      <c r="D274" s="3" t="inlineStr">
        <is>
          <t>4550/100</t>
        </is>
      </c>
      <c r="E274" s="3" t="inlineStr">
        <is>
          <t>Subscriptions - Xero</t>
        </is>
      </c>
      <c r="F274" s="3" t="n">
        <v>600</v>
      </c>
      <c r="G274" s="3" t="n">
        <v>2800</v>
      </c>
    </row>
    <row r="275">
      <c r="A275" s="3" t="inlineStr">
        <is>
          <t>Heron Fields (Pty) Ltd</t>
        </is>
      </c>
      <c r="B275" s="4" t="n">
        <v>44530</v>
      </c>
      <c r="C275" s="3" t="inlineStr">
        <is>
          <t>Expenses</t>
        </is>
      </c>
      <c r="D275" s="3" t="inlineStr">
        <is>
          <t>4550/200</t>
        </is>
      </c>
      <c r="E275" s="3" t="inlineStr">
        <is>
          <t>Subscription - NHBRC</t>
        </is>
      </c>
      <c r="F275" s="3" t="n">
        <v>1271.93</v>
      </c>
      <c r="G275" s="3" t="n">
        <v>1271.93</v>
      </c>
    </row>
    <row r="276">
      <c r="A276" s="3" t="inlineStr">
        <is>
          <t>Heron Fields (Pty) Ltd</t>
        </is>
      </c>
      <c r="B276" s="4" t="n">
        <v>44530</v>
      </c>
      <c r="C276" s="3" t="inlineStr">
        <is>
          <t>Equity</t>
        </is>
      </c>
      <c r="D276" s="3" t="inlineStr">
        <is>
          <t>5100-000</t>
        </is>
      </c>
      <c r="E276" s="3" t="inlineStr">
        <is>
          <t>Share Capital</t>
        </is>
      </c>
      <c r="F276" s="3" t="n">
        <v>0</v>
      </c>
      <c r="G276" s="3" t="n">
        <v>-100</v>
      </c>
    </row>
    <row r="277">
      <c r="A277" s="3" t="inlineStr">
        <is>
          <t>Heron Fields (Pty) Ltd</t>
        </is>
      </c>
      <c r="B277" s="4" t="n">
        <v>44530</v>
      </c>
      <c r="C277" s="3" t="inlineStr">
        <is>
          <t>Assets</t>
        </is>
      </c>
      <c r="D277" s="3" t="inlineStr">
        <is>
          <t>5300/001</t>
        </is>
      </c>
      <c r="E277" s="3" t="inlineStr">
        <is>
          <t>Revaluation of Land stock</t>
        </is>
      </c>
      <c r="F277" s="3" t="n">
        <v>0</v>
      </c>
      <c r="G277" s="3" t="n">
        <v>19713043.68</v>
      </c>
    </row>
    <row r="278">
      <c r="A278" s="3" t="inlineStr">
        <is>
          <t>Heron Fields (Pty) Ltd</t>
        </is>
      </c>
      <c r="B278" s="4" t="n">
        <v>44530</v>
      </c>
      <c r="C278" s="3" t="inlineStr">
        <is>
          <t>Liabilities</t>
        </is>
      </c>
      <c r="D278" s="3" t="inlineStr">
        <is>
          <t>5500/010</t>
        </is>
      </c>
      <c r="E278" s="3" t="inlineStr">
        <is>
          <t>Loan - Quinate</t>
        </is>
      </c>
      <c r="F278" s="3" t="n">
        <v>8069</v>
      </c>
      <c r="G278" s="3" t="n">
        <v>-6831</v>
      </c>
    </row>
    <row r="279">
      <c r="A279" s="3" t="inlineStr">
        <is>
          <t>Heron Fields (Pty) Ltd</t>
        </is>
      </c>
      <c r="B279" s="4" t="n">
        <v>44530</v>
      </c>
      <c r="C279" s="3" t="inlineStr">
        <is>
          <t>Liabilities</t>
        </is>
      </c>
      <c r="D279" s="3" t="inlineStr">
        <is>
          <t>5500/020</t>
        </is>
      </c>
      <c r="E279" s="3" t="inlineStr">
        <is>
          <t>Loan - Cape Projects Construction</t>
        </is>
      </c>
      <c r="F279" s="3" t="n">
        <v>-238850</v>
      </c>
      <c r="G279" s="3" t="n">
        <v>104000</v>
      </c>
    </row>
    <row r="280">
      <c r="A280" s="3" t="inlineStr">
        <is>
          <t>Heron Fields (Pty) Ltd</t>
        </is>
      </c>
      <c r="B280" s="4" t="n">
        <v>44530</v>
      </c>
      <c r="C280" s="3" t="inlineStr">
        <is>
          <t>Liabilities</t>
        </is>
      </c>
      <c r="D280" s="3" t="inlineStr">
        <is>
          <t>5500/030</t>
        </is>
      </c>
      <c r="E280" s="3" t="inlineStr">
        <is>
          <t>Loan - Opportunity Global Investments</t>
        </is>
      </c>
      <c r="F280" s="3" t="n">
        <v>40600</v>
      </c>
      <c r="G280" s="3" t="n">
        <v>0</v>
      </c>
    </row>
    <row r="281">
      <c r="A281" s="3" t="inlineStr">
        <is>
          <t>Heron Fields (Pty) Ltd</t>
        </is>
      </c>
      <c r="B281" s="4" t="n">
        <v>44530</v>
      </c>
      <c r="C281" s="3" t="inlineStr">
        <is>
          <t>Liabilities</t>
        </is>
      </c>
      <c r="D281" s="3" t="inlineStr">
        <is>
          <t>5500/040</t>
        </is>
      </c>
      <c r="E281" s="3" t="inlineStr">
        <is>
          <t>Loan - Trademark</t>
        </is>
      </c>
      <c r="F281" s="3" t="n">
        <v>3635</v>
      </c>
      <c r="G281" s="3" t="n">
        <v>0</v>
      </c>
    </row>
    <row r="282">
      <c r="A282" s="3" t="inlineStr">
        <is>
          <t>Heron Fields (Pty) Ltd</t>
        </is>
      </c>
      <c r="B282" s="4" t="n">
        <v>44530</v>
      </c>
      <c r="C282" s="3" t="inlineStr">
        <is>
          <t>Assets</t>
        </is>
      </c>
      <c r="D282" s="3" t="inlineStr">
        <is>
          <t>7620/100</t>
        </is>
      </c>
      <c r="E282" s="3" t="inlineStr">
        <is>
          <t>Heron View Land</t>
        </is>
      </c>
      <c r="F282" s="3" t="n">
        <v>0</v>
      </c>
      <c r="G282" s="3" t="n">
        <v>26200000</v>
      </c>
    </row>
    <row r="283">
      <c r="A283" s="3" t="inlineStr">
        <is>
          <t>Heron Fields (Pty) Ltd</t>
        </is>
      </c>
      <c r="B283" s="4" t="n">
        <v>44530</v>
      </c>
      <c r="C283" s="3" t="inlineStr">
        <is>
          <t>Assets</t>
        </is>
      </c>
      <c r="D283" s="3" t="inlineStr">
        <is>
          <t>7620/101</t>
        </is>
      </c>
      <c r="E283" s="3" t="inlineStr">
        <is>
          <t>HF CIP Bond Registration Fee</t>
        </is>
      </c>
      <c r="F283" s="3" t="n">
        <v>0</v>
      </c>
      <c r="G283" s="3" t="n">
        <v>68427</v>
      </c>
    </row>
    <row r="284">
      <c r="A284" s="3" t="inlineStr">
        <is>
          <t>Heron Fields (Pty) Ltd</t>
        </is>
      </c>
      <c r="B284" s="4" t="n">
        <v>44530</v>
      </c>
      <c r="C284" s="3" t="inlineStr">
        <is>
          <t>Assets</t>
        </is>
      </c>
      <c r="D284" s="3" t="inlineStr">
        <is>
          <t>7620/102</t>
        </is>
      </c>
      <c r="E284" s="3" t="inlineStr">
        <is>
          <t>HF CIP Transfer Fee</t>
        </is>
      </c>
      <c r="F284" s="3" t="n">
        <v>0</v>
      </c>
      <c r="G284" s="3" t="n">
        <v>103812</v>
      </c>
    </row>
    <row r="285">
      <c r="A285" s="3" t="inlineStr">
        <is>
          <t>Heron Fields (Pty) Ltd</t>
        </is>
      </c>
      <c r="B285" s="4" t="n">
        <v>44530</v>
      </c>
      <c r="C285" s="3" t="inlineStr">
        <is>
          <t>Assets</t>
        </is>
      </c>
      <c r="D285" s="3" t="inlineStr">
        <is>
          <t>7620/220</t>
        </is>
      </c>
      <c r="E285" s="3" t="inlineStr">
        <is>
          <t>HF CIP Architectural Designs</t>
        </is>
      </c>
      <c r="F285" s="3" t="n">
        <v>10000</v>
      </c>
      <c r="G285" s="3" t="n">
        <v>137000</v>
      </c>
    </row>
    <row r="286">
      <c r="A286" s="3" t="inlineStr">
        <is>
          <t>Heron Fields (Pty) Ltd</t>
        </is>
      </c>
      <c r="B286" s="4" t="n">
        <v>44530</v>
      </c>
      <c r="C286" s="3" t="inlineStr">
        <is>
          <t>Assets</t>
        </is>
      </c>
      <c r="D286" s="3" t="inlineStr">
        <is>
          <t>7620/240</t>
        </is>
      </c>
      <c r="E286" s="3" t="inlineStr">
        <is>
          <t>HF CIP Civil Engineering</t>
        </is>
      </c>
      <c r="F286" s="3" t="n">
        <v>31500</v>
      </c>
      <c r="G286" s="3" t="n">
        <v>2487735</v>
      </c>
    </row>
    <row r="287">
      <c r="A287" s="3" t="inlineStr">
        <is>
          <t>Heron Fields (Pty) Ltd</t>
        </is>
      </c>
      <c r="B287" s="4" t="n">
        <v>44530</v>
      </c>
      <c r="C287" s="3" t="inlineStr">
        <is>
          <t>Assets</t>
        </is>
      </c>
      <c r="D287" s="3" t="inlineStr">
        <is>
          <t>7620/245</t>
        </is>
      </c>
      <c r="E287" s="3" t="inlineStr">
        <is>
          <t>HF CIP Development fee</t>
        </is>
      </c>
      <c r="F287" s="3" t="n">
        <v>13807.78</v>
      </c>
      <c r="G287" s="3" t="n">
        <v>13807.78</v>
      </c>
    </row>
    <row r="288">
      <c r="A288" s="3" t="inlineStr">
        <is>
          <t>Heron Fields (Pty) Ltd</t>
        </is>
      </c>
      <c r="B288" s="4" t="n">
        <v>44530</v>
      </c>
      <c r="C288" s="3" t="inlineStr">
        <is>
          <t>Assets</t>
        </is>
      </c>
      <c r="D288" s="3" t="inlineStr">
        <is>
          <t>7620/250</t>
        </is>
      </c>
      <c r="E288" s="3" t="inlineStr">
        <is>
          <t>HF CIP Land Surveyor</t>
        </is>
      </c>
      <c r="F288" s="3" t="n">
        <v>0</v>
      </c>
      <c r="G288" s="3" t="n">
        <v>4510</v>
      </c>
    </row>
    <row r="289">
      <c r="A289" s="3" t="inlineStr">
        <is>
          <t>Heron Fields (Pty) Ltd</t>
        </is>
      </c>
      <c r="B289" s="4" t="n">
        <v>44530</v>
      </c>
      <c r="C289" s="3" t="inlineStr">
        <is>
          <t>Assets</t>
        </is>
      </c>
      <c r="D289" s="3" t="inlineStr">
        <is>
          <t>7620/255</t>
        </is>
      </c>
      <c r="E289" s="3" t="inlineStr">
        <is>
          <t>HF CIP Landscaping</t>
        </is>
      </c>
      <c r="F289" s="3" t="n">
        <v>0</v>
      </c>
      <c r="G289" s="3" t="n">
        <v>7500</v>
      </c>
    </row>
    <row r="290">
      <c r="A290" s="3" t="inlineStr">
        <is>
          <t>Heron Fields (Pty) Ltd</t>
        </is>
      </c>
      <c r="B290" s="4" t="n">
        <v>44530</v>
      </c>
      <c r="C290" s="3" t="inlineStr">
        <is>
          <t>Assets</t>
        </is>
      </c>
      <c r="D290" s="3" t="inlineStr">
        <is>
          <t>7620/260</t>
        </is>
      </c>
      <c r="E290" s="3" t="inlineStr">
        <is>
          <t>HF CIP Mechanical Engineers</t>
        </is>
      </c>
      <c r="F290" s="3" t="n">
        <v>28400</v>
      </c>
      <c r="G290" s="3" t="n">
        <v>67400</v>
      </c>
    </row>
    <row r="291">
      <c r="A291" s="3" t="inlineStr">
        <is>
          <t>Heron Fields (Pty) Ltd</t>
        </is>
      </c>
      <c r="B291" s="4" t="n">
        <v>44530</v>
      </c>
      <c r="C291" s="3" t="inlineStr">
        <is>
          <t>Assets</t>
        </is>
      </c>
      <c r="D291" s="3" t="inlineStr">
        <is>
          <t>7620/270</t>
        </is>
      </c>
      <c r="E291" s="3" t="inlineStr">
        <is>
          <t>HF CIP Geotechnical</t>
        </is>
      </c>
      <c r="F291" s="3" t="n">
        <v>0</v>
      </c>
      <c r="G291" s="3" t="n">
        <v>15175</v>
      </c>
    </row>
    <row r="292">
      <c r="A292" s="3" t="inlineStr">
        <is>
          <t>Heron Fields (Pty) Ltd</t>
        </is>
      </c>
      <c r="B292" s="4" t="n">
        <v>44530</v>
      </c>
      <c r="C292" s="3" t="inlineStr">
        <is>
          <t>Assets</t>
        </is>
      </c>
      <c r="D292" s="3" t="inlineStr">
        <is>
          <t>7620/280</t>
        </is>
      </c>
      <c r="E292" s="3" t="inlineStr">
        <is>
          <t>HF CIP Site Establishment</t>
        </is>
      </c>
      <c r="F292" s="3" t="n">
        <v>0</v>
      </c>
      <c r="G292" s="3" t="n">
        <v>23034.26</v>
      </c>
    </row>
    <row r="293">
      <c r="A293" s="3" t="inlineStr">
        <is>
          <t>Heron Fields (Pty) Ltd</t>
        </is>
      </c>
      <c r="B293" s="4" t="n">
        <v>44530</v>
      </c>
      <c r="C293" s="3" t="inlineStr">
        <is>
          <t>Assets</t>
        </is>
      </c>
      <c r="D293" s="3" t="inlineStr">
        <is>
          <t>7620/285</t>
        </is>
      </c>
      <c r="E293" s="3" t="inlineStr">
        <is>
          <t>HF CIP Structuring Fee - Invest</t>
        </is>
      </c>
      <c r="F293" s="3" t="n">
        <v>0</v>
      </c>
      <c r="G293" s="3" t="n">
        <v>1555104.99</v>
      </c>
    </row>
    <row r="294">
      <c r="A294" s="3" t="inlineStr">
        <is>
          <t>Heron Fields (Pty) Ltd</t>
        </is>
      </c>
      <c r="B294" s="4" t="n">
        <v>44530</v>
      </c>
      <c r="C294" s="3" t="inlineStr">
        <is>
          <t>Assets</t>
        </is>
      </c>
      <c r="D294" s="3" t="inlineStr">
        <is>
          <t>7620/287</t>
        </is>
      </c>
      <c r="E294" s="3" t="inlineStr">
        <is>
          <t>HF CIP Structuring Fee - Development</t>
        </is>
      </c>
      <c r="F294" s="3" t="n">
        <v>0</v>
      </c>
      <c r="G294" s="3" t="n">
        <v>782608.0699999999</v>
      </c>
    </row>
    <row r="295">
      <c r="A295" s="3" t="inlineStr">
        <is>
          <t>Heron Fields (Pty) Ltd</t>
        </is>
      </c>
      <c r="B295" s="4" t="n">
        <v>44530</v>
      </c>
      <c r="C295" s="3" t="inlineStr">
        <is>
          <t>Assets</t>
        </is>
      </c>
      <c r="D295" s="3" t="inlineStr">
        <is>
          <t>7620/290</t>
        </is>
      </c>
      <c r="E295" s="3" t="inlineStr">
        <is>
          <t>HF CIP Town Planning</t>
        </is>
      </c>
      <c r="F295" s="3" t="n">
        <v>0</v>
      </c>
      <c r="G295" s="3" t="n">
        <v>129550</v>
      </c>
    </row>
    <row r="296">
      <c r="A296" s="3" t="inlineStr">
        <is>
          <t>Heron Fields (Pty) Ltd</t>
        </is>
      </c>
      <c r="B296" s="4" t="n">
        <v>44530</v>
      </c>
      <c r="C296" s="3" t="inlineStr">
        <is>
          <t>Assets</t>
        </is>
      </c>
      <c r="D296" s="3" t="inlineStr">
        <is>
          <t>7620/295</t>
        </is>
      </c>
      <c r="E296" s="3" t="inlineStr">
        <is>
          <t>HF CIP Traffic Planning</t>
        </is>
      </c>
      <c r="F296" s="3" t="n">
        <v>0</v>
      </c>
      <c r="G296" s="3" t="n">
        <v>45000</v>
      </c>
    </row>
    <row r="297">
      <c r="A297" s="3" t="inlineStr">
        <is>
          <t>Heron Fields (Pty) Ltd</t>
        </is>
      </c>
      <c r="B297" s="4" t="n">
        <v>44530</v>
      </c>
      <c r="C297" s="3" t="inlineStr">
        <is>
          <t>Assets</t>
        </is>
      </c>
      <c r="D297" s="3" t="inlineStr">
        <is>
          <t>7620/600</t>
        </is>
      </c>
      <c r="E297" s="3" t="inlineStr">
        <is>
          <t>HF CIP Eco work</t>
        </is>
      </c>
      <c r="F297" s="3" t="n">
        <v>6000</v>
      </c>
      <c r="G297" s="3" t="n">
        <v>36000</v>
      </c>
    </row>
    <row r="298">
      <c r="A298" s="3" t="inlineStr">
        <is>
          <t>Heron Fields (Pty) Ltd</t>
        </is>
      </c>
      <c r="B298" s="4" t="n">
        <v>44530</v>
      </c>
      <c r="C298" s="3" t="inlineStr">
        <is>
          <t>Assets</t>
        </is>
      </c>
      <c r="D298" s="3" t="inlineStr">
        <is>
          <t>7620/630</t>
        </is>
      </c>
      <c r="E298" s="3" t="inlineStr">
        <is>
          <t>HF CIP CoCT development contribution</t>
        </is>
      </c>
      <c r="F298" s="3" t="n">
        <v>523470.88</v>
      </c>
      <c r="G298" s="3" t="n">
        <v>523470.88</v>
      </c>
    </row>
    <row r="299">
      <c r="A299" s="3" t="inlineStr">
        <is>
          <t>Heron Fields (Pty) Ltd</t>
        </is>
      </c>
      <c r="B299" s="4" t="n">
        <v>44530</v>
      </c>
      <c r="C299" s="3" t="inlineStr">
        <is>
          <t>Assets</t>
        </is>
      </c>
      <c r="D299" s="3" t="inlineStr">
        <is>
          <t>8200/200</t>
        </is>
      </c>
      <c r="E299" s="3" t="inlineStr">
        <is>
          <t>Sundry Debtor - Quinate</t>
        </is>
      </c>
      <c r="F299" s="3" t="n">
        <v>0</v>
      </c>
      <c r="G299" s="3" t="n">
        <v>300000</v>
      </c>
    </row>
    <row r="300">
      <c r="A300" s="3" t="inlineStr">
        <is>
          <t>Heron Fields (Pty) Ltd</t>
        </is>
      </c>
      <c r="B300" s="4" t="n">
        <v>44530</v>
      </c>
      <c r="C300" s="3" t="inlineStr">
        <is>
          <t>Assets</t>
        </is>
      </c>
      <c r="D300" s="3" t="inlineStr">
        <is>
          <t>8400/000</t>
        </is>
      </c>
      <c r="E300" s="3" t="inlineStr">
        <is>
          <t>RMB - 62882379087</t>
        </is>
      </c>
      <c r="F300" s="3" t="n">
        <v>-56268.09</v>
      </c>
      <c r="G300" s="3" t="n">
        <v>4266.55</v>
      </c>
    </row>
    <row r="301">
      <c r="A301" s="3" t="inlineStr">
        <is>
          <t>Heron Fields (Pty) Ltd</t>
        </is>
      </c>
      <c r="B301" s="4" t="n">
        <v>44530</v>
      </c>
      <c r="C301" s="3" t="inlineStr">
        <is>
          <t>Assets</t>
        </is>
      </c>
      <c r="D301" s="3" t="inlineStr">
        <is>
          <t>8430/000</t>
        </is>
      </c>
      <c r="E301" s="3" t="inlineStr">
        <is>
          <t>Momentum Private Account RU502230151</t>
        </is>
      </c>
      <c r="F301" s="3" t="n">
        <v>-389000</v>
      </c>
      <c r="G301" s="3" t="n">
        <v>1007.08</v>
      </c>
    </row>
    <row r="302">
      <c r="A302" s="3" t="inlineStr">
        <is>
          <t>Heron Fields (Pty) Ltd</t>
        </is>
      </c>
      <c r="B302" s="4" t="n">
        <v>44530</v>
      </c>
      <c r="C302" s="3" t="inlineStr">
        <is>
          <t>Assets</t>
        </is>
      </c>
      <c r="D302" s="3" t="inlineStr">
        <is>
          <t>8440/000</t>
        </is>
      </c>
      <c r="E302" s="3" t="inlineStr">
        <is>
          <t>Momentum Investors Account RU502229930</t>
        </is>
      </c>
      <c r="F302" s="3" t="n">
        <v>328274.44</v>
      </c>
      <c r="G302" s="3" t="n">
        <v>12850513.07</v>
      </c>
    </row>
    <row r="303">
      <c r="A303" s="3" t="inlineStr">
        <is>
          <t>Heron Fields (Pty) Ltd</t>
        </is>
      </c>
      <c r="B303" s="4" t="n">
        <v>44530</v>
      </c>
      <c r="C303" s="3" t="inlineStr">
        <is>
          <t>Liabilities</t>
        </is>
      </c>
      <c r="D303" s="3" t="inlineStr">
        <is>
          <t>9000/000</t>
        </is>
      </c>
      <c r="E303" s="3" t="inlineStr">
        <is>
          <t>Supplier Control Account</t>
        </is>
      </c>
      <c r="F303" s="3" t="n">
        <v>-522932.04</v>
      </c>
      <c r="G303" s="3" t="n">
        <v>-46176620.4</v>
      </c>
    </row>
    <row r="304">
      <c r="A304" s="3" t="inlineStr">
        <is>
          <t>Heron Fields (Pty) Ltd</t>
        </is>
      </c>
      <c r="B304" s="4" t="n">
        <v>44530</v>
      </c>
      <c r="C304" s="3" t="inlineStr">
        <is>
          <t>Liabilities</t>
        </is>
      </c>
      <c r="D304" s="3" t="inlineStr">
        <is>
          <t>9500/000</t>
        </is>
      </c>
      <c r="E304" s="3" t="inlineStr">
        <is>
          <t>Vat / Tax Control Account</t>
        </is>
      </c>
      <c r="F304" s="3" t="n">
        <v>110205.01</v>
      </c>
      <c r="G304" s="3" t="n">
        <v>480929.51</v>
      </c>
    </row>
    <row r="305">
      <c r="A305" s="3" t="inlineStr">
        <is>
          <t>Cape Projects Construction (Pty) Ltd</t>
        </is>
      </c>
      <c r="B305" s="4" t="n">
        <v>44561</v>
      </c>
      <c r="C305" s="3" t="inlineStr">
        <is>
          <t>Revenue</t>
        </is>
      </c>
      <c r="D305" s="3" t="inlineStr">
        <is>
          <t>1050/030</t>
        </is>
      </c>
      <c r="E305" s="3" t="inlineStr">
        <is>
          <t>Fees - Construction - Endulini</t>
        </is>
      </c>
      <c r="F305" s="3" t="n">
        <v>-3010475.91</v>
      </c>
      <c r="G305" s="3" t="n">
        <v>-14286286.44</v>
      </c>
    </row>
    <row r="306">
      <c r="A306" s="3" t="inlineStr">
        <is>
          <t>Cape Projects Construction (Pty) Ltd</t>
        </is>
      </c>
      <c r="B306" s="4" t="n">
        <v>44561</v>
      </c>
      <c r="C306" s="3" t="inlineStr">
        <is>
          <t>Revenue</t>
        </is>
      </c>
      <c r="D306" s="3" t="inlineStr">
        <is>
          <t>1050/032</t>
        </is>
      </c>
      <c r="E306" s="3" t="inlineStr">
        <is>
          <t>Fees - Construction - Endulini P and G</t>
        </is>
      </c>
      <c r="F306" s="3" t="n">
        <v>-349420.17</v>
      </c>
      <c r="G306" s="3" t="n">
        <v>-1810031.5</v>
      </c>
    </row>
    <row r="307">
      <c r="A307" s="3" t="inlineStr">
        <is>
          <t>Cape Projects Construction (Pty) Ltd</t>
        </is>
      </c>
      <c r="B307" s="4" t="n">
        <v>44561</v>
      </c>
      <c r="C307" s="3" t="inlineStr">
        <is>
          <t>Revenue</t>
        </is>
      </c>
      <c r="D307" s="3" t="inlineStr">
        <is>
          <t>1060/000</t>
        </is>
      </c>
      <c r="E307" s="3" t="inlineStr">
        <is>
          <t>Insurance recovery</t>
        </is>
      </c>
      <c r="F307" s="3" t="n">
        <v>0</v>
      </c>
      <c r="G307" s="3" t="n">
        <v>387.08</v>
      </c>
    </row>
    <row r="308">
      <c r="A308" s="3" t="inlineStr">
        <is>
          <t>Cape Projects Construction (Pty) Ltd</t>
        </is>
      </c>
      <c r="B308" s="4" t="n">
        <v>44561</v>
      </c>
      <c r="C308" s="3" t="inlineStr">
        <is>
          <t>Revenue</t>
        </is>
      </c>
      <c r="D308" s="3" t="inlineStr">
        <is>
          <t>1070/000</t>
        </is>
      </c>
      <c r="E308" s="3" t="inlineStr">
        <is>
          <t>Rent - CT Office</t>
        </is>
      </c>
      <c r="F308" s="3" t="n">
        <v>-3490.94</v>
      </c>
      <c r="G308" s="3" t="n">
        <v>-3490.94</v>
      </c>
    </row>
    <row r="309">
      <c r="A309" s="3" t="inlineStr">
        <is>
          <t>Heron Fields (Pty) Ltd</t>
        </is>
      </c>
      <c r="B309" s="4" t="n">
        <v>44561</v>
      </c>
      <c r="C309" s="3" t="inlineStr">
        <is>
          <t>Revenue</t>
        </is>
      </c>
      <c r="D309" s="3" t="inlineStr">
        <is>
          <t>1500/001</t>
        </is>
      </c>
      <c r="E309" s="3" t="inlineStr">
        <is>
          <t>Revaluation of Land</t>
        </is>
      </c>
      <c r="F309" s="3" t="n">
        <v>0</v>
      </c>
      <c r="G309" s="3" t="n">
        <v>-19713043.68</v>
      </c>
    </row>
    <row r="310">
      <c r="A310" s="3" t="inlineStr">
        <is>
          <t>Heron Fields (Pty) Ltd</t>
        </is>
      </c>
      <c r="B310" s="4" t="n">
        <v>44561</v>
      </c>
      <c r="C310" s="3" t="inlineStr">
        <is>
          <t>Expenses</t>
        </is>
      </c>
      <c r="D310" s="3" t="inlineStr">
        <is>
          <t>2000/020</t>
        </is>
      </c>
      <c r="E310" s="3" t="inlineStr">
        <is>
          <t>COS - Heron sales office</t>
        </is>
      </c>
      <c r="F310" s="3" t="n">
        <v>1500</v>
      </c>
      <c r="G310" s="3" t="n">
        <v>9814</v>
      </c>
    </row>
    <row r="311">
      <c r="A311" s="3" t="inlineStr">
        <is>
          <t>Cape Projects Construction (Pty) Ltd</t>
        </is>
      </c>
      <c r="B311" s="4" t="n">
        <v>44561</v>
      </c>
      <c r="C311" s="3" t="inlineStr">
        <is>
          <t>Expenses</t>
        </is>
      </c>
      <c r="D311" s="3" t="inlineStr">
        <is>
          <t>2001/043</t>
        </is>
      </c>
      <c r="E311" s="3" t="inlineStr">
        <is>
          <t>COS - Site Establishment - Consumables</t>
        </is>
      </c>
      <c r="F311" s="3" t="n">
        <v>0</v>
      </c>
      <c r="G311" s="3" t="n">
        <v>1207.35</v>
      </c>
    </row>
    <row r="312">
      <c r="A312" s="3" t="inlineStr">
        <is>
          <t>Cape Projects Construction (Pty) Ltd</t>
        </is>
      </c>
      <c r="B312" s="4" t="n">
        <v>44561</v>
      </c>
      <c r="C312" s="3" t="inlineStr">
        <is>
          <t>Expenses</t>
        </is>
      </c>
      <c r="D312" s="3" t="inlineStr">
        <is>
          <t>2001/048</t>
        </is>
      </c>
      <c r="E312" s="3" t="inlineStr">
        <is>
          <t>COS - Site Establishment Water Pump</t>
        </is>
      </c>
      <c r="F312" s="3" t="n">
        <v>0</v>
      </c>
      <c r="G312" s="3" t="n">
        <v>4850</v>
      </c>
    </row>
    <row r="313">
      <c r="A313" s="3" t="inlineStr">
        <is>
          <t>Cape Projects Construction (Pty) Ltd</t>
        </is>
      </c>
      <c r="B313" s="4" t="n">
        <v>44561</v>
      </c>
      <c r="C313" s="3" t="inlineStr">
        <is>
          <t>Expenses</t>
        </is>
      </c>
      <c r="D313" s="3" t="inlineStr">
        <is>
          <t>2001/109</t>
        </is>
      </c>
      <c r="E313" s="3" t="inlineStr">
        <is>
          <t>COS - Site Labour Labourers</t>
        </is>
      </c>
      <c r="F313" s="3" t="n">
        <v>0</v>
      </c>
      <c r="G313" s="3" t="n">
        <v>3900</v>
      </c>
    </row>
    <row r="314">
      <c r="A314" s="3" t="inlineStr">
        <is>
          <t>Cape Projects Construction (Pty) Ltd</t>
        </is>
      </c>
      <c r="B314" s="4" t="n">
        <v>44561</v>
      </c>
      <c r="C314" s="3" t="inlineStr">
        <is>
          <t>Expenses</t>
        </is>
      </c>
      <c r="D314" s="3" t="inlineStr">
        <is>
          <t>2006/000</t>
        </is>
      </c>
      <c r="E314" s="3" t="inlineStr">
        <is>
          <t>COS - Endulini Construction</t>
        </is>
      </c>
      <c r="F314" s="3" t="n">
        <v>3119929.81</v>
      </c>
      <c r="G314" s="3" t="n">
        <v>12375159.27</v>
      </c>
    </row>
    <row r="315">
      <c r="A315" s="3" t="inlineStr">
        <is>
          <t>Cape Projects Construction (Pty) Ltd</t>
        </is>
      </c>
      <c r="B315" s="4" t="n">
        <v>44561</v>
      </c>
      <c r="C315" s="3" t="inlineStr">
        <is>
          <t>Expenses</t>
        </is>
      </c>
      <c r="D315" s="3" t="inlineStr">
        <is>
          <t>2006/100</t>
        </is>
      </c>
      <c r="E315" s="3" t="inlineStr">
        <is>
          <t>COS - Endulini P and G</t>
        </is>
      </c>
      <c r="F315" s="3" t="n">
        <v>22772.6</v>
      </c>
      <c r="G315" s="3" t="n">
        <v>238521.7</v>
      </c>
    </row>
    <row r="316">
      <c r="A316" s="3" t="inlineStr">
        <is>
          <t>Cape Projects Construction (Pty) Ltd</t>
        </is>
      </c>
      <c r="B316" s="4" t="n">
        <v>44561</v>
      </c>
      <c r="C316" s="3" t="inlineStr">
        <is>
          <t>Expenses</t>
        </is>
      </c>
      <c r="D316" s="3" t="inlineStr">
        <is>
          <t>2006/200</t>
        </is>
      </c>
      <c r="E316" s="3" t="inlineStr">
        <is>
          <t>COS - Insurance</t>
        </is>
      </c>
      <c r="F316" s="3" t="n">
        <v>2867.09</v>
      </c>
      <c r="G316" s="3" t="n">
        <v>14335.46</v>
      </c>
    </row>
    <row r="317">
      <c r="A317" s="3" t="inlineStr">
        <is>
          <t>Cape Projects Construction (Pty) Ltd</t>
        </is>
      </c>
      <c r="B317" s="4" t="n">
        <v>44561</v>
      </c>
      <c r="C317" s="3" t="inlineStr">
        <is>
          <t>Expenses</t>
        </is>
      </c>
      <c r="D317" s="3" t="inlineStr">
        <is>
          <t>2006/300</t>
        </is>
      </c>
      <c r="E317" s="3" t="inlineStr">
        <is>
          <t>COS - Endulini - Printing &amp; Stationary</t>
        </is>
      </c>
      <c r="F317" s="3" t="n">
        <v>103.13</v>
      </c>
      <c r="G317" s="3" t="n">
        <v>620.09</v>
      </c>
    </row>
    <row r="318">
      <c r="A318" s="3" t="inlineStr">
        <is>
          <t>Cape Projects Construction (Pty) Ltd</t>
        </is>
      </c>
      <c r="B318" s="4" t="n">
        <v>44561</v>
      </c>
      <c r="C318" s="3" t="inlineStr">
        <is>
          <t>Expenses</t>
        </is>
      </c>
      <c r="D318" s="3" t="inlineStr">
        <is>
          <t>2006/350</t>
        </is>
      </c>
      <c r="E318" s="3" t="inlineStr">
        <is>
          <t>COS - Endulini - Security</t>
        </is>
      </c>
      <c r="F318" s="3" t="n">
        <v>11000</v>
      </c>
      <c r="G318" s="3" t="n">
        <v>38500</v>
      </c>
    </row>
    <row r="319">
      <c r="A319" s="3" t="inlineStr">
        <is>
          <t>Cape Projects Construction (Pty) Ltd</t>
        </is>
      </c>
      <c r="B319" s="4" t="n">
        <v>44561</v>
      </c>
      <c r="C319" s="3" t="inlineStr">
        <is>
          <t>Expenses</t>
        </is>
      </c>
      <c r="D319" s="3" t="inlineStr">
        <is>
          <t>2006/400</t>
        </is>
      </c>
      <c r="E319" s="3" t="inlineStr">
        <is>
          <t>COS - Endulini - Health &amp; Safety</t>
        </is>
      </c>
      <c r="F319" s="3" t="n">
        <v>4000</v>
      </c>
      <c r="G319" s="3" t="n">
        <v>25938.36</v>
      </c>
    </row>
    <row r="320">
      <c r="A320" s="3" t="inlineStr">
        <is>
          <t>Cape Projects Construction (Pty) Ltd</t>
        </is>
      </c>
      <c r="B320" s="4" t="n">
        <v>44561</v>
      </c>
      <c r="C320" s="3" t="inlineStr">
        <is>
          <t>Expenses</t>
        </is>
      </c>
      <c r="D320" s="3" t="inlineStr">
        <is>
          <t>2006/500</t>
        </is>
      </c>
      <c r="E320" s="3" t="inlineStr">
        <is>
          <t>COS - Endulini - Small Assets</t>
        </is>
      </c>
      <c r="F320" s="3" t="n">
        <v>0</v>
      </c>
      <c r="G320" s="3" t="n">
        <v>13844.89</v>
      </c>
    </row>
    <row r="321">
      <c r="A321" s="3" t="inlineStr">
        <is>
          <t>Cape Projects Construction (Pty) Ltd</t>
        </is>
      </c>
      <c r="B321" s="4" t="n">
        <v>44561</v>
      </c>
      <c r="C321" s="3" t="inlineStr">
        <is>
          <t>Expenses</t>
        </is>
      </c>
      <c r="D321" s="3" t="inlineStr">
        <is>
          <t>2006/550</t>
        </is>
      </c>
      <c r="E321" s="3" t="inlineStr">
        <is>
          <t>COS - Endulini - Cleaning</t>
        </is>
      </c>
      <c r="F321" s="3" t="n">
        <v>15000</v>
      </c>
      <c r="G321" s="3" t="n">
        <v>15000</v>
      </c>
    </row>
    <row r="322">
      <c r="A322" s="3" t="inlineStr">
        <is>
          <t>Cape Projects Construction (Pty) Ltd</t>
        </is>
      </c>
      <c r="B322" s="4" t="n">
        <v>44561</v>
      </c>
      <c r="C322" s="3" t="inlineStr">
        <is>
          <t>Expenses</t>
        </is>
      </c>
      <c r="D322" s="3" t="inlineStr">
        <is>
          <t>2006/600</t>
        </is>
      </c>
      <c r="E322" s="3" t="inlineStr">
        <is>
          <t>COS - Endulini - Consumables</t>
        </is>
      </c>
      <c r="F322" s="3" t="n">
        <v>0</v>
      </c>
      <c r="G322" s="3" t="n">
        <v>691.29</v>
      </c>
    </row>
    <row r="323">
      <c r="A323" s="3" t="inlineStr">
        <is>
          <t>Cape Projects Construction (Pty) Ltd</t>
        </is>
      </c>
      <c r="B323" s="4" t="n">
        <v>44561</v>
      </c>
      <c r="C323" s="3" t="inlineStr">
        <is>
          <t>Expenses</t>
        </is>
      </c>
      <c r="D323" s="3" t="inlineStr">
        <is>
          <t>2006/700</t>
        </is>
      </c>
      <c r="E323" s="3" t="inlineStr">
        <is>
          <t>COS - Endulini - Fuel</t>
        </is>
      </c>
      <c r="F323" s="3" t="n">
        <v>5037</v>
      </c>
      <c r="G323" s="3" t="n">
        <v>18193.21</v>
      </c>
    </row>
    <row r="324">
      <c r="A324" s="3" t="inlineStr">
        <is>
          <t>Cape Projects Construction (Pty) Ltd</t>
        </is>
      </c>
      <c r="B324" s="4" t="n">
        <v>44561</v>
      </c>
      <c r="C324" s="3" t="inlineStr">
        <is>
          <t>Expenses</t>
        </is>
      </c>
      <c r="D324" s="3" t="inlineStr">
        <is>
          <t>2006/800</t>
        </is>
      </c>
      <c r="E324" s="3" t="inlineStr">
        <is>
          <t>COS - Endulini - Telephone &amp; Internet</t>
        </is>
      </c>
      <c r="F324" s="3" t="n">
        <v>1973.42</v>
      </c>
      <c r="G324" s="3" t="n">
        <v>4363.36</v>
      </c>
    </row>
    <row r="325">
      <c r="A325" s="3" t="inlineStr">
        <is>
          <t>Cape Projects Construction (Pty) Ltd</t>
        </is>
      </c>
      <c r="B325" s="4" t="n">
        <v>44561</v>
      </c>
      <c r="C325" s="3" t="inlineStr">
        <is>
          <t>Expenses</t>
        </is>
      </c>
      <c r="D325" s="3" t="inlineStr">
        <is>
          <t>2006/900</t>
        </is>
      </c>
      <c r="E325" s="3" t="inlineStr">
        <is>
          <t>COS - Endulini - Site Labour</t>
        </is>
      </c>
      <c r="F325" s="3" t="n">
        <v>8330</v>
      </c>
      <c r="G325" s="3" t="n">
        <v>22570</v>
      </c>
    </row>
    <row r="326">
      <c r="A326" s="3" t="inlineStr">
        <is>
          <t>Cape Projects Construction (Pty) Ltd</t>
        </is>
      </c>
      <c r="B326" s="4" t="n">
        <v>44561</v>
      </c>
      <c r="C326" s="3" t="inlineStr">
        <is>
          <t>Expenses</t>
        </is>
      </c>
      <c r="D326" s="3" t="inlineStr">
        <is>
          <t>2007/000</t>
        </is>
      </c>
      <c r="E326" s="3" t="inlineStr">
        <is>
          <t>COS - Repairs &amp; Maintenance - SW Southwark</t>
        </is>
      </c>
      <c r="F326" s="3" t="n">
        <v>0</v>
      </c>
      <c r="G326" s="3" t="n">
        <v>24889.96</v>
      </c>
    </row>
    <row r="327">
      <c r="A327" s="3" t="inlineStr">
        <is>
          <t>Cape Projects Construction (Pty) Ltd</t>
        </is>
      </c>
      <c r="B327" s="4" t="n">
        <v>44561</v>
      </c>
      <c r="C327" s="3" t="inlineStr">
        <is>
          <t>Expenses</t>
        </is>
      </c>
      <c r="D327" s="3" t="inlineStr">
        <is>
          <t>2009/000</t>
        </is>
      </c>
      <c r="E327" s="3" t="inlineStr">
        <is>
          <t>COS - Repairs &amp; Maintenance - Endulini Sales Office</t>
        </is>
      </c>
      <c r="F327" s="3" t="n">
        <v>0</v>
      </c>
      <c r="G327" s="3" t="n">
        <v>2783.31</v>
      </c>
    </row>
    <row r="328">
      <c r="A328" s="3" t="inlineStr">
        <is>
          <t>Cape Projects Construction (Pty) Ltd</t>
        </is>
      </c>
      <c r="B328" s="4" t="n">
        <v>44561</v>
      </c>
      <c r="C328" s="3" t="inlineStr">
        <is>
          <t>Expenses</t>
        </is>
      </c>
      <c r="D328" s="3" t="inlineStr">
        <is>
          <t>2010/000</t>
        </is>
      </c>
      <c r="E328" s="3" t="inlineStr">
        <is>
          <t>COS - Repairs &amp; Maintenance - Heron Sales Office</t>
        </is>
      </c>
      <c r="F328" s="3" t="n">
        <v>2140</v>
      </c>
      <c r="G328" s="3" t="n">
        <v>15997.39</v>
      </c>
    </row>
    <row r="329">
      <c r="A329" s="3" t="inlineStr">
        <is>
          <t>Cape Projects Construction (Pty) Ltd</t>
        </is>
      </c>
      <c r="B329" s="4" t="n">
        <v>44561</v>
      </c>
      <c r="C329" s="3" t="inlineStr">
        <is>
          <t>Expenses</t>
        </is>
      </c>
      <c r="D329" s="3" t="inlineStr">
        <is>
          <t>2011/100</t>
        </is>
      </c>
      <c r="E329" s="3" t="inlineStr">
        <is>
          <t>COS - Heron Fields - Garden Services</t>
        </is>
      </c>
      <c r="F329" s="3" t="n">
        <v>450</v>
      </c>
      <c r="G329" s="3" t="n">
        <v>450</v>
      </c>
    </row>
    <row r="330">
      <c r="A330" s="3" t="inlineStr">
        <is>
          <t>Cape Projects Construction (Pty) Ltd</t>
        </is>
      </c>
      <c r="B330" s="4" t="n">
        <v>44561</v>
      </c>
      <c r="C330" s="3" t="inlineStr">
        <is>
          <t>Expenses</t>
        </is>
      </c>
      <c r="D330" s="3" t="inlineStr">
        <is>
          <t>2011/200</t>
        </is>
      </c>
      <c r="E330" s="3" t="inlineStr">
        <is>
          <t>COS - Heron Fields - Labourers</t>
        </is>
      </c>
      <c r="F330" s="3" t="n">
        <v>0</v>
      </c>
      <c r="G330" s="3" t="n">
        <v>1450</v>
      </c>
    </row>
    <row r="331">
      <c r="A331" s="3" t="inlineStr">
        <is>
          <t>Cape Projects Construction (Pty) Ltd</t>
        </is>
      </c>
      <c r="B331" s="4" t="n">
        <v>44561</v>
      </c>
      <c r="C331" s="3" t="inlineStr">
        <is>
          <t>Expenses</t>
        </is>
      </c>
      <c r="D331" s="3" t="inlineStr">
        <is>
          <t>2011/300</t>
        </is>
      </c>
      <c r="E331" s="3" t="inlineStr">
        <is>
          <t>COS - Heron Fields - Printing &amp; Stationary</t>
        </is>
      </c>
      <c r="F331" s="3" t="n">
        <v>0</v>
      </c>
      <c r="G331" s="3" t="n">
        <v>30.43</v>
      </c>
    </row>
    <row r="332">
      <c r="A332" s="3" t="inlineStr">
        <is>
          <t>Cape Projects Construction (Pty) Ltd</t>
        </is>
      </c>
      <c r="B332" s="4" t="n">
        <v>44561</v>
      </c>
      <c r="C332" s="3" t="inlineStr">
        <is>
          <t>Expenses</t>
        </is>
      </c>
      <c r="D332" s="3" t="inlineStr">
        <is>
          <t>2011/400</t>
        </is>
      </c>
      <c r="E332" s="3" t="inlineStr">
        <is>
          <t>COS - Heron - Sales office Staff refreshments</t>
        </is>
      </c>
      <c r="F332" s="3" t="n">
        <v>1092.26</v>
      </c>
      <c r="G332" s="3" t="n">
        <v>1973.83</v>
      </c>
    </row>
    <row r="333">
      <c r="A333" s="3" t="inlineStr">
        <is>
          <t>Cape Projects Construction (Pty) Ltd</t>
        </is>
      </c>
      <c r="B333" s="4" t="n">
        <v>44561</v>
      </c>
      <c r="C333" s="3" t="inlineStr">
        <is>
          <t>Revenue</t>
        </is>
      </c>
      <c r="D333" s="3" t="inlineStr">
        <is>
          <t>2700/000</t>
        </is>
      </c>
      <c r="E333" s="3" t="inlineStr">
        <is>
          <t>Discount Received for Cash</t>
        </is>
      </c>
      <c r="F333" s="3" t="n">
        <v>0</v>
      </c>
      <c r="G333" s="3" t="n">
        <v>4.36</v>
      </c>
    </row>
    <row r="334">
      <c r="A334" s="3" t="inlineStr">
        <is>
          <t>Cape Projects Construction (Pty) Ltd</t>
        </is>
      </c>
      <c r="B334" s="4" t="n">
        <v>44561</v>
      </c>
      <c r="C334" s="3" t="inlineStr">
        <is>
          <t>Expenses</t>
        </is>
      </c>
      <c r="D334" s="3" t="inlineStr">
        <is>
          <t>2700/100</t>
        </is>
      </c>
      <c r="E334" s="3" t="inlineStr">
        <is>
          <t>COS - Southwark - Printing</t>
        </is>
      </c>
      <c r="F334" s="3" t="n">
        <v>0</v>
      </c>
      <c r="G334" s="3" t="n">
        <v>83.48</v>
      </c>
    </row>
    <row r="335">
      <c r="A335" s="3" t="inlineStr">
        <is>
          <t>Cape Projects Construction (Pty) Ltd</t>
        </is>
      </c>
      <c r="B335" s="4" t="n">
        <v>44561</v>
      </c>
      <c r="C335" s="3" t="inlineStr">
        <is>
          <t>Revenue</t>
        </is>
      </c>
      <c r="D335" s="3" t="inlineStr">
        <is>
          <t>2751/001</t>
        </is>
      </c>
      <c r="E335" s="3" t="inlineStr">
        <is>
          <t>Interest received - Momentum</t>
        </is>
      </c>
      <c r="F335" s="3" t="n">
        <v>-5.86</v>
      </c>
      <c r="G335" s="3" t="n">
        <v>-5.86</v>
      </c>
    </row>
    <row r="336">
      <c r="A336" s="3" t="inlineStr">
        <is>
          <t>Heron Fields (Pty) Ltd</t>
        </is>
      </c>
      <c r="B336" s="4" t="n">
        <v>44561</v>
      </c>
      <c r="C336" s="3" t="inlineStr">
        <is>
          <t>Revenue</t>
        </is>
      </c>
      <c r="D336" s="3" t="inlineStr">
        <is>
          <t>2753/001</t>
        </is>
      </c>
      <c r="E336" s="3" t="inlineStr">
        <is>
          <t>Interest Received - Deposit Grey Heron</t>
        </is>
      </c>
      <c r="F336" s="3" t="n">
        <v>0</v>
      </c>
      <c r="G336" s="3" t="n">
        <v>-1245</v>
      </c>
    </row>
    <row r="337">
      <c r="A337" s="3" t="inlineStr">
        <is>
          <t>Heron Fields (Pty) Ltd</t>
        </is>
      </c>
      <c r="B337" s="4" t="n">
        <v>44561</v>
      </c>
      <c r="C337" s="3" t="inlineStr">
        <is>
          <t>Revenue</t>
        </is>
      </c>
      <c r="D337" s="3" t="inlineStr">
        <is>
          <t>2754/001</t>
        </is>
      </c>
      <c r="E337" s="3" t="inlineStr">
        <is>
          <t>Interest Received - STBB Trust Account</t>
        </is>
      </c>
      <c r="F337" s="3" t="n">
        <v>0</v>
      </c>
      <c r="G337" s="3" t="n">
        <v>-149149.4</v>
      </c>
    </row>
    <row r="338">
      <c r="A338" s="3" t="inlineStr">
        <is>
          <t>Heron Fields (Pty) Ltd</t>
        </is>
      </c>
      <c r="B338" s="4" t="n">
        <v>44561</v>
      </c>
      <c r="C338" s="3" t="inlineStr">
        <is>
          <t>Revenue</t>
        </is>
      </c>
      <c r="D338" s="3" t="inlineStr">
        <is>
          <t>2755/001</t>
        </is>
      </c>
      <c r="E338" s="3" t="inlineStr">
        <is>
          <t>Interest Received - Momentum</t>
        </is>
      </c>
      <c r="F338" s="3" t="n">
        <v>-35000.8</v>
      </c>
      <c r="G338" s="3" t="n">
        <v>-115325.39</v>
      </c>
    </row>
    <row r="339">
      <c r="A339" s="3" t="inlineStr">
        <is>
          <t>Heron Fields (Pty) Ltd</t>
        </is>
      </c>
      <c r="B339" s="4" t="n">
        <v>44561</v>
      </c>
      <c r="C339" s="3" t="inlineStr">
        <is>
          <t>Expenses</t>
        </is>
      </c>
      <c r="D339" s="3" t="inlineStr">
        <is>
          <t>3000/100</t>
        </is>
      </c>
      <c r="E339" s="3" t="inlineStr">
        <is>
          <t>Accounting - CIPC</t>
        </is>
      </c>
      <c r="F339" s="3" t="n">
        <v>0</v>
      </c>
      <c r="G339" s="3" t="n">
        <v>100</v>
      </c>
    </row>
    <row r="340">
      <c r="A340" s="3" t="inlineStr">
        <is>
          <t>Cape Projects Construction (Pty) Ltd</t>
        </is>
      </c>
      <c r="B340" s="4" t="n">
        <v>44561</v>
      </c>
      <c r="C340" s="3" t="inlineStr">
        <is>
          <t>Expenses</t>
        </is>
      </c>
      <c r="D340" s="3" t="inlineStr">
        <is>
          <t>3001/000</t>
        </is>
      </c>
      <c r="E340" s="3" t="inlineStr">
        <is>
          <t>Accounting Fees - Other</t>
        </is>
      </c>
      <c r="F340" s="3" t="n">
        <v>0</v>
      </c>
      <c r="G340" s="3" t="n">
        <v>2215</v>
      </c>
    </row>
    <row r="341">
      <c r="A341" s="3" t="inlineStr">
        <is>
          <t>Cape Projects Construction (Pty) Ltd</t>
        </is>
      </c>
      <c r="B341" s="4" t="n">
        <v>44561</v>
      </c>
      <c r="C341" s="3" t="inlineStr">
        <is>
          <t>Expenses</t>
        </is>
      </c>
      <c r="D341" s="3" t="inlineStr">
        <is>
          <t>3002/000</t>
        </is>
      </c>
      <c r="E341" s="3" t="inlineStr">
        <is>
          <t>Accounting Fees - Audit</t>
        </is>
      </c>
      <c r="F341" s="3" t="n">
        <v>0</v>
      </c>
      <c r="G341" s="3" t="n">
        <v>4125</v>
      </c>
    </row>
    <row r="342">
      <c r="A342" s="3" t="inlineStr">
        <is>
          <t>Cape Projects Construction (Pty) Ltd</t>
        </is>
      </c>
      <c r="B342" s="4" t="n">
        <v>44561</v>
      </c>
      <c r="C342" s="3" t="inlineStr">
        <is>
          <t>Expenses</t>
        </is>
      </c>
      <c r="D342" s="3" t="inlineStr">
        <is>
          <t>3002/010</t>
        </is>
      </c>
      <c r="E342" s="3" t="inlineStr">
        <is>
          <t>Accounting Fee - PayrollWorx</t>
        </is>
      </c>
      <c r="F342" s="3" t="n">
        <v>0</v>
      </c>
      <c r="G342" s="3" t="n">
        <v>5575</v>
      </c>
    </row>
    <row r="343">
      <c r="A343" s="3" t="inlineStr">
        <is>
          <t>Cape Projects Construction (Pty) Ltd</t>
        </is>
      </c>
      <c r="B343" s="4" t="n">
        <v>44561</v>
      </c>
      <c r="C343" s="3" t="inlineStr">
        <is>
          <t>Expenses</t>
        </is>
      </c>
      <c r="D343" s="3" t="inlineStr">
        <is>
          <t>3004</t>
        </is>
      </c>
      <c r="E343" s="3" t="inlineStr">
        <is>
          <t>Accounting - Warwick</t>
        </is>
      </c>
      <c r="F343" s="3" t="n">
        <v>0</v>
      </c>
      <c r="G343" s="3" t="n">
        <v>107300</v>
      </c>
    </row>
    <row r="344">
      <c r="A344" s="3" t="inlineStr">
        <is>
          <t>Cape Projects Construction (Pty) Ltd</t>
        </is>
      </c>
      <c r="B344" s="4" t="n">
        <v>44561</v>
      </c>
      <c r="C344" s="3" t="inlineStr">
        <is>
          <t>Expenses</t>
        </is>
      </c>
      <c r="D344" s="3" t="inlineStr">
        <is>
          <t>3004/000</t>
        </is>
      </c>
      <c r="E344" s="3" t="inlineStr">
        <is>
          <t>Accounting Fees - Tax Dept.</t>
        </is>
      </c>
      <c r="F344" s="3" t="n">
        <v>747.5</v>
      </c>
      <c r="G344" s="3" t="n">
        <v>1847.5</v>
      </c>
    </row>
    <row r="345">
      <c r="A345" s="3" t="inlineStr">
        <is>
          <t>Cape Projects Construction (Pty) Ltd</t>
        </is>
      </c>
      <c r="B345" s="4" t="n">
        <v>44561</v>
      </c>
      <c r="C345" s="3" t="inlineStr">
        <is>
          <t>Expenses</t>
        </is>
      </c>
      <c r="D345" s="3" t="inlineStr">
        <is>
          <t>3005/000</t>
        </is>
      </c>
      <c r="E345" s="3" t="inlineStr">
        <is>
          <t>Accounting - Janine Theart</t>
        </is>
      </c>
      <c r="F345" s="3" t="n">
        <v>0</v>
      </c>
      <c r="G345" s="3" t="n">
        <v>51000</v>
      </c>
    </row>
    <row r="346">
      <c r="A346" s="3" t="inlineStr">
        <is>
          <t>Cape Projects Construction (Pty) Ltd</t>
        </is>
      </c>
      <c r="B346" s="4" t="n">
        <v>44561</v>
      </c>
      <c r="C346" s="3" t="inlineStr">
        <is>
          <t>Expenses</t>
        </is>
      </c>
      <c r="D346" s="3" t="inlineStr">
        <is>
          <t>3006</t>
        </is>
      </c>
      <c r="E346" s="3" t="inlineStr">
        <is>
          <t>Accounting - Deric Dudley</t>
        </is>
      </c>
      <c r="F346" s="3" t="n">
        <v>0</v>
      </c>
      <c r="G346" s="3" t="n">
        <v>190600</v>
      </c>
    </row>
    <row r="347">
      <c r="A347" s="3" t="inlineStr">
        <is>
          <t>Cape Projects Construction (Pty) Ltd</t>
        </is>
      </c>
      <c r="B347" s="4" t="n">
        <v>44561</v>
      </c>
      <c r="C347" s="3" t="inlineStr">
        <is>
          <t>Expenses</t>
        </is>
      </c>
      <c r="D347" s="3" t="inlineStr">
        <is>
          <t>3020/100</t>
        </is>
      </c>
      <c r="E347" s="3" t="inlineStr">
        <is>
          <t>Admin - Subcontractors</t>
        </is>
      </c>
      <c r="F347" s="3" t="n">
        <v>0</v>
      </c>
      <c r="G347" s="3" t="n">
        <v>3502.5</v>
      </c>
    </row>
    <row r="348">
      <c r="A348" s="3" t="inlineStr">
        <is>
          <t>Cape Projects Construction (Pty) Ltd</t>
        </is>
      </c>
      <c r="B348" s="4" t="n">
        <v>44561</v>
      </c>
      <c r="C348" s="3" t="inlineStr">
        <is>
          <t>Expenses</t>
        </is>
      </c>
      <c r="D348" s="3" t="inlineStr">
        <is>
          <t>3050/000</t>
        </is>
      </c>
      <c r="E348" s="3" t="inlineStr">
        <is>
          <t>Advertising _AND_ Promotions</t>
        </is>
      </c>
      <c r="F348" s="3" t="n">
        <v>0</v>
      </c>
      <c r="G348" s="3" t="n">
        <v>13699</v>
      </c>
    </row>
    <row r="349">
      <c r="A349" s="3" t="inlineStr">
        <is>
          <t>Heron Fields (Pty) Ltd</t>
        </is>
      </c>
      <c r="B349" s="4" t="n">
        <v>44561</v>
      </c>
      <c r="C349" s="3" t="inlineStr">
        <is>
          <t>Expenses</t>
        </is>
      </c>
      <c r="D349" s="3" t="inlineStr">
        <is>
          <t>3050/000</t>
        </is>
      </c>
      <c r="E349" s="3" t="inlineStr">
        <is>
          <t>Advertising _AND_ Promotions</t>
        </is>
      </c>
      <c r="F349" s="3" t="n">
        <v>1845</v>
      </c>
      <c r="G349" s="3" t="n">
        <v>63370.02</v>
      </c>
    </row>
    <row r="350">
      <c r="A350" s="3" t="inlineStr">
        <is>
          <t>Heron Fields (Pty) Ltd</t>
        </is>
      </c>
      <c r="B350" s="4" t="n">
        <v>44561</v>
      </c>
      <c r="C350" s="3" t="inlineStr">
        <is>
          <t>Expenses</t>
        </is>
      </c>
      <c r="D350" s="3" t="inlineStr">
        <is>
          <t>3050/100</t>
        </is>
      </c>
      <c r="E350" s="3" t="inlineStr">
        <is>
          <t>Advertising - Property24</t>
        </is>
      </c>
      <c r="F350" s="3" t="n">
        <v>10800</v>
      </c>
      <c r="G350" s="3" t="n">
        <v>43200</v>
      </c>
    </row>
    <row r="351">
      <c r="A351" s="3" t="inlineStr">
        <is>
          <t>Cape Projects Construction (Pty) Ltd</t>
        </is>
      </c>
      <c r="B351" s="4" t="n">
        <v>44561</v>
      </c>
      <c r="C351" s="3" t="inlineStr">
        <is>
          <t>Expenses</t>
        </is>
      </c>
      <c r="D351" s="3" t="inlineStr">
        <is>
          <t>3050/450</t>
        </is>
      </c>
      <c r="E351" s="3" t="inlineStr">
        <is>
          <t>Advertising - Other</t>
        </is>
      </c>
      <c r="F351" s="3" t="n">
        <v>0</v>
      </c>
      <c r="G351" s="3" t="n">
        <v>4597</v>
      </c>
    </row>
    <row r="352">
      <c r="A352" s="3" t="inlineStr">
        <is>
          <t>Cape Projects Construction (Pty) Ltd</t>
        </is>
      </c>
      <c r="B352" s="4" t="n">
        <v>44561</v>
      </c>
      <c r="C352" s="3" t="inlineStr">
        <is>
          <t>Expenses</t>
        </is>
      </c>
      <c r="D352" s="3" t="inlineStr">
        <is>
          <t>3200/000</t>
        </is>
      </c>
      <c r="E352" s="3" t="inlineStr">
        <is>
          <t>Bank Charges</t>
        </is>
      </c>
      <c r="F352" s="3" t="n">
        <v>1921.17</v>
      </c>
      <c r="G352" s="3" t="n">
        <v>9157.610000000001</v>
      </c>
    </row>
    <row r="353">
      <c r="A353" s="3" t="inlineStr">
        <is>
          <t>Heron Fields (Pty) Ltd</t>
        </is>
      </c>
      <c r="B353" s="4" t="n">
        <v>44561</v>
      </c>
      <c r="C353" s="3" t="inlineStr">
        <is>
          <t>Expenses</t>
        </is>
      </c>
      <c r="D353" s="3" t="inlineStr">
        <is>
          <t>3200/000</t>
        </is>
      </c>
      <c r="E353" s="3" t="inlineStr">
        <is>
          <t>Bank Charges</t>
        </is>
      </c>
      <c r="F353" s="3" t="n">
        <v>530.11</v>
      </c>
      <c r="G353" s="3" t="n">
        <v>3247.49</v>
      </c>
    </row>
    <row r="354">
      <c r="A354" s="3" t="inlineStr">
        <is>
          <t>Cape Projects Construction (Pty) Ltd</t>
        </is>
      </c>
      <c r="B354" s="4" t="n">
        <v>44561</v>
      </c>
      <c r="C354" s="3" t="inlineStr">
        <is>
          <t>Expenses</t>
        </is>
      </c>
      <c r="D354" s="3" t="inlineStr">
        <is>
          <t>3250/000</t>
        </is>
      </c>
      <c r="E354" s="3" t="inlineStr">
        <is>
          <t>Cleaning</t>
        </is>
      </c>
      <c r="F354" s="3" t="n">
        <v>1289.13</v>
      </c>
      <c r="G354" s="3" t="n">
        <v>7667.9</v>
      </c>
    </row>
    <row r="355">
      <c r="A355" s="3" t="inlineStr">
        <is>
          <t>Cape Projects Construction (Pty) Ltd</t>
        </is>
      </c>
      <c r="B355" s="4" t="n">
        <v>44561</v>
      </c>
      <c r="C355" s="3" t="inlineStr">
        <is>
          <t>Expenses</t>
        </is>
      </c>
      <c r="D355" s="3" t="inlineStr">
        <is>
          <t>3256/000</t>
        </is>
      </c>
      <c r="E355" s="3" t="inlineStr">
        <is>
          <t>Cell Phone - Nick Morgan</t>
        </is>
      </c>
      <c r="F355" s="3" t="n">
        <v>729.11</v>
      </c>
      <c r="G355" s="3" t="n">
        <v>5607.95</v>
      </c>
    </row>
    <row r="356">
      <c r="A356" s="3" t="inlineStr">
        <is>
          <t>Cape Projects Construction (Pty) Ltd</t>
        </is>
      </c>
      <c r="B356" s="4" t="n">
        <v>44561</v>
      </c>
      <c r="C356" s="3" t="inlineStr">
        <is>
          <t>Expenses</t>
        </is>
      </c>
      <c r="D356" s="3" t="inlineStr">
        <is>
          <t>3300/000</t>
        </is>
      </c>
      <c r="E356" s="3" t="inlineStr">
        <is>
          <t>Computer Expenses</t>
        </is>
      </c>
      <c r="F356" s="3" t="n">
        <v>1564.21</v>
      </c>
      <c r="G356" s="3" t="n">
        <v>7367.69</v>
      </c>
    </row>
    <row r="357">
      <c r="A357" s="3" t="inlineStr">
        <is>
          <t>Heron Fields (Pty) Ltd</t>
        </is>
      </c>
      <c r="B357" s="4" t="n">
        <v>44561</v>
      </c>
      <c r="C357" s="3" t="inlineStr">
        <is>
          <t>Expenses</t>
        </is>
      </c>
      <c r="D357" s="3" t="inlineStr">
        <is>
          <t>3301/000</t>
        </is>
      </c>
      <c r="E357" s="3" t="inlineStr">
        <is>
          <t>Computer Expenses - Xero</t>
        </is>
      </c>
      <c r="F357" s="3" t="n">
        <v>0</v>
      </c>
      <c r="G357" s="3" t="n">
        <v>3000</v>
      </c>
    </row>
    <row r="358">
      <c r="A358" s="3" t="inlineStr">
        <is>
          <t>Cape Projects Construction (Pty) Ltd</t>
        </is>
      </c>
      <c r="B358" s="4" t="n">
        <v>44561</v>
      </c>
      <c r="C358" s="3" t="inlineStr">
        <is>
          <t>Expenses</t>
        </is>
      </c>
      <c r="D358" s="3" t="inlineStr">
        <is>
          <t>3350/000</t>
        </is>
      </c>
      <c r="E358" s="3" t="inlineStr">
        <is>
          <t>Consulting Fees</t>
        </is>
      </c>
      <c r="F358" s="3" t="n">
        <v>0</v>
      </c>
      <c r="G358" s="3" t="n">
        <v>2250</v>
      </c>
    </row>
    <row r="359">
      <c r="A359" s="3" t="inlineStr">
        <is>
          <t>Heron Fields (Pty) Ltd</t>
        </is>
      </c>
      <c r="B359" s="4" t="n">
        <v>44561</v>
      </c>
      <c r="C359" s="3" t="inlineStr">
        <is>
          <t>Expenses</t>
        </is>
      </c>
      <c r="D359" s="3" t="inlineStr">
        <is>
          <t>3350/100</t>
        </is>
      </c>
      <c r="E359" s="3" t="inlineStr">
        <is>
          <t>Consulting Fees - Admin and Finance</t>
        </is>
      </c>
      <c r="F359" s="3" t="n">
        <v>76348.10000000001</v>
      </c>
      <c r="G359" s="3" t="n">
        <v>290913.83</v>
      </c>
    </row>
    <row r="360">
      <c r="A360" s="3" t="inlineStr">
        <is>
          <t>Cape Projects Construction (Pty) Ltd</t>
        </is>
      </c>
      <c r="B360" s="4" t="n">
        <v>44561</v>
      </c>
      <c r="C360" s="3" t="inlineStr">
        <is>
          <t>Expenses</t>
        </is>
      </c>
      <c r="D360" s="3" t="inlineStr">
        <is>
          <t>3350/100</t>
        </is>
      </c>
      <c r="E360" s="3" t="inlineStr">
        <is>
          <t>Consulting fees - Herbert du Plessis</t>
        </is>
      </c>
      <c r="F360" s="3" t="n">
        <v>32000</v>
      </c>
      <c r="G360" s="3" t="n">
        <v>320000</v>
      </c>
    </row>
    <row r="361">
      <c r="A361" s="3" t="inlineStr">
        <is>
          <t>Cape Projects Construction (Pty) Ltd</t>
        </is>
      </c>
      <c r="B361" s="4" t="n">
        <v>44561</v>
      </c>
      <c r="C361" s="3" t="inlineStr">
        <is>
          <t>Expenses</t>
        </is>
      </c>
      <c r="D361" s="3" t="inlineStr">
        <is>
          <t>3350/200</t>
        </is>
      </c>
      <c r="E361" s="3" t="inlineStr">
        <is>
          <t>Consulting fees - Quabeka</t>
        </is>
      </c>
      <c r="F361" s="3" t="n">
        <v>0</v>
      </c>
      <c r="G361" s="3" t="n">
        <v>42899.25</v>
      </c>
    </row>
    <row r="362">
      <c r="A362" s="3" t="inlineStr">
        <is>
          <t>Cape Projects Construction (Pty) Ltd</t>
        </is>
      </c>
      <c r="B362" s="4" t="n">
        <v>44561</v>
      </c>
      <c r="C362" s="3" t="inlineStr">
        <is>
          <t>Expenses</t>
        </is>
      </c>
      <c r="D362" s="3" t="inlineStr">
        <is>
          <t>3350/300</t>
        </is>
      </c>
      <c r="E362" s="3" t="inlineStr">
        <is>
          <t>Consulting Fees - Admin and Finance</t>
        </is>
      </c>
      <c r="F362" s="3" t="n">
        <v>112659.12</v>
      </c>
      <c r="G362" s="3" t="n">
        <v>341986.31</v>
      </c>
    </row>
    <row r="363">
      <c r="A363" s="3" t="inlineStr">
        <is>
          <t>Heron Fields (Pty) Ltd</t>
        </is>
      </c>
      <c r="B363" s="4" t="n">
        <v>44561</v>
      </c>
      <c r="C363" s="3" t="inlineStr">
        <is>
          <t>Expenses</t>
        </is>
      </c>
      <c r="D363" s="3" t="inlineStr">
        <is>
          <t>3351/000</t>
        </is>
      </c>
      <c r="E363" s="3" t="inlineStr">
        <is>
          <t>Consulting fees - Trustee</t>
        </is>
      </c>
      <c r="F363" s="3" t="n">
        <v>17184.49</v>
      </c>
      <c r="G363" s="3" t="n">
        <v>30692.49</v>
      </c>
    </row>
    <row r="364">
      <c r="A364" s="3" t="inlineStr">
        <is>
          <t>Cape Projects Construction (Pty) Ltd</t>
        </is>
      </c>
      <c r="B364" s="4" t="n">
        <v>44561</v>
      </c>
      <c r="C364" s="3" t="inlineStr">
        <is>
          <t>Expenses</t>
        </is>
      </c>
      <c r="D364" s="3" t="inlineStr">
        <is>
          <t>3400/000</t>
        </is>
      </c>
      <c r="E364" s="3" t="inlineStr">
        <is>
          <t>Courier _AND_ Postage</t>
        </is>
      </c>
      <c r="F364" s="3" t="n">
        <v>0</v>
      </c>
      <c r="G364" s="3" t="n">
        <v>165.83</v>
      </c>
    </row>
    <row r="365">
      <c r="A365" s="3" t="inlineStr">
        <is>
          <t>Cape Projects Construction (Pty) Ltd</t>
        </is>
      </c>
      <c r="B365" s="4" t="n">
        <v>44561</v>
      </c>
      <c r="C365" s="3" t="inlineStr">
        <is>
          <t>Expenses</t>
        </is>
      </c>
      <c r="D365" s="3" t="inlineStr">
        <is>
          <t>3450/001</t>
        </is>
      </c>
      <c r="E365" s="3" t="inlineStr">
        <is>
          <t>Depreciation - Computer Equipment</t>
        </is>
      </c>
      <c r="F365" s="3" t="n">
        <v>1092.24</v>
      </c>
      <c r="G365" s="3" t="n">
        <v>3252.55</v>
      </c>
    </row>
    <row r="366">
      <c r="A366" s="3" t="inlineStr">
        <is>
          <t>Cape Projects Construction (Pty) Ltd</t>
        </is>
      </c>
      <c r="B366" s="4" t="n">
        <v>44561</v>
      </c>
      <c r="C366" s="3" t="inlineStr">
        <is>
          <t>Expenses</t>
        </is>
      </c>
      <c r="D366" s="3" t="inlineStr">
        <is>
          <t>3450/002</t>
        </is>
      </c>
      <c r="E366" s="3" t="inlineStr">
        <is>
          <t>Depreciation - Generator Fixed Asset</t>
        </is>
      </c>
      <c r="F366" s="3" t="n">
        <v>193.33</v>
      </c>
      <c r="G366" s="3" t="n">
        <v>580</v>
      </c>
    </row>
    <row r="367">
      <c r="A367" s="3" t="inlineStr">
        <is>
          <t>Heron Fields (Pty) Ltd</t>
        </is>
      </c>
      <c r="B367" s="4" t="n">
        <v>44561</v>
      </c>
      <c r="C367" s="3" t="inlineStr">
        <is>
          <t>Expenses</t>
        </is>
      </c>
      <c r="D367" s="3" t="inlineStr">
        <is>
          <t>3650/000</t>
        </is>
      </c>
      <c r="E367" s="3" t="inlineStr">
        <is>
          <t>CoCT - Electricity</t>
        </is>
      </c>
      <c r="F367" s="3" t="n">
        <v>2543.5</v>
      </c>
      <c r="G367" s="3" t="n">
        <v>15638.02</v>
      </c>
    </row>
    <row r="368">
      <c r="A368" s="3" t="inlineStr">
        <is>
          <t>Cape Projects Construction (Pty) Ltd</t>
        </is>
      </c>
      <c r="B368" s="4" t="n">
        <v>44561</v>
      </c>
      <c r="C368" s="3" t="inlineStr">
        <is>
          <t>Expenses</t>
        </is>
      </c>
      <c r="D368" s="3" t="inlineStr">
        <is>
          <t>3650/000</t>
        </is>
      </c>
      <c r="E368" s="3" t="inlineStr">
        <is>
          <t>Electricity _AND_ Water</t>
        </is>
      </c>
      <c r="F368" s="3" t="n">
        <v>4932</v>
      </c>
      <c r="G368" s="3" t="n">
        <v>26108.31</v>
      </c>
    </row>
    <row r="369">
      <c r="A369" s="3" t="inlineStr">
        <is>
          <t>Heron Fields (Pty) Ltd</t>
        </is>
      </c>
      <c r="B369" s="4" t="n">
        <v>44561</v>
      </c>
      <c r="C369" s="3" t="inlineStr">
        <is>
          <t>Expenses</t>
        </is>
      </c>
      <c r="D369" s="3" t="inlineStr">
        <is>
          <t>3660/000</t>
        </is>
      </c>
      <c r="E369" s="3" t="inlineStr">
        <is>
          <t>CoCT - Water</t>
        </is>
      </c>
      <c r="F369" s="3" t="n">
        <v>458.9</v>
      </c>
      <c r="G369" s="3" t="n">
        <v>2241.28</v>
      </c>
    </row>
    <row r="370">
      <c r="A370" s="3" t="inlineStr">
        <is>
          <t>Cape Projects Construction (Pty) Ltd</t>
        </is>
      </c>
      <c r="B370" s="4" t="n">
        <v>44561</v>
      </c>
      <c r="C370" s="3" t="inlineStr">
        <is>
          <t>Expenses</t>
        </is>
      </c>
      <c r="D370" s="3" t="inlineStr">
        <is>
          <t>3700/000</t>
        </is>
      </c>
      <c r="E370" s="3" t="inlineStr">
        <is>
          <t>Entertainment Expenses</t>
        </is>
      </c>
      <c r="F370" s="3" t="n">
        <v>589.41</v>
      </c>
      <c r="G370" s="3" t="n">
        <v>9260.35</v>
      </c>
    </row>
    <row r="371">
      <c r="A371" s="3" t="inlineStr">
        <is>
          <t>Heron Fields (Pty) Ltd</t>
        </is>
      </c>
      <c r="B371" s="4" t="n">
        <v>44561</v>
      </c>
      <c r="C371" s="3" t="inlineStr">
        <is>
          <t>Expenses</t>
        </is>
      </c>
      <c r="D371" s="3" t="inlineStr">
        <is>
          <t>3700/000</t>
        </is>
      </c>
      <c r="E371" s="3" t="inlineStr">
        <is>
          <t>Entertainment Expenses</t>
        </is>
      </c>
      <c r="F371" s="3" t="n">
        <v>0</v>
      </c>
      <c r="G371" s="3" t="n">
        <v>250</v>
      </c>
    </row>
    <row r="372">
      <c r="A372" s="3" t="inlineStr">
        <is>
          <t>Cape Projects Construction (Pty) Ltd</t>
        </is>
      </c>
      <c r="B372" s="4" t="n">
        <v>44561</v>
      </c>
      <c r="C372" s="3" t="inlineStr">
        <is>
          <t>Expenses</t>
        </is>
      </c>
      <c r="D372" s="3" t="inlineStr">
        <is>
          <t>3840/001</t>
        </is>
      </c>
      <c r="E372" s="3" t="inlineStr">
        <is>
          <t>Health _AND_ Safety - Labour Department</t>
        </is>
      </c>
      <c r="F372" s="3" t="n">
        <v>0</v>
      </c>
      <c r="G372" s="3" t="n">
        <v>4742.88</v>
      </c>
    </row>
    <row r="373">
      <c r="A373" s="3" t="inlineStr">
        <is>
          <t>Cape Projects Construction (Pty) Ltd</t>
        </is>
      </c>
      <c r="B373" s="4" t="n">
        <v>44561</v>
      </c>
      <c r="C373" s="3" t="inlineStr">
        <is>
          <t>Expenses</t>
        </is>
      </c>
      <c r="D373" s="3" t="inlineStr">
        <is>
          <t>3850/001</t>
        </is>
      </c>
      <c r="E373" s="3" t="inlineStr">
        <is>
          <t>Insurance - Santam</t>
        </is>
      </c>
      <c r="F373" s="3" t="n">
        <v>1992.68</v>
      </c>
      <c r="G373" s="3" t="n">
        <v>11136.62</v>
      </c>
    </row>
    <row r="374">
      <c r="A374" s="3" t="inlineStr">
        <is>
          <t>Cape Projects Construction (Pty) Ltd</t>
        </is>
      </c>
      <c r="B374" s="4" t="n">
        <v>44561</v>
      </c>
      <c r="C374" s="3" t="inlineStr">
        <is>
          <t>Expenses</t>
        </is>
      </c>
      <c r="D374" s="3" t="inlineStr">
        <is>
          <t>3850/002</t>
        </is>
      </c>
      <c r="E374" s="3" t="inlineStr">
        <is>
          <t>Insurance - RBS</t>
        </is>
      </c>
      <c r="F374" s="3" t="n">
        <v>0</v>
      </c>
      <c r="G374" s="3" t="n">
        <v>2280.69</v>
      </c>
    </row>
    <row r="375">
      <c r="A375" s="3" t="inlineStr">
        <is>
          <t>Heron Fields (Pty) Ltd</t>
        </is>
      </c>
      <c r="B375" s="4" t="n">
        <v>44561</v>
      </c>
      <c r="C375" s="3" t="inlineStr">
        <is>
          <t>Expenses</t>
        </is>
      </c>
      <c r="D375" s="3" t="inlineStr">
        <is>
          <t>4100/001</t>
        </is>
      </c>
      <c r="E375" s="3" t="inlineStr">
        <is>
          <t>Momentum Admin Fee</t>
        </is>
      </c>
      <c r="F375" s="3" t="n">
        <v>4700.86</v>
      </c>
      <c r="G375" s="3" t="n">
        <v>83661.24000000001</v>
      </c>
    </row>
    <row r="376">
      <c r="A376" s="3" t="inlineStr">
        <is>
          <t>Cape Projects Construction (Pty) Ltd</t>
        </is>
      </c>
      <c r="B376" s="4" t="n">
        <v>44561</v>
      </c>
      <c r="C376" s="3" t="inlineStr">
        <is>
          <t>Expenses</t>
        </is>
      </c>
      <c r="D376" s="3" t="inlineStr">
        <is>
          <t>4150/010</t>
        </is>
      </c>
      <c r="E376" s="3" t="inlineStr">
        <is>
          <t>Motor Vehicle - Petrol _AND_ Oil</t>
        </is>
      </c>
      <c r="F376" s="3" t="n">
        <v>0</v>
      </c>
      <c r="G376" s="3" t="n">
        <v>500</v>
      </c>
    </row>
    <row r="377">
      <c r="A377" s="3" t="inlineStr">
        <is>
          <t>Cape Projects Construction (Pty) Ltd</t>
        </is>
      </c>
      <c r="B377" s="4" t="n">
        <v>44561</v>
      </c>
      <c r="C377" s="3" t="inlineStr">
        <is>
          <t>Expenses</t>
        </is>
      </c>
      <c r="D377" s="3" t="inlineStr">
        <is>
          <t>4150/020</t>
        </is>
      </c>
      <c r="E377" s="3" t="inlineStr">
        <is>
          <t>Motor Vehicle - Repairs _AND_ Maint.</t>
        </is>
      </c>
      <c r="F377" s="3" t="n">
        <v>0</v>
      </c>
      <c r="G377" s="3" t="n">
        <v>1000</v>
      </c>
    </row>
    <row r="378">
      <c r="A378" s="3" t="inlineStr">
        <is>
          <t>Cape Projects Construction (Pty) Ltd</t>
        </is>
      </c>
      <c r="B378" s="4" t="n">
        <v>44561</v>
      </c>
      <c r="C378" s="3" t="inlineStr">
        <is>
          <t>Expenses</t>
        </is>
      </c>
      <c r="D378" s="3" t="inlineStr">
        <is>
          <t>4150/030</t>
        </is>
      </c>
      <c r="E378" s="3" t="inlineStr">
        <is>
          <t>Motor Vehicle - Insurance _AND_ Licence</t>
        </is>
      </c>
      <c r="F378" s="3" t="n">
        <v>0</v>
      </c>
      <c r="G378" s="3" t="n">
        <v>2277</v>
      </c>
    </row>
    <row r="379">
      <c r="A379" s="3" t="inlineStr">
        <is>
          <t>Cape Projects Construction (Pty) Ltd</t>
        </is>
      </c>
      <c r="B379" s="4" t="n">
        <v>44561</v>
      </c>
      <c r="C379" s="3" t="inlineStr">
        <is>
          <t>Expenses</t>
        </is>
      </c>
      <c r="D379" s="3" t="inlineStr">
        <is>
          <t>4200/000</t>
        </is>
      </c>
      <c r="E379" s="3" t="inlineStr">
        <is>
          <t>Printing _AND_ Stationery</t>
        </is>
      </c>
      <c r="F379" s="3" t="n">
        <v>1642.6</v>
      </c>
      <c r="G379" s="3" t="n">
        <v>13353.44</v>
      </c>
    </row>
    <row r="380">
      <c r="A380" s="3" t="inlineStr">
        <is>
          <t>Heron Fields (Pty) Ltd</t>
        </is>
      </c>
      <c r="B380" s="4" t="n">
        <v>44561</v>
      </c>
      <c r="C380" s="3" t="inlineStr">
        <is>
          <t>Expenses</t>
        </is>
      </c>
      <c r="D380" s="3" t="inlineStr">
        <is>
          <t>4200/000</t>
        </is>
      </c>
      <c r="E380" s="3" t="inlineStr">
        <is>
          <t>Printing _AND_ Stationery</t>
        </is>
      </c>
      <c r="F380" s="3" t="n">
        <v>0</v>
      </c>
      <c r="G380" s="3" t="n">
        <v>765</v>
      </c>
    </row>
    <row r="381">
      <c r="A381" s="3" t="inlineStr">
        <is>
          <t>Cape Projects Construction (Pty) Ltd</t>
        </is>
      </c>
      <c r="B381" s="4" t="n">
        <v>44561</v>
      </c>
      <c r="C381" s="3" t="inlineStr">
        <is>
          <t>Expenses</t>
        </is>
      </c>
      <c r="D381" s="3" t="inlineStr">
        <is>
          <t>4201/000</t>
        </is>
      </c>
      <c r="E381" s="3" t="inlineStr">
        <is>
          <t>Printing - Printer rental</t>
        </is>
      </c>
      <c r="F381" s="3" t="n">
        <v>631.42</v>
      </c>
      <c r="G381" s="3" t="n">
        <v>631.42</v>
      </c>
    </row>
    <row r="382">
      <c r="A382" s="3" t="inlineStr">
        <is>
          <t>Cape Projects Construction (Pty) Ltd</t>
        </is>
      </c>
      <c r="B382" s="4" t="n">
        <v>44561</v>
      </c>
      <c r="C382" s="3" t="inlineStr">
        <is>
          <t>Expenses</t>
        </is>
      </c>
      <c r="D382" s="3" t="inlineStr">
        <is>
          <t>4300/000</t>
        </is>
      </c>
      <c r="E382" s="3" t="inlineStr">
        <is>
          <t>Rent Paid</t>
        </is>
      </c>
      <c r="F382" s="3" t="n">
        <v>28087.5</v>
      </c>
      <c r="G382" s="3" t="n">
        <v>111364.67</v>
      </c>
    </row>
    <row r="383">
      <c r="A383" s="3" t="inlineStr">
        <is>
          <t>Cape Projects Construction (Pty) Ltd</t>
        </is>
      </c>
      <c r="B383" s="4" t="n">
        <v>44561</v>
      </c>
      <c r="C383" s="3" t="inlineStr">
        <is>
          <t>Expenses</t>
        </is>
      </c>
      <c r="D383" s="3" t="inlineStr">
        <is>
          <t>4310/000</t>
        </is>
      </c>
      <c r="E383" s="3" t="inlineStr">
        <is>
          <t>Rates</t>
        </is>
      </c>
      <c r="F383" s="3" t="n">
        <v>843.6</v>
      </c>
      <c r="G383" s="3" t="n">
        <v>3529.28</v>
      </c>
    </row>
    <row r="384">
      <c r="A384" s="3" t="inlineStr">
        <is>
          <t>Heron Fields (Pty) Ltd</t>
        </is>
      </c>
      <c r="B384" s="4" t="n">
        <v>44561</v>
      </c>
      <c r="C384" s="3" t="inlineStr">
        <is>
          <t>Expenses</t>
        </is>
      </c>
      <c r="D384" s="3" t="inlineStr">
        <is>
          <t>4310/000</t>
        </is>
      </c>
      <c r="E384" s="3" t="inlineStr">
        <is>
          <t>Rates - Heron</t>
        </is>
      </c>
      <c r="F384" s="3" t="n">
        <v>3476.93</v>
      </c>
      <c r="G384" s="3" t="n">
        <v>21356.04</v>
      </c>
    </row>
    <row r="385">
      <c r="A385" s="3" t="inlineStr">
        <is>
          <t>Cape Projects Construction (Pty) Ltd</t>
        </is>
      </c>
      <c r="B385" s="4" t="n">
        <v>44561</v>
      </c>
      <c r="C385" s="3" t="inlineStr">
        <is>
          <t>Expenses</t>
        </is>
      </c>
      <c r="D385" s="3" t="inlineStr">
        <is>
          <t>4350/000</t>
        </is>
      </c>
      <c r="E385" s="3" t="inlineStr">
        <is>
          <t>Repairs _AND_ Maintenance</t>
        </is>
      </c>
      <c r="F385" s="3" t="n">
        <v>2034.78</v>
      </c>
      <c r="G385" s="3" t="n">
        <v>102654.83</v>
      </c>
    </row>
    <row r="386">
      <c r="A386" s="3" t="inlineStr">
        <is>
          <t>Heron Fields (Pty) Ltd</t>
        </is>
      </c>
      <c r="B386" s="4" t="n">
        <v>44561</v>
      </c>
      <c r="C386" s="3" t="inlineStr">
        <is>
          <t>Expenses</t>
        </is>
      </c>
      <c r="D386" s="3" t="inlineStr">
        <is>
          <t>4350/000</t>
        </is>
      </c>
      <c r="E386" s="3" t="inlineStr">
        <is>
          <t>Repairs _AND_ Maintenance</t>
        </is>
      </c>
      <c r="F386" s="3" t="n">
        <v>0</v>
      </c>
      <c r="G386" s="3" t="n">
        <v>250</v>
      </c>
    </row>
    <row r="387">
      <c r="A387" s="3" t="inlineStr">
        <is>
          <t>Cape Projects Construction (Pty) Ltd</t>
        </is>
      </c>
      <c r="B387" s="4" t="n">
        <v>44561</v>
      </c>
      <c r="C387" s="3" t="inlineStr">
        <is>
          <t>Expenses</t>
        </is>
      </c>
      <c r="D387" s="3" t="inlineStr">
        <is>
          <t>4400/000</t>
        </is>
      </c>
      <c r="E387" s="3" t="inlineStr">
        <is>
          <t>Salaries _AND_ Wages</t>
        </is>
      </c>
      <c r="F387" s="3" t="n">
        <v>127924.7</v>
      </c>
      <c r="G387" s="3" t="n">
        <v>1343394.84</v>
      </c>
    </row>
    <row r="388">
      <c r="A388" s="3" t="inlineStr">
        <is>
          <t>Cape Projects Construction (Pty) Ltd</t>
        </is>
      </c>
      <c r="B388" s="4" t="n">
        <v>44561</v>
      </c>
      <c r="C388" s="3" t="inlineStr">
        <is>
          <t>Expenses</t>
        </is>
      </c>
      <c r="D388" s="3" t="inlineStr">
        <is>
          <t>4400/100</t>
        </is>
      </c>
      <c r="E388" s="3" t="inlineStr">
        <is>
          <t>Salaries and Wages - Shorty</t>
        </is>
      </c>
      <c r="F388" s="3" t="n">
        <v>0</v>
      </c>
      <c r="G388" s="3" t="n">
        <v>35500</v>
      </c>
    </row>
    <row r="389">
      <c r="A389" s="3" t="inlineStr">
        <is>
          <t>Cape Projects Construction (Pty) Ltd</t>
        </is>
      </c>
      <c r="B389" s="4" t="n">
        <v>44561</v>
      </c>
      <c r="C389" s="3" t="inlineStr">
        <is>
          <t>Expenses</t>
        </is>
      </c>
      <c r="D389" s="3" t="inlineStr">
        <is>
          <t>4402</t>
        </is>
      </c>
      <c r="E389" s="3" t="inlineStr">
        <is>
          <t>Salaries &amp; Wages - WCA</t>
        </is>
      </c>
      <c r="F389" s="3" t="n">
        <v>0</v>
      </c>
      <c r="G389" s="3" t="n">
        <v>1063.2</v>
      </c>
    </row>
    <row r="390">
      <c r="A390" s="3" t="inlineStr">
        <is>
          <t>Heron Fields (Pty) Ltd</t>
        </is>
      </c>
      <c r="B390" s="4" t="n">
        <v>44561</v>
      </c>
      <c r="C390" s="3" t="inlineStr">
        <is>
          <t>Expenses</t>
        </is>
      </c>
      <c r="D390" s="3" t="inlineStr">
        <is>
          <t>4410/000</t>
        </is>
      </c>
      <c r="E390" s="3" t="inlineStr">
        <is>
          <t>Secretarial fees</t>
        </is>
      </c>
      <c r="F390" s="3" t="n">
        <v>0</v>
      </c>
      <c r="G390" s="3" t="n">
        <v>17000</v>
      </c>
    </row>
    <row r="391">
      <c r="A391" s="3" t="inlineStr">
        <is>
          <t>Cape Projects Construction (Pty) Ltd</t>
        </is>
      </c>
      <c r="B391" s="4" t="n">
        <v>44561</v>
      </c>
      <c r="C391" s="3" t="inlineStr">
        <is>
          <t>Expenses</t>
        </is>
      </c>
      <c r="D391" s="3" t="inlineStr">
        <is>
          <t>4420/000</t>
        </is>
      </c>
      <c r="E391" s="3" t="inlineStr">
        <is>
          <t>Small Assets</t>
        </is>
      </c>
      <c r="F391" s="3" t="n">
        <v>7477.39</v>
      </c>
      <c r="G391" s="3" t="n">
        <v>15151.27</v>
      </c>
    </row>
    <row r="392">
      <c r="A392" s="3" t="inlineStr">
        <is>
          <t>Heron Fields (Pty) Ltd</t>
        </is>
      </c>
      <c r="B392" s="4" t="n">
        <v>44561</v>
      </c>
      <c r="C392" s="3" t="inlineStr">
        <is>
          <t>Expenses</t>
        </is>
      </c>
      <c r="D392" s="3" t="inlineStr">
        <is>
          <t>4420/001</t>
        </is>
      </c>
      <c r="E392" s="3" t="inlineStr">
        <is>
          <t>Security - ADT</t>
        </is>
      </c>
      <c r="F392" s="3" t="n">
        <v>600.04</v>
      </c>
      <c r="G392" s="3" t="n">
        <v>3835.79</v>
      </c>
    </row>
    <row r="393">
      <c r="A393" s="3" t="inlineStr">
        <is>
          <t>Cape Projects Construction (Pty) Ltd</t>
        </is>
      </c>
      <c r="B393" s="4" t="n">
        <v>44561</v>
      </c>
      <c r="C393" s="3" t="inlineStr">
        <is>
          <t>Expenses</t>
        </is>
      </c>
      <c r="D393" s="3" t="inlineStr">
        <is>
          <t>4450/000</t>
        </is>
      </c>
      <c r="E393" s="3" t="inlineStr">
        <is>
          <t>Staff Training</t>
        </is>
      </c>
      <c r="F393" s="3" t="n">
        <v>0</v>
      </c>
      <c r="G393" s="3" t="n">
        <v>2000</v>
      </c>
    </row>
    <row r="394">
      <c r="A394" s="3" t="inlineStr">
        <is>
          <t>Cape Projects Construction (Pty) Ltd</t>
        </is>
      </c>
      <c r="B394" s="4" t="n">
        <v>44561</v>
      </c>
      <c r="C394" s="3" t="inlineStr">
        <is>
          <t>Expenses</t>
        </is>
      </c>
      <c r="D394" s="3" t="inlineStr">
        <is>
          <t>4500/000</t>
        </is>
      </c>
      <c r="E394" s="3" t="inlineStr">
        <is>
          <t>Staff Welfare _AND_ Refreshmts</t>
        </is>
      </c>
      <c r="F394" s="3" t="n">
        <v>7584.19</v>
      </c>
      <c r="G394" s="3" t="n">
        <v>30283.96</v>
      </c>
    </row>
    <row r="395">
      <c r="A395" s="3" t="inlineStr">
        <is>
          <t>Cape Projects Construction (Pty) Ltd</t>
        </is>
      </c>
      <c r="B395" s="4" t="n">
        <v>44561</v>
      </c>
      <c r="C395" s="3" t="inlineStr">
        <is>
          <t>Expenses</t>
        </is>
      </c>
      <c r="D395" s="3" t="inlineStr">
        <is>
          <t>4550/000</t>
        </is>
      </c>
      <c r="E395" s="3" t="inlineStr">
        <is>
          <t>Subscriptions / Licenses</t>
        </is>
      </c>
      <c r="F395" s="3" t="n">
        <v>0</v>
      </c>
      <c r="G395" s="3" t="n">
        <v>526.3200000000001</v>
      </c>
    </row>
    <row r="396">
      <c r="A396" s="3" t="inlineStr">
        <is>
          <t>Cape Projects Construction (Pty) Ltd</t>
        </is>
      </c>
      <c r="B396" s="4" t="n">
        <v>44561</v>
      </c>
      <c r="C396" s="3" t="inlineStr">
        <is>
          <t>Expenses</t>
        </is>
      </c>
      <c r="D396" s="3" t="inlineStr">
        <is>
          <t>4550/001</t>
        </is>
      </c>
      <c r="E396" s="3" t="inlineStr">
        <is>
          <t>Subscriptions &amp; Licenses - Sage payroll</t>
        </is>
      </c>
      <c r="F396" s="3" t="n">
        <v>459</v>
      </c>
      <c r="G396" s="3" t="n">
        <v>2754</v>
      </c>
    </row>
    <row r="397">
      <c r="A397" s="3" t="inlineStr">
        <is>
          <t>Cape Projects Construction (Pty) Ltd</t>
        </is>
      </c>
      <c r="B397" s="4" t="n">
        <v>44561</v>
      </c>
      <c r="C397" s="3" t="inlineStr">
        <is>
          <t>Expenses</t>
        </is>
      </c>
      <c r="D397" s="3" t="inlineStr">
        <is>
          <t>4550/002</t>
        </is>
      </c>
      <c r="E397" s="3" t="inlineStr">
        <is>
          <t>Subscriptions &amp; Licenses - Caseware</t>
        </is>
      </c>
      <c r="F397" s="3" t="n">
        <v>0</v>
      </c>
      <c r="G397" s="3" t="n">
        <v>9463.01</v>
      </c>
    </row>
    <row r="398">
      <c r="A398" s="3" t="inlineStr">
        <is>
          <t>Cape Projects Construction (Pty) Ltd</t>
        </is>
      </c>
      <c r="B398" s="4" t="n">
        <v>44561</v>
      </c>
      <c r="C398" s="3" t="inlineStr">
        <is>
          <t>Expenses</t>
        </is>
      </c>
      <c r="D398" s="3" t="inlineStr">
        <is>
          <t>4550/003</t>
        </is>
      </c>
      <c r="E398" s="3" t="inlineStr">
        <is>
          <t>Subscriptions &amp; Licenses - Xero</t>
        </is>
      </c>
      <c r="F398" s="3" t="n">
        <v>600</v>
      </c>
      <c r="G398" s="3" t="n">
        <v>7500</v>
      </c>
    </row>
    <row r="399">
      <c r="A399" s="3" t="inlineStr">
        <is>
          <t>Cape Projects Construction (Pty) Ltd</t>
        </is>
      </c>
      <c r="B399" s="4" t="n">
        <v>44561</v>
      </c>
      <c r="C399" s="3" t="inlineStr">
        <is>
          <t>Expenses</t>
        </is>
      </c>
      <c r="D399" s="3" t="inlineStr">
        <is>
          <t>4550/004</t>
        </is>
      </c>
      <c r="E399" s="3" t="inlineStr">
        <is>
          <t>Subscriptions - Smartsheet</t>
        </is>
      </c>
      <c r="F399" s="3" t="n">
        <v>363</v>
      </c>
      <c r="G399" s="3" t="n">
        <v>1713.41</v>
      </c>
    </row>
    <row r="400">
      <c r="A400" s="3" t="inlineStr">
        <is>
          <t>Heron Fields (Pty) Ltd</t>
        </is>
      </c>
      <c r="B400" s="4" t="n">
        <v>44561</v>
      </c>
      <c r="C400" s="3" t="inlineStr">
        <is>
          <t>Expenses</t>
        </is>
      </c>
      <c r="D400" s="3" t="inlineStr">
        <is>
          <t>4550/100</t>
        </is>
      </c>
      <c r="E400" s="3" t="inlineStr">
        <is>
          <t>Subscriptions - Xero</t>
        </is>
      </c>
      <c r="F400" s="3" t="n">
        <v>600</v>
      </c>
      <c r="G400" s="3" t="n">
        <v>3400</v>
      </c>
    </row>
    <row r="401">
      <c r="A401" s="3" t="inlineStr">
        <is>
          <t>Heron Fields (Pty) Ltd</t>
        </is>
      </c>
      <c r="B401" s="4" t="n">
        <v>44561</v>
      </c>
      <c r="C401" s="3" t="inlineStr">
        <is>
          <t>Expenses</t>
        </is>
      </c>
      <c r="D401" s="3" t="inlineStr">
        <is>
          <t>4550/200</t>
        </is>
      </c>
      <c r="E401" s="3" t="inlineStr">
        <is>
          <t>Subscription - NHBRC</t>
        </is>
      </c>
      <c r="F401" s="3" t="n">
        <v>0</v>
      </c>
      <c r="G401" s="3" t="n">
        <v>1271.93</v>
      </c>
    </row>
    <row r="402">
      <c r="A402" s="3" t="inlineStr">
        <is>
          <t>Cape Projects Construction (Pty) Ltd</t>
        </is>
      </c>
      <c r="B402" s="4" t="n">
        <v>44561</v>
      </c>
      <c r="C402" s="3" t="inlineStr">
        <is>
          <t>Expenses</t>
        </is>
      </c>
      <c r="D402" s="3" t="inlineStr">
        <is>
          <t>4560</t>
        </is>
      </c>
      <c r="E402" s="3" t="inlineStr">
        <is>
          <t>Secretarial fees - CIPC</t>
        </is>
      </c>
      <c r="F402" s="3" t="n">
        <v>0</v>
      </c>
      <c r="G402" s="3" t="n">
        <v>450</v>
      </c>
    </row>
    <row r="403">
      <c r="A403" s="3" t="inlineStr">
        <is>
          <t>Cape Projects Construction (Pty) Ltd</t>
        </is>
      </c>
      <c r="B403" s="4" t="n">
        <v>44561</v>
      </c>
      <c r="C403" s="3" t="inlineStr">
        <is>
          <t>Expenses</t>
        </is>
      </c>
      <c r="D403" s="3" t="inlineStr">
        <is>
          <t>4600/000</t>
        </is>
      </c>
      <c r="E403" s="3" t="inlineStr">
        <is>
          <t>Telephone _AND_ Fax</t>
        </is>
      </c>
      <c r="F403" s="3" t="n">
        <v>0</v>
      </c>
      <c r="G403" s="3" t="n">
        <v>10273.56</v>
      </c>
    </row>
    <row r="404">
      <c r="A404" s="3" t="inlineStr">
        <is>
          <t>Cape Projects Construction (Pty) Ltd</t>
        </is>
      </c>
      <c r="B404" s="4" t="n">
        <v>44561</v>
      </c>
      <c r="C404" s="3" t="inlineStr">
        <is>
          <t>Expenses</t>
        </is>
      </c>
      <c r="D404" s="3" t="inlineStr">
        <is>
          <t>4650/010</t>
        </is>
      </c>
      <c r="E404" s="3" t="inlineStr">
        <is>
          <t>Travel - Local</t>
        </is>
      </c>
      <c r="F404" s="3" t="n">
        <v>0</v>
      </c>
      <c r="G404" s="3" t="n">
        <v>1275</v>
      </c>
    </row>
    <row r="405">
      <c r="A405" s="3" t="inlineStr">
        <is>
          <t>Cape Projects Construction (Pty) Ltd</t>
        </is>
      </c>
      <c r="B405" s="4" t="n">
        <v>44561</v>
      </c>
      <c r="C405" s="3" t="inlineStr">
        <is>
          <t>Expenses</t>
        </is>
      </c>
      <c r="D405" s="3" t="inlineStr">
        <is>
          <t>4700/000</t>
        </is>
      </c>
      <c r="E405" s="3" t="inlineStr">
        <is>
          <t>PAYE Contributions</t>
        </is>
      </c>
      <c r="F405" s="3" t="n">
        <v>28578.68</v>
      </c>
      <c r="G405" s="3" t="n">
        <v>352731.15</v>
      </c>
    </row>
    <row r="406">
      <c r="A406" s="3" t="inlineStr">
        <is>
          <t>Cape Projects Construction (Pty) Ltd</t>
        </is>
      </c>
      <c r="B406" s="4" t="n">
        <v>44561</v>
      </c>
      <c r="C406" s="3" t="inlineStr">
        <is>
          <t>Expenses</t>
        </is>
      </c>
      <c r="D406" s="3" t="inlineStr">
        <is>
          <t>4720/000</t>
        </is>
      </c>
      <c r="E406" s="3" t="inlineStr">
        <is>
          <t>SDL Contributions</t>
        </is>
      </c>
      <c r="F406" s="3" t="n">
        <v>1480.87</v>
      </c>
      <c r="G406" s="3" t="n">
        <v>16456.73</v>
      </c>
    </row>
    <row r="407">
      <c r="A407" s="3" t="inlineStr">
        <is>
          <t>Cape Projects Construction (Pty) Ltd</t>
        </is>
      </c>
      <c r="B407" s="4" t="n">
        <v>44561</v>
      </c>
      <c r="C407" s="3" t="inlineStr">
        <is>
          <t>Expenses</t>
        </is>
      </c>
      <c r="D407" s="3" t="inlineStr">
        <is>
          <t>4730/000</t>
        </is>
      </c>
      <c r="E407" s="3" t="inlineStr">
        <is>
          <t>UIF Company Contributions</t>
        </is>
      </c>
      <c r="F407" s="3" t="n">
        <v>784.39</v>
      </c>
      <c r="G407" s="3" t="n">
        <v>8932.77</v>
      </c>
    </row>
    <row r="408">
      <c r="A408" s="3" t="inlineStr">
        <is>
          <t>Cape Projects Construction (Pty) Ltd</t>
        </is>
      </c>
      <c r="B408" s="4" t="n">
        <v>44561</v>
      </c>
      <c r="C408" s="3" t="inlineStr">
        <is>
          <t>Expenses</t>
        </is>
      </c>
      <c r="D408" s="3" t="inlineStr">
        <is>
          <t>4731/000</t>
        </is>
      </c>
      <c r="E408" s="3" t="inlineStr">
        <is>
          <t>UIF Employee Contribution</t>
        </is>
      </c>
      <c r="F408" s="3" t="n">
        <v>784.39</v>
      </c>
      <c r="G408" s="3" t="n">
        <v>5660.93</v>
      </c>
    </row>
    <row r="409">
      <c r="A409" s="3" t="inlineStr">
        <is>
          <t>Heron Fields (Pty) Ltd</t>
        </is>
      </c>
      <c r="B409" s="4" t="n">
        <v>44561</v>
      </c>
      <c r="C409" s="3" t="inlineStr">
        <is>
          <t>Equity</t>
        </is>
      </c>
      <c r="D409" s="3" t="inlineStr">
        <is>
          <t>5100-000</t>
        </is>
      </c>
      <c r="E409" s="3" t="inlineStr">
        <is>
          <t>Share Capital</t>
        </is>
      </c>
      <c r="F409" s="3" t="n">
        <v>0</v>
      </c>
      <c r="G409" s="3" t="n">
        <v>-100</v>
      </c>
    </row>
    <row r="410">
      <c r="A410" s="3" t="inlineStr">
        <is>
          <t>Cape Projects Construction (Pty) Ltd</t>
        </is>
      </c>
      <c r="B410" s="4" t="n">
        <v>44561</v>
      </c>
      <c r="C410" s="3" t="inlineStr">
        <is>
          <t>Equity</t>
        </is>
      </c>
      <c r="D410" s="3" t="inlineStr">
        <is>
          <t>5100/000</t>
        </is>
      </c>
      <c r="E410" s="3" t="inlineStr">
        <is>
          <t>Share Capital / Members Contribution</t>
        </is>
      </c>
      <c r="F410" s="3" t="n">
        <v>0</v>
      </c>
      <c r="G410" s="3" t="n">
        <v>-120</v>
      </c>
    </row>
    <row r="411">
      <c r="A411" s="3" t="inlineStr">
        <is>
          <t>Cape Projects Construction (Pty) Ltd</t>
        </is>
      </c>
      <c r="B411" s="4" t="n">
        <v>44561</v>
      </c>
      <c r="C411" s="3" t="inlineStr">
        <is>
          <t>Equity</t>
        </is>
      </c>
      <c r="D411" s="3" t="inlineStr">
        <is>
          <t>5200/000</t>
        </is>
      </c>
      <c r="E411" s="3" t="inlineStr">
        <is>
          <t>Retained Earnings / Loss</t>
        </is>
      </c>
      <c r="F411" s="3" t="n">
        <v>0</v>
      </c>
      <c r="G411" s="3" t="n">
        <v>698664.99</v>
      </c>
    </row>
    <row r="412">
      <c r="A412" s="3" t="inlineStr">
        <is>
          <t>Heron Fields (Pty) Ltd</t>
        </is>
      </c>
      <c r="B412" s="4" t="n">
        <v>44561</v>
      </c>
      <c r="C412" s="3" t="inlineStr">
        <is>
          <t>Assets</t>
        </is>
      </c>
      <c r="D412" s="3" t="inlineStr">
        <is>
          <t>5300/001</t>
        </is>
      </c>
      <c r="E412" s="3" t="inlineStr">
        <is>
          <t>Revaluation of Land stock</t>
        </is>
      </c>
      <c r="F412" s="3" t="n">
        <v>0</v>
      </c>
      <c r="G412" s="3" t="n">
        <v>19713043.68</v>
      </c>
    </row>
    <row r="413">
      <c r="A413" s="3" t="inlineStr">
        <is>
          <t>Cape Projects Construction (Pty) Ltd</t>
        </is>
      </c>
      <c r="B413" s="4" t="n">
        <v>44561</v>
      </c>
      <c r="C413" s="3" t="inlineStr">
        <is>
          <t>Assets</t>
        </is>
      </c>
      <c r="D413" s="3" t="inlineStr">
        <is>
          <t>5400/200</t>
        </is>
      </c>
      <c r="E413" s="3" t="inlineStr">
        <is>
          <t>Members Loan - Nick Morgan</t>
        </is>
      </c>
      <c r="F413" s="3" t="n">
        <v>0</v>
      </c>
      <c r="G413" s="3" t="n">
        <v>-38862.46</v>
      </c>
    </row>
    <row r="414">
      <c r="A414" s="3" t="inlineStr">
        <is>
          <t>Cape Projects Construction (Pty) Ltd</t>
        </is>
      </c>
      <c r="B414" s="4" t="n">
        <v>44561</v>
      </c>
      <c r="C414" s="3" t="inlineStr">
        <is>
          <t>Assets</t>
        </is>
      </c>
      <c r="D414" s="3" t="inlineStr">
        <is>
          <t>5400/220</t>
        </is>
      </c>
      <c r="E414" s="3" t="inlineStr">
        <is>
          <t>Members Loan - WH</t>
        </is>
      </c>
      <c r="F414" s="3" t="n">
        <v>0</v>
      </c>
      <c r="G414" s="3" t="n">
        <v>4342.5</v>
      </c>
    </row>
    <row r="415">
      <c r="A415" s="3" t="inlineStr">
        <is>
          <t>Cape Projects Construction (Pty) Ltd</t>
        </is>
      </c>
      <c r="B415" s="4" t="n">
        <v>44561</v>
      </c>
      <c r="C415" s="3" t="inlineStr">
        <is>
          <t>Assets</t>
        </is>
      </c>
      <c r="D415" s="3" t="inlineStr">
        <is>
          <t>5400/450</t>
        </is>
      </c>
      <c r="E415" s="3" t="inlineStr">
        <is>
          <t>Loan - Opportunity Investment</t>
        </is>
      </c>
      <c r="F415" s="3" t="n">
        <v>100066.26</v>
      </c>
      <c r="G415" s="3" t="n">
        <v>-60000</v>
      </c>
    </row>
    <row r="416">
      <c r="A416" s="3" t="inlineStr">
        <is>
          <t>Cape Projects Construction (Pty) Ltd</t>
        </is>
      </c>
      <c r="B416" s="4" t="n">
        <v>44561</v>
      </c>
      <c r="C416" s="3" t="inlineStr">
        <is>
          <t>Assets</t>
        </is>
      </c>
      <c r="D416" s="3" t="inlineStr">
        <is>
          <t>5400/500</t>
        </is>
      </c>
      <c r="E416" s="3" t="inlineStr">
        <is>
          <t>Loan - Blou Mamba Trust</t>
        </is>
      </c>
      <c r="F416" s="3" t="n">
        <v>0</v>
      </c>
      <c r="G416" s="3" t="n">
        <v>-29796.99</v>
      </c>
    </row>
    <row r="417">
      <c r="A417" s="3" t="inlineStr">
        <is>
          <t>Cape Projects Construction (Pty) Ltd</t>
        </is>
      </c>
      <c r="B417" s="4" t="n">
        <v>44561</v>
      </c>
      <c r="C417" s="3" t="inlineStr">
        <is>
          <t>Assets</t>
        </is>
      </c>
      <c r="D417" s="3" t="inlineStr">
        <is>
          <t>5400/550</t>
        </is>
      </c>
      <c r="E417" s="3" t="inlineStr">
        <is>
          <t>Loan - Trademark</t>
        </is>
      </c>
      <c r="F417" s="3" t="n">
        <v>600</v>
      </c>
      <c r="G417" s="3" t="n">
        <v>-33800</v>
      </c>
    </row>
    <row r="418">
      <c r="A418" s="3" t="inlineStr">
        <is>
          <t>Cape Projects Construction (Pty) Ltd</t>
        </is>
      </c>
      <c r="B418" s="4" t="n">
        <v>44561</v>
      </c>
      <c r="C418" s="3" t="inlineStr">
        <is>
          <t>Assets</t>
        </is>
      </c>
      <c r="D418" s="3" t="inlineStr">
        <is>
          <t>5400/600</t>
        </is>
      </c>
      <c r="E418" s="3" t="inlineStr">
        <is>
          <t>Loan - Heron Projects</t>
        </is>
      </c>
      <c r="F418" s="3" t="n">
        <v>54000</v>
      </c>
      <c r="G418" s="3" t="n">
        <v>-50000</v>
      </c>
    </row>
    <row r="419">
      <c r="A419" s="3" t="inlineStr">
        <is>
          <t>Cape Projects Construction (Pty) Ltd</t>
        </is>
      </c>
      <c r="B419" s="4" t="n">
        <v>44561</v>
      </c>
      <c r="C419" s="3" t="inlineStr">
        <is>
          <t>Assets</t>
        </is>
      </c>
      <c r="D419" s="3" t="inlineStr">
        <is>
          <t>5400/650</t>
        </is>
      </c>
      <c r="E419" s="3" t="inlineStr">
        <is>
          <t>Loan - Noble Shield</t>
        </is>
      </c>
      <c r="F419" s="3" t="n">
        <v>600</v>
      </c>
      <c r="G419" s="3" t="n">
        <v>-3800</v>
      </c>
    </row>
    <row r="420">
      <c r="A420" s="3" t="inlineStr">
        <is>
          <t>Cape Projects Construction (Pty) Ltd</t>
        </is>
      </c>
      <c r="B420" s="4" t="n">
        <v>44561</v>
      </c>
      <c r="C420" s="3" t="inlineStr">
        <is>
          <t>Assets</t>
        </is>
      </c>
      <c r="D420" s="3" t="inlineStr">
        <is>
          <t>5400/800</t>
        </is>
      </c>
      <c r="E420" s="3" t="inlineStr">
        <is>
          <t>Loan - Opportunity Management Holdings</t>
        </is>
      </c>
      <c r="F420" s="3" t="n">
        <v>-35000</v>
      </c>
      <c r="G420" s="3" t="n">
        <v>-49000</v>
      </c>
    </row>
    <row r="421">
      <c r="A421" s="3" t="inlineStr">
        <is>
          <t>Heron Fields (Pty) Ltd</t>
        </is>
      </c>
      <c r="B421" s="4" t="n">
        <v>44561</v>
      </c>
      <c r="C421" s="3" t="inlineStr">
        <is>
          <t>Liabilities</t>
        </is>
      </c>
      <c r="D421" s="3" t="inlineStr">
        <is>
          <t>5500/010</t>
        </is>
      </c>
      <c r="E421" s="3" t="inlineStr">
        <is>
          <t>Loan - Quinate</t>
        </is>
      </c>
      <c r="F421" s="3" t="n">
        <v>6831</v>
      </c>
      <c r="G421" s="3" t="n">
        <v>0</v>
      </c>
    </row>
    <row r="422">
      <c r="A422" s="3" t="inlineStr">
        <is>
          <t>Heron Fields (Pty) Ltd</t>
        </is>
      </c>
      <c r="B422" s="4" t="n">
        <v>44561</v>
      </c>
      <c r="C422" s="3" t="inlineStr">
        <is>
          <t>Liabilities</t>
        </is>
      </c>
      <c r="D422" s="3" t="inlineStr">
        <is>
          <t>5500/020</t>
        </is>
      </c>
      <c r="E422" s="3" t="inlineStr">
        <is>
          <t>Loan - Cape Projects Construction</t>
        </is>
      </c>
      <c r="F422" s="3" t="n">
        <v>-54000</v>
      </c>
      <c r="G422" s="3" t="n">
        <v>50000</v>
      </c>
    </row>
    <row r="423">
      <c r="A423" s="3" t="inlineStr">
        <is>
          <t>Cape Projects Construction (Pty) Ltd</t>
        </is>
      </c>
      <c r="B423" s="4" t="n">
        <v>44561</v>
      </c>
      <c r="C423" s="3" t="inlineStr">
        <is>
          <t>Assets</t>
        </is>
      </c>
      <c r="D423" s="3" t="inlineStr">
        <is>
          <t>5500/100</t>
        </is>
      </c>
      <c r="E423" s="3" t="inlineStr">
        <is>
          <t>Staff loan - Herbert du Plessis</t>
        </is>
      </c>
      <c r="F423" s="3" t="n">
        <v>-726</v>
      </c>
      <c r="G423" s="3" t="n">
        <v>0</v>
      </c>
    </row>
    <row r="424">
      <c r="A424" s="3" t="inlineStr">
        <is>
          <t>Cape Projects Construction (Pty) Ltd</t>
        </is>
      </c>
      <c r="B424" s="4" t="n">
        <v>44561</v>
      </c>
      <c r="C424" s="3" t="inlineStr">
        <is>
          <t>Assets</t>
        </is>
      </c>
      <c r="D424" s="3" t="inlineStr">
        <is>
          <t>5500/200</t>
        </is>
      </c>
      <c r="E424" s="3" t="inlineStr">
        <is>
          <t>Staff loan - Dirk Coetzee</t>
        </is>
      </c>
      <c r="F424" s="3" t="n">
        <v>120.05</v>
      </c>
      <c r="G424" s="3" t="n">
        <v>120.05</v>
      </c>
    </row>
    <row r="425">
      <c r="A425" s="3" t="inlineStr">
        <is>
          <t>Cape Projects Construction (Pty) Ltd</t>
        </is>
      </c>
      <c r="B425" s="4" t="n">
        <v>44561</v>
      </c>
      <c r="C425" s="3" t="inlineStr">
        <is>
          <t>Liabilities</t>
        </is>
      </c>
      <c r="D425" s="3" t="inlineStr">
        <is>
          <t>5600/100</t>
        </is>
      </c>
      <c r="E425" s="3" t="inlineStr">
        <is>
          <t>Motor Vehical Car Repaymts - Toyota</t>
        </is>
      </c>
      <c r="F425" s="3" t="n">
        <v>10368.28</v>
      </c>
      <c r="G425" s="3" t="n">
        <v>5557.44</v>
      </c>
    </row>
    <row r="426">
      <c r="A426" s="3" t="inlineStr">
        <is>
          <t>Cape Projects Construction (Pty) Ltd</t>
        </is>
      </c>
      <c r="B426" s="4" t="n">
        <v>44561</v>
      </c>
      <c r="C426" s="3" t="inlineStr">
        <is>
          <t>Liabilities</t>
        </is>
      </c>
      <c r="D426" s="3" t="inlineStr">
        <is>
          <t>5600/200</t>
        </is>
      </c>
      <c r="E426" s="3" t="inlineStr">
        <is>
          <t>Motor Vehicle Car Repayments - Toyota Shortterm</t>
        </is>
      </c>
      <c r="F426" s="3" t="n">
        <v>0</v>
      </c>
      <c r="G426" s="3" t="n">
        <v>-62160</v>
      </c>
    </row>
    <row r="427">
      <c r="A427" s="3" t="inlineStr">
        <is>
          <t>Cape Projects Construction (Pty) Ltd</t>
        </is>
      </c>
      <c r="B427" s="4" t="n">
        <v>44561</v>
      </c>
      <c r="C427" s="3" t="inlineStr">
        <is>
          <t>Assets</t>
        </is>
      </c>
      <c r="D427" s="3" t="inlineStr">
        <is>
          <t>6200/010</t>
        </is>
      </c>
      <c r="E427" s="3" t="inlineStr">
        <is>
          <t>Motor Vehicles - @ Cost</t>
        </is>
      </c>
      <c r="F427" s="3" t="n">
        <v>0</v>
      </c>
      <c r="G427" s="3" t="n">
        <v>216064.1</v>
      </c>
    </row>
    <row r="428">
      <c r="A428" s="3" t="inlineStr">
        <is>
          <t>Cape Projects Construction (Pty) Ltd</t>
        </is>
      </c>
      <c r="B428" s="4" t="n">
        <v>44561</v>
      </c>
      <c r="C428" s="3" t="inlineStr">
        <is>
          <t>Assets</t>
        </is>
      </c>
      <c r="D428" s="3" t="inlineStr">
        <is>
          <t>6200/020</t>
        </is>
      </c>
      <c r="E428" s="3" t="inlineStr">
        <is>
          <t>Motor Vehicles - Accum Depre</t>
        </is>
      </c>
      <c r="F428" s="3" t="n">
        <v>0</v>
      </c>
      <c r="G428" s="3" t="n">
        <v>-133240</v>
      </c>
    </row>
    <row r="429">
      <c r="A429" s="3" t="inlineStr">
        <is>
          <t>Cape Projects Construction (Pty) Ltd</t>
        </is>
      </c>
      <c r="B429" s="4" t="n">
        <v>44561</v>
      </c>
      <c r="C429" s="3" t="inlineStr">
        <is>
          <t>Assets</t>
        </is>
      </c>
      <c r="D429" s="3" t="inlineStr">
        <is>
          <t>6250/010</t>
        </is>
      </c>
      <c r="E429" s="3" t="inlineStr">
        <is>
          <t>Computer Equipment - @ Cost</t>
        </is>
      </c>
      <c r="F429" s="3" t="n">
        <v>0</v>
      </c>
      <c r="G429" s="3" t="n">
        <v>53450.87</v>
      </c>
    </row>
    <row r="430">
      <c r="A430" s="3" t="inlineStr">
        <is>
          <t>Cape Projects Construction (Pty) Ltd</t>
        </is>
      </c>
      <c r="B430" s="4" t="n">
        <v>44561</v>
      </c>
      <c r="C430" s="3" t="inlineStr">
        <is>
          <t>Assets</t>
        </is>
      </c>
      <c r="D430" s="3" t="inlineStr">
        <is>
          <t>6250/020</t>
        </is>
      </c>
      <c r="E430" s="3" t="inlineStr">
        <is>
          <t>Computer Equipment - Accum Depre</t>
        </is>
      </c>
      <c r="F430" s="3" t="n">
        <v>-1092.24</v>
      </c>
      <c r="G430" s="3" t="n">
        <v>-17381.55</v>
      </c>
    </row>
    <row r="431">
      <c r="A431" s="3" t="inlineStr">
        <is>
          <t>Cape Projects Construction (Pty) Ltd</t>
        </is>
      </c>
      <c r="B431" s="4" t="n">
        <v>44561</v>
      </c>
      <c r="C431" s="3" t="inlineStr">
        <is>
          <t>Assets</t>
        </is>
      </c>
      <c r="D431" s="3" t="inlineStr">
        <is>
          <t>6600/010</t>
        </is>
      </c>
      <c r="E431" s="3" t="inlineStr">
        <is>
          <t>Generator Fixed Asset - @ Cost</t>
        </is>
      </c>
      <c r="F431" s="3" t="n">
        <v>0</v>
      </c>
      <c r="G431" s="3" t="n">
        <v>11600</v>
      </c>
    </row>
    <row r="432">
      <c r="A432" s="3" t="inlineStr">
        <is>
          <t>Cape Projects Construction (Pty) Ltd</t>
        </is>
      </c>
      <c r="B432" s="4" t="n">
        <v>44561</v>
      </c>
      <c r="C432" s="3" t="inlineStr">
        <is>
          <t>Assets</t>
        </is>
      </c>
      <c r="D432" s="3" t="inlineStr">
        <is>
          <t>6600/020</t>
        </is>
      </c>
      <c r="E432" s="3" t="inlineStr">
        <is>
          <t>Generator Fixed Asset - Accum Depre</t>
        </is>
      </c>
      <c r="F432" s="3" t="n">
        <v>-193.33</v>
      </c>
      <c r="G432" s="3" t="n">
        <v>-580</v>
      </c>
    </row>
    <row r="433">
      <c r="A433" s="3" t="inlineStr">
        <is>
          <t>Heron Fields (Pty) Ltd</t>
        </is>
      </c>
      <c r="B433" s="4" t="n">
        <v>44561</v>
      </c>
      <c r="C433" s="3" t="inlineStr">
        <is>
          <t>Assets</t>
        </is>
      </c>
      <c r="D433" s="3" t="inlineStr">
        <is>
          <t>7610/395</t>
        </is>
      </c>
      <c r="E433" s="3" t="inlineStr">
        <is>
          <t>HF CIP NHBRC</t>
        </is>
      </c>
      <c r="F433" s="3" t="n">
        <v>261841.5</v>
      </c>
      <c r="G433" s="3" t="n">
        <v>261841.5</v>
      </c>
    </row>
    <row r="434">
      <c r="A434" s="3" t="inlineStr">
        <is>
          <t>Heron Fields (Pty) Ltd</t>
        </is>
      </c>
      <c r="B434" s="4" t="n">
        <v>44561</v>
      </c>
      <c r="C434" s="3" t="inlineStr">
        <is>
          <t>Assets</t>
        </is>
      </c>
      <c r="D434" s="3" t="inlineStr">
        <is>
          <t>7620/100</t>
        </is>
      </c>
      <c r="E434" s="3" t="inlineStr">
        <is>
          <t>Heron View Land</t>
        </is>
      </c>
      <c r="F434" s="3" t="n">
        <v>0</v>
      </c>
      <c r="G434" s="3" t="n">
        <v>26200000</v>
      </c>
    </row>
    <row r="435">
      <c r="A435" s="3" t="inlineStr">
        <is>
          <t>Heron Fields (Pty) Ltd</t>
        </is>
      </c>
      <c r="B435" s="4" t="n">
        <v>44561</v>
      </c>
      <c r="C435" s="3" t="inlineStr">
        <is>
          <t>Assets</t>
        </is>
      </c>
      <c r="D435" s="3" t="inlineStr">
        <is>
          <t>7620/101</t>
        </is>
      </c>
      <c r="E435" s="3" t="inlineStr">
        <is>
          <t>HF CIP Bond Registration Fee</t>
        </is>
      </c>
      <c r="F435" s="3" t="n">
        <v>0</v>
      </c>
      <c r="G435" s="3" t="n">
        <v>68427</v>
      </c>
    </row>
    <row r="436">
      <c r="A436" s="3" t="inlineStr">
        <is>
          <t>Heron Fields (Pty) Ltd</t>
        </is>
      </c>
      <c r="B436" s="4" t="n">
        <v>44561</v>
      </c>
      <c r="C436" s="3" t="inlineStr">
        <is>
          <t>Assets</t>
        </is>
      </c>
      <c r="D436" s="3" t="inlineStr">
        <is>
          <t>7620/102</t>
        </is>
      </c>
      <c r="E436" s="3" t="inlineStr">
        <is>
          <t>HF CIP Transfer Fee</t>
        </is>
      </c>
      <c r="F436" s="3" t="n">
        <v>0</v>
      </c>
      <c r="G436" s="3" t="n">
        <v>103812</v>
      </c>
    </row>
    <row r="437">
      <c r="A437" s="3" t="inlineStr">
        <is>
          <t>Heron Fields (Pty) Ltd</t>
        </is>
      </c>
      <c r="B437" s="4" t="n">
        <v>44561</v>
      </c>
      <c r="C437" s="3" t="inlineStr">
        <is>
          <t>Assets</t>
        </is>
      </c>
      <c r="D437" s="3" t="inlineStr">
        <is>
          <t>7620/220</t>
        </is>
      </c>
      <c r="E437" s="3" t="inlineStr">
        <is>
          <t>HF CIP Architectural Designs</t>
        </is>
      </c>
      <c r="F437" s="3" t="n">
        <v>5000</v>
      </c>
      <c r="G437" s="3" t="n">
        <v>142000</v>
      </c>
    </row>
    <row r="438">
      <c r="A438" s="3" t="inlineStr">
        <is>
          <t>Heron Fields (Pty) Ltd</t>
        </is>
      </c>
      <c r="B438" s="4" t="n">
        <v>44561</v>
      </c>
      <c r="C438" s="3" t="inlineStr">
        <is>
          <t>Assets</t>
        </is>
      </c>
      <c r="D438" s="3" t="inlineStr">
        <is>
          <t>7620/240</t>
        </is>
      </c>
      <c r="E438" s="3" t="inlineStr">
        <is>
          <t>HF CIP Civil Engineering</t>
        </is>
      </c>
      <c r="F438" s="3" t="n">
        <v>2565181.5</v>
      </c>
      <c r="G438" s="3" t="n">
        <v>5052916.5</v>
      </c>
    </row>
    <row r="439">
      <c r="A439" s="3" t="inlineStr">
        <is>
          <t>Heron Fields (Pty) Ltd</t>
        </is>
      </c>
      <c r="B439" s="4" t="n">
        <v>44561</v>
      </c>
      <c r="C439" s="3" t="inlineStr">
        <is>
          <t>Assets</t>
        </is>
      </c>
      <c r="D439" s="3" t="inlineStr">
        <is>
          <t>7620/245</t>
        </is>
      </c>
      <c r="E439" s="3" t="inlineStr">
        <is>
          <t>HF CIP Development fee</t>
        </is>
      </c>
      <c r="F439" s="3" t="n">
        <v>0</v>
      </c>
      <c r="G439" s="3" t="n">
        <v>13807.78</v>
      </c>
    </row>
    <row r="440">
      <c r="A440" s="3" t="inlineStr">
        <is>
          <t>Heron Fields (Pty) Ltd</t>
        </is>
      </c>
      <c r="B440" s="4" t="n">
        <v>44561</v>
      </c>
      <c r="C440" s="3" t="inlineStr">
        <is>
          <t>Assets</t>
        </is>
      </c>
      <c r="D440" s="3" t="inlineStr">
        <is>
          <t>7620/250</t>
        </is>
      </c>
      <c r="E440" s="3" t="inlineStr">
        <is>
          <t>HF CIP Land Surveyor</t>
        </is>
      </c>
      <c r="F440" s="3" t="n">
        <v>0</v>
      </c>
      <c r="G440" s="3" t="n">
        <v>4510</v>
      </c>
    </row>
    <row r="441">
      <c r="A441" s="3" t="inlineStr">
        <is>
          <t>Heron Fields (Pty) Ltd</t>
        </is>
      </c>
      <c r="B441" s="4" t="n">
        <v>44561</v>
      </c>
      <c r="C441" s="3" t="inlineStr">
        <is>
          <t>Assets</t>
        </is>
      </c>
      <c r="D441" s="3" t="inlineStr">
        <is>
          <t>7620/255</t>
        </is>
      </c>
      <c r="E441" s="3" t="inlineStr">
        <is>
          <t>HF CIP Landscaping</t>
        </is>
      </c>
      <c r="F441" s="3" t="n">
        <v>0</v>
      </c>
      <c r="G441" s="3" t="n">
        <v>7500</v>
      </c>
    </row>
    <row r="442">
      <c r="A442" s="3" t="inlineStr">
        <is>
          <t>Heron Fields (Pty) Ltd</t>
        </is>
      </c>
      <c r="B442" s="4" t="n">
        <v>44561</v>
      </c>
      <c r="C442" s="3" t="inlineStr">
        <is>
          <t>Assets</t>
        </is>
      </c>
      <c r="D442" s="3" t="inlineStr">
        <is>
          <t>7620/260</t>
        </is>
      </c>
      <c r="E442" s="3" t="inlineStr">
        <is>
          <t>HF CIP Mechanical Engineers</t>
        </is>
      </c>
      <c r="F442" s="3" t="n">
        <v>0</v>
      </c>
      <c r="G442" s="3" t="n">
        <v>67400</v>
      </c>
    </row>
    <row r="443">
      <c r="A443" s="3" t="inlineStr">
        <is>
          <t>Heron Fields (Pty) Ltd</t>
        </is>
      </c>
      <c r="B443" s="4" t="n">
        <v>44561</v>
      </c>
      <c r="C443" s="3" t="inlineStr">
        <is>
          <t>Assets</t>
        </is>
      </c>
      <c r="D443" s="3" t="inlineStr">
        <is>
          <t>7620/270</t>
        </is>
      </c>
      <c r="E443" s="3" t="inlineStr">
        <is>
          <t>HF CIP Geotechnical</t>
        </is>
      </c>
      <c r="F443" s="3" t="n">
        <v>0</v>
      </c>
      <c r="G443" s="3" t="n">
        <v>15175</v>
      </c>
    </row>
    <row r="444">
      <c r="A444" s="3" t="inlineStr">
        <is>
          <t>Heron Fields (Pty) Ltd</t>
        </is>
      </c>
      <c r="B444" s="4" t="n">
        <v>44561</v>
      </c>
      <c r="C444" s="3" t="inlineStr">
        <is>
          <t>Assets</t>
        </is>
      </c>
      <c r="D444" s="3" t="inlineStr">
        <is>
          <t>7620/280</t>
        </is>
      </c>
      <c r="E444" s="3" t="inlineStr">
        <is>
          <t>HF CIP Site Establishment</t>
        </is>
      </c>
      <c r="F444" s="3" t="n">
        <v>0</v>
      </c>
      <c r="G444" s="3" t="n">
        <v>23034.26</v>
      </c>
    </row>
    <row r="445">
      <c r="A445" s="3" t="inlineStr">
        <is>
          <t>Heron Fields (Pty) Ltd</t>
        </is>
      </c>
      <c r="B445" s="4" t="n">
        <v>44561</v>
      </c>
      <c r="C445" s="3" t="inlineStr">
        <is>
          <t>Assets</t>
        </is>
      </c>
      <c r="D445" s="3" t="inlineStr">
        <is>
          <t>7620/285</t>
        </is>
      </c>
      <c r="E445" s="3" t="inlineStr">
        <is>
          <t>HF CIP Structuring Fee - Invest</t>
        </is>
      </c>
      <c r="F445" s="3" t="n">
        <v>257612.85</v>
      </c>
      <c r="G445" s="3" t="n">
        <v>1812717.84</v>
      </c>
    </row>
    <row r="446">
      <c r="A446" s="3" t="inlineStr">
        <is>
          <t>Heron Fields (Pty) Ltd</t>
        </is>
      </c>
      <c r="B446" s="4" t="n">
        <v>44561</v>
      </c>
      <c r="C446" s="3" t="inlineStr">
        <is>
          <t>Assets</t>
        </is>
      </c>
      <c r="D446" s="3" t="inlineStr">
        <is>
          <t>7620/287</t>
        </is>
      </c>
      <c r="E446" s="3" t="inlineStr">
        <is>
          <t>HF CIP Structuring Fee - Development</t>
        </is>
      </c>
      <c r="F446" s="3" t="n">
        <v>0</v>
      </c>
      <c r="G446" s="3" t="n">
        <v>782608.0699999999</v>
      </c>
    </row>
    <row r="447">
      <c r="A447" s="3" t="inlineStr">
        <is>
          <t>Heron Fields (Pty) Ltd</t>
        </is>
      </c>
      <c r="B447" s="4" t="n">
        <v>44561</v>
      </c>
      <c r="C447" s="3" t="inlineStr">
        <is>
          <t>Assets</t>
        </is>
      </c>
      <c r="D447" s="3" t="inlineStr">
        <is>
          <t>7620/290</t>
        </is>
      </c>
      <c r="E447" s="3" t="inlineStr">
        <is>
          <t>HF CIP Town Planning</t>
        </is>
      </c>
      <c r="F447" s="3" t="n">
        <v>0</v>
      </c>
      <c r="G447" s="3" t="n">
        <v>129550</v>
      </c>
    </row>
    <row r="448">
      <c r="A448" s="3" t="inlineStr">
        <is>
          <t>Heron Fields (Pty) Ltd</t>
        </is>
      </c>
      <c r="B448" s="4" t="n">
        <v>44561</v>
      </c>
      <c r="C448" s="3" t="inlineStr">
        <is>
          <t>Assets</t>
        </is>
      </c>
      <c r="D448" s="3" t="inlineStr">
        <is>
          <t>7620/295</t>
        </is>
      </c>
      <c r="E448" s="3" t="inlineStr">
        <is>
          <t>HF CIP Traffic Planning</t>
        </is>
      </c>
      <c r="F448" s="3" t="n">
        <v>0</v>
      </c>
      <c r="G448" s="3" t="n">
        <v>45000</v>
      </c>
    </row>
    <row r="449">
      <c r="A449" s="3" t="inlineStr">
        <is>
          <t>Heron Fields (Pty) Ltd</t>
        </is>
      </c>
      <c r="B449" s="4" t="n">
        <v>44561</v>
      </c>
      <c r="C449" s="3" t="inlineStr">
        <is>
          <t>Assets</t>
        </is>
      </c>
      <c r="D449" s="3" t="inlineStr">
        <is>
          <t>7620/600</t>
        </is>
      </c>
      <c r="E449" s="3" t="inlineStr">
        <is>
          <t>HF CIP Eco work</t>
        </is>
      </c>
      <c r="F449" s="3" t="n">
        <v>6000</v>
      </c>
      <c r="G449" s="3" t="n">
        <v>42000</v>
      </c>
    </row>
    <row r="450">
      <c r="A450" s="3" t="inlineStr">
        <is>
          <t>Heron Fields (Pty) Ltd</t>
        </is>
      </c>
      <c r="B450" s="4" t="n">
        <v>44561</v>
      </c>
      <c r="C450" s="3" t="inlineStr">
        <is>
          <t>Assets</t>
        </is>
      </c>
      <c r="D450" s="3" t="inlineStr">
        <is>
          <t>7620/630</t>
        </is>
      </c>
      <c r="E450" s="3" t="inlineStr">
        <is>
          <t>HF CIP CoCT development contribution</t>
        </is>
      </c>
      <c r="F450" s="3" t="n">
        <v>55341.39</v>
      </c>
      <c r="G450" s="3" t="n">
        <v>578812.27</v>
      </c>
    </row>
    <row r="451">
      <c r="A451" s="3" t="inlineStr">
        <is>
          <t>Heron Fields (Pty) Ltd</t>
        </is>
      </c>
      <c r="B451" s="4" t="n">
        <v>44561</v>
      </c>
      <c r="C451" s="3" t="inlineStr">
        <is>
          <t>Assets</t>
        </is>
      </c>
      <c r="D451" s="3" t="inlineStr">
        <is>
          <t>7620/640</t>
        </is>
      </c>
      <c r="E451" s="3" t="inlineStr">
        <is>
          <t>HF CIP Project costs</t>
        </is>
      </c>
      <c r="F451" s="3" t="n">
        <v>320067.66</v>
      </c>
      <c r="G451" s="3" t="n">
        <v>320067.66</v>
      </c>
    </row>
    <row r="452">
      <c r="A452" s="3" t="inlineStr">
        <is>
          <t>Cape Projects Construction (Pty) Ltd</t>
        </is>
      </c>
      <c r="B452" s="4" t="n">
        <v>44561</v>
      </c>
      <c r="C452" s="3" t="inlineStr">
        <is>
          <t>Assets</t>
        </is>
      </c>
      <c r="D452" s="3" t="inlineStr">
        <is>
          <t>7800/000</t>
        </is>
      </c>
      <c r="E452" s="3" t="inlineStr">
        <is>
          <t>Deposits paid</t>
        </is>
      </c>
      <c r="F452" s="3" t="n">
        <v>0</v>
      </c>
      <c r="G452" s="3" t="n">
        <v>6875.45</v>
      </c>
    </row>
    <row r="453">
      <c r="A453" s="3" t="inlineStr">
        <is>
          <t>Cape Projects Construction (Pty) Ltd</t>
        </is>
      </c>
      <c r="B453" s="4" t="n">
        <v>44561</v>
      </c>
      <c r="C453" s="3" t="inlineStr">
        <is>
          <t>Assets</t>
        </is>
      </c>
      <c r="D453" s="3" t="inlineStr">
        <is>
          <t>8000/000</t>
        </is>
      </c>
      <c r="E453" s="3" t="inlineStr">
        <is>
          <t>Customer Control Account</t>
        </is>
      </c>
      <c r="F453" s="3" t="n">
        <v>-1631119.5</v>
      </c>
      <c r="G453" s="3" t="n">
        <v>1523361.67</v>
      </c>
    </row>
    <row r="454">
      <c r="A454" s="3" t="inlineStr">
        <is>
          <t>Cape Projects Construction (Pty) Ltd</t>
        </is>
      </c>
      <c r="B454" s="4" t="n">
        <v>44561</v>
      </c>
      <c r="C454" s="3" t="inlineStr">
        <is>
          <t>Assets</t>
        </is>
      </c>
      <c r="D454" s="3" t="inlineStr">
        <is>
          <t>8200/010</t>
        </is>
      </c>
      <c r="E454" s="3" t="inlineStr">
        <is>
          <t>Prepayments / Prepaid Expenses</t>
        </is>
      </c>
      <c r="F454" s="3" t="n">
        <v>-2867.09</v>
      </c>
      <c r="G454" s="3" t="n">
        <v>20069.66</v>
      </c>
    </row>
    <row r="455">
      <c r="A455" s="3" t="inlineStr">
        <is>
          <t>Heron Fields (Pty) Ltd</t>
        </is>
      </c>
      <c r="B455" s="4" t="n">
        <v>44561</v>
      </c>
      <c r="C455" s="3" t="inlineStr">
        <is>
          <t>Assets</t>
        </is>
      </c>
      <c r="D455" s="3" t="inlineStr">
        <is>
          <t>8200/200</t>
        </is>
      </c>
      <c r="E455" s="3" t="inlineStr">
        <is>
          <t>Sundry Debtor - Quinate</t>
        </is>
      </c>
      <c r="F455" s="3" t="n">
        <v>0</v>
      </c>
      <c r="G455" s="3" t="n">
        <v>300000</v>
      </c>
    </row>
    <row r="456">
      <c r="A456" s="3" t="inlineStr">
        <is>
          <t>Cape Projects Construction (Pty) Ltd</t>
        </is>
      </c>
      <c r="B456" s="4" t="n">
        <v>44561</v>
      </c>
      <c r="C456" s="3" t="inlineStr">
        <is>
          <t>Assets</t>
        </is>
      </c>
      <c r="D456" s="3" t="inlineStr">
        <is>
          <t>8300/000</t>
        </is>
      </c>
      <c r="E456" s="3" t="inlineStr">
        <is>
          <t>FNB Credit Card 8812 7100 446 6006</t>
        </is>
      </c>
      <c r="F456" s="3" t="n">
        <v>-129</v>
      </c>
      <c r="G456" s="3" t="n">
        <v>0</v>
      </c>
    </row>
    <row r="457">
      <c r="A457" s="3" t="inlineStr">
        <is>
          <t>Heron Fields (Pty) Ltd</t>
        </is>
      </c>
      <c r="B457" s="4" t="n">
        <v>44561</v>
      </c>
      <c r="C457" s="3" t="inlineStr">
        <is>
          <t>Assets</t>
        </is>
      </c>
      <c r="D457" s="3" t="inlineStr">
        <is>
          <t>8400/000</t>
        </is>
      </c>
      <c r="E457" s="3" t="inlineStr">
        <is>
          <t>RMB - 62882379087</t>
        </is>
      </c>
      <c r="F457" s="3" t="n">
        <v>41819.65</v>
      </c>
      <c r="G457" s="3" t="n">
        <v>46086.2</v>
      </c>
    </row>
    <row r="458">
      <c r="A458" s="3" t="inlineStr">
        <is>
          <t>Cape Projects Construction (Pty) Ltd</t>
        </is>
      </c>
      <c r="B458" s="4" t="n">
        <v>44561</v>
      </c>
      <c r="C458" s="3" t="inlineStr">
        <is>
          <t>Assets</t>
        </is>
      </c>
      <c r="D458" s="3" t="inlineStr">
        <is>
          <t>8400/000</t>
        </is>
      </c>
      <c r="E458" s="3" t="inlineStr">
        <is>
          <t>RMB 62275138470</t>
        </is>
      </c>
      <c r="F458" s="3" t="n">
        <v>11634.4</v>
      </c>
      <c r="G458" s="3" t="n">
        <v>39603.9</v>
      </c>
    </row>
    <row r="459">
      <c r="A459" s="3" t="inlineStr">
        <is>
          <t>Cape Projects Construction (Pty) Ltd</t>
        </is>
      </c>
      <c r="B459" s="4" t="n">
        <v>44561</v>
      </c>
      <c r="C459" s="3" t="inlineStr">
        <is>
          <t>Assets</t>
        </is>
      </c>
      <c r="D459" s="3" t="inlineStr">
        <is>
          <t>8410/000</t>
        </is>
      </c>
      <c r="E459" s="3" t="inlineStr">
        <is>
          <t>Petty Cash</t>
        </is>
      </c>
      <c r="F459" s="3" t="n">
        <v>-665</v>
      </c>
      <c r="G459" s="3" t="n">
        <v>46.7</v>
      </c>
    </row>
    <row r="460">
      <c r="A460" s="3" t="inlineStr">
        <is>
          <t>Cape Projects Construction (Pty) Ltd</t>
        </is>
      </c>
      <c r="B460" s="4" t="n">
        <v>44561</v>
      </c>
      <c r="C460" s="3" t="inlineStr">
        <is>
          <t>Assets</t>
        </is>
      </c>
      <c r="D460" s="3" t="inlineStr">
        <is>
          <t>8420/000</t>
        </is>
      </c>
      <c r="E460" s="3" t="inlineStr">
        <is>
          <t>Momentum Priv Acc RU502230981</t>
        </is>
      </c>
      <c r="F460" s="3" t="n">
        <v>5.86</v>
      </c>
      <c r="G460" s="3" t="n">
        <v>505.86</v>
      </c>
    </row>
    <row r="461">
      <c r="A461" s="3" t="inlineStr">
        <is>
          <t>Heron Fields (Pty) Ltd</t>
        </is>
      </c>
      <c r="B461" s="4" t="n">
        <v>44561</v>
      </c>
      <c r="C461" s="3" t="inlineStr">
        <is>
          <t>Assets</t>
        </is>
      </c>
      <c r="D461" s="3" t="inlineStr">
        <is>
          <t>8430/000</t>
        </is>
      </c>
      <c r="E461" s="3" t="inlineStr">
        <is>
          <t>Momentum Private Account RU502230151</t>
        </is>
      </c>
      <c r="F461" s="3" t="n">
        <v>-227.23</v>
      </c>
      <c r="G461" s="3" t="n">
        <v>779.85</v>
      </c>
    </row>
    <row r="462">
      <c r="A462" s="3" t="inlineStr">
        <is>
          <t>Heron Fields (Pty) Ltd</t>
        </is>
      </c>
      <c r="B462" s="4" t="n">
        <v>44561</v>
      </c>
      <c r="C462" s="3" t="inlineStr">
        <is>
          <t>Assets</t>
        </is>
      </c>
      <c r="D462" s="3" t="inlineStr">
        <is>
          <t>8440/000</t>
        </is>
      </c>
      <c r="E462" s="3" t="inlineStr">
        <is>
          <t>Momentum Investors Account RU502229930</t>
        </is>
      </c>
      <c r="F462" s="3" t="n">
        <v>-3670177.96</v>
      </c>
      <c r="G462" s="3" t="n">
        <v>9180335.109999999</v>
      </c>
    </row>
    <row r="463">
      <c r="A463" s="3" t="inlineStr">
        <is>
          <t>Cape Projects Construction (Pty) Ltd</t>
        </is>
      </c>
      <c r="B463" s="4" t="n">
        <v>44561</v>
      </c>
      <c r="C463" s="3" t="inlineStr">
        <is>
          <t>Liabilities</t>
        </is>
      </c>
      <c r="D463" s="3" t="inlineStr">
        <is>
          <t>860</t>
        </is>
      </c>
      <c r="E463" s="3" t="inlineStr">
        <is>
          <t>Rounding</t>
        </is>
      </c>
      <c r="F463" s="3" t="n">
        <v>0.01</v>
      </c>
      <c r="G463" s="3" t="n">
        <v>-0.02</v>
      </c>
    </row>
    <row r="464">
      <c r="A464" s="3" t="inlineStr">
        <is>
          <t>Heron Fields (Pty) Ltd</t>
        </is>
      </c>
      <c r="B464" s="4" t="n">
        <v>44561</v>
      </c>
      <c r="C464" s="3" t="inlineStr">
        <is>
          <t>Liabilities</t>
        </is>
      </c>
      <c r="D464" s="3" t="inlineStr">
        <is>
          <t>860</t>
        </is>
      </c>
      <c r="E464" s="3" t="inlineStr">
        <is>
          <t>Rounding</t>
        </is>
      </c>
      <c r="F464" s="3" t="n">
        <v>0.01</v>
      </c>
      <c r="G464" s="3" t="n">
        <v>0.01</v>
      </c>
    </row>
    <row r="465">
      <c r="A465" s="3" t="inlineStr">
        <is>
          <t>Cape Projects Construction (Pty) Ltd</t>
        </is>
      </c>
      <c r="B465" s="4" t="n">
        <v>44561</v>
      </c>
      <c r="C465" s="3" t="inlineStr">
        <is>
          <t>Liabilities</t>
        </is>
      </c>
      <c r="D465" s="3" t="inlineStr">
        <is>
          <t>9000/000</t>
        </is>
      </c>
      <c r="E465" s="3" t="inlineStr">
        <is>
          <t>Supplier Control Account</t>
        </is>
      </c>
      <c r="F465" s="3" t="n">
        <v>1443494.23</v>
      </c>
      <c r="G465" s="3" t="n">
        <v>-1373786.79</v>
      </c>
    </row>
    <row r="466">
      <c r="A466" s="3" t="inlineStr">
        <is>
          <t>Heron Fields (Pty) Ltd</t>
        </is>
      </c>
      <c r="B466" s="4" t="n">
        <v>44561</v>
      </c>
      <c r="C466" s="3" t="inlineStr">
        <is>
          <t>Liabilities</t>
        </is>
      </c>
      <c r="D466" s="3" t="inlineStr">
        <is>
          <t>9000/000</t>
        </is>
      </c>
      <c r="E466" s="3" t="inlineStr">
        <is>
          <t>Supplier Control Account</t>
        </is>
      </c>
      <c r="F466" s="3" t="n">
        <v>-379322.93</v>
      </c>
      <c r="G466" s="3" t="n">
        <v>-46555943.33</v>
      </c>
    </row>
    <row r="467">
      <c r="A467" s="3" t="inlineStr">
        <is>
          <t>Cape Projects Construction (Pty) Ltd</t>
        </is>
      </c>
      <c r="B467" s="4" t="n">
        <v>44561</v>
      </c>
      <c r="C467" s="3" t="inlineStr">
        <is>
          <t>Liabilities</t>
        </is>
      </c>
      <c r="D467" s="3" t="inlineStr">
        <is>
          <t>9250/010</t>
        </is>
      </c>
      <c r="E467" s="3" t="inlineStr">
        <is>
          <t>SALARY CONTROL</t>
        </is>
      </c>
      <c r="F467" s="3" t="n">
        <v>0</v>
      </c>
      <c r="G467" s="3" t="n">
        <v>3000</v>
      </c>
    </row>
    <row r="468">
      <c r="A468" s="3" t="inlineStr">
        <is>
          <t>Cape Projects Construction (Pty) Ltd</t>
        </is>
      </c>
      <c r="B468" s="4" t="n">
        <v>44561</v>
      </c>
      <c r="C468" s="3" t="inlineStr">
        <is>
          <t>Liabilities</t>
        </is>
      </c>
      <c r="D468" s="3" t="inlineStr">
        <is>
          <t>9250/020</t>
        </is>
      </c>
      <c r="E468" s="3" t="inlineStr">
        <is>
          <t>PAYE, UIF AND SDL CONTROL</t>
        </is>
      </c>
      <c r="F468" s="3" t="n">
        <v>1933.03</v>
      </c>
      <c r="G468" s="3" t="n">
        <v>-31628.33</v>
      </c>
    </row>
    <row r="469">
      <c r="A469" s="3" t="inlineStr">
        <is>
          <t>Cape Projects Construction (Pty) Ltd</t>
        </is>
      </c>
      <c r="B469" s="4" t="n">
        <v>44561</v>
      </c>
      <c r="C469" s="3" t="inlineStr">
        <is>
          <t>Liabilities</t>
        </is>
      </c>
      <c r="D469" s="3" t="inlineStr">
        <is>
          <t>9500/000</t>
        </is>
      </c>
      <c r="E469" s="3" t="inlineStr">
        <is>
          <t>VAT Control Account</t>
        </is>
      </c>
      <c r="F469" s="3" t="n">
        <v>-151318.8</v>
      </c>
      <c r="G469" s="3" t="n">
        <v>-691896.02</v>
      </c>
    </row>
    <row r="470">
      <c r="A470" s="3" t="inlineStr">
        <is>
          <t>Heron Fields (Pty) Ltd</t>
        </is>
      </c>
      <c r="B470" s="4" t="n">
        <v>44561</v>
      </c>
      <c r="C470" s="3" t="inlineStr">
        <is>
          <t>Liabilities</t>
        </is>
      </c>
      <c r="D470" s="3" t="inlineStr">
        <is>
          <t>9500/000</t>
        </is>
      </c>
      <c r="E470" s="3" t="inlineStr">
        <is>
          <t>Vat / Tax Control Account</t>
        </is>
      </c>
      <c r="F470" s="3" t="n">
        <v>498445.43</v>
      </c>
      <c r="G470" s="3" t="n">
        <v>979374.9399999999</v>
      </c>
    </row>
    <row r="471">
      <c r="A471" s="3" t="inlineStr">
        <is>
          <t>Cape Projects Construction (Pty) Ltd</t>
        </is>
      </c>
      <c r="B471" s="4" t="n">
        <v>44561</v>
      </c>
      <c r="C471" s="3" t="inlineStr">
        <is>
          <t>Liabilities</t>
        </is>
      </c>
      <c r="D471" s="3" t="inlineStr">
        <is>
          <t>B/S</t>
        </is>
      </c>
      <c r="E471" s="3" t="inlineStr">
        <is>
          <t>Taxation Payable</t>
        </is>
      </c>
      <c r="F471" s="3" t="n">
        <v>0</v>
      </c>
      <c r="G471" s="3" t="n">
        <v>7748.15</v>
      </c>
    </row>
    <row r="472">
      <c r="A472" s="3" t="inlineStr">
        <is>
          <t>Cape Projects Construction (Pty) Ltd</t>
        </is>
      </c>
      <c r="B472" s="4" t="n">
        <v>44561</v>
      </c>
      <c r="C472" s="3" t="inlineStr">
        <is>
          <t>Liabilities</t>
        </is>
      </c>
      <c r="D472" s="3" t="inlineStr">
        <is>
          <t>TEMP/ACC</t>
        </is>
      </c>
      <c r="E472" s="3" t="inlineStr">
        <is>
          <t>Conversion Account</t>
        </is>
      </c>
      <c r="F472" s="3" t="n">
        <v>0</v>
      </c>
      <c r="G472" s="3" t="n">
        <v>-254.99</v>
      </c>
    </row>
    <row r="473">
      <c r="A473" s="3" t="inlineStr">
        <is>
          <t>Cape Projects Construction (Pty) Ltd</t>
        </is>
      </c>
      <c r="B473" s="4" t="n">
        <v>44592</v>
      </c>
      <c r="C473" s="3" t="inlineStr">
        <is>
          <t>Revenue</t>
        </is>
      </c>
      <c r="D473" s="3" t="inlineStr">
        <is>
          <t>1040/100</t>
        </is>
      </c>
      <c r="E473" s="3" t="inlineStr">
        <is>
          <t>Fees - Construction - Heron</t>
        </is>
      </c>
      <c r="F473" s="3" t="n">
        <v>-73913.03999999999</v>
      </c>
      <c r="G473" s="3" t="n">
        <v>-73913.03999999999</v>
      </c>
    </row>
    <row r="474">
      <c r="A474" s="3" t="inlineStr">
        <is>
          <t>Cape Projects Construction (Pty) Ltd</t>
        </is>
      </c>
      <c r="B474" s="4" t="n">
        <v>44592</v>
      </c>
      <c r="C474" s="3" t="inlineStr">
        <is>
          <t>Revenue</t>
        </is>
      </c>
      <c r="D474" s="3" t="inlineStr">
        <is>
          <t>1050/030</t>
        </is>
      </c>
      <c r="E474" s="3" t="inlineStr">
        <is>
          <t>Fees - Construction - Endulini</t>
        </is>
      </c>
      <c r="F474" s="3" t="n">
        <v>-613551.63</v>
      </c>
      <c r="G474" s="3" t="n">
        <v>-14899838.07</v>
      </c>
    </row>
    <row r="475">
      <c r="A475" s="3" t="inlineStr">
        <is>
          <t>Cape Projects Construction (Pty) Ltd</t>
        </is>
      </c>
      <c r="B475" s="4" t="n">
        <v>44592</v>
      </c>
      <c r="C475" s="3" t="inlineStr">
        <is>
          <t>Revenue</t>
        </is>
      </c>
      <c r="D475" s="3" t="inlineStr">
        <is>
          <t>1050/032</t>
        </is>
      </c>
      <c r="E475" s="3" t="inlineStr">
        <is>
          <t>Fees - Construction - Endulini P and G</t>
        </is>
      </c>
      <c r="F475" s="3" t="n">
        <v>-672512.24</v>
      </c>
      <c r="G475" s="3" t="n">
        <v>-2482543.74</v>
      </c>
    </row>
    <row r="476">
      <c r="A476" s="3" t="inlineStr">
        <is>
          <t>Cape Projects Construction (Pty) Ltd</t>
        </is>
      </c>
      <c r="B476" s="4" t="n">
        <v>44592</v>
      </c>
      <c r="C476" s="3" t="inlineStr">
        <is>
          <t>Revenue</t>
        </is>
      </c>
      <c r="D476" s="3" t="inlineStr">
        <is>
          <t>1060/000</t>
        </is>
      </c>
      <c r="E476" s="3" t="inlineStr">
        <is>
          <t>Insurance recovery</t>
        </is>
      </c>
      <c r="F476" s="3" t="n">
        <v>0</v>
      </c>
      <c r="G476" s="3" t="n">
        <v>387.08</v>
      </c>
    </row>
    <row r="477">
      <c r="A477" s="3" t="inlineStr">
        <is>
          <t>Cape Projects Construction (Pty) Ltd</t>
        </is>
      </c>
      <c r="B477" s="4" t="n">
        <v>44592</v>
      </c>
      <c r="C477" s="3" t="inlineStr">
        <is>
          <t>Revenue</t>
        </is>
      </c>
      <c r="D477" s="3" t="inlineStr">
        <is>
          <t>1070/000</t>
        </is>
      </c>
      <c r="E477" s="3" t="inlineStr">
        <is>
          <t>Rent - CT Office</t>
        </is>
      </c>
      <c r="F477" s="3" t="n">
        <v>-3490.94</v>
      </c>
      <c r="G477" s="3" t="n">
        <v>-6981.88</v>
      </c>
    </row>
    <row r="478">
      <c r="A478" s="3" t="inlineStr">
        <is>
          <t>Heron Fields (Pty) Ltd</t>
        </is>
      </c>
      <c r="B478" s="4" t="n">
        <v>44592</v>
      </c>
      <c r="C478" s="3" t="inlineStr">
        <is>
          <t>Revenue</t>
        </is>
      </c>
      <c r="D478" s="3" t="inlineStr">
        <is>
          <t>1500/001</t>
        </is>
      </c>
      <c r="E478" s="3" t="inlineStr">
        <is>
          <t>Revaluation of Land</t>
        </is>
      </c>
      <c r="F478" s="3" t="n">
        <v>0</v>
      </c>
      <c r="G478" s="3" t="n">
        <v>-19713043.68</v>
      </c>
    </row>
    <row r="479">
      <c r="A479" s="3" t="inlineStr">
        <is>
          <t>Heron Fields (Pty) Ltd</t>
        </is>
      </c>
      <c r="B479" s="4" t="n">
        <v>44592</v>
      </c>
      <c r="C479" s="3" t="inlineStr">
        <is>
          <t>Expenses</t>
        </is>
      </c>
      <c r="D479" s="3" t="inlineStr">
        <is>
          <t>2000/020</t>
        </is>
      </c>
      <c r="E479" s="3" t="inlineStr">
        <is>
          <t>COS - Heron sales office</t>
        </is>
      </c>
      <c r="F479" s="3" t="n">
        <v>0</v>
      </c>
      <c r="G479" s="3" t="n">
        <v>9814</v>
      </c>
    </row>
    <row r="480">
      <c r="A480" s="3" t="inlineStr">
        <is>
          <t>Cape Projects Construction (Pty) Ltd</t>
        </is>
      </c>
      <c r="B480" s="4" t="n">
        <v>44592</v>
      </c>
      <c r="C480" s="3" t="inlineStr">
        <is>
          <t>Expenses</t>
        </is>
      </c>
      <c r="D480" s="3" t="inlineStr">
        <is>
          <t>2001/043</t>
        </is>
      </c>
      <c r="E480" s="3" t="inlineStr">
        <is>
          <t>COS - Site Establishment - Consumables</t>
        </is>
      </c>
      <c r="F480" s="3" t="n">
        <v>0</v>
      </c>
      <c r="G480" s="3" t="n">
        <v>1207.35</v>
      </c>
    </row>
    <row r="481">
      <c r="A481" s="3" t="inlineStr">
        <is>
          <t>Cape Projects Construction (Pty) Ltd</t>
        </is>
      </c>
      <c r="B481" s="4" t="n">
        <v>44592</v>
      </c>
      <c r="C481" s="3" t="inlineStr">
        <is>
          <t>Expenses</t>
        </is>
      </c>
      <c r="D481" s="3" t="inlineStr">
        <is>
          <t>2001/048</t>
        </is>
      </c>
      <c r="E481" s="3" t="inlineStr">
        <is>
          <t>COS - Site Establishment Water Pump</t>
        </is>
      </c>
      <c r="F481" s="3" t="n">
        <v>0</v>
      </c>
      <c r="G481" s="3" t="n">
        <v>4850</v>
      </c>
    </row>
    <row r="482">
      <c r="A482" s="3" t="inlineStr">
        <is>
          <t>Cape Projects Construction (Pty) Ltd</t>
        </is>
      </c>
      <c r="B482" s="4" t="n">
        <v>44592</v>
      </c>
      <c r="C482" s="3" t="inlineStr">
        <is>
          <t>Expenses</t>
        </is>
      </c>
      <c r="D482" s="3" t="inlineStr">
        <is>
          <t>2001/109</t>
        </is>
      </c>
      <c r="E482" s="3" t="inlineStr">
        <is>
          <t>COS - Site Labour Labourers</t>
        </is>
      </c>
      <c r="F482" s="3" t="n">
        <v>0</v>
      </c>
      <c r="G482" s="3" t="n">
        <v>3900</v>
      </c>
    </row>
    <row r="483">
      <c r="A483" s="3" t="inlineStr">
        <is>
          <t>Cape Projects Construction (Pty) Ltd</t>
        </is>
      </c>
      <c r="B483" s="4" t="n">
        <v>44592</v>
      </c>
      <c r="C483" s="3" t="inlineStr">
        <is>
          <t>Expenses</t>
        </is>
      </c>
      <c r="D483" s="3" t="inlineStr">
        <is>
          <t>2006/000</t>
        </is>
      </c>
      <c r="E483" s="3" t="inlineStr">
        <is>
          <t>COS - Endulini Construction</t>
        </is>
      </c>
      <c r="F483" s="3" t="n">
        <v>893690.02</v>
      </c>
      <c r="G483" s="3" t="n">
        <v>13268849.29</v>
      </c>
    </row>
    <row r="484">
      <c r="A484" s="3" t="inlineStr">
        <is>
          <t>Cape Projects Construction (Pty) Ltd</t>
        </is>
      </c>
      <c r="B484" s="4" t="n">
        <v>44592</v>
      </c>
      <c r="C484" s="3" t="inlineStr">
        <is>
          <t>Expenses</t>
        </is>
      </c>
      <c r="D484" s="3" t="inlineStr">
        <is>
          <t>2006/100</t>
        </is>
      </c>
      <c r="E484" s="3" t="inlineStr">
        <is>
          <t>COS - Endulini P and G</t>
        </is>
      </c>
      <c r="F484" s="3" t="n">
        <v>111056.9</v>
      </c>
      <c r="G484" s="3" t="n">
        <v>349578.6</v>
      </c>
    </row>
    <row r="485">
      <c r="A485" s="3" t="inlineStr">
        <is>
          <t>Cape Projects Construction (Pty) Ltd</t>
        </is>
      </c>
      <c r="B485" s="4" t="n">
        <v>44592</v>
      </c>
      <c r="C485" s="3" t="inlineStr">
        <is>
          <t>Expenses</t>
        </is>
      </c>
      <c r="D485" s="3" t="inlineStr">
        <is>
          <t>2006/200</t>
        </is>
      </c>
      <c r="E485" s="3" t="inlineStr">
        <is>
          <t>COS - Insurance</t>
        </is>
      </c>
      <c r="F485" s="3" t="n">
        <v>2867.09</v>
      </c>
      <c r="G485" s="3" t="n">
        <v>17202.55</v>
      </c>
    </row>
    <row r="486">
      <c r="A486" s="3" t="inlineStr">
        <is>
          <t>Cape Projects Construction (Pty) Ltd</t>
        </is>
      </c>
      <c r="B486" s="4" t="n">
        <v>44592</v>
      </c>
      <c r="C486" s="3" t="inlineStr">
        <is>
          <t>Expenses</t>
        </is>
      </c>
      <c r="D486" s="3" t="inlineStr">
        <is>
          <t>2006/300</t>
        </is>
      </c>
      <c r="E486" s="3" t="inlineStr">
        <is>
          <t>COS - Endulini - Printing &amp; Stationary</t>
        </is>
      </c>
      <c r="F486" s="3" t="n">
        <v>208.35</v>
      </c>
      <c r="G486" s="3" t="n">
        <v>828.4400000000001</v>
      </c>
    </row>
    <row r="487">
      <c r="A487" s="3" t="inlineStr">
        <is>
          <t>Cape Projects Construction (Pty) Ltd</t>
        </is>
      </c>
      <c r="B487" s="4" t="n">
        <v>44592</v>
      </c>
      <c r="C487" s="3" t="inlineStr">
        <is>
          <t>Expenses</t>
        </is>
      </c>
      <c r="D487" s="3" t="inlineStr">
        <is>
          <t>2006/350</t>
        </is>
      </c>
      <c r="E487" s="3" t="inlineStr">
        <is>
          <t>COS - Endulini - Security</t>
        </is>
      </c>
      <c r="F487" s="3" t="n">
        <v>11000</v>
      </c>
      <c r="G487" s="3" t="n">
        <v>49500</v>
      </c>
    </row>
    <row r="488">
      <c r="A488" s="3" t="inlineStr">
        <is>
          <t>Cape Projects Construction (Pty) Ltd</t>
        </is>
      </c>
      <c r="B488" s="4" t="n">
        <v>44592</v>
      </c>
      <c r="C488" s="3" t="inlineStr">
        <is>
          <t>Expenses</t>
        </is>
      </c>
      <c r="D488" s="3" t="inlineStr">
        <is>
          <t>2006/400</t>
        </is>
      </c>
      <c r="E488" s="3" t="inlineStr">
        <is>
          <t>COS - Endulini - Health &amp; Safety</t>
        </is>
      </c>
      <c r="F488" s="3" t="n">
        <v>9235</v>
      </c>
      <c r="G488" s="3" t="n">
        <v>35173.36</v>
      </c>
    </row>
    <row r="489">
      <c r="A489" s="3" t="inlineStr">
        <is>
          <t>Cape Projects Construction (Pty) Ltd</t>
        </is>
      </c>
      <c r="B489" s="4" t="n">
        <v>44592</v>
      </c>
      <c r="C489" s="3" t="inlineStr">
        <is>
          <t>Expenses</t>
        </is>
      </c>
      <c r="D489" s="3" t="inlineStr">
        <is>
          <t>2006/500</t>
        </is>
      </c>
      <c r="E489" s="3" t="inlineStr">
        <is>
          <t>COS - Endulini - Small Assets</t>
        </is>
      </c>
      <c r="F489" s="3" t="n">
        <v>0</v>
      </c>
      <c r="G489" s="3" t="n">
        <v>13844.89</v>
      </c>
    </row>
    <row r="490">
      <c r="A490" s="3" t="inlineStr">
        <is>
          <t>Cape Projects Construction (Pty) Ltd</t>
        </is>
      </c>
      <c r="B490" s="4" t="n">
        <v>44592</v>
      </c>
      <c r="C490" s="3" t="inlineStr">
        <is>
          <t>Expenses</t>
        </is>
      </c>
      <c r="D490" s="3" t="inlineStr">
        <is>
          <t>2006/550</t>
        </is>
      </c>
      <c r="E490" s="3" t="inlineStr">
        <is>
          <t>COS - Endulini - Cleaning</t>
        </is>
      </c>
      <c r="F490" s="3" t="n">
        <v>0</v>
      </c>
      <c r="G490" s="3" t="n">
        <v>15000</v>
      </c>
    </row>
    <row r="491">
      <c r="A491" s="3" t="inlineStr">
        <is>
          <t>Cape Projects Construction (Pty) Ltd</t>
        </is>
      </c>
      <c r="B491" s="4" t="n">
        <v>44592</v>
      </c>
      <c r="C491" s="3" t="inlineStr">
        <is>
          <t>Expenses</t>
        </is>
      </c>
      <c r="D491" s="3" t="inlineStr">
        <is>
          <t>2006/600</t>
        </is>
      </c>
      <c r="E491" s="3" t="inlineStr">
        <is>
          <t>COS - Endulini - Consumables</t>
        </is>
      </c>
      <c r="F491" s="3" t="n">
        <v>0</v>
      </c>
      <c r="G491" s="3" t="n">
        <v>691.29</v>
      </c>
    </row>
    <row r="492">
      <c r="A492" s="3" t="inlineStr">
        <is>
          <t>Cape Projects Construction (Pty) Ltd</t>
        </is>
      </c>
      <c r="B492" s="4" t="n">
        <v>44592</v>
      </c>
      <c r="C492" s="3" t="inlineStr">
        <is>
          <t>Expenses</t>
        </is>
      </c>
      <c r="D492" s="3" t="inlineStr">
        <is>
          <t>2006/700</t>
        </is>
      </c>
      <c r="E492" s="3" t="inlineStr">
        <is>
          <t>COS - Endulini - Fuel</t>
        </is>
      </c>
      <c r="F492" s="3" t="n">
        <v>2724.51</v>
      </c>
      <c r="G492" s="3" t="n">
        <v>20917.72</v>
      </c>
    </row>
    <row r="493">
      <c r="A493" s="3" t="inlineStr">
        <is>
          <t>Cape Projects Construction (Pty) Ltd</t>
        </is>
      </c>
      <c r="B493" s="4" t="n">
        <v>44592</v>
      </c>
      <c r="C493" s="3" t="inlineStr">
        <is>
          <t>Expenses</t>
        </is>
      </c>
      <c r="D493" s="3" t="inlineStr">
        <is>
          <t>2006/800</t>
        </is>
      </c>
      <c r="E493" s="3" t="inlineStr">
        <is>
          <t>COS - Endulini - Telephone &amp; Internet</t>
        </is>
      </c>
      <c r="F493" s="3" t="n">
        <v>1973.85</v>
      </c>
      <c r="G493" s="3" t="n">
        <v>6337.21</v>
      </c>
    </row>
    <row r="494">
      <c r="A494" s="3" t="inlineStr">
        <is>
          <t>Cape Projects Construction (Pty) Ltd</t>
        </is>
      </c>
      <c r="B494" s="4" t="n">
        <v>44592</v>
      </c>
      <c r="C494" s="3" t="inlineStr">
        <is>
          <t>Expenses</t>
        </is>
      </c>
      <c r="D494" s="3" t="inlineStr">
        <is>
          <t>2006/900</t>
        </is>
      </c>
      <c r="E494" s="3" t="inlineStr">
        <is>
          <t>COS - Endulini - Site Labour</t>
        </is>
      </c>
      <c r="F494" s="3" t="n">
        <v>2250</v>
      </c>
      <c r="G494" s="3" t="n">
        <v>24820</v>
      </c>
    </row>
    <row r="495">
      <c r="A495" s="3" t="inlineStr">
        <is>
          <t>Cape Projects Construction (Pty) Ltd</t>
        </is>
      </c>
      <c r="B495" s="4" t="n">
        <v>44592</v>
      </c>
      <c r="C495" s="3" t="inlineStr">
        <is>
          <t>Expenses</t>
        </is>
      </c>
      <c r="D495" s="3" t="inlineStr">
        <is>
          <t>2007/000</t>
        </is>
      </c>
      <c r="E495" s="3" t="inlineStr">
        <is>
          <t>COS - Repairs &amp; Maintenance - SW Southwark</t>
        </is>
      </c>
      <c r="F495" s="3" t="n">
        <v>0</v>
      </c>
      <c r="G495" s="3" t="n">
        <v>24889.96</v>
      </c>
    </row>
    <row r="496">
      <c r="A496" s="3" t="inlineStr">
        <is>
          <t>Cape Projects Construction (Pty) Ltd</t>
        </is>
      </c>
      <c r="B496" s="4" t="n">
        <v>44592</v>
      </c>
      <c r="C496" s="3" t="inlineStr">
        <is>
          <t>Expenses</t>
        </is>
      </c>
      <c r="D496" s="3" t="inlineStr">
        <is>
          <t>2009/000</t>
        </is>
      </c>
      <c r="E496" s="3" t="inlineStr">
        <is>
          <t>COS - Repairs &amp; Maintenance - Endulini Sales Office</t>
        </is>
      </c>
      <c r="F496" s="3" t="n">
        <v>0</v>
      </c>
      <c r="G496" s="3" t="n">
        <v>2783.31</v>
      </c>
    </row>
    <row r="497">
      <c r="A497" s="3" t="inlineStr">
        <is>
          <t>Cape Projects Construction (Pty) Ltd</t>
        </is>
      </c>
      <c r="B497" s="4" t="n">
        <v>44592</v>
      </c>
      <c r="C497" s="3" t="inlineStr">
        <is>
          <t>Expenses</t>
        </is>
      </c>
      <c r="D497" s="3" t="inlineStr">
        <is>
          <t>2010/000</t>
        </is>
      </c>
      <c r="E497" s="3" t="inlineStr">
        <is>
          <t>COS - Repairs &amp; Maintenance - Heron Sales Office</t>
        </is>
      </c>
      <c r="F497" s="3" t="n">
        <v>0</v>
      </c>
      <c r="G497" s="3" t="n">
        <v>15997.39</v>
      </c>
    </row>
    <row r="498">
      <c r="A498" s="3" t="inlineStr">
        <is>
          <t>Cape Projects Construction (Pty) Ltd</t>
        </is>
      </c>
      <c r="B498" s="4" t="n">
        <v>44592</v>
      </c>
      <c r="C498" s="3" t="inlineStr">
        <is>
          <t>Expenses</t>
        </is>
      </c>
      <c r="D498" s="3" t="inlineStr">
        <is>
          <t>2011/100</t>
        </is>
      </c>
      <c r="E498" s="3" t="inlineStr">
        <is>
          <t>COS - Heron Fields - Garden Services</t>
        </is>
      </c>
      <c r="F498" s="3" t="n">
        <v>0</v>
      </c>
      <c r="G498" s="3" t="n">
        <v>450</v>
      </c>
    </row>
    <row r="499">
      <c r="A499" s="3" t="inlineStr">
        <is>
          <t>Cape Projects Construction (Pty) Ltd</t>
        </is>
      </c>
      <c r="B499" s="4" t="n">
        <v>44592</v>
      </c>
      <c r="C499" s="3" t="inlineStr">
        <is>
          <t>Expenses</t>
        </is>
      </c>
      <c r="D499" s="3" t="inlineStr">
        <is>
          <t>2011/200</t>
        </is>
      </c>
      <c r="E499" s="3" t="inlineStr">
        <is>
          <t>COS - Heron Fields - Labourers</t>
        </is>
      </c>
      <c r="F499" s="3" t="n">
        <v>2500</v>
      </c>
      <c r="G499" s="3" t="n">
        <v>3950</v>
      </c>
    </row>
    <row r="500">
      <c r="A500" s="3" t="inlineStr">
        <is>
          <t>Cape Projects Construction (Pty) Ltd</t>
        </is>
      </c>
      <c r="B500" s="4" t="n">
        <v>44592</v>
      </c>
      <c r="C500" s="3" t="inlineStr">
        <is>
          <t>Expenses</t>
        </is>
      </c>
      <c r="D500" s="3" t="inlineStr">
        <is>
          <t>2011/300</t>
        </is>
      </c>
      <c r="E500" s="3" t="inlineStr">
        <is>
          <t>COS - Heron Fields - Printing &amp; Stationary</t>
        </is>
      </c>
      <c r="F500" s="3" t="n">
        <v>869.5700000000001</v>
      </c>
      <c r="G500" s="3" t="n">
        <v>900</v>
      </c>
    </row>
    <row r="501">
      <c r="A501" s="3" t="inlineStr">
        <is>
          <t>Cape Projects Construction (Pty) Ltd</t>
        </is>
      </c>
      <c r="B501" s="4" t="n">
        <v>44592</v>
      </c>
      <c r="C501" s="3" t="inlineStr">
        <is>
          <t>Expenses</t>
        </is>
      </c>
      <c r="D501" s="3" t="inlineStr">
        <is>
          <t>2011/400</t>
        </is>
      </c>
      <c r="E501" s="3" t="inlineStr">
        <is>
          <t>COS - Heron - Sales office Staff refreshments</t>
        </is>
      </c>
      <c r="F501" s="3" t="n">
        <v>259.96</v>
      </c>
      <c r="G501" s="3" t="n">
        <v>2233.79</v>
      </c>
    </row>
    <row r="502">
      <c r="A502" s="3" t="inlineStr">
        <is>
          <t>Cape Projects Construction (Pty) Ltd</t>
        </is>
      </c>
      <c r="B502" s="4" t="n">
        <v>44592</v>
      </c>
      <c r="C502" s="3" t="inlineStr">
        <is>
          <t>Expenses</t>
        </is>
      </c>
      <c r="D502" s="3" t="inlineStr">
        <is>
          <t>2011/500</t>
        </is>
      </c>
      <c r="E502" s="3" t="inlineStr">
        <is>
          <t>COS - Heron Fields - Construction</t>
        </is>
      </c>
      <c r="F502" s="3" t="n">
        <v>29451.51</v>
      </c>
      <c r="G502" s="3" t="n">
        <v>29451.51</v>
      </c>
    </row>
    <row r="503">
      <c r="A503" s="3" t="inlineStr">
        <is>
          <t>Cape Projects Construction (Pty) Ltd</t>
        </is>
      </c>
      <c r="B503" s="4" t="n">
        <v>44592</v>
      </c>
      <c r="C503" s="3" t="inlineStr">
        <is>
          <t>Expenses</t>
        </is>
      </c>
      <c r="D503" s="3" t="inlineStr">
        <is>
          <t>2011/600</t>
        </is>
      </c>
      <c r="E503" s="3" t="inlineStr">
        <is>
          <t>COS - Heron Fields - P &amp; G</t>
        </is>
      </c>
      <c r="F503" s="3" t="n">
        <v>24818.27</v>
      </c>
      <c r="G503" s="3" t="n">
        <v>24818.27</v>
      </c>
    </row>
    <row r="504">
      <c r="A504" s="3" t="inlineStr">
        <is>
          <t>Cape Projects Construction (Pty) Ltd</t>
        </is>
      </c>
      <c r="B504" s="4" t="n">
        <v>44592</v>
      </c>
      <c r="C504" s="3" t="inlineStr">
        <is>
          <t>Expenses</t>
        </is>
      </c>
      <c r="D504" s="3" t="inlineStr">
        <is>
          <t>2011/700</t>
        </is>
      </c>
      <c r="E504" s="3" t="inlineStr">
        <is>
          <t>COS - Heron Fields - Health &amp; Safety</t>
        </is>
      </c>
      <c r="F504" s="3" t="n">
        <v>3185.16</v>
      </c>
      <c r="G504" s="3" t="n">
        <v>3185.16</v>
      </c>
    </row>
    <row r="505">
      <c r="A505" s="3" t="inlineStr">
        <is>
          <t>Cape Projects Construction (Pty) Ltd</t>
        </is>
      </c>
      <c r="B505" s="4" t="n">
        <v>44592</v>
      </c>
      <c r="C505" s="3" t="inlineStr">
        <is>
          <t>Revenue</t>
        </is>
      </c>
      <c r="D505" s="3" t="inlineStr">
        <is>
          <t>2700/000</t>
        </is>
      </c>
      <c r="E505" s="3" t="inlineStr">
        <is>
          <t>Discount Received for Cash</t>
        </is>
      </c>
      <c r="F505" s="3" t="n">
        <v>0</v>
      </c>
      <c r="G505" s="3" t="n">
        <v>4.36</v>
      </c>
    </row>
    <row r="506">
      <c r="A506" s="3" t="inlineStr">
        <is>
          <t>Cape Projects Construction (Pty) Ltd</t>
        </is>
      </c>
      <c r="B506" s="4" t="n">
        <v>44592</v>
      </c>
      <c r="C506" s="3" t="inlineStr">
        <is>
          <t>Expenses</t>
        </is>
      </c>
      <c r="D506" s="3" t="inlineStr">
        <is>
          <t>2700/100</t>
        </is>
      </c>
      <c r="E506" s="3" t="inlineStr">
        <is>
          <t>COS - Southwark - Printing</t>
        </is>
      </c>
      <c r="F506" s="3" t="n">
        <v>0</v>
      </c>
      <c r="G506" s="3" t="n">
        <v>83.48</v>
      </c>
    </row>
    <row r="507">
      <c r="A507" s="3" t="inlineStr">
        <is>
          <t>Cape Projects Construction (Pty) Ltd</t>
        </is>
      </c>
      <c r="B507" s="4" t="n">
        <v>44592</v>
      </c>
      <c r="C507" s="3" t="inlineStr">
        <is>
          <t>Revenue</t>
        </is>
      </c>
      <c r="D507" s="3" t="inlineStr">
        <is>
          <t>2751/001</t>
        </is>
      </c>
      <c r="E507" s="3" t="inlineStr">
        <is>
          <t>Interest received - Momentum</t>
        </is>
      </c>
      <c r="F507" s="3" t="n">
        <v>-1.98</v>
      </c>
      <c r="G507" s="3" t="n">
        <v>-7.84</v>
      </c>
    </row>
    <row r="508">
      <c r="A508" s="3" t="inlineStr">
        <is>
          <t>Heron Fields (Pty) Ltd</t>
        </is>
      </c>
      <c r="B508" s="4" t="n">
        <v>44592</v>
      </c>
      <c r="C508" s="3" t="inlineStr">
        <is>
          <t>Revenue</t>
        </is>
      </c>
      <c r="D508" s="3" t="inlineStr">
        <is>
          <t>2753/001</t>
        </is>
      </c>
      <c r="E508" s="3" t="inlineStr">
        <is>
          <t>Interest Received - Deposit Grey Heron</t>
        </is>
      </c>
      <c r="F508" s="3" t="n">
        <v>0</v>
      </c>
      <c r="G508" s="3" t="n">
        <v>-1245</v>
      </c>
    </row>
    <row r="509">
      <c r="A509" s="3" t="inlineStr">
        <is>
          <t>Heron Fields (Pty) Ltd</t>
        </is>
      </c>
      <c r="B509" s="4" t="n">
        <v>44592</v>
      </c>
      <c r="C509" s="3" t="inlineStr">
        <is>
          <t>Revenue</t>
        </is>
      </c>
      <c r="D509" s="3" t="inlineStr">
        <is>
          <t>2754/001</t>
        </is>
      </c>
      <c r="E509" s="3" t="inlineStr">
        <is>
          <t>Interest Received - STBB Trust Account</t>
        </is>
      </c>
      <c r="F509" s="3" t="n">
        <v>0</v>
      </c>
      <c r="G509" s="3" t="n">
        <v>-149149.4</v>
      </c>
    </row>
    <row r="510">
      <c r="A510" s="3" t="inlineStr">
        <is>
          <t>Heron Fields (Pty) Ltd</t>
        </is>
      </c>
      <c r="B510" s="4" t="n">
        <v>44592</v>
      </c>
      <c r="C510" s="3" t="inlineStr">
        <is>
          <t>Revenue</t>
        </is>
      </c>
      <c r="D510" s="3" t="inlineStr">
        <is>
          <t>2755/001</t>
        </is>
      </c>
      <c r="E510" s="3" t="inlineStr">
        <is>
          <t>Interest Received - Momentum</t>
        </is>
      </c>
      <c r="F510" s="3" t="n">
        <v>-25737.44</v>
      </c>
      <c r="G510" s="3" t="n">
        <v>-141062.83</v>
      </c>
    </row>
    <row r="511">
      <c r="A511" s="3" t="inlineStr">
        <is>
          <t>Heron Fields (Pty) Ltd</t>
        </is>
      </c>
      <c r="B511" s="4" t="n">
        <v>44592</v>
      </c>
      <c r="C511" s="3" t="inlineStr">
        <is>
          <t>Expenses</t>
        </is>
      </c>
      <c r="D511" s="3" t="inlineStr">
        <is>
          <t>3000/100</t>
        </is>
      </c>
      <c r="E511" s="3" t="inlineStr">
        <is>
          <t>Accounting - CIPC</t>
        </is>
      </c>
      <c r="F511" s="3" t="n">
        <v>0</v>
      </c>
      <c r="G511" s="3" t="n">
        <v>100</v>
      </c>
    </row>
    <row r="512">
      <c r="A512" s="3" t="inlineStr">
        <is>
          <t>Cape Projects Construction (Pty) Ltd</t>
        </is>
      </c>
      <c r="B512" s="4" t="n">
        <v>44592</v>
      </c>
      <c r="C512" s="3" t="inlineStr">
        <is>
          <t>Expenses</t>
        </is>
      </c>
      <c r="D512" s="3" t="inlineStr">
        <is>
          <t>3001/000</t>
        </is>
      </c>
      <c r="E512" s="3" t="inlineStr">
        <is>
          <t>Accounting Fees - Other</t>
        </is>
      </c>
      <c r="F512" s="3" t="n">
        <v>0</v>
      </c>
      <c r="G512" s="3" t="n">
        <v>2215</v>
      </c>
    </row>
    <row r="513">
      <c r="A513" s="3" t="inlineStr">
        <is>
          <t>Cape Projects Construction (Pty) Ltd</t>
        </is>
      </c>
      <c r="B513" s="4" t="n">
        <v>44592</v>
      </c>
      <c r="C513" s="3" t="inlineStr">
        <is>
          <t>Expenses</t>
        </is>
      </c>
      <c r="D513" s="3" t="inlineStr">
        <is>
          <t>3002/000</t>
        </is>
      </c>
      <c r="E513" s="3" t="inlineStr">
        <is>
          <t>Accounting Fees - Audit</t>
        </is>
      </c>
      <c r="F513" s="3" t="n">
        <v>0</v>
      </c>
      <c r="G513" s="3" t="n">
        <v>4125</v>
      </c>
    </row>
    <row r="514">
      <c r="A514" s="3" t="inlineStr">
        <is>
          <t>Cape Projects Construction (Pty) Ltd</t>
        </is>
      </c>
      <c r="B514" s="4" t="n">
        <v>44592</v>
      </c>
      <c r="C514" s="3" t="inlineStr">
        <is>
          <t>Expenses</t>
        </is>
      </c>
      <c r="D514" s="3" t="inlineStr">
        <is>
          <t>3002/010</t>
        </is>
      </c>
      <c r="E514" s="3" t="inlineStr">
        <is>
          <t>Accounting Fee - PayrollWorx</t>
        </is>
      </c>
      <c r="F514" s="3" t="n">
        <v>0</v>
      </c>
      <c r="G514" s="3" t="n">
        <v>5575</v>
      </c>
    </row>
    <row r="515">
      <c r="A515" s="3" t="inlineStr">
        <is>
          <t>Cape Projects Construction (Pty) Ltd</t>
        </is>
      </c>
      <c r="B515" s="4" t="n">
        <v>44592</v>
      </c>
      <c r="C515" s="3" t="inlineStr">
        <is>
          <t>Expenses</t>
        </is>
      </c>
      <c r="D515" s="3" t="inlineStr">
        <is>
          <t>3004</t>
        </is>
      </c>
      <c r="E515" s="3" t="inlineStr">
        <is>
          <t>Accounting - Warwick</t>
        </is>
      </c>
      <c r="F515" s="3" t="n">
        <v>0</v>
      </c>
      <c r="G515" s="3" t="n">
        <v>107300</v>
      </c>
    </row>
    <row r="516">
      <c r="A516" s="3" t="inlineStr">
        <is>
          <t>Cape Projects Construction (Pty) Ltd</t>
        </is>
      </c>
      <c r="B516" s="4" t="n">
        <v>44592</v>
      </c>
      <c r="C516" s="3" t="inlineStr">
        <is>
          <t>Expenses</t>
        </is>
      </c>
      <c r="D516" s="3" t="inlineStr">
        <is>
          <t>3004/000</t>
        </is>
      </c>
      <c r="E516" s="3" t="inlineStr">
        <is>
          <t>Accounting Fees - Tax Dept.</t>
        </is>
      </c>
      <c r="F516" s="3" t="n">
        <v>0</v>
      </c>
      <c r="G516" s="3" t="n">
        <v>1847.5</v>
      </c>
    </row>
    <row r="517">
      <c r="A517" s="3" t="inlineStr">
        <is>
          <t>Cape Projects Construction (Pty) Ltd</t>
        </is>
      </c>
      <c r="B517" s="4" t="n">
        <v>44592</v>
      </c>
      <c r="C517" s="3" t="inlineStr">
        <is>
          <t>Expenses</t>
        </is>
      </c>
      <c r="D517" s="3" t="inlineStr">
        <is>
          <t>3005/000</t>
        </is>
      </c>
      <c r="E517" s="3" t="inlineStr">
        <is>
          <t>Accounting - Janine Theart</t>
        </is>
      </c>
      <c r="F517" s="3" t="n">
        <v>0</v>
      </c>
      <c r="G517" s="3" t="n">
        <v>51000</v>
      </c>
    </row>
    <row r="518">
      <c r="A518" s="3" t="inlineStr">
        <is>
          <t>Cape Projects Construction (Pty) Ltd</t>
        </is>
      </c>
      <c r="B518" s="4" t="n">
        <v>44592</v>
      </c>
      <c r="C518" s="3" t="inlineStr">
        <is>
          <t>Expenses</t>
        </is>
      </c>
      <c r="D518" s="3" t="inlineStr">
        <is>
          <t>3006</t>
        </is>
      </c>
      <c r="E518" s="3" t="inlineStr">
        <is>
          <t>Accounting - Deric Dudley</t>
        </is>
      </c>
      <c r="F518" s="3" t="n">
        <v>0</v>
      </c>
      <c r="G518" s="3" t="n">
        <v>190600</v>
      </c>
    </row>
    <row r="519">
      <c r="A519" s="3" t="inlineStr">
        <is>
          <t>Cape Projects Construction (Pty) Ltd</t>
        </is>
      </c>
      <c r="B519" s="4" t="n">
        <v>44592</v>
      </c>
      <c r="C519" s="3" t="inlineStr">
        <is>
          <t>Expenses</t>
        </is>
      </c>
      <c r="D519" s="3" t="inlineStr">
        <is>
          <t>3020/100</t>
        </is>
      </c>
      <c r="E519" s="3" t="inlineStr">
        <is>
          <t>Admin - Subcontractors</t>
        </is>
      </c>
      <c r="F519" s="3" t="n">
        <v>1650</v>
      </c>
      <c r="G519" s="3" t="n">
        <v>5152.5</v>
      </c>
    </row>
    <row r="520">
      <c r="A520" s="3" t="inlineStr">
        <is>
          <t>Cape Projects Construction (Pty) Ltd</t>
        </is>
      </c>
      <c r="B520" s="4" t="n">
        <v>44592</v>
      </c>
      <c r="C520" s="3" t="inlineStr">
        <is>
          <t>Expenses</t>
        </is>
      </c>
      <c r="D520" s="3" t="inlineStr">
        <is>
          <t>3050/000</t>
        </is>
      </c>
      <c r="E520" s="3" t="inlineStr">
        <is>
          <t>Advertising _AND_ Promotions</t>
        </is>
      </c>
      <c r="F520" s="3" t="n">
        <v>0</v>
      </c>
      <c r="G520" s="3" t="n">
        <v>13699</v>
      </c>
    </row>
    <row r="521">
      <c r="A521" s="3" t="inlineStr">
        <is>
          <t>Heron Fields (Pty) Ltd</t>
        </is>
      </c>
      <c r="B521" s="4" t="n">
        <v>44592</v>
      </c>
      <c r="C521" s="3" t="inlineStr">
        <is>
          <t>Expenses</t>
        </is>
      </c>
      <c r="D521" s="3" t="inlineStr">
        <is>
          <t>3050/000</t>
        </is>
      </c>
      <c r="E521" s="3" t="inlineStr">
        <is>
          <t>Advertising _AND_ Promotions</t>
        </is>
      </c>
      <c r="F521" s="3" t="n">
        <v>0</v>
      </c>
      <c r="G521" s="3" t="n">
        <v>63370.02</v>
      </c>
    </row>
    <row r="522">
      <c r="A522" s="3" t="inlineStr">
        <is>
          <t>Heron Fields (Pty) Ltd</t>
        </is>
      </c>
      <c r="B522" s="4" t="n">
        <v>44592</v>
      </c>
      <c r="C522" s="3" t="inlineStr">
        <is>
          <t>Expenses</t>
        </is>
      </c>
      <c r="D522" s="3" t="inlineStr">
        <is>
          <t>3050/100</t>
        </is>
      </c>
      <c r="E522" s="3" t="inlineStr">
        <is>
          <t>Advertising - Property24</t>
        </is>
      </c>
      <c r="F522" s="3" t="n">
        <v>10800</v>
      </c>
      <c r="G522" s="3" t="n">
        <v>54000</v>
      </c>
    </row>
    <row r="523">
      <c r="A523" s="3" t="inlineStr">
        <is>
          <t>Cape Projects Construction (Pty) Ltd</t>
        </is>
      </c>
      <c r="B523" s="4" t="n">
        <v>44592</v>
      </c>
      <c r="C523" s="3" t="inlineStr">
        <is>
          <t>Expenses</t>
        </is>
      </c>
      <c r="D523" s="3" t="inlineStr">
        <is>
          <t>3050/450</t>
        </is>
      </c>
      <c r="E523" s="3" t="inlineStr">
        <is>
          <t>Advertising - Other</t>
        </is>
      </c>
      <c r="F523" s="3" t="n">
        <v>0</v>
      </c>
      <c r="G523" s="3" t="n">
        <v>4597</v>
      </c>
    </row>
    <row r="524">
      <c r="A524" s="3" t="inlineStr">
        <is>
          <t>Cape Projects Construction (Pty) Ltd</t>
        </is>
      </c>
      <c r="B524" s="4" t="n">
        <v>44592</v>
      </c>
      <c r="C524" s="3" t="inlineStr">
        <is>
          <t>Expenses</t>
        </is>
      </c>
      <c r="D524" s="3" t="inlineStr">
        <is>
          <t>3200/000</t>
        </is>
      </c>
      <c r="E524" s="3" t="inlineStr">
        <is>
          <t>Bank Charges</t>
        </is>
      </c>
      <c r="F524" s="3" t="n">
        <v>1930.81</v>
      </c>
      <c r="G524" s="3" t="n">
        <v>11088.42</v>
      </c>
    </row>
    <row r="525">
      <c r="A525" s="3" t="inlineStr">
        <is>
          <t>Heron Fields (Pty) Ltd</t>
        </is>
      </c>
      <c r="B525" s="4" t="n">
        <v>44592</v>
      </c>
      <c r="C525" s="3" t="inlineStr">
        <is>
          <t>Expenses</t>
        </is>
      </c>
      <c r="D525" s="3" t="inlineStr">
        <is>
          <t>3200/000</t>
        </is>
      </c>
      <c r="E525" s="3" t="inlineStr">
        <is>
          <t>Bank Charges</t>
        </is>
      </c>
      <c r="F525" s="3" t="n">
        <v>540.89</v>
      </c>
      <c r="G525" s="3" t="n">
        <v>3788.38</v>
      </c>
    </row>
    <row r="526">
      <c r="A526" s="3" t="inlineStr">
        <is>
          <t>Cape Projects Construction (Pty) Ltd</t>
        </is>
      </c>
      <c r="B526" s="4" t="n">
        <v>44592</v>
      </c>
      <c r="C526" s="3" t="inlineStr">
        <is>
          <t>Expenses</t>
        </is>
      </c>
      <c r="D526" s="3" t="inlineStr">
        <is>
          <t>3250/000</t>
        </is>
      </c>
      <c r="E526" s="3" t="inlineStr">
        <is>
          <t>Cleaning</t>
        </is>
      </c>
      <c r="F526" s="3" t="n">
        <v>1014.27</v>
      </c>
      <c r="G526" s="3" t="n">
        <v>8682.17</v>
      </c>
    </row>
    <row r="527">
      <c r="A527" s="3" t="inlineStr">
        <is>
          <t>Cape Projects Construction (Pty) Ltd</t>
        </is>
      </c>
      <c r="B527" s="4" t="n">
        <v>44592</v>
      </c>
      <c r="C527" s="3" t="inlineStr">
        <is>
          <t>Expenses</t>
        </is>
      </c>
      <c r="D527" s="3" t="inlineStr">
        <is>
          <t>3256/000</t>
        </is>
      </c>
      <c r="E527" s="3" t="inlineStr">
        <is>
          <t>Cell Phone - Nick Morgan</t>
        </is>
      </c>
      <c r="F527" s="3" t="n">
        <v>640.09</v>
      </c>
      <c r="G527" s="3" t="n">
        <v>6248.04</v>
      </c>
    </row>
    <row r="528">
      <c r="A528" s="3" t="inlineStr">
        <is>
          <t>Cape Projects Construction (Pty) Ltd</t>
        </is>
      </c>
      <c r="B528" s="4" t="n">
        <v>44592</v>
      </c>
      <c r="C528" s="3" t="inlineStr">
        <is>
          <t>Expenses</t>
        </is>
      </c>
      <c r="D528" s="3" t="inlineStr">
        <is>
          <t>3300/000</t>
        </is>
      </c>
      <c r="E528" s="3" t="inlineStr">
        <is>
          <t>Computer Expenses</t>
        </is>
      </c>
      <c r="F528" s="3" t="n">
        <v>3236.76</v>
      </c>
      <c r="G528" s="3" t="n">
        <v>10604.45</v>
      </c>
    </row>
    <row r="529">
      <c r="A529" s="3" t="inlineStr">
        <is>
          <t>Heron Fields (Pty) Ltd</t>
        </is>
      </c>
      <c r="B529" s="4" t="n">
        <v>44592</v>
      </c>
      <c r="C529" s="3" t="inlineStr">
        <is>
          <t>Expenses</t>
        </is>
      </c>
      <c r="D529" s="3" t="inlineStr">
        <is>
          <t>3301/000</t>
        </is>
      </c>
      <c r="E529" s="3" t="inlineStr">
        <is>
          <t>Computer Expenses - Xero</t>
        </is>
      </c>
      <c r="F529" s="3" t="n">
        <v>0</v>
      </c>
      <c r="G529" s="3" t="n">
        <v>3000</v>
      </c>
    </row>
    <row r="530">
      <c r="A530" s="3" t="inlineStr">
        <is>
          <t>Cape Projects Construction (Pty) Ltd</t>
        </is>
      </c>
      <c r="B530" s="4" t="n">
        <v>44592</v>
      </c>
      <c r="C530" s="3" t="inlineStr">
        <is>
          <t>Expenses</t>
        </is>
      </c>
      <c r="D530" s="3" t="inlineStr">
        <is>
          <t>3350/000</t>
        </is>
      </c>
      <c r="E530" s="3" t="inlineStr">
        <is>
          <t>Consulting Fees</t>
        </is>
      </c>
      <c r="F530" s="3" t="n">
        <v>0</v>
      </c>
      <c r="G530" s="3" t="n">
        <v>2250</v>
      </c>
    </row>
    <row r="531">
      <c r="A531" s="3" t="inlineStr">
        <is>
          <t>Heron Fields (Pty) Ltd</t>
        </is>
      </c>
      <c r="B531" s="4" t="n">
        <v>44592</v>
      </c>
      <c r="C531" s="3" t="inlineStr">
        <is>
          <t>Expenses</t>
        </is>
      </c>
      <c r="D531" s="3" t="inlineStr">
        <is>
          <t>3350/100</t>
        </is>
      </c>
      <c r="E531" s="3" t="inlineStr">
        <is>
          <t>Consulting Fees - Admin and Finance</t>
        </is>
      </c>
      <c r="F531" s="3" t="n">
        <v>70984.92</v>
      </c>
      <c r="G531" s="3" t="n">
        <v>361898.75</v>
      </c>
    </row>
    <row r="532">
      <c r="A532" s="3" t="inlineStr">
        <is>
          <t>Cape Projects Construction (Pty) Ltd</t>
        </is>
      </c>
      <c r="B532" s="4" t="n">
        <v>44592</v>
      </c>
      <c r="C532" s="3" t="inlineStr">
        <is>
          <t>Expenses</t>
        </is>
      </c>
      <c r="D532" s="3" t="inlineStr">
        <is>
          <t>3350/100</t>
        </is>
      </c>
      <c r="E532" s="3" t="inlineStr">
        <is>
          <t>Consulting fees - Herbert du Plessis</t>
        </is>
      </c>
      <c r="F532" s="3" t="n">
        <v>36000</v>
      </c>
      <c r="G532" s="3" t="n">
        <v>356000</v>
      </c>
    </row>
    <row r="533">
      <c r="A533" s="3" t="inlineStr">
        <is>
          <t>Cape Projects Construction (Pty) Ltd</t>
        </is>
      </c>
      <c r="B533" s="4" t="n">
        <v>44592</v>
      </c>
      <c r="C533" s="3" t="inlineStr">
        <is>
          <t>Expenses</t>
        </is>
      </c>
      <c r="D533" s="3" t="inlineStr">
        <is>
          <t>3350/200</t>
        </is>
      </c>
      <c r="E533" s="3" t="inlineStr">
        <is>
          <t>Consulting fees - Quabeka</t>
        </is>
      </c>
      <c r="F533" s="3" t="n">
        <v>0</v>
      </c>
      <c r="G533" s="3" t="n">
        <v>42899.25</v>
      </c>
    </row>
    <row r="534">
      <c r="A534" s="3" t="inlineStr">
        <is>
          <t>Cape Projects Construction (Pty) Ltd</t>
        </is>
      </c>
      <c r="B534" s="4" t="n">
        <v>44592</v>
      </c>
      <c r="C534" s="3" t="inlineStr">
        <is>
          <t>Expenses</t>
        </is>
      </c>
      <c r="D534" s="3" t="inlineStr">
        <is>
          <t>3350/300</t>
        </is>
      </c>
      <c r="E534" s="3" t="inlineStr">
        <is>
          <t>Consulting Fees - Admin and Finance</t>
        </is>
      </c>
      <c r="F534" s="3" t="n">
        <v>95508.23</v>
      </c>
      <c r="G534" s="3" t="n">
        <v>437494.54</v>
      </c>
    </row>
    <row r="535">
      <c r="A535" s="3" t="inlineStr">
        <is>
          <t>Heron Fields (Pty) Ltd</t>
        </is>
      </c>
      <c r="B535" s="4" t="n">
        <v>44592</v>
      </c>
      <c r="C535" s="3" t="inlineStr">
        <is>
          <t>Expenses</t>
        </is>
      </c>
      <c r="D535" s="3" t="inlineStr">
        <is>
          <t>3351/000</t>
        </is>
      </c>
      <c r="E535" s="3" t="inlineStr">
        <is>
          <t>Consulting fees - Trustee</t>
        </is>
      </c>
      <c r="F535" s="3" t="n">
        <v>0</v>
      </c>
      <c r="G535" s="3" t="n">
        <v>30692.49</v>
      </c>
    </row>
    <row r="536">
      <c r="A536" s="3" t="inlineStr">
        <is>
          <t>Cape Projects Construction (Pty) Ltd</t>
        </is>
      </c>
      <c r="B536" s="4" t="n">
        <v>44592</v>
      </c>
      <c r="C536" s="3" t="inlineStr">
        <is>
          <t>Expenses</t>
        </is>
      </c>
      <c r="D536" s="3" t="inlineStr">
        <is>
          <t>3400/000</t>
        </is>
      </c>
      <c r="E536" s="3" t="inlineStr">
        <is>
          <t>Courier _AND_ Postage</t>
        </is>
      </c>
      <c r="F536" s="3" t="n">
        <v>0</v>
      </c>
      <c r="G536" s="3" t="n">
        <v>165.83</v>
      </c>
    </row>
    <row r="537">
      <c r="A537" s="3" t="inlineStr">
        <is>
          <t>Cape Projects Construction (Pty) Ltd</t>
        </is>
      </c>
      <c r="B537" s="4" t="n">
        <v>44592</v>
      </c>
      <c r="C537" s="3" t="inlineStr">
        <is>
          <t>Expenses</t>
        </is>
      </c>
      <c r="D537" s="3" t="inlineStr">
        <is>
          <t>3450/001</t>
        </is>
      </c>
      <c r="E537" s="3" t="inlineStr">
        <is>
          <t>Depreciation - Computer Equipment</t>
        </is>
      </c>
      <c r="F537" s="3" t="n">
        <v>1092.24</v>
      </c>
      <c r="G537" s="3" t="n">
        <v>4344.79</v>
      </c>
    </row>
    <row r="538">
      <c r="A538" s="3" t="inlineStr">
        <is>
          <t>Cape Projects Construction (Pty) Ltd</t>
        </is>
      </c>
      <c r="B538" s="4" t="n">
        <v>44592</v>
      </c>
      <c r="C538" s="3" t="inlineStr">
        <is>
          <t>Expenses</t>
        </is>
      </c>
      <c r="D538" s="3" t="inlineStr">
        <is>
          <t>3450/002</t>
        </is>
      </c>
      <c r="E538" s="3" t="inlineStr">
        <is>
          <t>Depreciation - Generator Fixed Asset</t>
        </is>
      </c>
      <c r="F538" s="3" t="n">
        <v>193.33</v>
      </c>
      <c r="G538" s="3" t="n">
        <v>773.33</v>
      </c>
    </row>
    <row r="539">
      <c r="A539" s="3" t="inlineStr">
        <is>
          <t>Heron Fields (Pty) Ltd</t>
        </is>
      </c>
      <c r="B539" s="4" t="n">
        <v>44592</v>
      </c>
      <c r="C539" s="3" t="inlineStr">
        <is>
          <t>Expenses</t>
        </is>
      </c>
      <c r="D539" s="3" t="inlineStr">
        <is>
          <t>3650/000</t>
        </is>
      </c>
      <c r="E539" s="3" t="inlineStr">
        <is>
          <t>CoCT - Electricity</t>
        </is>
      </c>
      <c r="F539" s="3" t="n">
        <v>2401.53</v>
      </c>
      <c r="G539" s="3" t="n">
        <v>18039.55</v>
      </c>
    </row>
    <row r="540">
      <c r="A540" s="3" t="inlineStr">
        <is>
          <t>Cape Projects Construction (Pty) Ltd</t>
        </is>
      </c>
      <c r="B540" s="4" t="n">
        <v>44592</v>
      </c>
      <c r="C540" s="3" t="inlineStr">
        <is>
          <t>Expenses</t>
        </is>
      </c>
      <c r="D540" s="3" t="inlineStr">
        <is>
          <t>3650/000</t>
        </is>
      </c>
      <c r="E540" s="3" t="inlineStr">
        <is>
          <t>Electricity _AND_ Water</t>
        </is>
      </c>
      <c r="F540" s="3" t="n">
        <v>6038.3</v>
      </c>
      <c r="G540" s="3" t="n">
        <v>32146.61</v>
      </c>
    </row>
    <row r="541">
      <c r="A541" s="3" t="inlineStr">
        <is>
          <t>Heron Fields (Pty) Ltd</t>
        </is>
      </c>
      <c r="B541" s="4" t="n">
        <v>44592</v>
      </c>
      <c r="C541" s="3" t="inlineStr">
        <is>
          <t>Expenses</t>
        </is>
      </c>
      <c r="D541" s="3" t="inlineStr">
        <is>
          <t>3660/000</t>
        </is>
      </c>
      <c r="E541" s="3" t="inlineStr">
        <is>
          <t>CoCT - Water</t>
        </is>
      </c>
      <c r="F541" s="3" t="n">
        <v>856.37</v>
      </c>
      <c r="G541" s="3" t="n">
        <v>3097.65</v>
      </c>
    </row>
    <row r="542">
      <c r="A542" s="3" t="inlineStr">
        <is>
          <t>Cape Projects Construction (Pty) Ltd</t>
        </is>
      </c>
      <c r="B542" s="4" t="n">
        <v>44592</v>
      </c>
      <c r="C542" s="3" t="inlineStr">
        <is>
          <t>Expenses</t>
        </is>
      </c>
      <c r="D542" s="3" t="inlineStr">
        <is>
          <t>3700/000</t>
        </is>
      </c>
      <c r="E542" s="3" t="inlineStr">
        <is>
          <t>Entertainment Expenses</t>
        </is>
      </c>
      <c r="F542" s="3" t="n">
        <v>923.33</v>
      </c>
      <c r="G542" s="3" t="n">
        <v>10183.68</v>
      </c>
    </row>
    <row r="543">
      <c r="A543" s="3" t="inlineStr">
        <is>
          <t>Heron Fields (Pty) Ltd</t>
        </is>
      </c>
      <c r="B543" s="4" t="n">
        <v>44592</v>
      </c>
      <c r="C543" s="3" t="inlineStr">
        <is>
          <t>Expenses</t>
        </is>
      </c>
      <c r="D543" s="3" t="inlineStr">
        <is>
          <t>3700/000</t>
        </is>
      </c>
      <c r="E543" s="3" t="inlineStr">
        <is>
          <t>Entertainment Expenses</t>
        </is>
      </c>
      <c r="F543" s="3" t="n">
        <v>0</v>
      </c>
      <c r="G543" s="3" t="n">
        <v>250</v>
      </c>
    </row>
    <row r="544">
      <c r="A544" s="3" t="inlineStr">
        <is>
          <t>Cape Projects Construction (Pty) Ltd</t>
        </is>
      </c>
      <c r="B544" s="4" t="n">
        <v>44592</v>
      </c>
      <c r="C544" s="3" t="inlineStr">
        <is>
          <t>Expenses</t>
        </is>
      </c>
      <c r="D544" s="3" t="inlineStr">
        <is>
          <t>3840/001</t>
        </is>
      </c>
      <c r="E544" s="3" t="inlineStr">
        <is>
          <t>Health _AND_ Safety - Labour Department</t>
        </is>
      </c>
      <c r="F544" s="3" t="n">
        <v>0</v>
      </c>
      <c r="G544" s="3" t="n">
        <v>4742.88</v>
      </c>
    </row>
    <row r="545">
      <c r="A545" s="3" t="inlineStr">
        <is>
          <t>Cape Projects Construction (Pty) Ltd</t>
        </is>
      </c>
      <c r="B545" s="4" t="n">
        <v>44592</v>
      </c>
      <c r="C545" s="3" t="inlineStr">
        <is>
          <t>Expenses</t>
        </is>
      </c>
      <c r="D545" s="3" t="inlineStr">
        <is>
          <t>3850/001</t>
        </is>
      </c>
      <c r="E545" s="3" t="inlineStr">
        <is>
          <t>Insurance - Santam</t>
        </is>
      </c>
      <c r="F545" s="3" t="n">
        <v>0</v>
      </c>
      <c r="G545" s="3" t="n">
        <v>11136.62</v>
      </c>
    </row>
    <row r="546">
      <c r="A546" s="3" t="inlineStr">
        <is>
          <t>Cape Projects Construction (Pty) Ltd</t>
        </is>
      </c>
      <c r="B546" s="4" t="n">
        <v>44592</v>
      </c>
      <c r="C546" s="3" t="inlineStr">
        <is>
          <t>Expenses</t>
        </is>
      </c>
      <c r="D546" s="3" t="inlineStr">
        <is>
          <t>3850/002</t>
        </is>
      </c>
      <c r="E546" s="3" t="inlineStr">
        <is>
          <t>Insurance - RBS</t>
        </is>
      </c>
      <c r="F546" s="3" t="n">
        <v>642.89</v>
      </c>
      <c r="G546" s="3" t="n">
        <v>2923.58</v>
      </c>
    </row>
    <row r="547">
      <c r="A547" s="3" t="inlineStr">
        <is>
          <t>Heron Fields (Pty) Ltd</t>
        </is>
      </c>
      <c r="B547" s="4" t="n">
        <v>44592</v>
      </c>
      <c r="C547" s="3" t="inlineStr">
        <is>
          <t>Expenses</t>
        </is>
      </c>
      <c r="D547" s="3" t="inlineStr">
        <is>
          <t>3900/000</t>
        </is>
      </c>
      <c r="E547" s="3" t="inlineStr">
        <is>
          <t>Interest Paid</t>
        </is>
      </c>
      <c r="F547" s="3" t="n">
        <v>35.37</v>
      </c>
      <c r="G547" s="3" t="n">
        <v>35.37</v>
      </c>
    </row>
    <row r="548">
      <c r="A548" s="3" t="inlineStr">
        <is>
          <t>Heron Fields (Pty) Ltd</t>
        </is>
      </c>
      <c r="B548" s="4" t="n">
        <v>44592</v>
      </c>
      <c r="C548" s="3" t="inlineStr">
        <is>
          <t>Expenses</t>
        </is>
      </c>
      <c r="D548" s="3" t="inlineStr">
        <is>
          <t>4100/001</t>
        </is>
      </c>
      <c r="E548" s="3" t="inlineStr">
        <is>
          <t>Momentum Admin Fee</t>
        </is>
      </c>
      <c r="F548" s="3" t="n">
        <v>2971.42</v>
      </c>
      <c r="G548" s="3" t="n">
        <v>86632.66</v>
      </c>
    </row>
    <row r="549">
      <c r="A549" s="3" t="inlineStr">
        <is>
          <t>Cape Projects Construction (Pty) Ltd</t>
        </is>
      </c>
      <c r="B549" s="4" t="n">
        <v>44592</v>
      </c>
      <c r="C549" s="3" t="inlineStr">
        <is>
          <t>Expenses</t>
        </is>
      </c>
      <c r="D549" s="3" t="inlineStr">
        <is>
          <t>4150/010</t>
        </is>
      </c>
      <c r="E549" s="3" t="inlineStr">
        <is>
          <t>Motor Vehicle - Petrol _AND_ Oil</t>
        </is>
      </c>
      <c r="F549" s="3" t="n">
        <v>0</v>
      </c>
      <c r="G549" s="3" t="n">
        <v>500</v>
      </c>
    </row>
    <row r="550">
      <c r="A550" s="3" t="inlineStr">
        <is>
          <t>Cape Projects Construction (Pty) Ltd</t>
        </is>
      </c>
      <c r="B550" s="4" t="n">
        <v>44592</v>
      </c>
      <c r="C550" s="3" t="inlineStr">
        <is>
          <t>Expenses</t>
        </is>
      </c>
      <c r="D550" s="3" t="inlineStr">
        <is>
          <t>4150/020</t>
        </is>
      </c>
      <c r="E550" s="3" t="inlineStr">
        <is>
          <t>Motor Vehicle - Repairs _AND_ Maint.</t>
        </is>
      </c>
      <c r="F550" s="3" t="n">
        <v>0</v>
      </c>
      <c r="G550" s="3" t="n">
        <v>1000</v>
      </c>
    </row>
    <row r="551">
      <c r="A551" s="3" t="inlineStr">
        <is>
          <t>Cape Projects Construction (Pty) Ltd</t>
        </is>
      </c>
      <c r="B551" s="4" t="n">
        <v>44592</v>
      </c>
      <c r="C551" s="3" t="inlineStr">
        <is>
          <t>Expenses</t>
        </is>
      </c>
      <c r="D551" s="3" t="inlineStr">
        <is>
          <t>4150/030</t>
        </is>
      </c>
      <c r="E551" s="3" t="inlineStr">
        <is>
          <t>Motor Vehicle - Insurance _AND_ Licence</t>
        </is>
      </c>
      <c r="F551" s="3" t="n">
        <v>0</v>
      </c>
      <c r="G551" s="3" t="n">
        <v>2277</v>
      </c>
    </row>
    <row r="552">
      <c r="A552" s="3" t="inlineStr">
        <is>
          <t>Cape Projects Construction (Pty) Ltd</t>
        </is>
      </c>
      <c r="B552" s="4" t="n">
        <v>44592</v>
      </c>
      <c r="C552" s="3" t="inlineStr">
        <is>
          <t>Expenses</t>
        </is>
      </c>
      <c r="D552" s="3" t="inlineStr">
        <is>
          <t>4200/000</t>
        </is>
      </c>
      <c r="E552" s="3" t="inlineStr">
        <is>
          <t>Printing _AND_ Stationery</t>
        </is>
      </c>
      <c r="F552" s="3" t="n">
        <v>2155.16</v>
      </c>
      <c r="G552" s="3" t="n">
        <v>15508.6</v>
      </c>
    </row>
    <row r="553">
      <c r="A553" s="3" t="inlineStr">
        <is>
          <t>Heron Fields (Pty) Ltd</t>
        </is>
      </c>
      <c r="B553" s="4" t="n">
        <v>44592</v>
      </c>
      <c r="C553" s="3" t="inlineStr">
        <is>
          <t>Expenses</t>
        </is>
      </c>
      <c r="D553" s="3" t="inlineStr">
        <is>
          <t>4200/000</t>
        </is>
      </c>
      <c r="E553" s="3" t="inlineStr">
        <is>
          <t>Printing _AND_ Stationery</t>
        </is>
      </c>
      <c r="F553" s="3" t="n">
        <v>0</v>
      </c>
      <c r="G553" s="3" t="n">
        <v>765</v>
      </c>
    </row>
    <row r="554">
      <c r="A554" s="3" t="inlineStr">
        <is>
          <t>Cape Projects Construction (Pty) Ltd</t>
        </is>
      </c>
      <c r="B554" s="4" t="n">
        <v>44592</v>
      </c>
      <c r="C554" s="3" t="inlineStr">
        <is>
          <t>Expenses</t>
        </is>
      </c>
      <c r="D554" s="3" t="inlineStr">
        <is>
          <t>4201/000</t>
        </is>
      </c>
      <c r="E554" s="3" t="inlineStr">
        <is>
          <t>Printing - Printer rental</t>
        </is>
      </c>
      <c r="F554" s="3" t="n">
        <v>612</v>
      </c>
      <c r="G554" s="3" t="n">
        <v>1243.42</v>
      </c>
    </row>
    <row r="555">
      <c r="A555" s="3" t="inlineStr">
        <is>
          <t>Cape Projects Construction (Pty) Ltd</t>
        </is>
      </c>
      <c r="B555" s="4" t="n">
        <v>44592</v>
      </c>
      <c r="C555" s="3" t="inlineStr">
        <is>
          <t>Expenses</t>
        </is>
      </c>
      <c r="D555" s="3" t="inlineStr">
        <is>
          <t>4300/000</t>
        </is>
      </c>
      <c r="E555" s="3" t="inlineStr">
        <is>
          <t>Rent Paid</t>
        </is>
      </c>
      <c r="F555" s="3" t="n">
        <v>28087.5</v>
      </c>
      <c r="G555" s="3" t="n">
        <v>139452.17</v>
      </c>
    </row>
    <row r="556">
      <c r="A556" s="3" t="inlineStr">
        <is>
          <t>Cape Projects Construction (Pty) Ltd</t>
        </is>
      </c>
      <c r="B556" s="4" t="n">
        <v>44592</v>
      </c>
      <c r="C556" s="3" t="inlineStr">
        <is>
          <t>Expenses</t>
        </is>
      </c>
      <c r="D556" s="3" t="inlineStr">
        <is>
          <t>4310/000</t>
        </is>
      </c>
      <c r="E556" s="3" t="inlineStr">
        <is>
          <t>Rates</t>
        </is>
      </c>
      <c r="F556" s="3" t="n">
        <v>843.6</v>
      </c>
      <c r="G556" s="3" t="n">
        <v>4372.88</v>
      </c>
    </row>
    <row r="557">
      <c r="A557" s="3" t="inlineStr">
        <is>
          <t>Heron Fields (Pty) Ltd</t>
        </is>
      </c>
      <c r="B557" s="4" t="n">
        <v>44592</v>
      </c>
      <c r="C557" s="3" t="inlineStr">
        <is>
          <t>Expenses</t>
        </is>
      </c>
      <c r="D557" s="3" t="inlineStr">
        <is>
          <t>4310/000</t>
        </is>
      </c>
      <c r="E557" s="3" t="inlineStr">
        <is>
          <t>Rates - Heron</t>
        </is>
      </c>
      <c r="F557" s="3" t="n">
        <v>2965.61</v>
      </c>
      <c r="G557" s="3" t="n">
        <v>24321.65</v>
      </c>
    </row>
    <row r="558">
      <c r="A558" s="3" t="inlineStr">
        <is>
          <t>Cape Projects Construction (Pty) Ltd</t>
        </is>
      </c>
      <c r="B558" s="4" t="n">
        <v>44592</v>
      </c>
      <c r="C558" s="3" t="inlineStr">
        <is>
          <t>Expenses</t>
        </is>
      </c>
      <c r="D558" s="3" t="inlineStr">
        <is>
          <t>4350/000</t>
        </is>
      </c>
      <c r="E558" s="3" t="inlineStr">
        <is>
          <t>Repairs _AND_ Maintenance</t>
        </is>
      </c>
      <c r="F558" s="3" t="n">
        <v>0</v>
      </c>
      <c r="G558" s="3" t="n">
        <v>102654.83</v>
      </c>
    </row>
    <row r="559">
      <c r="A559" s="3" t="inlineStr">
        <is>
          <t>Heron Fields (Pty) Ltd</t>
        </is>
      </c>
      <c r="B559" s="4" t="n">
        <v>44592</v>
      </c>
      <c r="C559" s="3" t="inlineStr">
        <is>
          <t>Expenses</t>
        </is>
      </c>
      <c r="D559" s="3" t="inlineStr">
        <is>
          <t>4350/000</t>
        </is>
      </c>
      <c r="E559" s="3" t="inlineStr">
        <is>
          <t>Repairs _AND_ Maintenance</t>
        </is>
      </c>
      <c r="F559" s="3" t="n">
        <v>0</v>
      </c>
      <c r="G559" s="3" t="n">
        <v>250</v>
      </c>
    </row>
    <row r="560">
      <c r="A560" s="3" t="inlineStr">
        <is>
          <t>Cape Projects Construction (Pty) Ltd</t>
        </is>
      </c>
      <c r="B560" s="4" t="n">
        <v>44592</v>
      </c>
      <c r="C560" s="3" t="inlineStr">
        <is>
          <t>Expenses</t>
        </is>
      </c>
      <c r="D560" s="3" t="inlineStr">
        <is>
          <t>4400/000</t>
        </is>
      </c>
      <c r="E560" s="3" t="inlineStr">
        <is>
          <t>Salaries _AND_ Wages</t>
        </is>
      </c>
      <c r="F560" s="3" t="n">
        <v>149308.55</v>
      </c>
      <c r="G560" s="3" t="n">
        <v>1492703.39</v>
      </c>
    </row>
    <row r="561">
      <c r="A561" s="3" t="inlineStr">
        <is>
          <t>Cape Projects Construction (Pty) Ltd</t>
        </is>
      </c>
      <c r="B561" s="4" t="n">
        <v>44592</v>
      </c>
      <c r="C561" s="3" t="inlineStr">
        <is>
          <t>Expenses</t>
        </is>
      </c>
      <c r="D561" s="3" t="inlineStr">
        <is>
          <t>4400/100</t>
        </is>
      </c>
      <c r="E561" s="3" t="inlineStr">
        <is>
          <t>Salaries and Wages - Shorty</t>
        </is>
      </c>
      <c r="F561" s="3" t="n">
        <v>0</v>
      </c>
      <c r="G561" s="3" t="n">
        <v>35500</v>
      </c>
    </row>
    <row r="562">
      <c r="A562" s="3" t="inlineStr">
        <is>
          <t>Cape Projects Construction (Pty) Ltd</t>
        </is>
      </c>
      <c r="B562" s="4" t="n">
        <v>44592</v>
      </c>
      <c r="C562" s="3" t="inlineStr">
        <is>
          <t>Expenses</t>
        </is>
      </c>
      <c r="D562" s="3" t="inlineStr">
        <is>
          <t>4402</t>
        </is>
      </c>
      <c r="E562" s="3" t="inlineStr">
        <is>
          <t>Salaries &amp; Wages - WCA</t>
        </is>
      </c>
      <c r="F562" s="3" t="n">
        <v>0</v>
      </c>
      <c r="G562" s="3" t="n">
        <v>1063.2</v>
      </c>
    </row>
    <row r="563">
      <c r="A563" s="3" t="inlineStr">
        <is>
          <t>Heron Fields (Pty) Ltd</t>
        </is>
      </c>
      <c r="B563" s="4" t="n">
        <v>44592</v>
      </c>
      <c r="C563" s="3" t="inlineStr">
        <is>
          <t>Expenses</t>
        </is>
      </c>
      <c r="D563" s="3" t="inlineStr">
        <is>
          <t>4410/000</t>
        </is>
      </c>
      <c r="E563" s="3" t="inlineStr">
        <is>
          <t>Secretarial fees</t>
        </is>
      </c>
      <c r="F563" s="3" t="n">
        <v>0</v>
      </c>
      <c r="G563" s="3" t="n">
        <v>17000</v>
      </c>
    </row>
    <row r="564">
      <c r="A564" s="3" t="inlineStr">
        <is>
          <t>Cape Projects Construction (Pty) Ltd</t>
        </is>
      </c>
      <c r="B564" s="4" t="n">
        <v>44592</v>
      </c>
      <c r="C564" s="3" t="inlineStr">
        <is>
          <t>Expenses</t>
        </is>
      </c>
      <c r="D564" s="3" t="inlineStr">
        <is>
          <t>4420/000</t>
        </is>
      </c>
      <c r="E564" s="3" t="inlineStr">
        <is>
          <t>Small Assets</t>
        </is>
      </c>
      <c r="F564" s="3" t="n">
        <v>530.4299999999999</v>
      </c>
      <c r="G564" s="3" t="n">
        <v>15681.7</v>
      </c>
    </row>
    <row r="565">
      <c r="A565" s="3" t="inlineStr">
        <is>
          <t>Heron Fields (Pty) Ltd</t>
        </is>
      </c>
      <c r="B565" s="4" t="n">
        <v>44592</v>
      </c>
      <c r="C565" s="3" t="inlineStr">
        <is>
          <t>Expenses</t>
        </is>
      </c>
      <c r="D565" s="3" t="inlineStr">
        <is>
          <t>4420/001</t>
        </is>
      </c>
      <c r="E565" s="3" t="inlineStr">
        <is>
          <t>Security - ADT</t>
        </is>
      </c>
      <c r="F565" s="3" t="n">
        <v>285.26</v>
      </c>
      <c r="G565" s="3" t="n">
        <v>4121.05</v>
      </c>
    </row>
    <row r="566">
      <c r="A566" s="3" t="inlineStr">
        <is>
          <t>Cape Projects Construction (Pty) Ltd</t>
        </is>
      </c>
      <c r="B566" s="4" t="n">
        <v>44592</v>
      </c>
      <c r="C566" s="3" t="inlineStr">
        <is>
          <t>Expenses</t>
        </is>
      </c>
      <c r="D566" s="3" t="inlineStr">
        <is>
          <t>4450/000</t>
        </is>
      </c>
      <c r="E566" s="3" t="inlineStr">
        <is>
          <t>Staff Training</t>
        </is>
      </c>
      <c r="F566" s="3" t="n">
        <v>0</v>
      </c>
      <c r="G566" s="3" t="n">
        <v>2000</v>
      </c>
    </row>
    <row r="567">
      <c r="A567" s="3" t="inlineStr">
        <is>
          <t>Cape Projects Construction (Pty) Ltd</t>
        </is>
      </c>
      <c r="B567" s="4" t="n">
        <v>44592</v>
      </c>
      <c r="C567" s="3" t="inlineStr">
        <is>
          <t>Expenses</t>
        </is>
      </c>
      <c r="D567" s="3" t="inlineStr">
        <is>
          <t>4500/000</t>
        </is>
      </c>
      <c r="E567" s="3" t="inlineStr">
        <is>
          <t>Staff Welfare _AND_ Refreshmts</t>
        </is>
      </c>
      <c r="F567" s="3" t="n">
        <v>3426.48</v>
      </c>
      <c r="G567" s="3" t="n">
        <v>33710.44</v>
      </c>
    </row>
    <row r="568">
      <c r="A568" s="3" t="inlineStr">
        <is>
          <t>Cape Projects Construction (Pty) Ltd</t>
        </is>
      </c>
      <c r="B568" s="4" t="n">
        <v>44592</v>
      </c>
      <c r="C568" s="3" t="inlineStr">
        <is>
          <t>Expenses</t>
        </is>
      </c>
      <c r="D568" s="3" t="inlineStr">
        <is>
          <t>4550/000</t>
        </is>
      </c>
      <c r="E568" s="3" t="inlineStr">
        <is>
          <t>Subscriptions / Licenses</t>
        </is>
      </c>
      <c r="F568" s="3" t="n">
        <v>0</v>
      </c>
      <c r="G568" s="3" t="n">
        <v>526.3200000000001</v>
      </c>
    </row>
    <row r="569">
      <c r="A569" s="3" t="inlineStr">
        <is>
          <t>Cape Projects Construction (Pty) Ltd</t>
        </is>
      </c>
      <c r="B569" s="4" t="n">
        <v>44592</v>
      </c>
      <c r="C569" s="3" t="inlineStr">
        <is>
          <t>Expenses</t>
        </is>
      </c>
      <c r="D569" s="3" t="inlineStr">
        <is>
          <t>4550/001</t>
        </is>
      </c>
      <c r="E569" s="3" t="inlineStr">
        <is>
          <t>Subscriptions &amp; Licenses - Sage payroll</t>
        </is>
      </c>
      <c r="F569" s="3" t="n">
        <v>459</v>
      </c>
      <c r="G569" s="3" t="n">
        <v>3213</v>
      </c>
    </row>
    <row r="570">
      <c r="A570" s="3" t="inlineStr">
        <is>
          <t>Cape Projects Construction (Pty) Ltd</t>
        </is>
      </c>
      <c r="B570" s="4" t="n">
        <v>44592</v>
      </c>
      <c r="C570" s="3" t="inlineStr">
        <is>
          <t>Expenses</t>
        </is>
      </c>
      <c r="D570" s="3" t="inlineStr">
        <is>
          <t>4550/002</t>
        </is>
      </c>
      <c r="E570" s="3" t="inlineStr">
        <is>
          <t>Subscriptions &amp; Licenses - Caseware</t>
        </is>
      </c>
      <c r="F570" s="3" t="n">
        <v>0</v>
      </c>
      <c r="G570" s="3" t="n">
        <v>9463.01</v>
      </c>
    </row>
    <row r="571">
      <c r="A571" s="3" t="inlineStr">
        <is>
          <t>Cape Projects Construction (Pty) Ltd</t>
        </is>
      </c>
      <c r="B571" s="4" t="n">
        <v>44592</v>
      </c>
      <c r="C571" s="3" t="inlineStr">
        <is>
          <t>Expenses</t>
        </is>
      </c>
      <c r="D571" s="3" t="inlineStr">
        <is>
          <t>4550/003</t>
        </is>
      </c>
      <c r="E571" s="3" t="inlineStr">
        <is>
          <t>Subscriptions &amp; Licenses - Xero</t>
        </is>
      </c>
      <c r="F571" s="3" t="n">
        <v>600</v>
      </c>
      <c r="G571" s="3" t="n">
        <v>8100</v>
      </c>
    </row>
    <row r="572">
      <c r="A572" s="3" t="inlineStr">
        <is>
          <t>Cape Projects Construction (Pty) Ltd</t>
        </is>
      </c>
      <c r="B572" s="4" t="n">
        <v>44592</v>
      </c>
      <c r="C572" s="3" t="inlineStr">
        <is>
          <t>Expenses</t>
        </is>
      </c>
      <c r="D572" s="3" t="inlineStr">
        <is>
          <t>4550/004</t>
        </is>
      </c>
      <c r="E572" s="3" t="inlineStr">
        <is>
          <t>Subscriptions - Smartsheet</t>
        </is>
      </c>
      <c r="F572" s="3" t="n">
        <v>363</v>
      </c>
      <c r="G572" s="3" t="n">
        <v>2076.41</v>
      </c>
    </row>
    <row r="573">
      <c r="A573" s="3" t="inlineStr">
        <is>
          <t>Heron Fields (Pty) Ltd</t>
        </is>
      </c>
      <c r="B573" s="4" t="n">
        <v>44592</v>
      </c>
      <c r="C573" s="3" t="inlineStr">
        <is>
          <t>Expenses</t>
        </is>
      </c>
      <c r="D573" s="3" t="inlineStr">
        <is>
          <t>4550/100</t>
        </is>
      </c>
      <c r="E573" s="3" t="inlineStr">
        <is>
          <t>Subscriptions - Xero</t>
        </is>
      </c>
      <c r="F573" s="3" t="n">
        <v>600</v>
      </c>
      <c r="G573" s="3" t="n">
        <v>4000</v>
      </c>
    </row>
    <row r="574">
      <c r="A574" s="3" t="inlineStr">
        <is>
          <t>Heron Fields (Pty) Ltd</t>
        </is>
      </c>
      <c r="B574" s="4" t="n">
        <v>44592</v>
      </c>
      <c r="C574" s="3" t="inlineStr">
        <is>
          <t>Expenses</t>
        </is>
      </c>
      <c r="D574" s="3" t="inlineStr">
        <is>
          <t>4550/200</t>
        </is>
      </c>
      <c r="E574" s="3" t="inlineStr">
        <is>
          <t>Subscription - NHBRC</t>
        </is>
      </c>
      <c r="F574" s="3" t="n">
        <v>0</v>
      </c>
      <c r="G574" s="3" t="n">
        <v>1271.93</v>
      </c>
    </row>
    <row r="575">
      <c r="A575" s="3" t="inlineStr">
        <is>
          <t>Cape Projects Construction (Pty) Ltd</t>
        </is>
      </c>
      <c r="B575" s="4" t="n">
        <v>44592</v>
      </c>
      <c r="C575" s="3" t="inlineStr">
        <is>
          <t>Expenses</t>
        </is>
      </c>
      <c r="D575" s="3" t="inlineStr">
        <is>
          <t>4560</t>
        </is>
      </c>
      <c r="E575" s="3" t="inlineStr">
        <is>
          <t>Secretarial fees - CIPC</t>
        </is>
      </c>
      <c r="F575" s="3" t="n">
        <v>0</v>
      </c>
      <c r="G575" s="3" t="n">
        <v>450</v>
      </c>
    </row>
    <row r="576">
      <c r="A576" s="3" t="inlineStr">
        <is>
          <t>Cape Projects Construction (Pty) Ltd</t>
        </is>
      </c>
      <c r="B576" s="4" t="n">
        <v>44592</v>
      </c>
      <c r="C576" s="3" t="inlineStr">
        <is>
          <t>Expenses</t>
        </is>
      </c>
      <c r="D576" s="3" t="inlineStr">
        <is>
          <t>4600/000</t>
        </is>
      </c>
      <c r="E576" s="3" t="inlineStr">
        <is>
          <t>Telephone _AND_ Fax</t>
        </is>
      </c>
      <c r="F576" s="3" t="n">
        <v>0</v>
      </c>
      <c r="G576" s="3" t="n">
        <v>10273.56</v>
      </c>
    </row>
    <row r="577">
      <c r="A577" s="3" t="inlineStr">
        <is>
          <t>Cape Projects Construction (Pty) Ltd</t>
        </is>
      </c>
      <c r="B577" s="4" t="n">
        <v>44592</v>
      </c>
      <c r="C577" s="3" t="inlineStr">
        <is>
          <t>Expenses</t>
        </is>
      </c>
      <c r="D577" s="3" t="inlineStr">
        <is>
          <t>4650/010</t>
        </is>
      </c>
      <c r="E577" s="3" t="inlineStr">
        <is>
          <t>Travel - Local</t>
        </is>
      </c>
      <c r="F577" s="3" t="n">
        <v>0</v>
      </c>
      <c r="G577" s="3" t="n">
        <v>1275</v>
      </c>
    </row>
    <row r="578">
      <c r="A578" s="3" t="inlineStr">
        <is>
          <t>Cape Projects Construction (Pty) Ltd</t>
        </is>
      </c>
      <c r="B578" s="4" t="n">
        <v>44592</v>
      </c>
      <c r="C578" s="3" t="inlineStr">
        <is>
          <t>Expenses</t>
        </is>
      </c>
      <c r="D578" s="3" t="inlineStr">
        <is>
          <t>4700/000</t>
        </is>
      </c>
      <c r="E578" s="3" t="inlineStr">
        <is>
          <t>PAYE Contributions</t>
        </is>
      </c>
      <c r="F578" s="3" t="n">
        <v>32273.51</v>
      </c>
      <c r="G578" s="3" t="n">
        <v>385004.66</v>
      </c>
    </row>
    <row r="579">
      <c r="A579" s="3" t="inlineStr">
        <is>
          <t>Cape Projects Construction (Pty) Ltd</t>
        </is>
      </c>
      <c r="B579" s="4" t="n">
        <v>44592</v>
      </c>
      <c r="C579" s="3" t="inlineStr">
        <is>
          <t>Expenses</t>
        </is>
      </c>
      <c r="D579" s="3" t="inlineStr">
        <is>
          <t>4720/000</t>
        </is>
      </c>
      <c r="E579" s="3" t="inlineStr">
        <is>
          <t>SDL Contributions</t>
        </is>
      </c>
      <c r="F579" s="3" t="n">
        <v>1734.63</v>
      </c>
      <c r="G579" s="3" t="n">
        <v>18191.36</v>
      </c>
    </row>
    <row r="580">
      <c r="A580" s="3" t="inlineStr">
        <is>
          <t>Cape Projects Construction (Pty) Ltd</t>
        </is>
      </c>
      <c r="B580" s="4" t="n">
        <v>44592</v>
      </c>
      <c r="C580" s="3" t="inlineStr">
        <is>
          <t>Expenses</t>
        </is>
      </c>
      <c r="D580" s="3" t="inlineStr">
        <is>
          <t>4730/000</t>
        </is>
      </c>
      <c r="E580" s="3" t="inlineStr">
        <is>
          <t>UIF Company Contributions</t>
        </is>
      </c>
      <c r="F580" s="3" t="n">
        <v>976.24</v>
      </c>
      <c r="G580" s="3" t="n">
        <v>9909.01</v>
      </c>
    </row>
    <row r="581">
      <c r="A581" s="3" t="inlineStr">
        <is>
          <t>Cape Projects Construction (Pty) Ltd</t>
        </is>
      </c>
      <c r="B581" s="4" t="n">
        <v>44592</v>
      </c>
      <c r="C581" s="3" t="inlineStr">
        <is>
          <t>Expenses</t>
        </is>
      </c>
      <c r="D581" s="3" t="inlineStr">
        <is>
          <t>4731/000</t>
        </is>
      </c>
      <c r="E581" s="3" t="inlineStr">
        <is>
          <t>UIF Employee Contribution</t>
        </is>
      </c>
      <c r="F581" s="3" t="n">
        <v>976.24</v>
      </c>
      <c r="G581" s="3" t="n">
        <v>6637.17</v>
      </c>
    </row>
    <row r="582">
      <c r="A582" s="3" t="inlineStr">
        <is>
          <t>Cape Projects Construction (Pty) Ltd</t>
        </is>
      </c>
      <c r="B582" s="4" t="n">
        <v>44592</v>
      </c>
      <c r="C582" s="3" t="inlineStr">
        <is>
          <t>Expenses</t>
        </is>
      </c>
      <c r="D582" s="3" t="inlineStr">
        <is>
          <t>4740/000</t>
        </is>
      </c>
      <c r="E582" s="3" t="inlineStr">
        <is>
          <t>BIBC Company Contribution</t>
        </is>
      </c>
      <c r="F582" s="3" t="n">
        <v>146.78</v>
      </c>
      <c r="G582" s="3" t="n">
        <v>146.78</v>
      </c>
    </row>
    <row r="583">
      <c r="A583" s="3" t="inlineStr">
        <is>
          <t>Cape Projects Construction (Pty) Ltd</t>
        </is>
      </c>
      <c r="B583" s="4" t="n">
        <v>44592</v>
      </c>
      <c r="C583" s="3" t="inlineStr">
        <is>
          <t>Expenses</t>
        </is>
      </c>
      <c r="D583" s="3" t="inlineStr">
        <is>
          <t>4741/000</t>
        </is>
      </c>
      <c r="E583" s="3" t="inlineStr">
        <is>
          <t>BIBC Employee Contribution</t>
        </is>
      </c>
      <c r="F583" s="3" t="n">
        <v>57.78</v>
      </c>
      <c r="G583" s="3" t="n">
        <v>57.78</v>
      </c>
    </row>
    <row r="584">
      <c r="A584" s="3" t="inlineStr">
        <is>
          <t>Heron Fields (Pty) Ltd</t>
        </is>
      </c>
      <c r="B584" s="4" t="n">
        <v>44592</v>
      </c>
      <c r="C584" s="3" t="inlineStr">
        <is>
          <t>Equity</t>
        </is>
      </c>
      <c r="D584" s="3" t="inlineStr">
        <is>
          <t>5100-000</t>
        </is>
      </c>
      <c r="E584" s="3" t="inlineStr">
        <is>
          <t>Share Capital</t>
        </is>
      </c>
      <c r="F584" s="3" t="n">
        <v>0</v>
      </c>
      <c r="G584" s="3" t="n">
        <v>-100</v>
      </c>
    </row>
    <row r="585">
      <c r="A585" s="3" t="inlineStr">
        <is>
          <t>Cape Projects Construction (Pty) Ltd</t>
        </is>
      </c>
      <c r="B585" s="4" t="n">
        <v>44592</v>
      </c>
      <c r="C585" s="3" t="inlineStr">
        <is>
          <t>Equity</t>
        </is>
      </c>
      <c r="D585" s="3" t="inlineStr">
        <is>
          <t>5100/000</t>
        </is>
      </c>
      <c r="E585" s="3" t="inlineStr">
        <is>
          <t>Share Capital / Members Contribution</t>
        </is>
      </c>
      <c r="F585" s="3" t="n">
        <v>0</v>
      </c>
      <c r="G585" s="3" t="n">
        <v>-120</v>
      </c>
    </row>
    <row r="586">
      <c r="A586" s="3" t="inlineStr">
        <is>
          <t>Cape Projects Construction (Pty) Ltd</t>
        </is>
      </c>
      <c r="B586" s="4" t="n">
        <v>44592</v>
      </c>
      <c r="C586" s="3" t="inlineStr">
        <is>
          <t>Equity</t>
        </is>
      </c>
      <c r="D586" s="3" t="inlineStr">
        <is>
          <t>5200/000</t>
        </is>
      </c>
      <c r="E586" s="3" t="inlineStr">
        <is>
          <t>Retained Earnings / Loss</t>
        </is>
      </c>
      <c r="F586" s="3" t="n">
        <v>0</v>
      </c>
      <c r="G586" s="3" t="n">
        <v>698664.99</v>
      </c>
    </row>
    <row r="587">
      <c r="A587" s="3" t="inlineStr">
        <is>
          <t>Heron Fields (Pty) Ltd</t>
        </is>
      </c>
      <c r="B587" s="4" t="n">
        <v>44592</v>
      </c>
      <c r="C587" s="3" t="inlineStr">
        <is>
          <t>Assets</t>
        </is>
      </c>
      <c r="D587" s="3" t="inlineStr">
        <is>
          <t>5300/001</t>
        </is>
      </c>
      <c r="E587" s="3" t="inlineStr">
        <is>
          <t>Revaluation of Land stock</t>
        </is>
      </c>
      <c r="F587" s="3" t="n">
        <v>0</v>
      </c>
      <c r="G587" s="3" t="n">
        <v>19713043.68</v>
      </c>
    </row>
    <row r="588">
      <c r="A588" s="3" t="inlineStr">
        <is>
          <t>Cape Projects Construction (Pty) Ltd</t>
        </is>
      </c>
      <c r="B588" s="4" t="n">
        <v>44592</v>
      </c>
      <c r="C588" s="3" t="inlineStr">
        <is>
          <t>Assets</t>
        </is>
      </c>
      <c r="D588" s="3" t="inlineStr">
        <is>
          <t>5400/100</t>
        </is>
      </c>
      <c r="E588" s="3" t="inlineStr">
        <is>
          <t>Loan - Cape Projects Structuring Dev</t>
        </is>
      </c>
      <c r="F588" s="3" t="n">
        <v>-350000</v>
      </c>
      <c r="G588" s="3" t="n">
        <v>-350000</v>
      </c>
    </row>
    <row r="589">
      <c r="A589" s="3" t="inlineStr">
        <is>
          <t>Cape Projects Construction (Pty) Ltd</t>
        </is>
      </c>
      <c r="B589" s="4" t="n">
        <v>44592</v>
      </c>
      <c r="C589" s="3" t="inlineStr">
        <is>
          <t>Assets</t>
        </is>
      </c>
      <c r="D589" s="3" t="inlineStr">
        <is>
          <t>5400/200</t>
        </is>
      </c>
      <c r="E589" s="3" t="inlineStr">
        <is>
          <t>Members Loan - Nick Morgan</t>
        </is>
      </c>
      <c r="F589" s="3" t="n">
        <v>0</v>
      </c>
      <c r="G589" s="3" t="n">
        <v>-38862.46</v>
      </c>
    </row>
    <row r="590">
      <c r="A590" s="3" t="inlineStr">
        <is>
          <t>Cape Projects Construction (Pty) Ltd</t>
        </is>
      </c>
      <c r="B590" s="4" t="n">
        <v>44592</v>
      </c>
      <c r="C590" s="3" t="inlineStr">
        <is>
          <t>Assets</t>
        </is>
      </c>
      <c r="D590" s="3" t="inlineStr">
        <is>
          <t>5400/220</t>
        </is>
      </c>
      <c r="E590" s="3" t="inlineStr">
        <is>
          <t>Members Loan - WH</t>
        </is>
      </c>
      <c r="F590" s="3" t="n">
        <v>0</v>
      </c>
      <c r="G590" s="3" t="n">
        <v>4342.5</v>
      </c>
    </row>
    <row r="591">
      <c r="A591" s="3" t="inlineStr">
        <is>
          <t>Cape Projects Construction (Pty) Ltd</t>
        </is>
      </c>
      <c r="B591" s="4" t="n">
        <v>44592</v>
      </c>
      <c r="C591" s="3" t="inlineStr">
        <is>
          <t>Assets</t>
        </is>
      </c>
      <c r="D591" s="3" t="inlineStr">
        <is>
          <t>5400/450</t>
        </is>
      </c>
      <c r="E591" s="3" t="inlineStr">
        <is>
          <t>Loan - Opportunity Investment</t>
        </is>
      </c>
      <c r="F591" s="3" t="n">
        <v>-470000</v>
      </c>
      <c r="G591" s="3" t="n">
        <v>-530000</v>
      </c>
    </row>
    <row r="592">
      <c r="A592" s="3" t="inlineStr">
        <is>
          <t>Cape Projects Construction (Pty) Ltd</t>
        </is>
      </c>
      <c r="B592" s="4" t="n">
        <v>44592</v>
      </c>
      <c r="C592" s="3" t="inlineStr">
        <is>
          <t>Assets</t>
        </is>
      </c>
      <c r="D592" s="3" t="inlineStr">
        <is>
          <t>5400/500</t>
        </is>
      </c>
      <c r="E592" s="3" t="inlineStr">
        <is>
          <t>Loan - Blou Mamba Trust</t>
        </is>
      </c>
      <c r="F592" s="3" t="n">
        <v>0</v>
      </c>
      <c r="G592" s="3" t="n">
        <v>-29796.99</v>
      </c>
    </row>
    <row r="593">
      <c r="A593" s="3" t="inlineStr">
        <is>
          <t>Cape Projects Construction (Pty) Ltd</t>
        </is>
      </c>
      <c r="B593" s="4" t="n">
        <v>44592</v>
      </c>
      <c r="C593" s="3" t="inlineStr">
        <is>
          <t>Assets</t>
        </is>
      </c>
      <c r="D593" s="3" t="inlineStr">
        <is>
          <t>5400/550</t>
        </is>
      </c>
      <c r="E593" s="3" t="inlineStr">
        <is>
          <t>Loan - Trademark</t>
        </is>
      </c>
      <c r="F593" s="3" t="n">
        <v>600</v>
      </c>
      <c r="G593" s="3" t="n">
        <v>-33200</v>
      </c>
    </row>
    <row r="594">
      <c r="A594" s="3" t="inlineStr">
        <is>
          <t>Cape Projects Construction (Pty) Ltd</t>
        </is>
      </c>
      <c r="B594" s="4" t="n">
        <v>44592</v>
      </c>
      <c r="C594" s="3" t="inlineStr">
        <is>
          <t>Assets</t>
        </is>
      </c>
      <c r="D594" s="3" t="inlineStr">
        <is>
          <t>5400/600</t>
        </is>
      </c>
      <c r="E594" s="3" t="inlineStr">
        <is>
          <t>Loan - Heron Projects</t>
        </is>
      </c>
      <c r="F594" s="3" t="n">
        <v>-128000</v>
      </c>
      <c r="G594" s="3" t="n">
        <v>-178000</v>
      </c>
    </row>
    <row r="595">
      <c r="A595" s="3" t="inlineStr">
        <is>
          <t>Cape Projects Construction (Pty) Ltd</t>
        </is>
      </c>
      <c r="B595" s="4" t="n">
        <v>44592</v>
      </c>
      <c r="C595" s="3" t="inlineStr">
        <is>
          <t>Assets</t>
        </is>
      </c>
      <c r="D595" s="3" t="inlineStr">
        <is>
          <t>5400/650</t>
        </is>
      </c>
      <c r="E595" s="3" t="inlineStr">
        <is>
          <t>Loan - Noble Shield</t>
        </is>
      </c>
      <c r="F595" s="3" t="n">
        <v>600</v>
      </c>
      <c r="G595" s="3" t="n">
        <v>-3200</v>
      </c>
    </row>
    <row r="596">
      <c r="A596" s="3" t="inlineStr">
        <is>
          <t>Cape Projects Construction (Pty) Ltd</t>
        </is>
      </c>
      <c r="B596" s="4" t="n">
        <v>44592</v>
      </c>
      <c r="C596" s="3" t="inlineStr">
        <is>
          <t>Assets</t>
        </is>
      </c>
      <c r="D596" s="3" t="inlineStr">
        <is>
          <t>5400/800</t>
        </is>
      </c>
      <c r="E596" s="3" t="inlineStr">
        <is>
          <t>Loan - Opportunity Management Holdings</t>
        </is>
      </c>
      <c r="F596" s="3" t="n">
        <v>0</v>
      </c>
      <c r="G596" s="3" t="n">
        <v>-49000</v>
      </c>
    </row>
    <row r="597">
      <c r="A597" s="3" t="inlineStr">
        <is>
          <t>Heron Fields (Pty) Ltd</t>
        </is>
      </c>
      <c r="B597" s="4" t="n">
        <v>44592</v>
      </c>
      <c r="C597" s="3" t="inlineStr">
        <is>
          <t>Liabilities</t>
        </is>
      </c>
      <c r="D597" s="3" t="inlineStr">
        <is>
          <t>5500/020</t>
        </is>
      </c>
      <c r="E597" s="3" t="inlineStr">
        <is>
          <t>Loan - Cape Projects Construction</t>
        </is>
      </c>
      <c r="F597" s="3" t="n">
        <v>128000</v>
      </c>
      <c r="G597" s="3" t="n">
        <v>178000</v>
      </c>
    </row>
    <row r="598">
      <c r="A598" s="3" t="inlineStr">
        <is>
          <t>Cape Projects Construction (Pty) Ltd</t>
        </is>
      </c>
      <c r="B598" s="4" t="n">
        <v>44592</v>
      </c>
      <c r="C598" s="3" t="inlineStr">
        <is>
          <t>Assets</t>
        </is>
      </c>
      <c r="D598" s="3" t="inlineStr">
        <is>
          <t>5500/200</t>
        </is>
      </c>
      <c r="E598" s="3" t="inlineStr">
        <is>
          <t>Staff loan - Dirk Coetzee</t>
        </is>
      </c>
      <c r="F598" s="3" t="n">
        <v>0</v>
      </c>
      <c r="G598" s="3" t="n">
        <v>120.05</v>
      </c>
    </row>
    <row r="599">
      <c r="A599" s="3" t="inlineStr">
        <is>
          <t>Cape Projects Construction (Pty) Ltd</t>
        </is>
      </c>
      <c r="B599" s="4" t="n">
        <v>44592</v>
      </c>
      <c r="C599" s="3" t="inlineStr">
        <is>
          <t>Liabilities</t>
        </is>
      </c>
      <c r="D599" s="3" t="inlineStr">
        <is>
          <t>5600/100</t>
        </is>
      </c>
      <c r="E599" s="3" t="inlineStr">
        <is>
          <t>Motor Vehical Car Repaymts - Toyota</t>
        </is>
      </c>
      <c r="F599" s="3" t="n">
        <v>0</v>
      </c>
      <c r="G599" s="3" t="n">
        <v>5557.44</v>
      </c>
    </row>
    <row r="600">
      <c r="A600" s="3" t="inlineStr">
        <is>
          <t>Cape Projects Construction (Pty) Ltd</t>
        </is>
      </c>
      <c r="B600" s="4" t="n">
        <v>44592</v>
      </c>
      <c r="C600" s="3" t="inlineStr">
        <is>
          <t>Liabilities</t>
        </is>
      </c>
      <c r="D600" s="3" t="inlineStr">
        <is>
          <t>5600/200</t>
        </is>
      </c>
      <c r="E600" s="3" t="inlineStr">
        <is>
          <t>Motor Vehicle Car Repayments - Toyota Shortterm</t>
        </is>
      </c>
      <c r="F600" s="3" t="n">
        <v>0</v>
      </c>
      <c r="G600" s="3" t="n">
        <v>-62160</v>
      </c>
    </row>
    <row r="601">
      <c r="A601" s="3" t="inlineStr">
        <is>
          <t>Cape Projects Construction (Pty) Ltd</t>
        </is>
      </c>
      <c r="B601" s="4" t="n">
        <v>44592</v>
      </c>
      <c r="C601" s="3" t="inlineStr">
        <is>
          <t>Assets</t>
        </is>
      </c>
      <c r="D601" s="3" t="inlineStr">
        <is>
          <t>6200/010</t>
        </is>
      </c>
      <c r="E601" s="3" t="inlineStr">
        <is>
          <t>Motor Vehicles - @ Cost</t>
        </is>
      </c>
      <c r="F601" s="3" t="n">
        <v>0</v>
      </c>
      <c r="G601" s="3" t="n">
        <v>216064.1</v>
      </c>
    </row>
    <row r="602">
      <c r="A602" s="3" t="inlineStr">
        <is>
          <t>Cape Projects Construction (Pty) Ltd</t>
        </is>
      </c>
      <c r="B602" s="4" t="n">
        <v>44592</v>
      </c>
      <c r="C602" s="3" t="inlineStr">
        <is>
          <t>Assets</t>
        </is>
      </c>
      <c r="D602" s="3" t="inlineStr">
        <is>
          <t>6200/020</t>
        </is>
      </c>
      <c r="E602" s="3" t="inlineStr">
        <is>
          <t>Motor Vehicles - Accum Depre</t>
        </is>
      </c>
      <c r="F602" s="3" t="n">
        <v>0</v>
      </c>
      <c r="G602" s="3" t="n">
        <v>-133240</v>
      </c>
    </row>
    <row r="603">
      <c r="A603" s="3" t="inlineStr">
        <is>
          <t>Cape Projects Construction (Pty) Ltd</t>
        </is>
      </c>
      <c r="B603" s="4" t="n">
        <v>44592</v>
      </c>
      <c r="C603" s="3" t="inlineStr">
        <is>
          <t>Assets</t>
        </is>
      </c>
      <c r="D603" s="3" t="inlineStr">
        <is>
          <t>6250/010</t>
        </is>
      </c>
      <c r="E603" s="3" t="inlineStr">
        <is>
          <t>Computer Equipment - @ Cost</t>
        </is>
      </c>
      <c r="F603" s="3" t="n">
        <v>0</v>
      </c>
      <c r="G603" s="3" t="n">
        <v>53450.87</v>
      </c>
    </row>
    <row r="604">
      <c r="A604" s="3" t="inlineStr">
        <is>
          <t>Cape Projects Construction (Pty) Ltd</t>
        </is>
      </c>
      <c r="B604" s="4" t="n">
        <v>44592</v>
      </c>
      <c r="C604" s="3" t="inlineStr">
        <is>
          <t>Assets</t>
        </is>
      </c>
      <c r="D604" s="3" t="inlineStr">
        <is>
          <t>6250/020</t>
        </is>
      </c>
      <c r="E604" s="3" t="inlineStr">
        <is>
          <t>Computer Equipment - Accum Depre</t>
        </is>
      </c>
      <c r="F604" s="3" t="n">
        <v>-1092.24</v>
      </c>
      <c r="G604" s="3" t="n">
        <v>-18473.79</v>
      </c>
    </row>
    <row r="605">
      <c r="A605" s="3" t="inlineStr">
        <is>
          <t>Cape Projects Construction (Pty) Ltd</t>
        </is>
      </c>
      <c r="B605" s="4" t="n">
        <v>44592</v>
      </c>
      <c r="C605" s="3" t="inlineStr">
        <is>
          <t>Assets</t>
        </is>
      </c>
      <c r="D605" s="3" t="inlineStr">
        <is>
          <t>6350/010</t>
        </is>
      </c>
      <c r="E605" s="3" t="inlineStr">
        <is>
          <t>Furniture _AND_ Fittings - @ Cost</t>
        </is>
      </c>
      <c r="F605" s="3" t="n">
        <v>27804</v>
      </c>
      <c r="G605" s="3" t="n">
        <v>27804</v>
      </c>
    </row>
    <row r="606">
      <c r="A606" s="3" t="inlineStr">
        <is>
          <t>Cape Projects Construction (Pty) Ltd</t>
        </is>
      </c>
      <c r="B606" s="4" t="n">
        <v>44592</v>
      </c>
      <c r="C606" s="3" t="inlineStr">
        <is>
          <t>Assets</t>
        </is>
      </c>
      <c r="D606" s="3" t="inlineStr">
        <is>
          <t>6600/010</t>
        </is>
      </c>
      <c r="E606" s="3" t="inlineStr">
        <is>
          <t>Generator Fixed Asset - @ Cost</t>
        </is>
      </c>
      <c r="F606" s="3" t="n">
        <v>0</v>
      </c>
      <c r="G606" s="3" t="n">
        <v>11600</v>
      </c>
    </row>
    <row r="607">
      <c r="A607" s="3" t="inlineStr">
        <is>
          <t>Cape Projects Construction (Pty) Ltd</t>
        </is>
      </c>
      <c r="B607" s="4" t="n">
        <v>44592</v>
      </c>
      <c r="C607" s="3" t="inlineStr">
        <is>
          <t>Assets</t>
        </is>
      </c>
      <c r="D607" s="3" t="inlineStr">
        <is>
          <t>6600/020</t>
        </is>
      </c>
      <c r="E607" s="3" t="inlineStr">
        <is>
          <t>Generator Fixed Asset - Accum Depre</t>
        </is>
      </c>
      <c r="F607" s="3" t="n">
        <v>-193.33</v>
      </c>
      <c r="G607" s="3" t="n">
        <v>-773.33</v>
      </c>
    </row>
    <row r="608">
      <c r="A608" s="3" t="inlineStr">
        <is>
          <t>Heron Fields (Pty) Ltd</t>
        </is>
      </c>
      <c r="B608" s="4" t="n">
        <v>44592</v>
      </c>
      <c r="C608" s="3" t="inlineStr">
        <is>
          <t>Assets</t>
        </is>
      </c>
      <c r="D608" s="3" t="inlineStr">
        <is>
          <t>7610/395</t>
        </is>
      </c>
      <c r="E608" s="3" t="inlineStr">
        <is>
          <t>HF CIP NHBRC</t>
        </is>
      </c>
      <c r="F608" s="3" t="n">
        <v>0</v>
      </c>
      <c r="G608" s="3" t="n">
        <v>261841.5</v>
      </c>
    </row>
    <row r="609">
      <c r="A609" s="3" t="inlineStr">
        <is>
          <t>Heron Fields (Pty) Ltd</t>
        </is>
      </c>
      <c r="B609" s="4" t="n">
        <v>44592</v>
      </c>
      <c r="C609" s="3" t="inlineStr">
        <is>
          <t>Assets</t>
        </is>
      </c>
      <c r="D609" s="3" t="inlineStr">
        <is>
          <t>7620/100</t>
        </is>
      </c>
      <c r="E609" s="3" t="inlineStr">
        <is>
          <t>Heron View Land</t>
        </is>
      </c>
      <c r="F609" s="3" t="n">
        <v>0</v>
      </c>
      <c r="G609" s="3" t="n">
        <v>26200000</v>
      </c>
    </row>
    <row r="610">
      <c r="A610" s="3" t="inlineStr">
        <is>
          <t>Heron Fields (Pty) Ltd</t>
        </is>
      </c>
      <c r="B610" s="4" t="n">
        <v>44592</v>
      </c>
      <c r="C610" s="3" t="inlineStr">
        <is>
          <t>Assets</t>
        </is>
      </c>
      <c r="D610" s="3" t="inlineStr">
        <is>
          <t>7620/101</t>
        </is>
      </c>
      <c r="E610" s="3" t="inlineStr">
        <is>
          <t>HF CIP Bond Registration Fee</t>
        </is>
      </c>
      <c r="F610" s="3" t="n">
        <v>0</v>
      </c>
      <c r="G610" s="3" t="n">
        <v>68427</v>
      </c>
    </row>
    <row r="611">
      <c r="A611" s="3" t="inlineStr">
        <is>
          <t>Heron Fields (Pty) Ltd</t>
        </is>
      </c>
      <c r="B611" s="4" t="n">
        <v>44592</v>
      </c>
      <c r="C611" s="3" t="inlineStr">
        <is>
          <t>Assets</t>
        </is>
      </c>
      <c r="D611" s="3" t="inlineStr">
        <is>
          <t>7620/102</t>
        </is>
      </c>
      <c r="E611" s="3" t="inlineStr">
        <is>
          <t>HF CIP Transfer Fee</t>
        </is>
      </c>
      <c r="F611" s="3" t="n">
        <v>0</v>
      </c>
      <c r="G611" s="3" t="n">
        <v>103812</v>
      </c>
    </row>
    <row r="612">
      <c r="A612" s="3" t="inlineStr">
        <is>
          <t>Heron Fields (Pty) Ltd</t>
        </is>
      </c>
      <c r="B612" s="4" t="n">
        <v>44592</v>
      </c>
      <c r="C612" s="3" t="inlineStr">
        <is>
          <t>Assets</t>
        </is>
      </c>
      <c r="D612" s="3" t="inlineStr">
        <is>
          <t>7620/220</t>
        </is>
      </c>
      <c r="E612" s="3" t="inlineStr">
        <is>
          <t>HF CIP Architectural Designs</t>
        </is>
      </c>
      <c r="F612" s="3" t="n">
        <v>0</v>
      </c>
      <c r="G612" s="3" t="n">
        <v>142000</v>
      </c>
    </row>
    <row r="613">
      <c r="A613" s="3" t="inlineStr">
        <is>
          <t>Heron Fields (Pty) Ltd</t>
        </is>
      </c>
      <c r="B613" s="4" t="n">
        <v>44592</v>
      </c>
      <c r="C613" s="3" t="inlineStr">
        <is>
          <t>Assets</t>
        </is>
      </c>
      <c r="D613" s="3" t="inlineStr">
        <is>
          <t>7620/240</t>
        </is>
      </c>
      <c r="E613" s="3" t="inlineStr">
        <is>
          <t>HF CIP Civil Engineering</t>
        </is>
      </c>
      <c r="F613" s="3" t="n">
        <v>0</v>
      </c>
      <c r="G613" s="3" t="n">
        <v>5052916.5</v>
      </c>
    </row>
    <row r="614">
      <c r="A614" s="3" t="inlineStr">
        <is>
          <t>Heron Fields (Pty) Ltd</t>
        </is>
      </c>
      <c r="B614" s="4" t="n">
        <v>44592</v>
      </c>
      <c r="C614" s="3" t="inlineStr">
        <is>
          <t>Assets</t>
        </is>
      </c>
      <c r="D614" s="3" t="inlineStr">
        <is>
          <t>7620/245</t>
        </is>
      </c>
      <c r="E614" s="3" t="inlineStr">
        <is>
          <t>HF CIP Development fee</t>
        </is>
      </c>
      <c r="F614" s="3" t="n">
        <v>0</v>
      </c>
      <c r="G614" s="3" t="n">
        <v>13807.78</v>
      </c>
    </row>
    <row r="615">
      <c r="A615" s="3" t="inlineStr">
        <is>
          <t>Heron Fields (Pty) Ltd</t>
        </is>
      </c>
      <c r="B615" s="4" t="n">
        <v>44592</v>
      </c>
      <c r="C615" s="3" t="inlineStr">
        <is>
          <t>Assets</t>
        </is>
      </c>
      <c r="D615" s="3" t="inlineStr">
        <is>
          <t>7620/250</t>
        </is>
      </c>
      <c r="E615" s="3" t="inlineStr">
        <is>
          <t>HF CIP Land Surveyor</t>
        </is>
      </c>
      <c r="F615" s="3" t="n">
        <v>1840</v>
      </c>
      <c r="G615" s="3" t="n">
        <v>6350</v>
      </c>
    </row>
    <row r="616">
      <c r="A616" s="3" t="inlineStr">
        <is>
          <t>Heron Fields (Pty) Ltd</t>
        </is>
      </c>
      <c r="B616" s="4" t="n">
        <v>44592</v>
      </c>
      <c r="C616" s="3" t="inlineStr">
        <is>
          <t>Assets</t>
        </is>
      </c>
      <c r="D616" s="3" t="inlineStr">
        <is>
          <t>7620/255</t>
        </is>
      </c>
      <c r="E616" s="3" t="inlineStr">
        <is>
          <t>HF CIP Landscaping</t>
        </is>
      </c>
      <c r="F616" s="3" t="n">
        <v>0</v>
      </c>
      <c r="G616" s="3" t="n">
        <v>7500</v>
      </c>
    </row>
    <row r="617">
      <c r="A617" s="3" t="inlineStr">
        <is>
          <t>Heron Fields (Pty) Ltd</t>
        </is>
      </c>
      <c r="B617" s="4" t="n">
        <v>44592</v>
      </c>
      <c r="C617" s="3" t="inlineStr">
        <is>
          <t>Assets</t>
        </is>
      </c>
      <c r="D617" s="3" t="inlineStr">
        <is>
          <t>7620/260</t>
        </is>
      </c>
      <c r="E617" s="3" t="inlineStr">
        <is>
          <t>HF CIP Mechanical Engineers</t>
        </is>
      </c>
      <c r="F617" s="3" t="n">
        <v>0</v>
      </c>
      <c r="G617" s="3" t="n">
        <v>67400</v>
      </c>
    </row>
    <row r="618">
      <c r="A618" s="3" t="inlineStr">
        <is>
          <t>Heron Fields (Pty) Ltd</t>
        </is>
      </c>
      <c r="B618" s="4" t="n">
        <v>44592</v>
      </c>
      <c r="C618" s="3" t="inlineStr">
        <is>
          <t>Assets</t>
        </is>
      </c>
      <c r="D618" s="3" t="inlineStr">
        <is>
          <t>7620/270</t>
        </is>
      </c>
      <c r="E618" s="3" t="inlineStr">
        <is>
          <t>HF CIP Geotechnical</t>
        </is>
      </c>
      <c r="F618" s="3" t="n">
        <v>0</v>
      </c>
      <c r="G618" s="3" t="n">
        <v>15175</v>
      </c>
    </row>
    <row r="619">
      <c r="A619" s="3" t="inlineStr">
        <is>
          <t>Heron Fields (Pty) Ltd</t>
        </is>
      </c>
      <c r="B619" s="4" t="n">
        <v>44592</v>
      </c>
      <c r="C619" s="3" t="inlineStr">
        <is>
          <t>Assets</t>
        </is>
      </c>
      <c r="D619" s="3" t="inlineStr">
        <is>
          <t>7620/280</t>
        </is>
      </c>
      <c r="E619" s="3" t="inlineStr">
        <is>
          <t>HF CIP Site Establishment</t>
        </is>
      </c>
      <c r="F619" s="3" t="n">
        <v>77600.53999999999</v>
      </c>
      <c r="G619" s="3" t="n">
        <v>100634.8</v>
      </c>
    </row>
    <row r="620">
      <c r="A620" s="3" t="inlineStr">
        <is>
          <t>Heron Fields (Pty) Ltd</t>
        </is>
      </c>
      <c r="B620" s="4" t="n">
        <v>44592</v>
      </c>
      <c r="C620" s="3" t="inlineStr">
        <is>
          <t>Assets</t>
        </is>
      </c>
      <c r="D620" s="3" t="inlineStr">
        <is>
          <t>7620/285</t>
        </is>
      </c>
      <c r="E620" s="3" t="inlineStr">
        <is>
          <t>HF CIP Structuring Fee - Invest</t>
        </is>
      </c>
      <c r="F620" s="3" t="n">
        <v>518489.22</v>
      </c>
      <c r="G620" s="3" t="n">
        <v>2331207.06</v>
      </c>
    </row>
    <row r="621">
      <c r="A621" s="3" t="inlineStr">
        <is>
          <t>Heron Fields (Pty) Ltd</t>
        </is>
      </c>
      <c r="B621" s="4" t="n">
        <v>44592</v>
      </c>
      <c r="C621" s="3" t="inlineStr">
        <is>
          <t>Assets</t>
        </is>
      </c>
      <c r="D621" s="3" t="inlineStr">
        <is>
          <t>7620/287</t>
        </is>
      </c>
      <c r="E621" s="3" t="inlineStr">
        <is>
          <t>HF CIP Structuring Fee - Development</t>
        </is>
      </c>
      <c r="F621" s="3" t="n">
        <v>0</v>
      </c>
      <c r="G621" s="3" t="n">
        <v>782608.0699999999</v>
      </c>
    </row>
    <row r="622">
      <c r="A622" s="3" t="inlineStr">
        <is>
          <t>Heron Fields (Pty) Ltd</t>
        </is>
      </c>
      <c r="B622" s="4" t="n">
        <v>44592</v>
      </c>
      <c r="C622" s="3" t="inlineStr">
        <is>
          <t>Assets</t>
        </is>
      </c>
      <c r="D622" s="3" t="inlineStr">
        <is>
          <t>7620/290</t>
        </is>
      </c>
      <c r="E622" s="3" t="inlineStr">
        <is>
          <t>HF CIP Town Planning</t>
        </is>
      </c>
      <c r="F622" s="3" t="n">
        <v>0</v>
      </c>
      <c r="G622" s="3" t="n">
        <v>129550</v>
      </c>
    </row>
    <row r="623">
      <c r="A623" s="3" t="inlineStr">
        <is>
          <t>Heron Fields (Pty) Ltd</t>
        </is>
      </c>
      <c r="B623" s="4" t="n">
        <v>44592</v>
      </c>
      <c r="C623" s="3" t="inlineStr">
        <is>
          <t>Assets</t>
        </is>
      </c>
      <c r="D623" s="3" t="inlineStr">
        <is>
          <t>7620/295</t>
        </is>
      </c>
      <c r="E623" s="3" t="inlineStr">
        <is>
          <t>HF CIP Traffic Planning</t>
        </is>
      </c>
      <c r="F623" s="3" t="n">
        <v>0</v>
      </c>
      <c r="G623" s="3" t="n">
        <v>45000</v>
      </c>
    </row>
    <row r="624">
      <c r="A624" s="3" t="inlineStr">
        <is>
          <t>Heron Fields (Pty) Ltd</t>
        </is>
      </c>
      <c r="B624" s="4" t="n">
        <v>44592</v>
      </c>
      <c r="C624" s="3" t="inlineStr">
        <is>
          <t>Assets</t>
        </is>
      </c>
      <c r="D624" s="3" t="inlineStr">
        <is>
          <t>7620/600</t>
        </is>
      </c>
      <c r="E624" s="3" t="inlineStr">
        <is>
          <t>HF CIP Eco work</t>
        </is>
      </c>
      <c r="F624" s="3" t="n">
        <v>6000</v>
      </c>
      <c r="G624" s="3" t="n">
        <v>48000</v>
      </c>
    </row>
    <row r="625">
      <c r="A625" s="3" t="inlineStr">
        <is>
          <t>Heron Fields (Pty) Ltd</t>
        </is>
      </c>
      <c r="B625" s="4" t="n">
        <v>44592</v>
      </c>
      <c r="C625" s="3" t="inlineStr">
        <is>
          <t>Assets</t>
        </is>
      </c>
      <c r="D625" s="3" t="inlineStr">
        <is>
          <t>7620/630</t>
        </is>
      </c>
      <c r="E625" s="3" t="inlineStr">
        <is>
          <t>HF CIP CoCT development contribution</t>
        </is>
      </c>
      <c r="F625" s="3" t="n">
        <v>48396.87</v>
      </c>
      <c r="G625" s="3" t="n">
        <v>627209.14</v>
      </c>
    </row>
    <row r="626">
      <c r="A626" s="3" t="inlineStr">
        <is>
          <t>Heron Fields (Pty) Ltd</t>
        </is>
      </c>
      <c r="B626" s="4" t="n">
        <v>44592</v>
      </c>
      <c r="C626" s="3" t="inlineStr">
        <is>
          <t>Assets</t>
        </is>
      </c>
      <c r="D626" s="3" t="inlineStr">
        <is>
          <t>7620/640</t>
        </is>
      </c>
      <c r="E626" s="3" t="inlineStr">
        <is>
          <t>HF CIP Project costs</t>
        </is>
      </c>
      <c r="F626" s="3" t="n">
        <v>302206.85</v>
      </c>
      <c r="G626" s="3" t="n">
        <v>622274.51</v>
      </c>
    </row>
    <row r="627">
      <c r="A627" s="3" t="inlineStr">
        <is>
          <t>Cape Projects Construction (Pty) Ltd</t>
        </is>
      </c>
      <c r="B627" s="4" t="n">
        <v>44592</v>
      </c>
      <c r="C627" s="3" t="inlineStr">
        <is>
          <t>Assets</t>
        </is>
      </c>
      <c r="D627" s="3" t="inlineStr">
        <is>
          <t>7800/000</t>
        </is>
      </c>
      <c r="E627" s="3" t="inlineStr">
        <is>
          <t>Deposits paid</t>
        </is>
      </c>
      <c r="F627" s="3" t="n">
        <v>0</v>
      </c>
      <c r="G627" s="3" t="n">
        <v>6875.45</v>
      </c>
    </row>
    <row r="628">
      <c r="A628" s="3" t="inlineStr">
        <is>
          <t>Cape Projects Construction (Pty) Ltd</t>
        </is>
      </c>
      <c r="B628" s="4" t="n">
        <v>44592</v>
      </c>
      <c r="C628" s="3" t="inlineStr">
        <is>
          <t>Assets</t>
        </is>
      </c>
      <c r="D628" s="3" t="inlineStr">
        <is>
          <t>8000/000</t>
        </is>
      </c>
      <c r="E628" s="3" t="inlineStr">
        <is>
          <t>Customer Control Account</t>
        </is>
      </c>
      <c r="F628" s="3" t="n">
        <v>875168.84</v>
      </c>
      <c r="G628" s="3" t="n">
        <v>2398530.51</v>
      </c>
    </row>
    <row r="629">
      <c r="A629" s="3" t="inlineStr">
        <is>
          <t>Cape Projects Construction (Pty) Ltd</t>
        </is>
      </c>
      <c r="B629" s="4" t="n">
        <v>44592</v>
      </c>
      <c r="C629" s="3" t="inlineStr">
        <is>
          <t>Assets</t>
        </is>
      </c>
      <c r="D629" s="3" t="inlineStr">
        <is>
          <t>8200/010</t>
        </is>
      </c>
      <c r="E629" s="3" t="inlineStr">
        <is>
          <t>Prepayments / Prepaid Expenses</t>
        </is>
      </c>
      <c r="F629" s="3" t="n">
        <v>-2867.09</v>
      </c>
      <c r="G629" s="3" t="n">
        <v>17202.57</v>
      </c>
    </row>
    <row r="630">
      <c r="A630" s="3" t="inlineStr">
        <is>
          <t>Heron Fields (Pty) Ltd</t>
        </is>
      </c>
      <c r="B630" s="4" t="n">
        <v>44592</v>
      </c>
      <c r="C630" s="3" t="inlineStr">
        <is>
          <t>Assets</t>
        </is>
      </c>
      <c r="D630" s="3" t="inlineStr">
        <is>
          <t>8200/200</t>
        </is>
      </c>
      <c r="E630" s="3" t="inlineStr">
        <is>
          <t>Sundry Debtor - Quinate</t>
        </is>
      </c>
      <c r="F630" s="3" t="n">
        <v>0</v>
      </c>
      <c r="G630" s="3" t="n">
        <v>300000</v>
      </c>
    </row>
    <row r="631">
      <c r="A631" s="3" t="inlineStr">
        <is>
          <t>Heron Fields (Pty) Ltd</t>
        </is>
      </c>
      <c r="B631" s="4" t="n">
        <v>44592</v>
      </c>
      <c r="C631" s="3" t="inlineStr">
        <is>
          <t>Assets</t>
        </is>
      </c>
      <c r="D631" s="3" t="inlineStr">
        <is>
          <t>8400/000</t>
        </is>
      </c>
      <c r="E631" s="3" t="inlineStr">
        <is>
          <t>RMB - 62882379087</t>
        </is>
      </c>
      <c r="F631" s="3" t="n">
        <v>-6494.83</v>
      </c>
      <c r="G631" s="3" t="n">
        <v>39591.37</v>
      </c>
    </row>
    <row r="632">
      <c r="A632" s="3" t="inlineStr">
        <is>
          <t>Cape Projects Construction (Pty) Ltd</t>
        </is>
      </c>
      <c r="B632" s="4" t="n">
        <v>44592</v>
      </c>
      <c r="C632" s="3" t="inlineStr">
        <is>
          <t>Assets</t>
        </is>
      </c>
      <c r="D632" s="3" t="inlineStr">
        <is>
          <t>8400/000</t>
        </is>
      </c>
      <c r="E632" s="3" t="inlineStr">
        <is>
          <t>RMB 62275138470</t>
        </is>
      </c>
      <c r="F632" s="3" t="n">
        <v>-26733.06</v>
      </c>
      <c r="G632" s="3" t="n">
        <v>12870.84</v>
      </c>
    </row>
    <row r="633">
      <c r="A633" s="3" t="inlineStr">
        <is>
          <t>Cape Projects Construction (Pty) Ltd</t>
        </is>
      </c>
      <c r="B633" s="4" t="n">
        <v>44592</v>
      </c>
      <c r="C633" s="3" t="inlineStr">
        <is>
          <t>Assets</t>
        </is>
      </c>
      <c r="D633" s="3" t="inlineStr">
        <is>
          <t>8410/000</t>
        </is>
      </c>
      <c r="E633" s="3" t="inlineStr">
        <is>
          <t>Petty Cash</t>
        </is>
      </c>
      <c r="F633" s="3" t="n">
        <v>960.1</v>
      </c>
      <c r="G633" s="3" t="n">
        <v>1006.8</v>
      </c>
    </row>
    <row r="634">
      <c r="A634" s="3" t="inlineStr">
        <is>
          <t>Cape Projects Construction (Pty) Ltd</t>
        </is>
      </c>
      <c r="B634" s="4" t="n">
        <v>44592</v>
      </c>
      <c r="C634" s="3" t="inlineStr">
        <is>
          <t>Assets</t>
        </is>
      </c>
      <c r="D634" s="3" t="inlineStr">
        <is>
          <t>8420/000</t>
        </is>
      </c>
      <c r="E634" s="3" t="inlineStr">
        <is>
          <t>Momentum Priv Acc RU502230981</t>
        </is>
      </c>
      <c r="F634" s="3" t="n">
        <v>1.98</v>
      </c>
      <c r="G634" s="3" t="n">
        <v>507.84</v>
      </c>
    </row>
    <row r="635">
      <c r="A635" s="3" t="inlineStr">
        <is>
          <t>Heron Fields (Pty) Ltd</t>
        </is>
      </c>
      <c r="B635" s="4" t="n">
        <v>44592</v>
      </c>
      <c r="C635" s="3" t="inlineStr">
        <is>
          <t>Assets</t>
        </is>
      </c>
      <c r="D635" s="3" t="inlineStr">
        <is>
          <t>8430/000</t>
        </is>
      </c>
      <c r="E635" s="3" t="inlineStr">
        <is>
          <t>Momentum Private Account RU502230151</t>
        </is>
      </c>
      <c r="F635" s="3" t="n">
        <v>-0.38</v>
      </c>
      <c r="G635" s="3" t="n">
        <v>779.47</v>
      </c>
    </row>
    <row r="636">
      <c r="A636" s="3" t="inlineStr">
        <is>
          <t>Heron Fields (Pty) Ltd</t>
        </is>
      </c>
      <c r="B636" s="4" t="n">
        <v>44592</v>
      </c>
      <c r="C636" s="3" t="inlineStr">
        <is>
          <t>Assets</t>
        </is>
      </c>
      <c r="D636" s="3" t="inlineStr">
        <is>
          <t>8440/000</t>
        </is>
      </c>
      <c r="E636" s="3" t="inlineStr">
        <is>
          <t>Momentum Investors Account RU502229930</t>
        </is>
      </c>
      <c r="F636" s="3" t="n">
        <v>-1677679.31</v>
      </c>
      <c r="G636" s="3" t="n">
        <v>7502655.8</v>
      </c>
    </row>
    <row r="637">
      <c r="A637" s="3" t="inlineStr">
        <is>
          <t>Cape Projects Construction (Pty) Ltd</t>
        </is>
      </c>
      <c r="B637" s="4" t="n">
        <v>44592</v>
      </c>
      <c r="C637" s="3" t="inlineStr">
        <is>
          <t>Liabilities</t>
        </is>
      </c>
      <c r="D637" s="3" t="inlineStr">
        <is>
          <t>860</t>
        </is>
      </c>
      <c r="E637" s="3" t="inlineStr">
        <is>
          <t>Rounding</t>
        </is>
      </c>
      <c r="F637" s="3" t="n">
        <v>0.01</v>
      </c>
      <c r="G637" s="3" t="n">
        <v>-0.01</v>
      </c>
    </row>
    <row r="638">
      <c r="A638" s="3" t="inlineStr">
        <is>
          <t>Heron Fields (Pty) Ltd</t>
        </is>
      </c>
      <c r="B638" s="4" t="n">
        <v>44592</v>
      </c>
      <c r="C638" s="3" t="inlineStr">
        <is>
          <t>Liabilities</t>
        </is>
      </c>
      <c r="D638" s="3" t="inlineStr">
        <is>
          <t>860</t>
        </is>
      </c>
      <c r="E638" s="3" t="inlineStr">
        <is>
          <t>Rounding</t>
        </is>
      </c>
      <c r="F638" s="3" t="n">
        <v>0</v>
      </c>
      <c r="G638" s="3" t="n">
        <v>0.01</v>
      </c>
    </row>
    <row r="639">
      <c r="A639" s="3" t="inlineStr">
        <is>
          <t>Cape Projects Construction (Pty) Ltd</t>
        </is>
      </c>
      <c r="B639" s="4" t="n">
        <v>44592</v>
      </c>
      <c r="C639" s="3" t="inlineStr">
        <is>
          <t>Liabilities</t>
        </is>
      </c>
      <c r="D639" s="3" t="inlineStr">
        <is>
          <t>9000/000</t>
        </is>
      </c>
      <c r="E639" s="3" t="inlineStr">
        <is>
          <t>Supplier Control Account</t>
        </is>
      </c>
      <c r="F639" s="3" t="n">
        <v>32778.03</v>
      </c>
      <c r="G639" s="3" t="n">
        <v>-1341008.76</v>
      </c>
    </row>
    <row r="640">
      <c r="A640" s="3" t="inlineStr">
        <is>
          <t>Heron Fields (Pty) Ltd</t>
        </is>
      </c>
      <c r="B640" s="4" t="n">
        <v>44592</v>
      </c>
      <c r="C640" s="3" t="inlineStr">
        <is>
          <t>Liabilities</t>
        </is>
      </c>
      <c r="D640" s="3" t="inlineStr">
        <is>
          <t>9000/000</t>
        </is>
      </c>
      <c r="E640" s="3" t="inlineStr">
        <is>
          <t>Supplier Control Account</t>
        </is>
      </c>
      <c r="F640" s="3" t="n">
        <v>728773</v>
      </c>
      <c r="G640" s="3" t="n">
        <v>-45827170.33</v>
      </c>
    </row>
    <row r="641">
      <c r="A641" s="3" t="inlineStr">
        <is>
          <t>Cape Projects Construction (Pty) Ltd</t>
        </is>
      </c>
      <c r="B641" s="4" t="n">
        <v>44592</v>
      </c>
      <c r="C641" s="3" t="inlineStr">
        <is>
          <t>Liabilities</t>
        </is>
      </c>
      <c r="D641" s="3" t="inlineStr">
        <is>
          <t>9250/010</t>
        </is>
      </c>
      <c r="E641" s="3" t="inlineStr">
        <is>
          <t>SALARY CONTROL</t>
        </is>
      </c>
      <c r="F641" s="3" t="n">
        <v>-5336.82</v>
      </c>
      <c r="G641" s="3" t="n">
        <v>-2336.82</v>
      </c>
    </row>
    <row r="642">
      <c r="A642" s="3" t="inlineStr">
        <is>
          <t>Cape Projects Construction (Pty) Ltd</t>
        </is>
      </c>
      <c r="B642" s="4" t="n">
        <v>44592</v>
      </c>
      <c r="C642" s="3" t="inlineStr">
        <is>
          <t>Liabilities</t>
        </is>
      </c>
      <c r="D642" s="3" t="inlineStr">
        <is>
          <t>9250/020</t>
        </is>
      </c>
      <c r="E642" s="3" t="inlineStr">
        <is>
          <t>PAYE, UIF AND SDL CONTROL</t>
        </is>
      </c>
      <c r="F642" s="3" t="n">
        <v>-4332.29</v>
      </c>
      <c r="G642" s="3" t="n">
        <v>-35960.62</v>
      </c>
    </row>
    <row r="643">
      <c r="A643" s="3" t="inlineStr">
        <is>
          <t>Cape Projects Construction (Pty) Ltd</t>
        </is>
      </c>
      <c r="B643" s="4" t="n">
        <v>44592</v>
      </c>
      <c r="C643" s="3" t="inlineStr">
        <is>
          <t>Liabilities</t>
        </is>
      </c>
      <c r="D643" s="3" t="inlineStr">
        <is>
          <t>9250/030</t>
        </is>
      </c>
      <c r="E643" s="3" t="inlineStr">
        <is>
          <t>BIBC CONTROL</t>
        </is>
      </c>
      <c r="F643" s="3" t="n">
        <v>-204.56</v>
      </c>
      <c r="G643" s="3" t="n">
        <v>-204.56</v>
      </c>
    </row>
    <row r="644">
      <c r="A644" s="3" t="inlineStr">
        <is>
          <t>Cape Projects Construction (Pty) Ltd</t>
        </is>
      </c>
      <c r="B644" s="4" t="n">
        <v>44592</v>
      </c>
      <c r="C644" s="3" t="inlineStr">
        <is>
          <t>Liabilities</t>
        </is>
      </c>
      <c r="D644" s="3" t="inlineStr">
        <is>
          <t>9500/000</t>
        </is>
      </c>
      <c r="E644" s="3" t="inlineStr">
        <is>
          <t>VAT Control Account</t>
        </is>
      </c>
      <c r="F644" s="3" t="n">
        <v>-47934.75</v>
      </c>
      <c r="G644" s="3" t="n">
        <v>-739830.77</v>
      </c>
    </row>
    <row r="645">
      <c r="A645" s="3" t="inlineStr">
        <is>
          <t>Heron Fields (Pty) Ltd</t>
        </is>
      </c>
      <c r="B645" s="4" t="n">
        <v>44592</v>
      </c>
      <c r="C645" s="3" t="inlineStr">
        <is>
          <t>Liabilities</t>
        </is>
      </c>
      <c r="D645" s="3" t="inlineStr">
        <is>
          <t>9500/000</t>
        </is>
      </c>
      <c r="E645" s="3" t="inlineStr">
        <is>
          <t>Vat / Tax Control Account</t>
        </is>
      </c>
      <c r="F645" s="3" t="n">
        <v>-193835.89</v>
      </c>
      <c r="G645" s="3" t="n">
        <v>785539.05</v>
      </c>
    </row>
    <row r="646">
      <c r="A646" s="3" t="inlineStr">
        <is>
          <t>Cape Projects Construction (Pty) Ltd</t>
        </is>
      </c>
      <c r="B646" s="4" t="n">
        <v>44592</v>
      </c>
      <c r="C646" s="3" t="inlineStr">
        <is>
          <t>Liabilities</t>
        </is>
      </c>
      <c r="D646" s="3" t="inlineStr">
        <is>
          <t>B/S</t>
        </is>
      </c>
      <c r="E646" s="3" t="inlineStr">
        <is>
          <t>Taxation Payable</t>
        </is>
      </c>
      <c r="F646" s="3" t="n">
        <v>-5260.33</v>
      </c>
      <c r="G646" s="3" t="n">
        <v>2487.82</v>
      </c>
    </row>
    <row r="647">
      <c r="A647" s="3" t="inlineStr">
        <is>
          <t>Cape Projects Construction (Pty) Ltd</t>
        </is>
      </c>
      <c r="B647" s="4" t="n">
        <v>44592</v>
      </c>
      <c r="C647" s="3" t="inlineStr">
        <is>
          <t>Liabilities</t>
        </is>
      </c>
      <c r="D647" s="3" t="inlineStr">
        <is>
          <t>TEMP/ACC</t>
        </is>
      </c>
      <c r="E647" s="3" t="inlineStr">
        <is>
          <t>Conversion Account</t>
        </is>
      </c>
      <c r="F647" s="3" t="n">
        <v>0</v>
      </c>
      <c r="G647" s="3" t="n">
        <v>-254.99</v>
      </c>
    </row>
    <row r="648">
      <c r="A648" s="3" t="inlineStr">
        <is>
          <t>Cape Projects Construction (Pty) Ltd</t>
        </is>
      </c>
      <c r="B648" s="4" t="n">
        <v>44620</v>
      </c>
      <c r="C648" s="3" t="inlineStr">
        <is>
          <t>Revenue</t>
        </is>
      </c>
      <c r="D648" s="3" t="inlineStr">
        <is>
          <t>1040/100</t>
        </is>
      </c>
      <c r="E648" s="3" t="inlineStr">
        <is>
          <t>Fees - Construction - Heron</t>
        </is>
      </c>
      <c r="F648" s="3" t="n">
        <v>-86725.09</v>
      </c>
      <c r="G648" s="3" t="n">
        <v>-160638.13</v>
      </c>
    </row>
    <row r="649">
      <c r="A649" s="3" t="inlineStr">
        <is>
          <t>Cape Projects Construction (Pty) Ltd</t>
        </is>
      </c>
      <c r="B649" s="4" t="n">
        <v>44620</v>
      </c>
      <c r="C649" s="3" t="inlineStr">
        <is>
          <t>Revenue</t>
        </is>
      </c>
      <c r="D649" s="3" t="inlineStr">
        <is>
          <t>1050/030</t>
        </is>
      </c>
      <c r="E649" s="3" t="inlineStr">
        <is>
          <t>Fees - Construction - Endulini</t>
        </is>
      </c>
      <c r="F649" s="3" t="n">
        <v>-2841528.05</v>
      </c>
      <c r="G649" s="3" t="n">
        <v>-17741366.12</v>
      </c>
    </row>
    <row r="650">
      <c r="A650" s="3" t="inlineStr">
        <is>
          <t>Cape Projects Construction (Pty) Ltd</t>
        </is>
      </c>
      <c r="B650" s="4" t="n">
        <v>44620</v>
      </c>
      <c r="C650" s="3" t="inlineStr">
        <is>
          <t>Revenue</t>
        </is>
      </c>
      <c r="D650" s="3" t="inlineStr">
        <is>
          <t>1050/032</t>
        </is>
      </c>
      <c r="E650" s="3" t="inlineStr">
        <is>
          <t>Fees - Construction - Endulini P and G</t>
        </is>
      </c>
      <c r="F650" s="3" t="n">
        <v>-483764.47</v>
      </c>
      <c r="G650" s="3" t="n">
        <v>-2966308.21</v>
      </c>
    </row>
    <row r="651">
      <c r="A651" s="3" t="inlineStr">
        <is>
          <t>Cape Projects Construction (Pty) Ltd</t>
        </is>
      </c>
      <c r="B651" s="4" t="n">
        <v>44620</v>
      </c>
      <c r="C651" s="3" t="inlineStr">
        <is>
          <t>Revenue</t>
        </is>
      </c>
      <c r="D651" s="3" t="inlineStr">
        <is>
          <t>1060/000</t>
        </is>
      </c>
      <c r="E651" s="3" t="inlineStr">
        <is>
          <t>Insurance recovery</t>
        </is>
      </c>
      <c r="F651" s="3" t="n">
        <v>0</v>
      </c>
      <c r="G651" s="3" t="n">
        <v>387.08</v>
      </c>
    </row>
    <row r="652">
      <c r="A652" s="3" t="inlineStr">
        <is>
          <t>Cape Projects Construction (Pty) Ltd</t>
        </is>
      </c>
      <c r="B652" s="4" t="n">
        <v>44620</v>
      </c>
      <c r="C652" s="3" t="inlineStr">
        <is>
          <t>Revenue</t>
        </is>
      </c>
      <c r="D652" s="3" t="inlineStr">
        <is>
          <t>1070/000</t>
        </is>
      </c>
      <c r="E652" s="3" t="inlineStr">
        <is>
          <t>Rent - CT Office</t>
        </is>
      </c>
      <c r="F652" s="3" t="n">
        <v>-3490.94</v>
      </c>
      <c r="G652" s="3" t="n">
        <v>-10472.82</v>
      </c>
    </row>
    <row r="653">
      <c r="A653" s="3" t="inlineStr">
        <is>
          <t>Heron Fields (Pty) Ltd</t>
        </is>
      </c>
      <c r="B653" s="4" t="n">
        <v>44620</v>
      </c>
      <c r="C653" s="3" t="inlineStr">
        <is>
          <t>Revenue</t>
        </is>
      </c>
      <c r="D653" s="3" t="inlineStr">
        <is>
          <t>1500/001</t>
        </is>
      </c>
      <c r="E653" s="3" t="inlineStr">
        <is>
          <t>Revaluation of Land</t>
        </is>
      </c>
      <c r="F653" s="3" t="n">
        <v>2150682.83</v>
      </c>
      <c r="G653" s="3" t="n">
        <v>-17562360.85</v>
      </c>
    </row>
    <row r="654">
      <c r="A654" s="3" t="inlineStr">
        <is>
          <t>Heron Fields (Pty) Ltd</t>
        </is>
      </c>
      <c r="B654" s="4" t="n">
        <v>44620</v>
      </c>
      <c r="C654" s="3" t="inlineStr">
        <is>
          <t>Expenses</t>
        </is>
      </c>
      <c r="D654" s="3" t="inlineStr">
        <is>
          <t>2000/020</t>
        </is>
      </c>
      <c r="E654" s="3" t="inlineStr">
        <is>
          <t>COS - Heron sales office</t>
        </is>
      </c>
      <c r="F654" s="3" t="n">
        <v>0</v>
      </c>
      <c r="G654" s="3" t="n">
        <v>9814</v>
      </c>
    </row>
    <row r="655">
      <c r="A655" s="3" t="inlineStr">
        <is>
          <t>Cape Projects Construction (Pty) Ltd</t>
        </is>
      </c>
      <c r="B655" s="4" t="n">
        <v>44620</v>
      </c>
      <c r="C655" s="3" t="inlineStr">
        <is>
          <t>Expenses</t>
        </is>
      </c>
      <c r="D655" s="3" t="inlineStr">
        <is>
          <t>2001/043</t>
        </is>
      </c>
      <c r="E655" s="3" t="inlineStr">
        <is>
          <t>COS - Site Establishment - Consumables</t>
        </is>
      </c>
      <c r="F655" s="3" t="n">
        <v>0</v>
      </c>
      <c r="G655" s="3" t="n">
        <v>1207.35</v>
      </c>
    </row>
    <row r="656">
      <c r="A656" s="3" t="inlineStr">
        <is>
          <t>Cape Projects Construction (Pty) Ltd</t>
        </is>
      </c>
      <c r="B656" s="4" t="n">
        <v>44620</v>
      </c>
      <c r="C656" s="3" t="inlineStr">
        <is>
          <t>Expenses</t>
        </is>
      </c>
      <c r="D656" s="3" t="inlineStr">
        <is>
          <t>2001/048</t>
        </is>
      </c>
      <c r="E656" s="3" t="inlineStr">
        <is>
          <t>COS - Site Establishment Water Pump</t>
        </is>
      </c>
      <c r="F656" s="3" t="n">
        <v>0</v>
      </c>
      <c r="G656" s="3" t="n">
        <v>4850</v>
      </c>
    </row>
    <row r="657">
      <c r="A657" s="3" t="inlineStr">
        <is>
          <t>Cape Projects Construction (Pty) Ltd</t>
        </is>
      </c>
      <c r="B657" s="4" t="n">
        <v>44620</v>
      </c>
      <c r="C657" s="3" t="inlineStr">
        <is>
          <t>Expenses</t>
        </is>
      </c>
      <c r="D657" s="3" t="inlineStr">
        <is>
          <t>2001/109</t>
        </is>
      </c>
      <c r="E657" s="3" t="inlineStr">
        <is>
          <t>COS - Site Labour Labourers</t>
        </is>
      </c>
      <c r="F657" s="3" t="n">
        <v>0</v>
      </c>
      <c r="G657" s="3" t="n">
        <v>3900</v>
      </c>
    </row>
    <row r="658">
      <c r="A658" s="3" t="inlineStr">
        <is>
          <t>Cape Projects Construction (Pty) Ltd</t>
        </is>
      </c>
      <c r="B658" s="4" t="n">
        <v>44620</v>
      </c>
      <c r="C658" s="3" t="inlineStr">
        <is>
          <t>Expenses</t>
        </is>
      </c>
      <c r="D658" s="3" t="inlineStr">
        <is>
          <t>2005/200</t>
        </is>
      </c>
      <c r="E658" s="3" t="inlineStr">
        <is>
          <t>COS - External Works</t>
        </is>
      </c>
      <c r="F658" s="3" t="n">
        <v>9290</v>
      </c>
      <c r="G658" s="3" t="n">
        <v>9290</v>
      </c>
    </row>
    <row r="659">
      <c r="A659" s="3" t="inlineStr">
        <is>
          <t>Cape Projects Construction (Pty) Ltd</t>
        </is>
      </c>
      <c r="B659" s="4" t="n">
        <v>44620</v>
      </c>
      <c r="C659" s="3" t="inlineStr">
        <is>
          <t>Expenses</t>
        </is>
      </c>
      <c r="D659" s="3" t="inlineStr">
        <is>
          <t>2006/000</t>
        </is>
      </c>
      <c r="E659" s="3" t="inlineStr">
        <is>
          <t>COS - Endulini Construction</t>
        </is>
      </c>
      <c r="F659" s="3" t="n">
        <v>2059518.81</v>
      </c>
      <c r="G659" s="3" t="n">
        <v>15328368.1</v>
      </c>
    </row>
    <row r="660">
      <c r="A660" s="3" t="inlineStr">
        <is>
          <t>Cape Projects Construction (Pty) Ltd</t>
        </is>
      </c>
      <c r="B660" s="4" t="n">
        <v>44620</v>
      </c>
      <c r="C660" s="3" t="inlineStr">
        <is>
          <t>Expenses</t>
        </is>
      </c>
      <c r="D660" s="3" t="inlineStr">
        <is>
          <t>2006/100</t>
        </is>
      </c>
      <c r="E660" s="3" t="inlineStr">
        <is>
          <t>COS - Endulini P and G</t>
        </is>
      </c>
      <c r="F660" s="3" t="n">
        <v>49740.59</v>
      </c>
      <c r="G660" s="3" t="n">
        <v>399319.19</v>
      </c>
    </row>
    <row r="661">
      <c r="A661" s="3" t="inlineStr">
        <is>
          <t>Cape Projects Construction (Pty) Ltd</t>
        </is>
      </c>
      <c r="B661" s="4" t="n">
        <v>44620</v>
      </c>
      <c r="C661" s="3" t="inlineStr">
        <is>
          <t>Expenses</t>
        </is>
      </c>
      <c r="D661" s="3" t="inlineStr">
        <is>
          <t>2006/200</t>
        </is>
      </c>
      <c r="E661" s="3" t="inlineStr">
        <is>
          <t>COS - Insurance</t>
        </is>
      </c>
      <c r="F661" s="3" t="n">
        <v>2867.1</v>
      </c>
      <c r="G661" s="3" t="n">
        <v>20069.65</v>
      </c>
    </row>
    <row r="662">
      <c r="A662" s="3" t="inlineStr">
        <is>
          <t>Cape Projects Construction (Pty) Ltd</t>
        </is>
      </c>
      <c r="B662" s="4" t="n">
        <v>44620</v>
      </c>
      <c r="C662" s="3" t="inlineStr">
        <is>
          <t>Expenses</t>
        </is>
      </c>
      <c r="D662" s="3" t="inlineStr">
        <is>
          <t>2006/300</t>
        </is>
      </c>
      <c r="E662" s="3" t="inlineStr">
        <is>
          <t>COS - Endulini - Printing &amp; Stationary</t>
        </is>
      </c>
      <c r="F662" s="3" t="n">
        <v>292.58</v>
      </c>
      <c r="G662" s="3" t="n">
        <v>1121.02</v>
      </c>
    </row>
    <row r="663">
      <c r="A663" s="3" t="inlineStr">
        <is>
          <t>Cape Projects Construction (Pty) Ltd</t>
        </is>
      </c>
      <c r="B663" s="4" t="n">
        <v>44620</v>
      </c>
      <c r="C663" s="3" t="inlineStr">
        <is>
          <t>Expenses</t>
        </is>
      </c>
      <c r="D663" s="3" t="inlineStr">
        <is>
          <t>2006/350</t>
        </is>
      </c>
      <c r="E663" s="3" t="inlineStr">
        <is>
          <t>COS - Endulini - Security</t>
        </is>
      </c>
      <c r="F663" s="3" t="n">
        <v>42509.65</v>
      </c>
      <c r="G663" s="3" t="n">
        <v>92009.64999999999</v>
      </c>
    </row>
    <row r="664">
      <c r="A664" s="3" t="inlineStr">
        <is>
          <t>Cape Projects Construction (Pty) Ltd</t>
        </is>
      </c>
      <c r="B664" s="4" t="n">
        <v>44620</v>
      </c>
      <c r="C664" s="3" t="inlineStr">
        <is>
          <t>Expenses</t>
        </is>
      </c>
      <c r="D664" s="3" t="inlineStr">
        <is>
          <t>2006/400</t>
        </is>
      </c>
      <c r="E664" s="3" t="inlineStr">
        <is>
          <t>COS - Endulini - Health &amp; Safety</t>
        </is>
      </c>
      <c r="F664" s="3" t="n">
        <v>3655</v>
      </c>
      <c r="G664" s="3" t="n">
        <v>38828.36</v>
      </c>
    </row>
    <row r="665">
      <c r="A665" s="3" t="inlineStr">
        <is>
          <t>Cape Projects Construction (Pty) Ltd</t>
        </is>
      </c>
      <c r="B665" s="4" t="n">
        <v>44620</v>
      </c>
      <c r="C665" s="3" t="inlineStr">
        <is>
          <t>Expenses</t>
        </is>
      </c>
      <c r="D665" s="3" t="inlineStr">
        <is>
          <t>2006/500</t>
        </is>
      </c>
      <c r="E665" s="3" t="inlineStr">
        <is>
          <t>COS - Endulini - Small Assets</t>
        </is>
      </c>
      <c r="F665" s="3" t="n">
        <v>1951.3</v>
      </c>
      <c r="G665" s="3" t="n">
        <v>15796.19</v>
      </c>
    </row>
    <row r="666">
      <c r="A666" s="3" t="inlineStr">
        <is>
          <t>Cape Projects Construction (Pty) Ltd</t>
        </is>
      </c>
      <c r="B666" s="4" t="n">
        <v>44620</v>
      </c>
      <c r="C666" s="3" t="inlineStr">
        <is>
          <t>Expenses</t>
        </is>
      </c>
      <c r="D666" s="3" t="inlineStr">
        <is>
          <t>2006/550</t>
        </is>
      </c>
      <c r="E666" s="3" t="inlineStr">
        <is>
          <t>COS - Endulini - Cleaning</t>
        </is>
      </c>
      <c r="F666" s="3" t="n">
        <v>0</v>
      </c>
      <c r="G666" s="3" t="n">
        <v>15000</v>
      </c>
    </row>
    <row r="667">
      <c r="A667" s="3" t="inlineStr">
        <is>
          <t>Cape Projects Construction (Pty) Ltd</t>
        </is>
      </c>
      <c r="B667" s="4" t="n">
        <v>44620</v>
      </c>
      <c r="C667" s="3" t="inlineStr">
        <is>
          <t>Expenses</t>
        </is>
      </c>
      <c r="D667" s="3" t="inlineStr">
        <is>
          <t>2006/600</t>
        </is>
      </c>
      <c r="E667" s="3" t="inlineStr">
        <is>
          <t>COS - Endulini - Consumables</t>
        </is>
      </c>
      <c r="F667" s="3" t="n">
        <v>0</v>
      </c>
      <c r="G667" s="3" t="n">
        <v>691.29</v>
      </c>
    </row>
    <row r="668">
      <c r="A668" s="3" t="inlineStr">
        <is>
          <t>Cape Projects Construction (Pty) Ltd</t>
        </is>
      </c>
      <c r="B668" s="4" t="n">
        <v>44620</v>
      </c>
      <c r="C668" s="3" t="inlineStr">
        <is>
          <t>Expenses</t>
        </is>
      </c>
      <c r="D668" s="3" t="inlineStr">
        <is>
          <t>2006/700</t>
        </is>
      </c>
      <c r="E668" s="3" t="inlineStr">
        <is>
          <t>COS - Endulini - Fuel</t>
        </is>
      </c>
      <c r="F668" s="3" t="n">
        <v>6701.2</v>
      </c>
      <c r="G668" s="3" t="n">
        <v>27618.92</v>
      </c>
    </row>
    <row r="669">
      <c r="A669" s="3" t="inlineStr">
        <is>
          <t>Cape Projects Construction (Pty) Ltd</t>
        </is>
      </c>
      <c r="B669" s="4" t="n">
        <v>44620</v>
      </c>
      <c r="C669" s="3" t="inlineStr">
        <is>
          <t>Expenses</t>
        </is>
      </c>
      <c r="D669" s="3" t="inlineStr">
        <is>
          <t>2006/800</t>
        </is>
      </c>
      <c r="E669" s="3" t="inlineStr">
        <is>
          <t>COS - Endulini - Telephone &amp; Internet</t>
        </is>
      </c>
      <c r="F669" s="3" t="n">
        <v>3763.85</v>
      </c>
      <c r="G669" s="3" t="n">
        <v>10101.06</v>
      </c>
    </row>
    <row r="670">
      <c r="A670" s="3" t="inlineStr">
        <is>
          <t>Cape Projects Construction (Pty) Ltd</t>
        </is>
      </c>
      <c r="B670" s="4" t="n">
        <v>44620</v>
      </c>
      <c r="C670" s="3" t="inlineStr">
        <is>
          <t>Expenses</t>
        </is>
      </c>
      <c r="D670" s="3" t="inlineStr">
        <is>
          <t>2006/900</t>
        </is>
      </c>
      <c r="E670" s="3" t="inlineStr">
        <is>
          <t>COS - Endulini - Site Labour</t>
        </is>
      </c>
      <c r="F670" s="3" t="n">
        <v>0</v>
      </c>
      <c r="G670" s="3" t="n">
        <v>24820</v>
      </c>
    </row>
    <row r="671">
      <c r="A671" s="3" t="inlineStr">
        <is>
          <t>Cape Projects Construction (Pty) Ltd</t>
        </is>
      </c>
      <c r="B671" s="4" t="n">
        <v>44620</v>
      </c>
      <c r="C671" s="3" t="inlineStr">
        <is>
          <t>Expenses</t>
        </is>
      </c>
      <c r="D671" s="3" t="inlineStr">
        <is>
          <t>2007/000</t>
        </is>
      </c>
      <c r="E671" s="3" t="inlineStr">
        <is>
          <t>COS - Repairs &amp; Maintenance - SW Southwark</t>
        </is>
      </c>
      <c r="F671" s="3" t="n">
        <v>0</v>
      </c>
      <c r="G671" s="3" t="n">
        <v>24889.96</v>
      </c>
    </row>
    <row r="672">
      <c r="A672" s="3" t="inlineStr">
        <is>
          <t>Cape Projects Construction (Pty) Ltd</t>
        </is>
      </c>
      <c r="B672" s="4" t="n">
        <v>44620</v>
      </c>
      <c r="C672" s="3" t="inlineStr">
        <is>
          <t>Expenses</t>
        </is>
      </c>
      <c r="D672" s="3" t="inlineStr">
        <is>
          <t>2009/000</t>
        </is>
      </c>
      <c r="E672" s="3" t="inlineStr">
        <is>
          <t>COS - Repairs &amp; Maintenance - Endulini Sales Office</t>
        </is>
      </c>
      <c r="F672" s="3" t="n">
        <v>0</v>
      </c>
      <c r="G672" s="3" t="n">
        <v>2783.31</v>
      </c>
    </row>
    <row r="673">
      <c r="A673" s="3" t="inlineStr">
        <is>
          <t>Cape Projects Construction (Pty) Ltd</t>
        </is>
      </c>
      <c r="B673" s="4" t="n">
        <v>44620</v>
      </c>
      <c r="C673" s="3" t="inlineStr">
        <is>
          <t>Expenses</t>
        </is>
      </c>
      <c r="D673" s="3" t="inlineStr">
        <is>
          <t>2010/000</t>
        </is>
      </c>
      <c r="E673" s="3" t="inlineStr">
        <is>
          <t>COS - Repairs &amp; Maintenance - Heron Sales Office</t>
        </is>
      </c>
      <c r="F673" s="3" t="n">
        <v>0</v>
      </c>
      <c r="G673" s="3" t="n">
        <v>15997.39</v>
      </c>
    </row>
    <row r="674">
      <c r="A674" s="3" t="inlineStr">
        <is>
          <t>Cape Projects Construction (Pty) Ltd</t>
        </is>
      </c>
      <c r="B674" s="4" t="n">
        <v>44620</v>
      </c>
      <c r="C674" s="3" t="inlineStr">
        <is>
          <t>Expenses</t>
        </is>
      </c>
      <c r="D674" s="3" t="inlineStr">
        <is>
          <t>2011/100</t>
        </is>
      </c>
      <c r="E674" s="3" t="inlineStr">
        <is>
          <t>COS - Heron Fields - Garden Services</t>
        </is>
      </c>
      <c r="F674" s="3" t="n">
        <v>0</v>
      </c>
      <c r="G674" s="3" t="n">
        <v>450</v>
      </c>
    </row>
    <row r="675">
      <c r="A675" s="3" t="inlineStr">
        <is>
          <t>Cape Projects Construction (Pty) Ltd</t>
        </is>
      </c>
      <c r="B675" s="4" t="n">
        <v>44620</v>
      </c>
      <c r="C675" s="3" t="inlineStr">
        <is>
          <t>Expenses</t>
        </is>
      </c>
      <c r="D675" s="3" t="inlineStr">
        <is>
          <t>2011/200</t>
        </is>
      </c>
      <c r="E675" s="3" t="inlineStr">
        <is>
          <t>COS - Heron Fields - Labourers</t>
        </is>
      </c>
      <c r="F675" s="3" t="n">
        <v>4400</v>
      </c>
      <c r="G675" s="3" t="n">
        <v>8350</v>
      </c>
    </row>
    <row r="676">
      <c r="A676" s="3" t="inlineStr">
        <is>
          <t>Cape Projects Construction (Pty) Ltd</t>
        </is>
      </c>
      <c r="B676" s="4" t="n">
        <v>44620</v>
      </c>
      <c r="C676" s="3" t="inlineStr">
        <is>
          <t>Expenses</t>
        </is>
      </c>
      <c r="D676" s="3" t="inlineStr">
        <is>
          <t>2011/300</t>
        </is>
      </c>
      <c r="E676" s="3" t="inlineStr">
        <is>
          <t>COS - Heron Fields - Printing &amp; Stationary</t>
        </is>
      </c>
      <c r="F676" s="3" t="n">
        <v>1793.11</v>
      </c>
      <c r="G676" s="3" t="n">
        <v>2693.11</v>
      </c>
    </row>
    <row r="677">
      <c r="A677" s="3" t="inlineStr">
        <is>
          <t>Cape Projects Construction (Pty) Ltd</t>
        </is>
      </c>
      <c r="B677" s="4" t="n">
        <v>44620</v>
      </c>
      <c r="C677" s="3" t="inlineStr">
        <is>
          <t>Expenses</t>
        </is>
      </c>
      <c r="D677" s="3" t="inlineStr">
        <is>
          <t>2011/400</t>
        </is>
      </c>
      <c r="E677" s="3" t="inlineStr">
        <is>
          <t>COS - Heron - Sales office Staff refreshments</t>
        </is>
      </c>
      <c r="F677" s="3" t="n">
        <v>0</v>
      </c>
      <c r="G677" s="3" t="n">
        <v>2233.79</v>
      </c>
    </row>
    <row r="678">
      <c r="A678" s="3" t="inlineStr">
        <is>
          <t>Cape Projects Construction (Pty) Ltd</t>
        </is>
      </c>
      <c r="B678" s="4" t="n">
        <v>44620</v>
      </c>
      <c r="C678" s="3" t="inlineStr">
        <is>
          <t>Expenses</t>
        </is>
      </c>
      <c r="D678" s="3" t="inlineStr">
        <is>
          <t>2011/500</t>
        </is>
      </c>
      <c r="E678" s="3" t="inlineStr">
        <is>
          <t>COS - Heron Fields - Construction</t>
        </is>
      </c>
      <c r="F678" s="3" t="n">
        <v>124636.84</v>
      </c>
      <c r="G678" s="3" t="n">
        <v>154088.35</v>
      </c>
    </row>
    <row r="679">
      <c r="A679" s="3" t="inlineStr">
        <is>
          <t>Cape Projects Construction (Pty) Ltd</t>
        </is>
      </c>
      <c r="B679" s="4" t="n">
        <v>44620</v>
      </c>
      <c r="C679" s="3" t="inlineStr">
        <is>
          <t>Expenses</t>
        </is>
      </c>
      <c r="D679" s="3" t="inlineStr">
        <is>
          <t>2011/600</t>
        </is>
      </c>
      <c r="E679" s="3" t="inlineStr">
        <is>
          <t>COS - Heron Fields - P &amp; G</t>
        </is>
      </c>
      <c r="F679" s="3" t="n">
        <v>43190.56</v>
      </c>
      <c r="G679" s="3" t="n">
        <v>68008.83</v>
      </c>
    </row>
    <row r="680">
      <c r="A680" s="3" t="inlineStr">
        <is>
          <t>Cape Projects Construction (Pty) Ltd</t>
        </is>
      </c>
      <c r="B680" s="4" t="n">
        <v>44620</v>
      </c>
      <c r="C680" s="3" t="inlineStr">
        <is>
          <t>Expenses</t>
        </is>
      </c>
      <c r="D680" s="3" t="inlineStr">
        <is>
          <t>2011/700</t>
        </is>
      </c>
      <c r="E680" s="3" t="inlineStr">
        <is>
          <t>COS - Heron Fields - Health &amp; Safety</t>
        </is>
      </c>
      <c r="F680" s="3" t="n">
        <v>5331.45</v>
      </c>
      <c r="G680" s="3" t="n">
        <v>8516.610000000001</v>
      </c>
    </row>
    <row r="681">
      <c r="A681" s="3" t="inlineStr">
        <is>
          <t>Cape Projects Construction (Pty) Ltd</t>
        </is>
      </c>
      <c r="B681" s="4" t="n">
        <v>44620</v>
      </c>
      <c r="C681" s="3" t="inlineStr">
        <is>
          <t>Expenses</t>
        </is>
      </c>
      <c r="D681" s="3" t="inlineStr">
        <is>
          <t>2011/900</t>
        </is>
      </c>
      <c r="E681" s="3" t="inlineStr">
        <is>
          <t>COS - Heron - Internet</t>
        </is>
      </c>
      <c r="F681" s="3" t="n">
        <v>1085.22</v>
      </c>
      <c r="G681" s="3" t="n">
        <v>1085.22</v>
      </c>
    </row>
    <row r="682">
      <c r="A682" s="3" t="inlineStr">
        <is>
          <t>Cape Projects Construction (Pty) Ltd</t>
        </is>
      </c>
      <c r="B682" s="4" t="n">
        <v>44620</v>
      </c>
      <c r="C682" s="3" t="inlineStr">
        <is>
          <t>Revenue</t>
        </is>
      </c>
      <c r="D682" s="3" t="inlineStr">
        <is>
          <t>2700/000</t>
        </is>
      </c>
      <c r="E682" s="3" t="inlineStr">
        <is>
          <t>Discount Received for Cash</t>
        </is>
      </c>
      <c r="F682" s="3" t="n">
        <v>0</v>
      </c>
      <c r="G682" s="3" t="n">
        <v>4.36</v>
      </c>
    </row>
    <row r="683">
      <c r="A683" s="3" t="inlineStr">
        <is>
          <t>Cape Projects Construction (Pty) Ltd</t>
        </is>
      </c>
      <c r="B683" s="4" t="n">
        <v>44620</v>
      </c>
      <c r="C683" s="3" t="inlineStr">
        <is>
          <t>Expenses</t>
        </is>
      </c>
      <c r="D683" s="3" t="inlineStr">
        <is>
          <t>2700/100</t>
        </is>
      </c>
      <c r="E683" s="3" t="inlineStr">
        <is>
          <t>COS - Southwark - Printing</t>
        </is>
      </c>
      <c r="F683" s="3" t="n">
        <v>0</v>
      </c>
      <c r="G683" s="3" t="n">
        <v>83.48</v>
      </c>
    </row>
    <row r="684">
      <c r="A684" s="3" t="inlineStr">
        <is>
          <t>Cape Projects Construction (Pty) Ltd</t>
        </is>
      </c>
      <c r="B684" s="4" t="n">
        <v>44620</v>
      </c>
      <c r="C684" s="3" t="inlineStr">
        <is>
          <t>Revenue</t>
        </is>
      </c>
      <c r="D684" s="3" t="inlineStr">
        <is>
          <t>2751/001</t>
        </is>
      </c>
      <c r="E684" s="3" t="inlineStr">
        <is>
          <t>Interest received - Momentum</t>
        </is>
      </c>
      <c r="F684" s="3" t="n">
        <v>-1.8</v>
      </c>
      <c r="G684" s="3" t="n">
        <v>-9.640000000000001</v>
      </c>
    </row>
    <row r="685">
      <c r="A685" s="3" t="inlineStr">
        <is>
          <t>Heron Fields (Pty) Ltd</t>
        </is>
      </c>
      <c r="B685" s="4" t="n">
        <v>44620</v>
      </c>
      <c r="C685" s="3" t="inlineStr">
        <is>
          <t>Revenue</t>
        </is>
      </c>
      <c r="D685" s="3" t="inlineStr">
        <is>
          <t>2753/001</t>
        </is>
      </c>
      <c r="E685" s="3" t="inlineStr">
        <is>
          <t>Interest Received - Deposit Grey Heron</t>
        </is>
      </c>
      <c r="F685" s="3" t="n">
        <v>0</v>
      </c>
      <c r="G685" s="3" t="n">
        <v>-1245</v>
      </c>
    </row>
    <row r="686">
      <c r="A686" s="3" t="inlineStr">
        <is>
          <t>Heron Fields (Pty) Ltd</t>
        </is>
      </c>
      <c r="B686" s="4" t="n">
        <v>44620</v>
      </c>
      <c r="C686" s="3" t="inlineStr">
        <is>
          <t>Revenue</t>
        </is>
      </c>
      <c r="D686" s="3" t="inlineStr">
        <is>
          <t>2754/001</t>
        </is>
      </c>
      <c r="E686" s="3" t="inlineStr">
        <is>
          <t>Interest Received - STBB Trust Account</t>
        </is>
      </c>
      <c r="F686" s="3" t="n">
        <v>0</v>
      </c>
      <c r="G686" s="3" t="n">
        <v>-149149.4</v>
      </c>
    </row>
    <row r="687">
      <c r="A687" s="3" t="inlineStr">
        <is>
          <t>Heron Fields (Pty) Ltd</t>
        </is>
      </c>
      <c r="B687" s="4" t="n">
        <v>44620</v>
      </c>
      <c r="C687" s="3" t="inlineStr">
        <is>
          <t>Revenue</t>
        </is>
      </c>
      <c r="D687" s="3" t="inlineStr">
        <is>
          <t>2755/001</t>
        </is>
      </c>
      <c r="E687" s="3" t="inlineStr">
        <is>
          <t>Interest Received - Momentum</t>
        </is>
      </c>
      <c r="F687" s="3" t="n">
        <v>-17929.61</v>
      </c>
      <c r="G687" s="3" t="n">
        <v>-158992.44</v>
      </c>
    </row>
    <row r="688">
      <c r="A688" s="3" t="inlineStr">
        <is>
          <t>Heron Fields (Pty) Ltd</t>
        </is>
      </c>
      <c r="B688" s="4" t="n">
        <v>44620</v>
      </c>
      <c r="C688" s="3" t="inlineStr">
        <is>
          <t>Expenses</t>
        </is>
      </c>
      <c r="D688" s="3" t="inlineStr">
        <is>
          <t>3000/100</t>
        </is>
      </c>
      <c r="E688" s="3" t="inlineStr">
        <is>
          <t>Accounting - CIPC</t>
        </is>
      </c>
      <c r="F688" s="3" t="n">
        <v>0</v>
      </c>
      <c r="G688" s="3" t="n">
        <v>100</v>
      </c>
    </row>
    <row r="689">
      <c r="A689" s="3" t="inlineStr">
        <is>
          <t>Cape Projects Construction (Pty) Ltd</t>
        </is>
      </c>
      <c r="B689" s="4" t="n">
        <v>44620</v>
      </c>
      <c r="C689" s="3" t="inlineStr">
        <is>
          <t>Expenses</t>
        </is>
      </c>
      <c r="D689" s="3" t="inlineStr">
        <is>
          <t>3001/000</t>
        </is>
      </c>
      <c r="E689" s="3" t="inlineStr">
        <is>
          <t>Accounting Fees - Other</t>
        </is>
      </c>
      <c r="F689" s="3" t="n">
        <v>0</v>
      </c>
      <c r="G689" s="3" t="n">
        <v>2215</v>
      </c>
    </row>
    <row r="690">
      <c r="A690" s="3" t="inlineStr">
        <is>
          <t>Cape Projects Construction (Pty) Ltd</t>
        </is>
      </c>
      <c r="B690" s="4" t="n">
        <v>44620</v>
      </c>
      <c r="C690" s="3" t="inlineStr">
        <is>
          <t>Expenses</t>
        </is>
      </c>
      <c r="D690" s="3" t="inlineStr">
        <is>
          <t>3002/000</t>
        </is>
      </c>
      <c r="E690" s="3" t="inlineStr">
        <is>
          <t>Accounting Fees - Audit</t>
        </is>
      </c>
      <c r="F690" s="3" t="n">
        <v>13870</v>
      </c>
      <c r="G690" s="3" t="n">
        <v>17995</v>
      </c>
    </row>
    <row r="691">
      <c r="A691" s="3" t="inlineStr">
        <is>
          <t>Cape Projects Construction (Pty) Ltd</t>
        </is>
      </c>
      <c r="B691" s="4" t="n">
        <v>44620</v>
      </c>
      <c r="C691" s="3" t="inlineStr">
        <is>
          <t>Expenses</t>
        </is>
      </c>
      <c r="D691" s="3" t="inlineStr">
        <is>
          <t>3002/010</t>
        </is>
      </c>
      <c r="E691" s="3" t="inlineStr">
        <is>
          <t>Accounting Fee - PayrollWorx</t>
        </is>
      </c>
      <c r="F691" s="3" t="n">
        <v>0</v>
      </c>
      <c r="G691" s="3" t="n">
        <v>5575</v>
      </c>
    </row>
    <row r="692">
      <c r="A692" s="3" t="inlineStr">
        <is>
          <t>Cape Projects Construction (Pty) Ltd</t>
        </is>
      </c>
      <c r="B692" s="4" t="n">
        <v>44620</v>
      </c>
      <c r="C692" s="3" t="inlineStr">
        <is>
          <t>Expenses</t>
        </is>
      </c>
      <c r="D692" s="3" t="inlineStr">
        <is>
          <t>3004</t>
        </is>
      </c>
      <c r="E692" s="3" t="inlineStr">
        <is>
          <t>Accounting - Warwick</t>
        </is>
      </c>
      <c r="F692" s="3" t="n">
        <v>0</v>
      </c>
      <c r="G692" s="3" t="n">
        <v>107300</v>
      </c>
    </row>
    <row r="693">
      <c r="A693" s="3" t="inlineStr">
        <is>
          <t>Cape Projects Construction (Pty) Ltd</t>
        </is>
      </c>
      <c r="B693" s="4" t="n">
        <v>44620</v>
      </c>
      <c r="C693" s="3" t="inlineStr">
        <is>
          <t>Expenses</t>
        </is>
      </c>
      <c r="D693" s="3" t="inlineStr">
        <is>
          <t>3004/000</t>
        </is>
      </c>
      <c r="E693" s="3" t="inlineStr">
        <is>
          <t>Accounting Fees - Tax Dept.</t>
        </is>
      </c>
      <c r="F693" s="3" t="n">
        <v>0</v>
      </c>
      <c r="G693" s="3" t="n">
        <v>1847.5</v>
      </c>
    </row>
    <row r="694">
      <c r="A694" s="3" t="inlineStr">
        <is>
          <t>Cape Projects Construction (Pty) Ltd</t>
        </is>
      </c>
      <c r="B694" s="4" t="n">
        <v>44620</v>
      </c>
      <c r="C694" s="3" t="inlineStr">
        <is>
          <t>Expenses</t>
        </is>
      </c>
      <c r="D694" s="3" t="inlineStr">
        <is>
          <t>3005/000</t>
        </is>
      </c>
      <c r="E694" s="3" t="inlineStr">
        <is>
          <t>Accounting - Janine Theart</t>
        </is>
      </c>
      <c r="F694" s="3" t="n">
        <v>0</v>
      </c>
      <c r="G694" s="3" t="n">
        <v>51000</v>
      </c>
    </row>
    <row r="695">
      <c r="A695" s="3" t="inlineStr">
        <is>
          <t>Cape Projects Construction (Pty) Ltd</t>
        </is>
      </c>
      <c r="B695" s="4" t="n">
        <v>44620</v>
      </c>
      <c r="C695" s="3" t="inlineStr">
        <is>
          <t>Expenses</t>
        </is>
      </c>
      <c r="D695" s="3" t="inlineStr">
        <is>
          <t>3006</t>
        </is>
      </c>
      <c r="E695" s="3" t="inlineStr">
        <is>
          <t>Accounting - Deric Dudley</t>
        </is>
      </c>
      <c r="F695" s="3" t="n">
        <v>0</v>
      </c>
      <c r="G695" s="3" t="n">
        <v>190600</v>
      </c>
    </row>
    <row r="696">
      <c r="A696" s="3" t="inlineStr">
        <is>
          <t>Heron Fields (Pty) Ltd</t>
        </is>
      </c>
      <c r="B696" s="4" t="n">
        <v>44620</v>
      </c>
      <c r="C696" s="3" t="inlineStr">
        <is>
          <t>Expenses</t>
        </is>
      </c>
      <c r="D696" s="3" t="inlineStr">
        <is>
          <t>3010/100</t>
        </is>
      </c>
      <c r="E696" s="3" t="inlineStr">
        <is>
          <t>Admin - MBA</t>
        </is>
      </c>
      <c r="F696" s="3" t="n">
        <v>639.13</v>
      </c>
      <c r="G696" s="3" t="n">
        <v>639.13</v>
      </c>
    </row>
    <row r="697">
      <c r="A697" s="3" t="inlineStr">
        <is>
          <t>Cape Projects Construction (Pty) Ltd</t>
        </is>
      </c>
      <c r="B697" s="4" t="n">
        <v>44620</v>
      </c>
      <c r="C697" s="3" t="inlineStr">
        <is>
          <t>Expenses</t>
        </is>
      </c>
      <c r="D697" s="3" t="inlineStr">
        <is>
          <t>3020/100</t>
        </is>
      </c>
      <c r="E697" s="3" t="inlineStr">
        <is>
          <t>Admin - Subcontractors</t>
        </is>
      </c>
      <c r="F697" s="3" t="n">
        <v>3913.04</v>
      </c>
      <c r="G697" s="3" t="n">
        <v>9065.540000000001</v>
      </c>
    </row>
    <row r="698">
      <c r="A698" s="3" t="inlineStr">
        <is>
          <t>Cape Projects Construction (Pty) Ltd</t>
        </is>
      </c>
      <c r="B698" s="4" t="n">
        <v>44620</v>
      </c>
      <c r="C698" s="3" t="inlineStr">
        <is>
          <t>Expenses</t>
        </is>
      </c>
      <c r="D698" s="3" t="inlineStr">
        <is>
          <t>3050/000</t>
        </is>
      </c>
      <c r="E698" s="3" t="inlineStr">
        <is>
          <t>Advertising _AND_ Promotions</t>
        </is>
      </c>
      <c r="F698" s="3" t="n">
        <v>0</v>
      </c>
      <c r="G698" s="3" t="n">
        <v>13699</v>
      </c>
    </row>
    <row r="699">
      <c r="A699" s="3" t="inlineStr">
        <is>
          <t>Heron Fields (Pty) Ltd</t>
        </is>
      </c>
      <c r="B699" s="4" t="n">
        <v>44620</v>
      </c>
      <c r="C699" s="3" t="inlineStr">
        <is>
          <t>Expenses</t>
        </is>
      </c>
      <c r="D699" s="3" t="inlineStr">
        <is>
          <t>3050/000</t>
        </is>
      </c>
      <c r="E699" s="3" t="inlineStr">
        <is>
          <t>Advertising _AND_ Promotions</t>
        </is>
      </c>
      <c r="F699" s="3" t="n">
        <v>10510</v>
      </c>
      <c r="G699" s="3" t="n">
        <v>73880.02</v>
      </c>
    </row>
    <row r="700">
      <c r="A700" s="3" t="inlineStr">
        <is>
          <t>Heron Fields (Pty) Ltd</t>
        </is>
      </c>
      <c r="B700" s="4" t="n">
        <v>44620</v>
      </c>
      <c r="C700" s="3" t="inlineStr">
        <is>
          <t>Expenses</t>
        </is>
      </c>
      <c r="D700" s="3" t="inlineStr">
        <is>
          <t>3050/100</t>
        </is>
      </c>
      <c r="E700" s="3" t="inlineStr">
        <is>
          <t>Advertising - Property24</t>
        </is>
      </c>
      <c r="F700" s="3" t="n">
        <v>10800</v>
      </c>
      <c r="G700" s="3" t="n">
        <v>64800</v>
      </c>
    </row>
    <row r="701">
      <c r="A701" s="3" t="inlineStr">
        <is>
          <t>Cape Projects Construction (Pty) Ltd</t>
        </is>
      </c>
      <c r="B701" s="4" t="n">
        <v>44620</v>
      </c>
      <c r="C701" s="3" t="inlineStr">
        <is>
          <t>Expenses</t>
        </is>
      </c>
      <c r="D701" s="3" t="inlineStr">
        <is>
          <t>3050/450</t>
        </is>
      </c>
      <c r="E701" s="3" t="inlineStr">
        <is>
          <t>Advertising - Other</t>
        </is>
      </c>
      <c r="F701" s="3" t="n">
        <v>0</v>
      </c>
      <c r="G701" s="3" t="n">
        <v>4597</v>
      </c>
    </row>
    <row r="702">
      <c r="A702" s="3" t="inlineStr">
        <is>
          <t>Cape Projects Construction (Pty) Ltd</t>
        </is>
      </c>
      <c r="B702" s="4" t="n">
        <v>44620</v>
      </c>
      <c r="C702" s="3" t="inlineStr">
        <is>
          <t>Expenses</t>
        </is>
      </c>
      <c r="D702" s="3" t="inlineStr">
        <is>
          <t>3200/000</t>
        </is>
      </c>
      <c r="E702" s="3" t="inlineStr">
        <is>
          <t>Bank Charges</t>
        </is>
      </c>
      <c r="F702" s="3" t="n">
        <v>3159.19</v>
      </c>
      <c r="G702" s="3" t="n">
        <v>14247.61</v>
      </c>
    </row>
    <row r="703">
      <c r="A703" s="3" t="inlineStr">
        <is>
          <t>Heron Fields (Pty) Ltd</t>
        </is>
      </c>
      <c r="B703" s="4" t="n">
        <v>44620</v>
      </c>
      <c r="C703" s="3" t="inlineStr">
        <is>
          <t>Expenses</t>
        </is>
      </c>
      <c r="D703" s="3" t="inlineStr">
        <is>
          <t>3200/000</t>
        </is>
      </c>
      <c r="E703" s="3" t="inlineStr">
        <is>
          <t>Bank Charges</t>
        </is>
      </c>
      <c r="F703" s="3" t="n">
        <v>512.54</v>
      </c>
      <c r="G703" s="3" t="n">
        <v>4300.92</v>
      </c>
    </row>
    <row r="704">
      <c r="A704" s="3" t="inlineStr">
        <is>
          <t>Cape Projects Construction (Pty) Ltd</t>
        </is>
      </c>
      <c r="B704" s="4" t="n">
        <v>44620</v>
      </c>
      <c r="C704" s="3" t="inlineStr">
        <is>
          <t>Expenses</t>
        </is>
      </c>
      <c r="D704" s="3" t="inlineStr">
        <is>
          <t>3250/000</t>
        </is>
      </c>
      <c r="E704" s="3" t="inlineStr">
        <is>
          <t>Cleaning</t>
        </is>
      </c>
      <c r="F704" s="3" t="n">
        <v>1223.48</v>
      </c>
      <c r="G704" s="3" t="n">
        <v>9905.65</v>
      </c>
    </row>
    <row r="705">
      <c r="A705" s="3" t="inlineStr">
        <is>
          <t>Cape Projects Construction (Pty) Ltd</t>
        </is>
      </c>
      <c r="B705" s="4" t="n">
        <v>44620</v>
      </c>
      <c r="C705" s="3" t="inlineStr">
        <is>
          <t>Expenses</t>
        </is>
      </c>
      <c r="D705" s="3" t="inlineStr">
        <is>
          <t>3256/000</t>
        </is>
      </c>
      <c r="E705" s="3" t="inlineStr">
        <is>
          <t>Cell Phone - Nick Morgan</t>
        </is>
      </c>
      <c r="F705" s="3" t="n">
        <v>640.1</v>
      </c>
      <c r="G705" s="3" t="n">
        <v>6888.14</v>
      </c>
    </row>
    <row r="706">
      <c r="A706" s="3" t="inlineStr">
        <is>
          <t>Cape Projects Construction (Pty) Ltd</t>
        </is>
      </c>
      <c r="B706" s="4" t="n">
        <v>44620</v>
      </c>
      <c r="C706" s="3" t="inlineStr">
        <is>
          <t>Expenses</t>
        </is>
      </c>
      <c r="D706" s="3" t="inlineStr">
        <is>
          <t>3300/000</t>
        </is>
      </c>
      <c r="E706" s="3" t="inlineStr">
        <is>
          <t>Computer Expenses</t>
        </is>
      </c>
      <c r="F706" s="3" t="n">
        <v>928.6900000000001</v>
      </c>
      <c r="G706" s="3" t="n">
        <v>11533.14</v>
      </c>
    </row>
    <row r="707">
      <c r="A707" s="3" t="inlineStr">
        <is>
          <t>Heron Fields (Pty) Ltd</t>
        </is>
      </c>
      <c r="B707" s="4" t="n">
        <v>44620</v>
      </c>
      <c r="C707" s="3" t="inlineStr">
        <is>
          <t>Expenses</t>
        </is>
      </c>
      <c r="D707" s="3" t="inlineStr">
        <is>
          <t>3301/000</t>
        </is>
      </c>
      <c r="E707" s="3" t="inlineStr">
        <is>
          <t>Computer Expenses - Xero</t>
        </is>
      </c>
      <c r="F707" s="3" t="n">
        <v>0</v>
      </c>
      <c r="G707" s="3" t="n">
        <v>3000</v>
      </c>
    </row>
    <row r="708">
      <c r="A708" s="3" t="inlineStr">
        <is>
          <t>Cape Projects Construction (Pty) Ltd</t>
        </is>
      </c>
      <c r="B708" s="4" t="n">
        <v>44620</v>
      </c>
      <c r="C708" s="3" t="inlineStr">
        <is>
          <t>Expenses</t>
        </is>
      </c>
      <c r="D708" s="3" t="inlineStr">
        <is>
          <t>3350/000</t>
        </is>
      </c>
      <c r="E708" s="3" t="inlineStr">
        <is>
          <t>Consulting Fees</t>
        </is>
      </c>
      <c r="F708" s="3" t="n">
        <v>0</v>
      </c>
      <c r="G708" s="3" t="n">
        <v>2250</v>
      </c>
    </row>
    <row r="709">
      <c r="A709" s="3" t="inlineStr">
        <is>
          <t>Heron Fields (Pty) Ltd</t>
        </is>
      </c>
      <c r="B709" s="4" t="n">
        <v>44620</v>
      </c>
      <c r="C709" s="3" t="inlineStr">
        <is>
          <t>Expenses</t>
        </is>
      </c>
      <c r="D709" s="3" t="inlineStr">
        <is>
          <t>3350/100</t>
        </is>
      </c>
      <c r="E709" s="3" t="inlineStr">
        <is>
          <t>Consulting Fees - Admin and Finance</t>
        </is>
      </c>
      <c r="F709" s="3" t="n">
        <v>71410</v>
      </c>
      <c r="G709" s="3" t="n">
        <v>433308.75</v>
      </c>
    </row>
    <row r="710">
      <c r="A710" s="3" t="inlineStr">
        <is>
          <t>Cape Projects Construction (Pty) Ltd</t>
        </is>
      </c>
      <c r="B710" s="4" t="n">
        <v>44620</v>
      </c>
      <c r="C710" s="3" t="inlineStr">
        <is>
          <t>Expenses</t>
        </is>
      </c>
      <c r="D710" s="3" t="inlineStr">
        <is>
          <t>3350/100</t>
        </is>
      </c>
      <c r="E710" s="3" t="inlineStr">
        <is>
          <t>Consulting fees - Herbert du Plessis</t>
        </is>
      </c>
      <c r="F710" s="3" t="n">
        <v>36000</v>
      </c>
      <c r="G710" s="3" t="n">
        <v>392000</v>
      </c>
    </row>
    <row r="711">
      <c r="A711" s="3" t="inlineStr">
        <is>
          <t>Cape Projects Construction (Pty) Ltd</t>
        </is>
      </c>
      <c r="B711" s="4" t="n">
        <v>44620</v>
      </c>
      <c r="C711" s="3" t="inlineStr">
        <is>
          <t>Expenses</t>
        </is>
      </c>
      <c r="D711" s="3" t="inlineStr">
        <is>
          <t>3350/200</t>
        </is>
      </c>
      <c r="E711" s="3" t="inlineStr">
        <is>
          <t>Consulting fees - Quabeka</t>
        </is>
      </c>
      <c r="F711" s="3" t="n">
        <v>0</v>
      </c>
      <c r="G711" s="3" t="n">
        <v>42899.25</v>
      </c>
    </row>
    <row r="712">
      <c r="A712" s="3" t="inlineStr">
        <is>
          <t>Cape Projects Construction (Pty) Ltd</t>
        </is>
      </c>
      <c r="B712" s="4" t="n">
        <v>44620</v>
      </c>
      <c r="C712" s="3" t="inlineStr">
        <is>
          <t>Expenses</t>
        </is>
      </c>
      <c r="D712" s="3" t="inlineStr">
        <is>
          <t>3350/300</t>
        </is>
      </c>
      <c r="E712" s="3" t="inlineStr">
        <is>
          <t>Consulting Fees - Admin and Finance</t>
        </is>
      </c>
      <c r="F712" s="3" t="n">
        <v>96075</v>
      </c>
      <c r="G712" s="3" t="n">
        <v>533569.54</v>
      </c>
    </row>
    <row r="713">
      <c r="A713" s="3" t="inlineStr">
        <is>
          <t>Heron Fields (Pty) Ltd</t>
        </is>
      </c>
      <c r="B713" s="4" t="n">
        <v>44620</v>
      </c>
      <c r="C713" s="3" t="inlineStr">
        <is>
          <t>Expenses</t>
        </is>
      </c>
      <c r="D713" s="3" t="inlineStr">
        <is>
          <t>3351/000</t>
        </is>
      </c>
      <c r="E713" s="3" t="inlineStr">
        <is>
          <t>Consulting fees - Trustee</t>
        </is>
      </c>
      <c r="F713" s="3" t="n">
        <v>0</v>
      </c>
      <c r="G713" s="3" t="n">
        <v>30692.49</v>
      </c>
    </row>
    <row r="714">
      <c r="A714" s="3" t="inlineStr">
        <is>
          <t>Cape Projects Construction (Pty) Ltd</t>
        </is>
      </c>
      <c r="B714" s="4" t="n">
        <v>44620</v>
      </c>
      <c r="C714" s="3" t="inlineStr">
        <is>
          <t>Expenses</t>
        </is>
      </c>
      <c r="D714" s="3" t="inlineStr">
        <is>
          <t>3400/000</t>
        </is>
      </c>
      <c r="E714" s="3" t="inlineStr">
        <is>
          <t>Courier _AND_ Postage</t>
        </is>
      </c>
      <c r="F714" s="3" t="n">
        <v>0</v>
      </c>
      <c r="G714" s="3" t="n">
        <v>165.83</v>
      </c>
    </row>
    <row r="715">
      <c r="A715" s="3" t="inlineStr">
        <is>
          <t>Cape Projects Construction (Pty) Ltd</t>
        </is>
      </c>
      <c r="B715" s="4" t="n">
        <v>44620</v>
      </c>
      <c r="C715" s="3" t="inlineStr">
        <is>
          <t>Expenses</t>
        </is>
      </c>
      <c r="D715" s="3" t="inlineStr">
        <is>
          <t>3450/001</t>
        </is>
      </c>
      <c r="E715" s="3" t="inlineStr">
        <is>
          <t>Depreciation - Computer Equipment</t>
        </is>
      </c>
      <c r="F715" s="3" t="n">
        <v>667.3</v>
      </c>
      <c r="G715" s="3" t="n">
        <v>5012.09</v>
      </c>
    </row>
    <row r="716">
      <c r="A716" s="3" t="inlineStr">
        <is>
          <t>Cape Projects Construction (Pty) Ltd</t>
        </is>
      </c>
      <c r="B716" s="4" t="n">
        <v>44620</v>
      </c>
      <c r="C716" s="3" t="inlineStr">
        <is>
          <t>Expenses</t>
        </is>
      </c>
      <c r="D716" s="3" t="inlineStr">
        <is>
          <t>3450/002</t>
        </is>
      </c>
      <c r="E716" s="3" t="inlineStr">
        <is>
          <t>Depreciation - Generator Fixed Asset</t>
        </is>
      </c>
      <c r="F716" s="3" t="n">
        <v>32.23</v>
      </c>
      <c r="G716" s="3" t="n">
        <v>805.5599999999999</v>
      </c>
    </row>
    <row r="717">
      <c r="A717" s="3" t="inlineStr">
        <is>
          <t>Cape Projects Construction (Pty) Ltd</t>
        </is>
      </c>
      <c r="B717" s="4" t="n">
        <v>44620</v>
      </c>
      <c r="C717" s="3" t="inlineStr">
        <is>
          <t>Expenses</t>
        </is>
      </c>
      <c r="D717" s="3" t="inlineStr">
        <is>
          <t>3450/003</t>
        </is>
      </c>
      <c r="E717" s="3" t="inlineStr">
        <is>
          <t>Depreciation - Motor vehicle</t>
        </is>
      </c>
      <c r="F717" s="3" t="n">
        <v>43213</v>
      </c>
      <c r="G717" s="3" t="n">
        <v>43213</v>
      </c>
    </row>
    <row r="718">
      <c r="A718" s="3" t="inlineStr">
        <is>
          <t>Cape Projects Construction (Pty) Ltd</t>
        </is>
      </c>
      <c r="B718" s="4" t="n">
        <v>44620</v>
      </c>
      <c r="C718" s="3" t="inlineStr">
        <is>
          <t>Expenses</t>
        </is>
      </c>
      <c r="D718" s="3" t="inlineStr">
        <is>
          <t>3450/030</t>
        </is>
      </c>
      <c r="E718" s="3" t="inlineStr">
        <is>
          <t>Depreciation - Furniture and Fittings</t>
        </is>
      </c>
      <c r="F718" s="3" t="n">
        <v>406.69</v>
      </c>
      <c r="G718" s="3" t="n">
        <v>406.69</v>
      </c>
    </row>
    <row r="719">
      <c r="A719" s="3" t="inlineStr">
        <is>
          <t>Heron Fields (Pty) Ltd</t>
        </is>
      </c>
      <c r="B719" s="4" t="n">
        <v>44620</v>
      </c>
      <c r="C719" s="3" t="inlineStr">
        <is>
          <t>Expenses</t>
        </is>
      </c>
      <c r="D719" s="3" t="inlineStr">
        <is>
          <t>3650/000</t>
        </is>
      </c>
      <c r="E719" s="3" t="inlineStr">
        <is>
          <t>CoCT - Electricity</t>
        </is>
      </c>
      <c r="F719" s="3" t="n">
        <v>2401.53</v>
      </c>
      <c r="G719" s="3" t="n">
        <v>20441.08</v>
      </c>
    </row>
    <row r="720">
      <c r="A720" s="3" t="inlineStr">
        <is>
          <t>Cape Projects Construction (Pty) Ltd</t>
        </is>
      </c>
      <c r="B720" s="4" t="n">
        <v>44620</v>
      </c>
      <c r="C720" s="3" t="inlineStr">
        <is>
          <t>Expenses</t>
        </is>
      </c>
      <c r="D720" s="3" t="inlineStr">
        <is>
          <t>3650/000</t>
        </is>
      </c>
      <c r="E720" s="3" t="inlineStr">
        <is>
          <t>Electricity _AND_ Water</t>
        </is>
      </c>
      <c r="F720" s="3" t="n">
        <v>7584.16</v>
      </c>
      <c r="G720" s="3" t="n">
        <v>39730.77</v>
      </c>
    </row>
    <row r="721">
      <c r="A721" s="3" t="inlineStr">
        <is>
          <t>Heron Fields (Pty) Ltd</t>
        </is>
      </c>
      <c r="B721" s="4" t="n">
        <v>44620</v>
      </c>
      <c r="C721" s="3" t="inlineStr">
        <is>
          <t>Expenses</t>
        </is>
      </c>
      <c r="D721" s="3" t="inlineStr">
        <is>
          <t>3660/000</t>
        </is>
      </c>
      <c r="E721" s="3" t="inlineStr">
        <is>
          <t>CoCT - Water</t>
        </is>
      </c>
      <c r="F721" s="3" t="n">
        <v>856.37</v>
      </c>
      <c r="G721" s="3" t="n">
        <v>3954.02</v>
      </c>
    </row>
    <row r="722">
      <c r="A722" s="3" t="inlineStr">
        <is>
          <t>Cape Projects Construction (Pty) Ltd</t>
        </is>
      </c>
      <c r="B722" s="4" t="n">
        <v>44620</v>
      </c>
      <c r="C722" s="3" t="inlineStr">
        <is>
          <t>Expenses</t>
        </is>
      </c>
      <c r="D722" s="3" t="inlineStr">
        <is>
          <t>3700/000</t>
        </is>
      </c>
      <c r="E722" s="3" t="inlineStr">
        <is>
          <t>Entertainment Expenses</t>
        </is>
      </c>
      <c r="F722" s="3" t="n">
        <v>1000.31</v>
      </c>
      <c r="G722" s="3" t="n">
        <v>11183.99</v>
      </c>
    </row>
    <row r="723">
      <c r="A723" s="3" t="inlineStr">
        <is>
          <t>Heron Fields (Pty) Ltd</t>
        </is>
      </c>
      <c r="B723" s="4" t="n">
        <v>44620</v>
      </c>
      <c r="C723" s="3" t="inlineStr">
        <is>
          <t>Expenses</t>
        </is>
      </c>
      <c r="D723" s="3" t="inlineStr">
        <is>
          <t>3700/000</t>
        </is>
      </c>
      <c r="E723" s="3" t="inlineStr">
        <is>
          <t>Entertainment Expenses</t>
        </is>
      </c>
      <c r="F723" s="3" t="n">
        <v>0</v>
      </c>
      <c r="G723" s="3" t="n">
        <v>250</v>
      </c>
    </row>
    <row r="724">
      <c r="A724" s="3" t="inlineStr">
        <is>
          <t>Cape Projects Construction (Pty) Ltd</t>
        </is>
      </c>
      <c r="B724" s="4" t="n">
        <v>44620</v>
      </c>
      <c r="C724" s="3" t="inlineStr">
        <is>
          <t>Expenses</t>
        </is>
      </c>
      <c r="D724" s="3" t="inlineStr">
        <is>
          <t>3840/001</t>
        </is>
      </c>
      <c r="E724" s="3" t="inlineStr">
        <is>
          <t>Health _AND_ Safety - Labour Department</t>
        </is>
      </c>
      <c r="F724" s="3" t="n">
        <v>0</v>
      </c>
      <c r="G724" s="3" t="n">
        <v>4742.88</v>
      </c>
    </row>
    <row r="725">
      <c r="A725" s="3" t="inlineStr">
        <is>
          <t>Cape Projects Construction (Pty) Ltd</t>
        </is>
      </c>
      <c r="B725" s="4" t="n">
        <v>44620</v>
      </c>
      <c r="C725" s="3" t="inlineStr">
        <is>
          <t>Expenses</t>
        </is>
      </c>
      <c r="D725" s="3" t="inlineStr">
        <is>
          <t>3850/001</t>
        </is>
      </c>
      <c r="E725" s="3" t="inlineStr">
        <is>
          <t>Insurance - Santam</t>
        </is>
      </c>
      <c r="F725" s="3" t="n">
        <v>1072.61</v>
      </c>
      <c r="G725" s="3" t="n">
        <v>12209.23</v>
      </c>
    </row>
    <row r="726">
      <c r="A726" s="3" t="inlineStr">
        <is>
          <t>Cape Projects Construction (Pty) Ltd</t>
        </is>
      </c>
      <c r="B726" s="4" t="n">
        <v>44620</v>
      </c>
      <c r="C726" s="3" t="inlineStr">
        <is>
          <t>Expenses</t>
        </is>
      </c>
      <c r="D726" s="3" t="inlineStr">
        <is>
          <t>3850/002</t>
        </is>
      </c>
      <c r="E726" s="3" t="inlineStr">
        <is>
          <t>Insurance - RBS</t>
        </is>
      </c>
      <c r="F726" s="3" t="n">
        <v>237.57</v>
      </c>
      <c r="G726" s="3" t="n">
        <v>3161.15</v>
      </c>
    </row>
    <row r="727">
      <c r="A727" s="3" t="inlineStr">
        <is>
          <t>Heron Fields (Pty) Ltd</t>
        </is>
      </c>
      <c r="B727" s="4" t="n">
        <v>44620</v>
      </c>
      <c r="C727" s="3" t="inlineStr">
        <is>
          <t>Expenses</t>
        </is>
      </c>
      <c r="D727" s="3" t="inlineStr">
        <is>
          <t>3900/000</t>
        </is>
      </c>
      <c r="E727" s="3" t="inlineStr">
        <is>
          <t>Interest Paid</t>
        </is>
      </c>
      <c r="F727" s="3" t="n">
        <v>0</v>
      </c>
      <c r="G727" s="3" t="n">
        <v>35.37</v>
      </c>
    </row>
    <row r="728">
      <c r="A728" s="3" t="inlineStr">
        <is>
          <t>Cape Projects Construction (Pty) Ltd</t>
        </is>
      </c>
      <c r="B728" s="4" t="n">
        <v>44620</v>
      </c>
      <c r="C728" s="3" t="inlineStr">
        <is>
          <t>Expenses</t>
        </is>
      </c>
      <c r="D728" s="3" t="inlineStr">
        <is>
          <t>3901/000</t>
        </is>
      </c>
      <c r="E728" s="3" t="inlineStr">
        <is>
          <t>Interest Paid - VAF Toyota</t>
        </is>
      </c>
      <c r="F728" s="3" t="n">
        <v>6393.06</v>
      </c>
      <c r="G728" s="3" t="n">
        <v>6393.06</v>
      </c>
    </row>
    <row r="729">
      <c r="A729" s="3" t="inlineStr">
        <is>
          <t>Cape Projects Construction (Pty) Ltd</t>
        </is>
      </c>
      <c r="B729" s="4" t="n">
        <v>44620</v>
      </c>
      <c r="C729" s="3" t="inlineStr">
        <is>
          <t>Expenses</t>
        </is>
      </c>
      <c r="D729" s="3" t="inlineStr">
        <is>
          <t>3902/000</t>
        </is>
      </c>
      <c r="E729" s="3" t="inlineStr">
        <is>
          <t>Interest Paid - Blou Mamba Trust</t>
        </is>
      </c>
      <c r="F729" s="3" t="n">
        <v>2234.78</v>
      </c>
      <c r="G729" s="3" t="n">
        <v>2234.78</v>
      </c>
    </row>
    <row r="730">
      <c r="A730" s="3" t="inlineStr">
        <is>
          <t>Cape Projects Construction (Pty) Ltd</t>
        </is>
      </c>
      <c r="B730" s="4" t="n">
        <v>44620</v>
      </c>
      <c r="C730" s="3" t="inlineStr">
        <is>
          <t>Expenses</t>
        </is>
      </c>
      <c r="D730" s="3" t="inlineStr">
        <is>
          <t>3903/000</t>
        </is>
      </c>
      <c r="E730" s="3" t="inlineStr">
        <is>
          <t>Interest Paid - SARS</t>
        </is>
      </c>
      <c r="F730" s="3" t="n">
        <v>500</v>
      </c>
      <c r="G730" s="3" t="n">
        <v>500</v>
      </c>
    </row>
    <row r="731">
      <c r="A731" s="3" t="inlineStr">
        <is>
          <t>Heron Fields (Pty) Ltd</t>
        </is>
      </c>
      <c r="B731" s="4" t="n">
        <v>44620</v>
      </c>
      <c r="C731" s="3" t="inlineStr">
        <is>
          <t>Expenses</t>
        </is>
      </c>
      <c r="D731" s="3" t="inlineStr">
        <is>
          <t>4100/001</t>
        </is>
      </c>
      <c r="E731" s="3" t="inlineStr">
        <is>
          <t>Momentum Admin Fee</t>
        </is>
      </c>
      <c r="F731" s="3" t="n">
        <v>3965.7</v>
      </c>
      <c r="G731" s="3" t="n">
        <v>90598.36</v>
      </c>
    </row>
    <row r="732">
      <c r="A732" s="3" t="inlineStr">
        <is>
          <t>Cape Projects Construction (Pty) Ltd</t>
        </is>
      </c>
      <c r="B732" s="4" t="n">
        <v>44620</v>
      </c>
      <c r="C732" s="3" t="inlineStr">
        <is>
          <t>Expenses</t>
        </is>
      </c>
      <c r="D732" s="3" t="inlineStr">
        <is>
          <t>4150/010</t>
        </is>
      </c>
      <c r="E732" s="3" t="inlineStr">
        <is>
          <t>Motor Vehicle - Petrol _AND_ Oil</t>
        </is>
      </c>
      <c r="F732" s="3" t="n">
        <v>0</v>
      </c>
      <c r="G732" s="3" t="n">
        <v>500</v>
      </c>
    </row>
    <row r="733">
      <c r="A733" s="3" t="inlineStr">
        <is>
          <t>Cape Projects Construction (Pty) Ltd</t>
        </is>
      </c>
      <c r="B733" s="4" t="n">
        <v>44620</v>
      </c>
      <c r="C733" s="3" t="inlineStr">
        <is>
          <t>Expenses</t>
        </is>
      </c>
      <c r="D733" s="3" t="inlineStr">
        <is>
          <t>4150/020</t>
        </is>
      </c>
      <c r="E733" s="3" t="inlineStr">
        <is>
          <t>Motor Vehicle - Repairs _AND_ Maint.</t>
        </is>
      </c>
      <c r="F733" s="3" t="n">
        <v>0</v>
      </c>
      <c r="G733" s="3" t="n">
        <v>1000</v>
      </c>
    </row>
    <row r="734">
      <c r="A734" s="3" t="inlineStr">
        <is>
          <t>Cape Projects Construction (Pty) Ltd</t>
        </is>
      </c>
      <c r="B734" s="4" t="n">
        <v>44620</v>
      </c>
      <c r="C734" s="3" t="inlineStr">
        <is>
          <t>Expenses</t>
        </is>
      </c>
      <c r="D734" s="3" t="inlineStr">
        <is>
          <t>4150/030</t>
        </is>
      </c>
      <c r="E734" s="3" t="inlineStr">
        <is>
          <t>Motor Vehicle - Insurance _AND_ Licence</t>
        </is>
      </c>
      <c r="F734" s="3" t="n">
        <v>0</v>
      </c>
      <c r="G734" s="3" t="n">
        <v>2277</v>
      </c>
    </row>
    <row r="735">
      <c r="A735" s="3" t="inlineStr">
        <is>
          <t>Cape Projects Construction (Pty) Ltd</t>
        </is>
      </c>
      <c r="B735" s="4" t="n">
        <v>44620</v>
      </c>
      <c r="C735" s="3" t="inlineStr">
        <is>
          <t>Expenses</t>
        </is>
      </c>
      <c r="D735" s="3" t="inlineStr">
        <is>
          <t>4200/000</t>
        </is>
      </c>
      <c r="E735" s="3" t="inlineStr">
        <is>
          <t>Printing _AND_ Stationery</t>
        </is>
      </c>
      <c r="F735" s="3" t="n">
        <v>1508.61</v>
      </c>
      <c r="G735" s="3" t="n">
        <v>17017.21</v>
      </c>
    </row>
    <row r="736">
      <c r="A736" s="3" t="inlineStr">
        <is>
          <t>Heron Fields (Pty) Ltd</t>
        </is>
      </c>
      <c r="B736" s="4" t="n">
        <v>44620</v>
      </c>
      <c r="C736" s="3" t="inlineStr">
        <is>
          <t>Expenses</t>
        </is>
      </c>
      <c r="D736" s="3" t="inlineStr">
        <is>
          <t>4200/000</t>
        </is>
      </c>
      <c r="E736" s="3" t="inlineStr">
        <is>
          <t>Printing _AND_ Stationery</t>
        </is>
      </c>
      <c r="F736" s="3" t="n">
        <v>0</v>
      </c>
      <c r="G736" s="3" t="n">
        <v>765</v>
      </c>
    </row>
    <row r="737">
      <c r="A737" s="3" t="inlineStr">
        <is>
          <t>Cape Projects Construction (Pty) Ltd</t>
        </is>
      </c>
      <c r="B737" s="4" t="n">
        <v>44620</v>
      </c>
      <c r="C737" s="3" t="inlineStr">
        <is>
          <t>Expenses</t>
        </is>
      </c>
      <c r="D737" s="3" t="inlineStr">
        <is>
          <t>4201/000</t>
        </is>
      </c>
      <c r="E737" s="3" t="inlineStr">
        <is>
          <t>Printing - Printer rental</t>
        </is>
      </c>
      <c r="F737" s="3" t="n">
        <v>0</v>
      </c>
      <c r="G737" s="3" t="n">
        <v>1243.42</v>
      </c>
    </row>
    <row r="738">
      <c r="A738" s="3" t="inlineStr">
        <is>
          <t>Cape Projects Construction (Pty) Ltd</t>
        </is>
      </c>
      <c r="B738" s="4" t="n">
        <v>44620</v>
      </c>
      <c r="C738" s="3" t="inlineStr">
        <is>
          <t>Expenses</t>
        </is>
      </c>
      <c r="D738" s="3" t="inlineStr">
        <is>
          <t>4300/000</t>
        </is>
      </c>
      <c r="E738" s="3" t="inlineStr">
        <is>
          <t>Rent Paid</t>
        </is>
      </c>
      <c r="F738" s="3" t="n">
        <v>28087.5</v>
      </c>
      <c r="G738" s="3" t="n">
        <v>167539.67</v>
      </c>
    </row>
    <row r="739">
      <c r="A739" s="3" t="inlineStr">
        <is>
          <t>Cape Projects Construction (Pty) Ltd</t>
        </is>
      </c>
      <c r="B739" s="4" t="n">
        <v>44620</v>
      </c>
      <c r="C739" s="3" t="inlineStr">
        <is>
          <t>Expenses</t>
        </is>
      </c>
      <c r="D739" s="3" t="inlineStr">
        <is>
          <t>4310/000</t>
        </is>
      </c>
      <c r="E739" s="3" t="inlineStr">
        <is>
          <t>Rates</t>
        </is>
      </c>
      <c r="F739" s="3" t="n">
        <v>843.6</v>
      </c>
      <c r="G739" s="3" t="n">
        <v>5216.48</v>
      </c>
    </row>
    <row r="740">
      <c r="A740" s="3" t="inlineStr">
        <is>
          <t>Heron Fields (Pty) Ltd</t>
        </is>
      </c>
      <c r="B740" s="4" t="n">
        <v>44620</v>
      </c>
      <c r="C740" s="3" t="inlineStr">
        <is>
          <t>Expenses</t>
        </is>
      </c>
      <c r="D740" s="3" t="inlineStr">
        <is>
          <t>4310/000</t>
        </is>
      </c>
      <c r="E740" s="3" t="inlineStr">
        <is>
          <t>Rates - Heron</t>
        </is>
      </c>
      <c r="F740" s="3" t="n">
        <v>2965.61</v>
      </c>
      <c r="G740" s="3" t="n">
        <v>27287.26</v>
      </c>
    </row>
    <row r="741">
      <c r="A741" s="3" t="inlineStr">
        <is>
          <t>Cape Projects Construction (Pty) Ltd</t>
        </is>
      </c>
      <c r="B741" s="4" t="n">
        <v>44620</v>
      </c>
      <c r="C741" s="3" t="inlineStr">
        <is>
          <t>Expenses</t>
        </is>
      </c>
      <c r="D741" s="3" t="inlineStr">
        <is>
          <t>4350/000</t>
        </is>
      </c>
      <c r="E741" s="3" t="inlineStr">
        <is>
          <t>Repairs _AND_ Maintenance</t>
        </is>
      </c>
      <c r="F741" s="3" t="n">
        <v>-13101.22</v>
      </c>
      <c r="G741" s="3" t="n">
        <v>89553.61</v>
      </c>
    </row>
    <row r="742">
      <c r="A742" s="3" t="inlineStr">
        <is>
          <t>Heron Fields (Pty) Ltd</t>
        </is>
      </c>
      <c r="B742" s="4" t="n">
        <v>44620</v>
      </c>
      <c r="C742" s="3" t="inlineStr">
        <is>
          <t>Expenses</t>
        </is>
      </c>
      <c r="D742" s="3" t="inlineStr">
        <is>
          <t>4350/000</t>
        </is>
      </c>
      <c r="E742" s="3" t="inlineStr">
        <is>
          <t>Repairs _AND_ Maintenance</t>
        </is>
      </c>
      <c r="F742" s="3" t="n">
        <v>0</v>
      </c>
      <c r="G742" s="3" t="n">
        <v>250</v>
      </c>
    </row>
    <row r="743">
      <c r="A743" s="3" t="inlineStr">
        <is>
          <t>Cape Projects Construction (Pty) Ltd</t>
        </is>
      </c>
      <c r="B743" s="4" t="n">
        <v>44620</v>
      </c>
      <c r="C743" s="3" t="inlineStr">
        <is>
          <t>Expenses</t>
        </is>
      </c>
      <c r="D743" s="3" t="inlineStr">
        <is>
          <t>4400/000</t>
        </is>
      </c>
      <c r="E743" s="3" t="inlineStr">
        <is>
          <t>Salaries _AND_ Wages</t>
        </is>
      </c>
      <c r="F743" s="3" t="n">
        <v>208426.69</v>
      </c>
      <c r="G743" s="3" t="n">
        <v>1701130.08</v>
      </c>
    </row>
    <row r="744">
      <c r="A744" s="3" t="inlineStr">
        <is>
          <t>Cape Projects Construction (Pty) Ltd</t>
        </is>
      </c>
      <c r="B744" s="4" t="n">
        <v>44620</v>
      </c>
      <c r="C744" s="3" t="inlineStr">
        <is>
          <t>Expenses</t>
        </is>
      </c>
      <c r="D744" s="3" t="inlineStr">
        <is>
          <t>4400/100</t>
        </is>
      </c>
      <c r="E744" s="3" t="inlineStr">
        <is>
          <t>Salaries and Wages - Shorty</t>
        </is>
      </c>
      <c r="F744" s="3" t="n">
        <v>0</v>
      </c>
      <c r="G744" s="3" t="n">
        <v>35500</v>
      </c>
    </row>
    <row r="745">
      <c r="A745" s="3" t="inlineStr">
        <is>
          <t>Cape Projects Construction (Pty) Ltd</t>
        </is>
      </c>
      <c r="B745" s="4" t="n">
        <v>44620</v>
      </c>
      <c r="C745" s="3" t="inlineStr">
        <is>
          <t>Expenses</t>
        </is>
      </c>
      <c r="D745" s="3" t="inlineStr">
        <is>
          <t>4402</t>
        </is>
      </c>
      <c r="E745" s="3" t="inlineStr">
        <is>
          <t>Salaries &amp; Wages - WCA</t>
        </is>
      </c>
      <c r="F745" s="3" t="n">
        <v>0</v>
      </c>
      <c r="G745" s="3" t="n">
        <v>1063.2</v>
      </c>
    </row>
    <row r="746">
      <c r="A746" s="3" t="inlineStr">
        <is>
          <t>Heron Fields (Pty) Ltd</t>
        </is>
      </c>
      <c r="B746" s="4" t="n">
        <v>44620</v>
      </c>
      <c r="C746" s="3" t="inlineStr">
        <is>
          <t>Expenses</t>
        </is>
      </c>
      <c r="D746" s="3" t="inlineStr">
        <is>
          <t>4410/000</t>
        </is>
      </c>
      <c r="E746" s="3" t="inlineStr">
        <is>
          <t>Secretarial fees</t>
        </is>
      </c>
      <c r="F746" s="3" t="n">
        <v>0</v>
      </c>
      <c r="G746" s="3" t="n">
        <v>17000</v>
      </c>
    </row>
    <row r="747">
      <c r="A747" s="3" t="inlineStr">
        <is>
          <t>Cape Projects Construction (Pty) Ltd</t>
        </is>
      </c>
      <c r="B747" s="4" t="n">
        <v>44620</v>
      </c>
      <c r="C747" s="3" t="inlineStr">
        <is>
          <t>Expenses</t>
        </is>
      </c>
      <c r="D747" s="3" t="inlineStr">
        <is>
          <t>4420/000</t>
        </is>
      </c>
      <c r="E747" s="3" t="inlineStr">
        <is>
          <t>Small Assets</t>
        </is>
      </c>
      <c r="F747" s="3" t="n">
        <v>9104.73</v>
      </c>
      <c r="G747" s="3" t="n">
        <v>24786.43</v>
      </c>
    </row>
    <row r="748">
      <c r="A748" s="3" t="inlineStr">
        <is>
          <t>Heron Fields (Pty) Ltd</t>
        </is>
      </c>
      <c r="B748" s="4" t="n">
        <v>44620</v>
      </c>
      <c r="C748" s="3" t="inlineStr">
        <is>
          <t>Expenses</t>
        </is>
      </c>
      <c r="D748" s="3" t="inlineStr">
        <is>
          <t>4420/001</t>
        </is>
      </c>
      <c r="E748" s="3" t="inlineStr">
        <is>
          <t>Security - ADT</t>
        </is>
      </c>
      <c r="F748" s="3" t="n">
        <v>285.26</v>
      </c>
      <c r="G748" s="3" t="n">
        <v>4406.31</v>
      </c>
    </row>
    <row r="749">
      <c r="A749" s="3" t="inlineStr">
        <is>
          <t>Cape Projects Construction (Pty) Ltd</t>
        </is>
      </c>
      <c r="B749" s="4" t="n">
        <v>44620</v>
      </c>
      <c r="C749" s="3" t="inlineStr">
        <is>
          <t>Expenses</t>
        </is>
      </c>
      <c r="D749" s="3" t="inlineStr">
        <is>
          <t>4450/000</t>
        </is>
      </c>
      <c r="E749" s="3" t="inlineStr">
        <is>
          <t>Staff Training</t>
        </is>
      </c>
      <c r="F749" s="3" t="n">
        <v>0</v>
      </c>
      <c r="G749" s="3" t="n">
        <v>2000</v>
      </c>
    </row>
    <row r="750">
      <c r="A750" s="3" t="inlineStr">
        <is>
          <t>Cape Projects Construction (Pty) Ltd</t>
        </is>
      </c>
      <c r="B750" s="4" t="n">
        <v>44620</v>
      </c>
      <c r="C750" s="3" t="inlineStr">
        <is>
          <t>Expenses</t>
        </is>
      </c>
      <c r="D750" s="3" t="inlineStr">
        <is>
          <t>4500/000</t>
        </is>
      </c>
      <c r="E750" s="3" t="inlineStr">
        <is>
          <t>Staff Welfare _AND_ Refreshmts</t>
        </is>
      </c>
      <c r="F750" s="3" t="n">
        <v>590.72</v>
      </c>
      <c r="G750" s="3" t="n">
        <v>34301.16</v>
      </c>
    </row>
    <row r="751">
      <c r="A751" s="3" t="inlineStr">
        <is>
          <t>Cape Projects Construction (Pty) Ltd</t>
        </is>
      </c>
      <c r="B751" s="4" t="n">
        <v>44620</v>
      </c>
      <c r="C751" s="3" t="inlineStr">
        <is>
          <t>Expenses</t>
        </is>
      </c>
      <c r="D751" s="3" t="inlineStr">
        <is>
          <t>4550/000</t>
        </is>
      </c>
      <c r="E751" s="3" t="inlineStr">
        <is>
          <t>Subscriptions / Licenses</t>
        </is>
      </c>
      <c r="F751" s="3" t="n">
        <v>461.82</v>
      </c>
      <c r="G751" s="3" t="n">
        <v>988.14</v>
      </c>
    </row>
    <row r="752">
      <c r="A752" s="3" t="inlineStr">
        <is>
          <t>Cape Projects Construction (Pty) Ltd</t>
        </is>
      </c>
      <c r="B752" s="4" t="n">
        <v>44620</v>
      </c>
      <c r="C752" s="3" t="inlineStr">
        <is>
          <t>Expenses</t>
        </is>
      </c>
      <c r="D752" s="3" t="inlineStr">
        <is>
          <t>4550/001</t>
        </is>
      </c>
      <c r="E752" s="3" t="inlineStr">
        <is>
          <t>Subscriptions &amp; Licenses - Sage payroll</t>
        </is>
      </c>
      <c r="F752" s="3" t="n">
        <v>491</v>
      </c>
      <c r="G752" s="3" t="n">
        <v>3704</v>
      </c>
    </row>
    <row r="753">
      <c r="A753" s="3" t="inlineStr">
        <is>
          <t>Cape Projects Construction (Pty) Ltd</t>
        </is>
      </c>
      <c r="B753" s="4" t="n">
        <v>44620</v>
      </c>
      <c r="C753" s="3" t="inlineStr">
        <is>
          <t>Expenses</t>
        </is>
      </c>
      <c r="D753" s="3" t="inlineStr">
        <is>
          <t>4550/002</t>
        </is>
      </c>
      <c r="E753" s="3" t="inlineStr">
        <is>
          <t>Subscriptions &amp; Licenses - Caseware</t>
        </is>
      </c>
      <c r="F753" s="3" t="n">
        <v>0</v>
      </c>
      <c r="G753" s="3" t="n">
        <v>9463.01</v>
      </c>
    </row>
    <row r="754">
      <c r="A754" s="3" t="inlineStr">
        <is>
          <t>Cape Projects Construction (Pty) Ltd</t>
        </is>
      </c>
      <c r="B754" s="4" t="n">
        <v>44620</v>
      </c>
      <c r="C754" s="3" t="inlineStr">
        <is>
          <t>Expenses</t>
        </is>
      </c>
      <c r="D754" s="3" t="inlineStr">
        <is>
          <t>4550/003</t>
        </is>
      </c>
      <c r="E754" s="3" t="inlineStr">
        <is>
          <t>Subscriptions &amp; Licenses - Xero</t>
        </is>
      </c>
      <c r="F754" s="3" t="n">
        <v>600</v>
      </c>
      <c r="G754" s="3" t="n">
        <v>8700</v>
      </c>
    </row>
    <row r="755">
      <c r="A755" s="3" t="inlineStr">
        <is>
          <t>Cape Projects Construction (Pty) Ltd</t>
        </is>
      </c>
      <c r="B755" s="4" t="n">
        <v>44620</v>
      </c>
      <c r="C755" s="3" t="inlineStr">
        <is>
          <t>Expenses</t>
        </is>
      </c>
      <c r="D755" s="3" t="inlineStr">
        <is>
          <t>4550/004</t>
        </is>
      </c>
      <c r="E755" s="3" t="inlineStr">
        <is>
          <t>Subscriptions - Smartsheet</t>
        </is>
      </c>
      <c r="F755" s="3" t="n">
        <v>363</v>
      </c>
      <c r="G755" s="3" t="n">
        <v>2439.41</v>
      </c>
    </row>
    <row r="756">
      <c r="A756" s="3" t="inlineStr">
        <is>
          <t>Cape Projects Construction (Pty) Ltd</t>
        </is>
      </c>
      <c r="B756" s="4" t="n">
        <v>44620</v>
      </c>
      <c r="C756" s="3" t="inlineStr">
        <is>
          <t>Expenses</t>
        </is>
      </c>
      <c r="D756" s="3" t="inlineStr">
        <is>
          <t>4550/005</t>
        </is>
      </c>
      <c r="E756" s="3" t="inlineStr">
        <is>
          <t>Subscriptions - SAIPA</t>
        </is>
      </c>
      <c r="F756" s="3" t="n">
        <v>6661.9</v>
      </c>
      <c r="G756" s="3" t="n">
        <v>6661.9</v>
      </c>
    </row>
    <row r="757">
      <c r="A757" s="3" t="inlineStr">
        <is>
          <t>Heron Fields (Pty) Ltd</t>
        </is>
      </c>
      <c r="B757" s="4" t="n">
        <v>44620</v>
      </c>
      <c r="C757" s="3" t="inlineStr">
        <is>
          <t>Expenses</t>
        </is>
      </c>
      <c r="D757" s="3" t="inlineStr">
        <is>
          <t>4550/100</t>
        </is>
      </c>
      <c r="E757" s="3" t="inlineStr">
        <is>
          <t>Subscriptions - Xero</t>
        </is>
      </c>
      <c r="F757" s="3" t="n">
        <v>600</v>
      </c>
      <c r="G757" s="3" t="n">
        <v>4600</v>
      </c>
    </row>
    <row r="758">
      <c r="A758" s="3" t="inlineStr">
        <is>
          <t>Heron Fields (Pty) Ltd</t>
        </is>
      </c>
      <c r="B758" s="4" t="n">
        <v>44620</v>
      </c>
      <c r="C758" s="3" t="inlineStr">
        <is>
          <t>Expenses</t>
        </is>
      </c>
      <c r="D758" s="3" t="inlineStr">
        <is>
          <t>4550/200</t>
        </is>
      </c>
      <c r="E758" s="3" t="inlineStr">
        <is>
          <t>Subscription - NHBRC</t>
        </is>
      </c>
      <c r="F758" s="3" t="n">
        <v>0</v>
      </c>
      <c r="G758" s="3" t="n">
        <v>1271.93</v>
      </c>
    </row>
    <row r="759">
      <c r="A759" s="3" t="inlineStr">
        <is>
          <t>Cape Projects Construction (Pty) Ltd</t>
        </is>
      </c>
      <c r="B759" s="4" t="n">
        <v>44620</v>
      </c>
      <c r="C759" s="3" t="inlineStr">
        <is>
          <t>Expenses</t>
        </is>
      </c>
      <c r="D759" s="3" t="inlineStr">
        <is>
          <t>4560</t>
        </is>
      </c>
      <c r="E759" s="3" t="inlineStr">
        <is>
          <t>Secretarial fees - CIPC</t>
        </is>
      </c>
      <c r="F759" s="3" t="n">
        <v>0</v>
      </c>
      <c r="G759" s="3" t="n">
        <v>450</v>
      </c>
    </row>
    <row r="760">
      <c r="A760" s="3" t="inlineStr">
        <is>
          <t>Cape Projects Construction (Pty) Ltd</t>
        </is>
      </c>
      <c r="B760" s="4" t="n">
        <v>44620</v>
      </c>
      <c r="C760" s="3" t="inlineStr">
        <is>
          <t>Expenses</t>
        </is>
      </c>
      <c r="D760" s="3" t="inlineStr">
        <is>
          <t>4600/000</t>
        </is>
      </c>
      <c r="E760" s="3" t="inlineStr">
        <is>
          <t>Telephone _AND_ Fax</t>
        </is>
      </c>
      <c r="F760" s="3" t="n">
        <v>352.17</v>
      </c>
      <c r="G760" s="3" t="n">
        <v>10625.73</v>
      </c>
    </row>
    <row r="761">
      <c r="A761" s="3" t="inlineStr">
        <is>
          <t>Cape Projects Construction (Pty) Ltd</t>
        </is>
      </c>
      <c r="B761" s="4" t="n">
        <v>44620</v>
      </c>
      <c r="C761" s="3" t="inlineStr">
        <is>
          <t>Expenses</t>
        </is>
      </c>
      <c r="D761" s="3" t="inlineStr">
        <is>
          <t>4650/010</t>
        </is>
      </c>
      <c r="E761" s="3" t="inlineStr">
        <is>
          <t>Travel - Local</t>
        </is>
      </c>
      <c r="F761" s="3" t="n">
        <v>0</v>
      </c>
      <c r="G761" s="3" t="n">
        <v>1275</v>
      </c>
    </row>
    <row r="762">
      <c r="A762" s="3" t="inlineStr">
        <is>
          <t>Cape Projects Construction (Pty) Ltd</t>
        </is>
      </c>
      <c r="B762" s="4" t="n">
        <v>44620</v>
      </c>
      <c r="C762" s="3" t="inlineStr">
        <is>
          <t>Expenses</t>
        </is>
      </c>
      <c r="D762" s="3" t="inlineStr">
        <is>
          <t>4700/000</t>
        </is>
      </c>
      <c r="E762" s="3" t="inlineStr">
        <is>
          <t>PAYE Contributions</t>
        </is>
      </c>
      <c r="F762" s="3" t="n">
        <v>44762.46</v>
      </c>
      <c r="G762" s="3" t="n">
        <v>429767.12</v>
      </c>
    </row>
    <row r="763">
      <c r="A763" s="3" t="inlineStr">
        <is>
          <t>Cape Projects Construction (Pty) Ltd</t>
        </is>
      </c>
      <c r="B763" s="4" t="n">
        <v>44620</v>
      </c>
      <c r="C763" s="3" t="inlineStr">
        <is>
          <t>Expenses</t>
        </is>
      </c>
      <c r="D763" s="3" t="inlineStr">
        <is>
          <t>4720/000</t>
        </is>
      </c>
      <c r="E763" s="3" t="inlineStr">
        <is>
          <t>SDL Contributions</t>
        </is>
      </c>
      <c r="F763" s="3" t="n">
        <v>2501.62</v>
      </c>
      <c r="G763" s="3" t="n">
        <v>20692.98</v>
      </c>
    </row>
    <row r="764">
      <c r="A764" s="3" t="inlineStr">
        <is>
          <t>Cape Projects Construction (Pty) Ltd</t>
        </is>
      </c>
      <c r="B764" s="4" t="n">
        <v>44620</v>
      </c>
      <c r="C764" s="3" t="inlineStr">
        <is>
          <t>Expenses</t>
        </is>
      </c>
      <c r="D764" s="3" t="inlineStr">
        <is>
          <t>4730/000</t>
        </is>
      </c>
      <c r="E764" s="3" t="inlineStr">
        <is>
          <t>UIF Company Contributions</t>
        </is>
      </c>
      <c r="F764" s="3" t="n">
        <v>1558.73</v>
      </c>
      <c r="G764" s="3" t="n">
        <v>11467.74</v>
      </c>
    </row>
    <row r="765">
      <c r="A765" s="3" t="inlineStr">
        <is>
          <t>Cape Projects Construction (Pty) Ltd</t>
        </is>
      </c>
      <c r="B765" s="4" t="n">
        <v>44620</v>
      </c>
      <c r="C765" s="3" t="inlineStr">
        <is>
          <t>Expenses</t>
        </is>
      </c>
      <c r="D765" s="3" t="inlineStr">
        <is>
          <t>4731/000</t>
        </is>
      </c>
      <c r="E765" s="3" t="inlineStr">
        <is>
          <t>UIF Employee Contribution</t>
        </is>
      </c>
      <c r="F765" s="3" t="n">
        <v>1558.73</v>
      </c>
      <c r="G765" s="3" t="n">
        <v>8195.9</v>
      </c>
    </row>
    <row r="766">
      <c r="A766" s="3" t="inlineStr">
        <is>
          <t>Cape Projects Construction (Pty) Ltd</t>
        </is>
      </c>
      <c r="B766" s="4" t="n">
        <v>44620</v>
      </c>
      <c r="C766" s="3" t="inlineStr">
        <is>
          <t>Expenses</t>
        </is>
      </c>
      <c r="D766" s="3" t="inlineStr">
        <is>
          <t>4740/000</t>
        </is>
      </c>
      <c r="E766" s="3" t="inlineStr">
        <is>
          <t>BIBC Company Contribution</t>
        </is>
      </c>
      <c r="F766" s="3" t="n">
        <v>146.78</v>
      </c>
      <c r="G766" s="3" t="n">
        <v>293.56</v>
      </c>
    </row>
    <row r="767">
      <c r="A767" s="3" t="inlineStr">
        <is>
          <t>Cape Projects Construction (Pty) Ltd</t>
        </is>
      </c>
      <c r="B767" s="4" t="n">
        <v>44620</v>
      </c>
      <c r="C767" s="3" t="inlineStr">
        <is>
          <t>Expenses</t>
        </is>
      </c>
      <c r="D767" s="3" t="inlineStr">
        <is>
          <t>4741/000</t>
        </is>
      </c>
      <c r="E767" s="3" t="inlineStr">
        <is>
          <t>BIBC Employee Contribution</t>
        </is>
      </c>
      <c r="F767" s="3" t="n">
        <v>57.78</v>
      </c>
      <c r="G767" s="3" t="n">
        <v>115.56</v>
      </c>
    </row>
    <row r="768">
      <c r="A768" s="3" t="inlineStr">
        <is>
          <t>Heron Fields (Pty) Ltd</t>
        </is>
      </c>
      <c r="B768" s="4" t="n">
        <v>44620</v>
      </c>
      <c r="C768" s="3" t="inlineStr">
        <is>
          <t>Equity</t>
        </is>
      </c>
      <c r="D768" s="3" t="inlineStr">
        <is>
          <t>5100-000</t>
        </is>
      </c>
      <c r="E768" s="3" t="inlineStr">
        <is>
          <t>Share Capital</t>
        </is>
      </c>
      <c r="F768" s="3" t="n">
        <v>0</v>
      </c>
      <c r="G768" s="3" t="n">
        <v>-100</v>
      </c>
    </row>
    <row r="769">
      <c r="A769" s="3" t="inlineStr">
        <is>
          <t>Cape Projects Construction (Pty) Ltd</t>
        </is>
      </c>
      <c r="B769" s="4" t="n">
        <v>44620</v>
      </c>
      <c r="C769" s="3" t="inlineStr">
        <is>
          <t>Equity</t>
        </is>
      </c>
      <c r="D769" s="3" t="inlineStr">
        <is>
          <t>5100/000</t>
        </is>
      </c>
      <c r="E769" s="3" t="inlineStr">
        <is>
          <t>Share Capital / Members Contribution</t>
        </is>
      </c>
      <c r="F769" s="3" t="n">
        <v>0</v>
      </c>
      <c r="G769" s="3" t="n">
        <v>-120</v>
      </c>
    </row>
    <row r="770">
      <c r="A770" s="3" t="inlineStr">
        <is>
          <t>Cape Projects Construction (Pty) Ltd</t>
        </is>
      </c>
      <c r="B770" s="4" t="n">
        <v>44620</v>
      </c>
      <c r="C770" s="3" t="inlineStr">
        <is>
          <t>Equity</t>
        </is>
      </c>
      <c r="D770" s="3" t="inlineStr">
        <is>
          <t>5200/000</t>
        </is>
      </c>
      <c r="E770" s="3" t="inlineStr">
        <is>
          <t>Retained Earnings / Loss</t>
        </is>
      </c>
      <c r="F770" s="3" t="n">
        <v>0</v>
      </c>
      <c r="G770" s="3" t="n">
        <v>698664.99</v>
      </c>
    </row>
    <row r="771">
      <c r="A771" s="3" t="inlineStr">
        <is>
          <t>Heron Fields (Pty) Ltd</t>
        </is>
      </c>
      <c r="B771" s="4" t="n">
        <v>44620</v>
      </c>
      <c r="C771" s="3" t="inlineStr">
        <is>
          <t>Assets</t>
        </is>
      </c>
      <c r="D771" s="3" t="inlineStr">
        <is>
          <t>5300/001</t>
        </is>
      </c>
      <c r="E771" s="3" t="inlineStr">
        <is>
          <t>Revaluation of Land stock</t>
        </is>
      </c>
      <c r="F771" s="3" t="n">
        <v>-2150682.83</v>
      </c>
      <c r="G771" s="3" t="n">
        <v>17562360.85</v>
      </c>
    </row>
    <row r="772">
      <c r="A772" s="3" t="inlineStr">
        <is>
          <t>Cape Projects Construction (Pty) Ltd</t>
        </is>
      </c>
      <c r="B772" s="4" t="n">
        <v>44620</v>
      </c>
      <c r="C772" s="3" t="inlineStr">
        <is>
          <t>Assets</t>
        </is>
      </c>
      <c r="D772" s="3" t="inlineStr">
        <is>
          <t>5400/100</t>
        </is>
      </c>
      <c r="E772" s="3" t="inlineStr">
        <is>
          <t>Loan - Cape Projects Structuring Dev</t>
        </is>
      </c>
      <c r="F772" s="3" t="n">
        <v>150000</v>
      </c>
      <c r="G772" s="3" t="n">
        <v>-200000</v>
      </c>
    </row>
    <row r="773">
      <c r="A773" s="3" t="inlineStr">
        <is>
          <t>Cape Projects Construction (Pty) Ltd</t>
        </is>
      </c>
      <c r="B773" s="4" t="n">
        <v>44620</v>
      </c>
      <c r="C773" s="3" t="inlineStr">
        <is>
          <t>Assets</t>
        </is>
      </c>
      <c r="D773" s="3" t="inlineStr">
        <is>
          <t>5400/150</t>
        </is>
      </c>
      <c r="E773" s="3" t="inlineStr">
        <is>
          <t>Loan - Quinate</t>
        </is>
      </c>
      <c r="F773" s="3" t="n">
        <v>2850000</v>
      </c>
      <c r="G773" s="3" t="n">
        <v>2850000</v>
      </c>
    </row>
    <row r="774">
      <c r="A774" s="3" t="inlineStr">
        <is>
          <t>Cape Projects Construction (Pty) Ltd</t>
        </is>
      </c>
      <c r="B774" s="4" t="n">
        <v>44620</v>
      </c>
      <c r="C774" s="3" t="inlineStr">
        <is>
          <t>Assets</t>
        </is>
      </c>
      <c r="D774" s="3" t="inlineStr">
        <is>
          <t>5400/200</t>
        </is>
      </c>
      <c r="E774" s="3" t="inlineStr">
        <is>
          <t>Members Loan - Nick Morgan</t>
        </is>
      </c>
      <c r="F774" s="3" t="n">
        <v>0</v>
      </c>
      <c r="G774" s="3" t="n">
        <v>-38862.46</v>
      </c>
    </row>
    <row r="775">
      <c r="A775" s="3" t="inlineStr">
        <is>
          <t>Cape Projects Construction (Pty) Ltd</t>
        </is>
      </c>
      <c r="B775" s="4" t="n">
        <v>44620</v>
      </c>
      <c r="C775" s="3" t="inlineStr">
        <is>
          <t>Assets</t>
        </is>
      </c>
      <c r="D775" s="3" t="inlineStr">
        <is>
          <t>5400/220</t>
        </is>
      </c>
      <c r="E775" s="3" t="inlineStr">
        <is>
          <t>Members Loan - WH</t>
        </is>
      </c>
      <c r="F775" s="3" t="n">
        <v>0</v>
      </c>
      <c r="G775" s="3" t="n">
        <v>4342.5</v>
      </c>
    </row>
    <row r="776">
      <c r="A776" s="3" t="inlineStr">
        <is>
          <t>Cape Projects Construction (Pty) Ltd</t>
        </is>
      </c>
      <c r="B776" s="4" t="n">
        <v>44620</v>
      </c>
      <c r="C776" s="3" t="inlineStr">
        <is>
          <t>Assets</t>
        </is>
      </c>
      <c r="D776" s="3" t="inlineStr">
        <is>
          <t>5400/450</t>
        </is>
      </c>
      <c r="E776" s="3" t="inlineStr">
        <is>
          <t>Loan - Opportunity Investment</t>
        </is>
      </c>
      <c r="F776" s="3" t="n">
        <v>350000</v>
      </c>
      <c r="G776" s="3" t="n">
        <v>-180000</v>
      </c>
    </row>
    <row r="777">
      <c r="A777" s="3" t="inlineStr">
        <is>
          <t>Cape Projects Construction (Pty) Ltd</t>
        </is>
      </c>
      <c r="B777" s="4" t="n">
        <v>44620</v>
      </c>
      <c r="C777" s="3" t="inlineStr">
        <is>
          <t>Assets</t>
        </is>
      </c>
      <c r="D777" s="3" t="inlineStr">
        <is>
          <t>5400/500</t>
        </is>
      </c>
      <c r="E777" s="3" t="inlineStr">
        <is>
          <t>Loan - Blou Mamba Trust</t>
        </is>
      </c>
      <c r="F777" s="3" t="n">
        <v>-2234.78</v>
      </c>
      <c r="G777" s="3" t="n">
        <v>-32031.77</v>
      </c>
    </row>
    <row r="778">
      <c r="A778" s="3" t="inlineStr">
        <is>
          <t>Cape Projects Construction (Pty) Ltd</t>
        </is>
      </c>
      <c r="B778" s="4" t="n">
        <v>44620</v>
      </c>
      <c r="C778" s="3" t="inlineStr">
        <is>
          <t>Assets</t>
        </is>
      </c>
      <c r="D778" s="3" t="inlineStr">
        <is>
          <t>5400/550</t>
        </is>
      </c>
      <c r="E778" s="3" t="inlineStr">
        <is>
          <t>Loan - Trademark</t>
        </is>
      </c>
      <c r="F778" s="3" t="n">
        <v>3800</v>
      </c>
      <c r="G778" s="3" t="n">
        <v>-29400</v>
      </c>
    </row>
    <row r="779">
      <c r="A779" s="3" t="inlineStr">
        <is>
          <t>Cape Projects Construction (Pty) Ltd</t>
        </is>
      </c>
      <c r="B779" s="4" t="n">
        <v>44620</v>
      </c>
      <c r="C779" s="3" t="inlineStr">
        <is>
          <t>Assets</t>
        </is>
      </c>
      <c r="D779" s="3" t="inlineStr">
        <is>
          <t>5400/600</t>
        </is>
      </c>
      <c r="E779" s="3" t="inlineStr">
        <is>
          <t>Loan - Heron Projects</t>
        </is>
      </c>
      <c r="F779" s="3" t="n">
        <v>-3160000</v>
      </c>
      <c r="G779" s="3" t="n">
        <v>-3338000</v>
      </c>
    </row>
    <row r="780">
      <c r="A780" s="3" t="inlineStr">
        <is>
          <t>Cape Projects Construction (Pty) Ltd</t>
        </is>
      </c>
      <c r="B780" s="4" t="n">
        <v>44620</v>
      </c>
      <c r="C780" s="3" t="inlineStr">
        <is>
          <t>Assets</t>
        </is>
      </c>
      <c r="D780" s="3" t="inlineStr">
        <is>
          <t>5400/650</t>
        </is>
      </c>
      <c r="E780" s="3" t="inlineStr">
        <is>
          <t>Loan - Noble Shield</t>
        </is>
      </c>
      <c r="F780" s="3" t="n">
        <v>3800</v>
      </c>
      <c r="G780" s="3" t="n">
        <v>600</v>
      </c>
    </row>
    <row r="781">
      <c r="A781" s="3" t="inlineStr">
        <is>
          <t>Cape Projects Construction (Pty) Ltd</t>
        </is>
      </c>
      <c r="B781" s="4" t="n">
        <v>44620</v>
      </c>
      <c r="C781" s="3" t="inlineStr">
        <is>
          <t>Assets</t>
        </is>
      </c>
      <c r="D781" s="3" t="inlineStr">
        <is>
          <t>5400/800</t>
        </is>
      </c>
      <c r="E781" s="3" t="inlineStr">
        <is>
          <t>Loan - Opportunity Management Holdings</t>
        </is>
      </c>
      <c r="F781" s="3" t="n">
        <v>23766.95</v>
      </c>
      <c r="G781" s="3" t="n">
        <v>-25233.05</v>
      </c>
    </row>
    <row r="782">
      <c r="A782" s="3" t="inlineStr">
        <is>
          <t>Heron Fields (Pty) Ltd</t>
        </is>
      </c>
      <c r="B782" s="4" t="n">
        <v>44620</v>
      </c>
      <c r="C782" s="3" t="inlineStr">
        <is>
          <t>Liabilities</t>
        </is>
      </c>
      <c r="D782" s="3" t="inlineStr">
        <is>
          <t>5500/020</t>
        </is>
      </c>
      <c r="E782" s="3" t="inlineStr">
        <is>
          <t>Loan - Cape Projects Construction</t>
        </is>
      </c>
      <c r="F782" s="3" t="n">
        <v>3160000</v>
      </c>
      <c r="G782" s="3" t="n">
        <v>3338000</v>
      </c>
    </row>
    <row r="783">
      <c r="A783" s="3" t="inlineStr">
        <is>
          <t>Cape Projects Construction (Pty) Ltd</t>
        </is>
      </c>
      <c r="B783" s="4" t="n">
        <v>44620</v>
      </c>
      <c r="C783" s="3" t="inlineStr">
        <is>
          <t>Assets</t>
        </is>
      </c>
      <c r="D783" s="3" t="inlineStr">
        <is>
          <t>5500/200</t>
        </is>
      </c>
      <c r="E783" s="3" t="inlineStr">
        <is>
          <t>Staff loan - Dirk Coetzee</t>
        </is>
      </c>
      <c r="F783" s="3" t="n">
        <v>-120.05</v>
      </c>
      <c r="G783" s="3" t="n">
        <v>0</v>
      </c>
    </row>
    <row r="784">
      <c r="A784" s="3" t="inlineStr">
        <is>
          <t>Cape Projects Construction (Pty) Ltd</t>
        </is>
      </c>
      <c r="B784" s="4" t="n">
        <v>44620</v>
      </c>
      <c r="C784" s="3" t="inlineStr">
        <is>
          <t>Liabilities</t>
        </is>
      </c>
      <c r="D784" s="3" t="inlineStr">
        <is>
          <t>5600/100</t>
        </is>
      </c>
      <c r="E784" s="3" t="inlineStr">
        <is>
          <t>Motor Vehical Car Repaymts - Toyota</t>
        </is>
      </c>
      <c r="F784" s="3" t="n">
        <v>-5557.44</v>
      </c>
      <c r="G784" s="3" t="n">
        <v>0</v>
      </c>
    </row>
    <row r="785">
      <c r="A785" s="3" t="inlineStr">
        <is>
          <t>Cape Projects Construction (Pty) Ltd</t>
        </is>
      </c>
      <c r="B785" s="4" t="n">
        <v>44620</v>
      </c>
      <c r="C785" s="3" t="inlineStr">
        <is>
          <t>Liabilities</t>
        </is>
      </c>
      <c r="D785" s="3" t="inlineStr">
        <is>
          <t>5600/200</t>
        </is>
      </c>
      <c r="E785" s="3" t="inlineStr">
        <is>
          <t>Motor Vehicle Car Repayments - Toyota Shortterm</t>
        </is>
      </c>
      <c r="F785" s="3" t="n">
        <v>3239.9</v>
      </c>
      <c r="G785" s="3" t="n">
        <v>-58920.1</v>
      </c>
    </row>
    <row r="786">
      <c r="A786" s="3" t="inlineStr">
        <is>
          <t>Cape Projects Construction (Pty) Ltd</t>
        </is>
      </c>
      <c r="B786" s="4" t="n">
        <v>44620</v>
      </c>
      <c r="C786" s="3" t="inlineStr">
        <is>
          <t>Assets</t>
        </is>
      </c>
      <c r="D786" s="3" t="inlineStr">
        <is>
          <t>6200/010</t>
        </is>
      </c>
      <c r="E786" s="3" t="inlineStr">
        <is>
          <t>Motor Vehicles - @ Cost</t>
        </is>
      </c>
      <c r="F786" s="3" t="n">
        <v>0</v>
      </c>
      <c r="G786" s="3" t="n">
        <v>216064.1</v>
      </c>
    </row>
    <row r="787">
      <c r="A787" s="3" t="inlineStr">
        <is>
          <t>Cape Projects Construction (Pty) Ltd</t>
        </is>
      </c>
      <c r="B787" s="4" t="n">
        <v>44620</v>
      </c>
      <c r="C787" s="3" t="inlineStr">
        <is>
          <t>Assets</t>
        </is>
      </c>
      <c r="D787" s="3" t="inlineStr">
        <is>
          <t>6200/020</t>
        </is>
      </c>
      <c r="E787" s="3" t="inlineStr">
        <is>
          <t>Motor Vehicles - Accum Depre</t>
        </is>
      </c>
      <c r="F787" s="3" t="n">
        <v>-43213</v>
      </c>
      <c r="G787" s="3" t="n">
        <v>-176453</v>
      </c>
    </row>
    <row r="788">
      <c r="A788" s="3" t="inlineStr">
        <is>
          <t>Cape Projects Construction (Pty) Ltd</t>
        </is>
      </c>
      <c r="B788" s="4" t="n">
        <v>44620</v>
      </c>
      <c r="C788" s="3" t="inlineStr">
        <is>
          <t>Assets</t>
        </is>
      </c>
      <c r="D788" s="3" t="inlineStr">
        <is>
          <t>6250/010</t>
        </is>
      </c>
      <c r="E788" s="3" t="inlineStr">
        <is>
          <t>Computer Equipment - @ Cost</t>
        </is>
      </c>
      <c r="F788" s="3" t="n">
        <v>8723.48</v>
      </c>
      <c r="G788" s="3" t="n">
        <v>62174.35</v>
      </c>
    </row>
    <row r="789">
      <c r="A789" s="3" t="inlineStr">
        <is>
          <t>Cape Projects Construction (Pty) Ltd</t>
        </is>
      </c>
      <c r="B789" s="4" t="n">
        <v>44620</v>
      </c>
      <c r="C789" s="3" t="inlineStr">
        <is>
          <t>Assets</t>
        </is>
      </c>
      <c r="D789" s="3" t="inlineStr">
        <is>
          <t>6250/020</t>
        </is>
      </c>
      <c r="E789" s="3" t="inlineStr">
        <is>
          <t>Computer Equipment - Accum Depre</t>
        </is>
      </c>
      <c r="F789" s="3" t="n">
        <v>-667.3</v>
      </c>
      <c r="G789" s="3" t="n">
        <v>-19141.09</v>
      </c>
    </row>
    <row r="790">
      <c r="A790" s="3" t="inlineStr">
        <is>
          <t>Cape Projects Construction (Pty) Ltd</t>
        </is>
      </c>
      <c r="B790" s="4" t="n">
        <v>44620</v>
      </c>
      <c r="C790" s="3" t="inlineStr">
        <is>
          <t>Assets</t>
        </is>
      </c>
      <c r="D790" s="3" t="inlineStr">
        <is>
          <t>6350/010</t>
        </is>
      </c>
      <c r="E790" s="3" t="inlineStr">
        <is>
          <t>Furniture _AND_ Fittings - @ Cost</t>
        </is>
      </c>
      <c r="F790" s="3" t="n">
        <v>1477.39</v>
      </c>
      <c r="G790" s="3" t="n">
        <v>29281.39</v>
      </c>
    </row>
    <row r="791">
      <c r="A791" s="3" t="inlineStr">
        <is>
          <t>Cape Projects Construction (Pty) Ltd</t>
        </is>
      </c>
      <c r="B791" s="4" t="n">
        <v>44620</v>
      </c>
      <c r="C791" s="3" t="inlineStr">
        <is>
          <t>Assets</t>
        </is>
      </c>
      <c r="D791" s="3" t="inlineStr">
        <is>
          <t>6350/020</t>
        </is>
      </c>
      <c r="E791" s="3" t="inlineStr">
        <is>
          <t>Furniture _AND_ Fittings - Accum Depre</t>
        </is>
      </c>
      <c r="F791" s="3" t="n">
        <v>-406.69</v>
      </c>
      <c r="G791" s="3" t="n">
        <v>-406.69</v>
      </c>
    </row>
    <row r="792">
      <c r="A792" s="3" t="inlineStr">
        <is>
          <t>Cape Projects Construction (Pty) Ltd</t>
        </is>
      </c>
      <c r="B792" s="4" t="n">
        <v>44620</v>
      </c>
      <c r="C792" s="3" t="inlineStr">
        <is>
          <t>Assets</t>
        </is>
      </c>
      <c r="D792" s="3" t="inlineStr">
        <is>
          <t>6600/010</t>
        </is>
      </c>
      <c r="E792" s="3" t="inlineStr">
        <is>
          <t>Generator Fixed Asset - @ Cost</t>
        </is>
      </c>
      <c r="F792" s="3" t="n">
        <v>0</v>
      </c>
      <c r="G792" s="3" t="n">
        <v>11600</v>
      </c>
    </row>
    <row r="793">
      <c r="A793" s="3" t="inlineStr">
        <is>
          <t>Cape Projects Construction (Pty) Ltd</t>
        </is>
      </c>
      <c r="B793" s="4" t="n">
        <v>44620</v>
      </c>
      <c r="C793" s="3" t="inlineStr">
        <is>
          <t>Assets</t>
        </is>
      </c>
      <c r="D793" s="3" t="inlineStr">
        <is>
          <t>6600/020</t>
        </is>
      </c>
      <c r="E793" s="3" t="inlineStr">
        <is>
          <t>Generator Fixed Asset - Accum Depre</t>
        </is>
      </c>
      <c r="F793" s="3" t="n">
        <v>-32.23</v>
      </c>
      <c r="G793" s="3" t="n">
        <v>-805.5599999999999</v>
      </c>
    </row>
    <row r="794">
      <c r="A794" s="3" t="inlineStr">
        <is>
          <t>Heron Fields (Pty) Ltd</t>
        </is>
      </c>
      <c r="B794" s="4" t="n">
        <v>44620</v>
      </c>
      <c r="C794" s="3" t="inlineStr">
        <is>
          <t>Assets</t>
        </is>
      </c>
      <c r="D794" s="3" t="inlineStr">
        <is>
          <t>7610/395</t>
        </is>
      </c>
      <c r="E794" s="3" t="inlineStr">
        <is>
          <t>HF CIP NHBRC</t>
        </is>
      </c>
      <c r="F794" s="3" t="n">
        <v>0</v>
      </c>
      <c r="G794" s="3" t="n">
        <v>261841.5</v>
      </c>
    </row>
    <row r="795">
      <c r="A795" s="3" t="inlineStr">
        <is>
          <t>Heron Fields (Pty) Ltd</t>
        </is>
      </c>
      <c r="B795" s="4" t="n">
        <v>44620</v>
      </c>
      <c r="C795" s="3" t="inlineStr">
        <is>
          <t>Assets</t>
        </is>
      </c>
      <c r="D795" s="3" t="inlineStr">
        <is>
          <t>7620/100</t>
        </is>
      </c>
      <c r="E795" s="3" t="inlineStr">
        <is>
          <t>Heron View Land</t>
        </is>
      </c>
      <c r="F795" s="3" t="n">
        <v>0</v>
      </c>
      <c r="G795" s="3" t="n">
        <v>26200000</v>
      </c>
    </row>
    <row r="796">
      <c r="A796" s="3" t="inlineStr">
        <is>
          <t>Heron Fields (Pty) Ltd</t>
        </is>
      </c>
      <c r="B796" s="4" t="n">
        <v>44620</v>
      </c>
      <c r="C796" s="3" t="inlineStr">
        <is>
          <t>Assets</t>
        </is>
      </c>
      <c r="D796" s="3" t="inlineStr">
        <is>
          <t>7620/101</t>
        </is>
      </c>
      <c r="E796" s="3" t="inlineStr">
        <is>
          <t>HF CIP Bond Registration Fee</t>
        </is>
      </c>
      <c r="F796" s="3" t="n">
        <v>0</v>
      </c>
      <c r="G796" s="3" t="n">
        <v>68427</v>
      </c>
    </row>
    <row r="797">
      <c r="A797" s="3" t="inlineStr">
        <is>
          <t>Heron Fields (Pty) Ltd</t>
        </is>
      </c>
      <c r="B797" s="4" t="n">
        <v>44620</v>
      </c>
      <c r="C797" s="3" t="inlineStr">
        <is>
          <t>Assets</t>
        </is>
      </c>
      <c r="D797" s="3" t="inlineStr">
        <is>
          <t>7620/102</t>
        </is>
      </c>
      <c r="E797" s="3" t="inlineStr">
        <is>
          <t>HF CIP Transfer Fee</t>
        </is>
      </c>
      <c r="F797" s="3" t="n">
        <v>0</v>
      </c>
      <c r="G797" s="3" t="n">
        <v>103812</v>
      </c>
    </row>
    <row r="798">
      <c r="A798" s="3" t="inlineStr">
        <is>
          <t>Heron Fields (Pty) Ltd</t>
        </is>
      </c>
      <c r="B798" s="4" t="n">
        <v>44620</v>
      </c>
      <c r="C798" s="3" t="inlineStr">
        <is>
          <t>Assets</t>
        </is>
      </c>
      <c r="D798" s="3" t="inlineStr">
        <is>
          <t>7620/220</t>
        </is>
      </c>
      <c r="E798" s="3" t="inlineStr">
        <is>
          <t>HF CIP Architectural Designs</t>
        </is>
      </c>
      <c r="F798" s="3" t="n">
        <v>0</v>
      </c>
      <c r="G798" s="3" t="n">
        <v>142000</v>
      </c>
    </row>
    <row r="799">
      <c r="A799" s="3" t="inlineStr">
        <is>
          <t>Heron Fields (Pty) Ltd</t>
        </is>
      </c>
      <c r="B799" s="4" t="n">
        <v>44620</v>
      </c>
      <c r="C799" s="3" t="inlineStr">
        <is>
          <t>Assets</t>
        </is>
      </c>
      <c r="D799" s="3" t="inlineStr">
        <is>
          <t>7620/240</t>
        </is>
      </c>
      <c r="E799" s="3" t="inlineStr">
        <is>
          <t>HF CIP Civil Engineering</t>
        </is>
      </c>
      <c r="F799" s="3" t="n">
        <v>0</v>
      </c>
      <c r="G799" s="3" t="n">
        <v>5052916.5</v>
      </c>
    </row>
    <row r="800">
      <c r="A800" s="3" t="inlineStr">
        <is>
          <t>Heron Fields (Pty) Ltd</t>
        </is>
      </c>
      <c r="B800" s="4" t="n">
        <v>44620</v>
      </c>
      <c r="C800" s="3" t="inlineStr">
        <is>
          <t>Assets</t>
        </is>
      </c>
      <c r="D800" s="3" t="inlineStr">
        <is>
          <t>7620/245</t>
        </is>
      </c>
      <c r="E800" s="3" t="inlineStr">
        <is>
          <t>HF CIP Development fee</t>
        </is>
      </c>
      <c r="F800" s="3" t="n">
        <v>0</v>
      </c>
      <c r="G800" s="3" t="n">
        <v>13807.78</v>
      </c>
    </row>
    <row r="801">
      <c r="A801" s="3" t="inlineStr">
        <is>
          <t>Heron Fields (Pty) Ltd</t>
        </is>
      </c>
      <c r="B801" s="4" t="n">
        <v>44620</v>
      </c>
      <c r="C801" s="3" t="inlineStr">
        <is>
          <t>Assets</t>
        </is>
      </c>
      <c r="D801" s="3" t="inlineStr">
        <is>
          <t>7620/250</t>
        </is>
      </c>
      <c r="E801" s="3" t="inlineStr">
        <is>
          <t>HF CIP Land Surveyor</t>
        </is>
      </c>
      <c r="F801" s="3" t="n">
        <v>0</v>
      </c>
      <c r="G801" s="3" t="n">
        <v>6350</v>
      </c>
    </row>
    <row r="802">
      <c r="A802" s="3" t="inlineStr">
        <is>
          <t>Heron Fields (Pty) Ltd</t>
        </is>
      </c>
      <c r="B802" s="4" t="n">
        <v>44620</v>
      </c>
      <c r="C802" s="3" t="inlineStr">
        <is>
          <t>Assets</t>
        </is>
      </c>
      <c r="D802" s="3" t="inlineStr">
        <is>
          <t>7620/255</t>
        </is>
      </c>
      <c r="E802" s="3" t="inlineStr">
        <is>
          <t>HF CIP Landscaping</t>
        </is>
      </c>
      <c r="F802" s="3" t="n">
        <v>0</v>
      </c>
      <c r="G802" s="3" t="n">
        <v>7500</v>
      </c>
    </row>
    <row r="803">
      <c r="A803" s="3" t="inlineStr">
        <is>
          <t>Heron Fields (Pty) Ltd</t>
        </is>
      </c>
      <c r="B803" s="4" t="n">
        <v>44620</v>
      </c>
      <c r="C803" s="3" t="inlineStr">
        <is>
          <t>Assets</t>
        </is>
      </c>
      <c r="D803" s="3" t="inlineStr">
        <is>
          <t>7620/260</t>
        </is>
      </c>
      <c r="E803" s="3" t="inlineStr">
        <is>
          <t>HF CIP Mechanical Engineers</t>
        </is>
      </c>
      <c r="F803" s="3" t="n">
        <v>0</v>
      </c>
      <c r="G803" s="3" t="n">
        <v>67400</v>
      </c>
    </row>
    <row r="804">
      <c r="A804" s="3" t="inlineStr">
        <is>
          <t>Heron Fields (Pty) Ltd</t>
        </is>
      </c>
      <c r="B804" s="4" t="n">
        <v>44620</v>
      </c>
      <c r="C804" s="3" t="inlineStr">
        <is>
          <t>Assets</t>
        </is>
      </c>
      <c r="D804" s="3" t="inlineStr">
        <is>
          <t>7620/265</t>
        </is>
      </c>
      <c r="E804" s="3" t="inlineStr">
        <is>
          <t>HF CIP Health &amp; Safety</t>
        </is>
      </c>
      <c r="F804" s="3" t="n">
        <v>6600</v>
      </c>
      <c r="G804" s="3" t="n">
        <v>6600</v>
      </c>
    </row>
    <row r="805">
      <c r="A805" s="3" t="inlineStr">
        <is>
          <t>Heron Fields (Pty) Ltd</t>
        </is>
      </c>
      <c r="B805" s="4" t="n">
        <v>44620</v>
      </c>
      <c r="C805" s="3" t="inlineStr">
        <is>
          <t>Assets</t>
        </is>
      </c>
      <c r="D805" s="3" t="inlineStr">
        <is>
          <t>7620/270</t>
        </is>
      </c>
      <c r="E805" s="3" t="inlineStr">
        <is>
          <t>HF CIP Geotechnical</t>
        </is>
      </c>
      <c r="F805" s="3" t="n">
        <v>0</v>
      </c>
      <c r="G805" s="3" t="n">
        <v>15175</v>
      </c>
    </row>
    <row r="806">
      <c r="A806" s="3" t="inlineStr">
        <is>
          <t>Heron Fields (Pty) Ltd</t>
        </is>
      </c>
      <c r="B806" s="4" t="n">
        <v>44620</v>
      </c>
      <c r="C806" s="3" t="inlineStr">
        <is>
          <t>Assets</t>
        </is>
      </c>
      <c r="D806" s="3" t="inlineStr">
        <is>
          <t>7620/280</t>
        </is>
      </c>
      <c r="E806" s="3" t="inlineStr">
        <is>
          <t>HF CIP Site Establishment</t>
        </is>
      </c>
      <c r="F806" s="3" t="n">
        <v>86725.09</v>
      </c>
      <c r="G806" s="3" t="n">
        <v>187359.89</v>
      </c>
    </row>
    <row r="807">
      <c r="A807" s="3" t="inlineStr">
        <is>
          <t>Heron Fields (Pty) Ltd</t>
        </is>
      </c>
      <c r="B807" s="4" t="n">
        <v>44620</v>
      </c>
      <c r="C807" s="3" t="inlineStr">
        <is>
          <t>Assets</t>
        </is>
      </c>
      <c r="D807" s="3" t="inlineStr">
        <is>
          <t>7620/285</t>
        </is>
      </c>
      <c r="E807" s="3" t="inlineStr">
        <is>
          <t>HF CIP Structuring Fee - Invest</t>
        </is>
      </c>
      <c r="F807" s="3" t="n">
        <v>0</v>
      </c>
      <c r="G807" s="3" t="n">
        <v>2331207.06</v>
      </c>
    </row>
    <row r="808">
      <c r="A808" s="3" t="inlineStr">
        <is>
          <t>Heron Fields (Pty) Ltd</t>
        </is>
      </c>
      <c r="B808" s="4" t="n">
        <v>44620</v>
      </c>
      <c r="C808" s="3" t="inlineStr">
        <is>
          <t>Assets</t>
        </is>
      </c>
      <c r="D808" s="3" t="inlineStr">
        <is>
          <t>7620/287</t>
        </is>
      </c>
      <c r="E808" s="3" t="inlineStr">
        <is>
          <t>HF CIP Structuring Fee - Development</t>
        </is>
      </c>
      <c r="F808" s="3" t="n">
        <v>0</v>
      </c>
      <c r="G808" s="3" t="n">
        <v>782608.0699999999</v>
      </c>
    </row>
    <row r="809">
      <c r="A809" s="3" t="inlineStr">
        <is>
          <t>Heron Fields (Pty) Ltd</t>
        </is>
      </c>
      <c r="B809" s="4" t="n">
        <v>44620</v>
      </c>
      <c r="C809" s="3" t="inlineStr">
        <is>
          <t>Assets</t>
        </is>
      </c>
      <c r="D809" s="3" t="inlineStr">
        <is>
          <t>7620/290</t>
        </is>
      </c>
      <c r="E809" s="3" t="inlineStr">
        <is>
          <t>HF CIP Town Planning</t>
        </is>
      </c>
      <c r="F809" s="3" t="n">
        <v>0</v>
      </c>
      <c r="G809" s="3" t="n">
        <v>129550</v>
      </c>
    </row>
    <row r="810">
      <c r="A810" s="3" t="inlineStr">
        <is>
          <t>Heron Fields (Pty) Ltd</t>
        </is>
      </c>
      <c r="B810" s="4" t="n">
        <v>44620</v>
      </c>
      <c r="C810" s="3" t="inlineStr">
        <is>
          <t>Assets</t>
        </is>
      </c>
      <c r="D810" s="3" t="inlineStr">
        <is>
          <t>7620/295</t>
        </is>
      </c>
      <c r="E810" s="3" t="inlineStr">
        <is>
          <t>HF CIP Traffic Planning</t>
        </is>
      </c>
      <c r="F810" s="3" t="n">
        <v>0</v>
      </c>
      <c r="G810" s="3" t="n">
        <v>45000</v>
      </c>
    </row>
    <row r="811">
      <c r="A811" s="3" t="inlineStr">
        <is>
          <t>Heron Fields (Pty) Ltd</t>
        </is>
      </c>
      <c r="B811" s="4" t="n">
        <v>44620</v>
      </c>
      <c r="C811" s="3" t="inlineStr">
        <is>
          <t>Assets</t>
        </is>
      </c>
      <c r="D811" s="3" t="inlineStr">
        <is>
          <t>7620/600</t>
        </is>
      </c>
      <c r="E811" s="3" t="inlineStr">
        <is>
          <t>HF CIP Eco work</t>
        </is>
      </c>
      <c r="F811" s="3" t="n">
        <v>6000</v>
      </c>
      <c r="G811" s="3" t="n">
        <v>54000</v>
      </c>
    </row>
    <row r="812">
      <c r="A812" s="3" t="inlineStr">
        <is>
          <t>Heron Fields (Pty) Ltd</t>
        </is>
      </c>
      <c r="B812" s="4" t="n">
        <v>44620</v>
      </c>
      <c r="C812" s="3" t="inlineStr">
        <is>
          <t>Assets</t>
        </is>
      </c>
      <c r="D812" s="3" t="inlineStr">
        <is>
          <t>7620/630</t>
        </is>
      </c>
      <c r="E812" s="3" t="inlineStr">
        <is>
          <t>HF CIP CoCT development contribution</t>
        </is>
      </c>
      <c r="F812" s="3" t="n">
        <v>112600.7</v>
      </c>
      <c r="G812" s="3" t="n">
        <v>739809.84</v>
      </c>
    </row>
    <row r="813">
      <c r="A813" s="3" t="inlineStr">
        <is>
          <t>Heron Fields (Pty) Ltd</t>
        </is>
      </c>
      <c r="B813" s="4" t="n">
        <v>44620</v>
      </c>
      <c r="C813" s="3" t="inlineStr">
        <is>
          <t>Assets</t>
        </is>
      </c>
      <c r="D813" s="3" t="inlineStr">
        <is>
          <t>7620/640</t>
        </is>
      </c>
      <c r="E813" s="3" t="inlineStr">
        <is>
          <t>HF CIP Project costs</t>
        </is>
      </c>
      <c r="F813" s="3" t="n">
        <v>0</v>
      </c>
      <c r="G813" s="3" t="n">
        <v>622274.51</v>
      </c>
    </row>
    <row r="814">
      <c r="A814" s="3" t="inlineStr">
        <is>
          <t>Cape Projects Construction (Pty) Ltd</t>
        </is>
      </c>
      <c r="B814" s="4" t="n">
        <v>44620</v>
      </c>
      <c r="C814" s="3" t="inlineStr">
        <is>
          <t>Assets</t>
        </is>
      </c>
      <c r="D814" s="3" t="inlineStr">
        <is>
          <t>7800/000</t>
        </is>
      </c>
      <c r="E814" s="3" t="inlineStr">
        <is>
          <t>Deposits paid</t>
        </is>
      </c>
      <c r="F814" s="3" t="n">
        <v>0</v>
      </c>
      <c r="G814" s="3" t="n">
        <v>6875.45</v>
      </c>
    </row>
    <row r="815">
      <c r="A815" s="3" t="inlineStr">
        <is>
          <t>Cape Projects Construction (Pty) Ltd</t>
        </is>
      </c>
      <c r="B815" s="4" t="n">
        <v>44620</v>
      </c>
      <c r="C815" s="3" t="inlineStr">
        <is>
          <t>Assets</t>
        </is>
      </c>
      <c r="D815" s="3" t="inlineStr">
        <is>
          <t>8000/000</t>
        </is>
      </c>
      <c r="E815" s="3" t="inlineStr">
        <is>
          <t>Customer Control Account</t>
        </is>
      </c>
      <c r="F815" s="3" t="n">
        <v>746030</v>
      </c>
      <c r="G815" s="3" t="n">
        <v>3144560.51</v>
      </c>
    </row>
    <row r="816">
      <c r="A816" s="3" t="inlineStr">
        <is>
          <t>Cape Projects Construction (Pty) Ltd</t>
        </is>
      </c>
      <c r="B816" s="4" t="n">
        <v>44620</v>
      </c>
      <c r="C816" s="3" t="inlineStr">
        <is>
          <t>Assets</t>
        </is>
      </c>
      <c r="D816" s="3" t="inlineStr">
        <is>
          <t>8200/010</t>
        </is>
      </c>
      <c r="E816" s="3" t="inlineStr">
        <is>
          <t>Prepayments / Prepaid Expenses</t>
        </is>
      </c>
      <c r="F816" s="3" t="n">
        <v>-2867.1</v>
      </c>
      <c r="G816" s="3" t="n">
        <v>14335.47</v>
      </c>
    </row>
    <row r="817">
      <c r="A817" s="3" t="inlineStr">
        <is>
          <t>Heron Fields (Pty) Ltd</t>
        </is>
      </c>
      <c r="B817" s="4" t="n">
        <v>44620</v>
      </c>
      <c r="C817" s="3" t="inlineStr">
        <is>
          <t>Assets</t>
        </is>
      </c>
      <c r="D817" s="3" t="inlineStr">
        <is>
          <t>8200/200</t>
        </is>
      </c>
      <c r="E817" s="3" t="inlineStr">
        <is>
          <t>Sundry Debtor - Quinate</t>
        </is>
      </c>
      <c r="F817" s="3" t="n">
        <v>0</v>
      </c>
      <c r="G817" s="3" t="n">
        <v>300000</v>
      </c>
    </row>
    <row r="818">
      <c r="A818" s="3" t="inlineStr">
        <is>
          <t>Heron Fields (Pty) Ltd</t>
        </is>
      </c>
      <c r="B818" s="4" t="n">
        <v>44620</v>
      </c>
      <c r="C818" s="3" t="inlineStr">
        <is>
          <t>Assets</t>
        </is>
      </c>
      <c r="D818" s="3" t="inlineStr">
        <is>
          <t>8400/000</t>
        </is>
      </c>
      <c r="E818" s="3" t="inlineStr">
        <is>
          <t>RMB - 62882379087</t>
        </is>
      </c>
      <c r="F818" s="3" t="n">
        <v>-14562.18</v>
      </c>
      <c r="G818" s="3" t="n">
        <v>25029.19</v>
      </c>
    </row>
    <row r="819">
      <c r="A819" s="3" t="inlineStr">
        <is>
          <t>Cape Projects Construction (Pty) Ltd</t>
        </is>
      </c>
      <c r="B819" s="4" t="n">
        <v>44620</v>
      </c>
      <c r="C819" s="3" t="inlineStr">
        <is>
          <t>Assets</t>
        </is>
      </c>
      <c r="D819" s="3" t="inlineStr">
        <is>
          <t>8400/000</t>
        </is>
      </c>
      <c r="E819" s="3" t="inlineStr">
        <is>
          <t>RMB 62275138470</t>
        </is>
      </c>
      <c r="F819" s="3" t="n">
        <v>414749.94</v>
      </c>
      <c r="G819" s="3" t="n">
        <v>427620.78</v>
      </c>
    </row>
    <row r="820">
      <c r="A820" s="3" t="inlineStr">
        <is>
          <t>Cape Projects Construction (Pty) Ltd</t>
        </is>
      </c>
      <c r="B820" s="4" t="n">
        <v>44620</v>
      </c>
      <c r="C820" s="3" t="inlineStr">
        <is>
          <t>Assets</t>
        </is>
      </c>
      <c r="D820" s="3" t="inlineStr">
        <is>
          <t>8410/000</t>
        </is>
      </c>
      <c r="E820" s="3" t="inlineStr">
        <is>
          <t>Petty Cash</t>
        </is>
      </c>
      <c r="F820" s="3" t="n">
        <v>-1006.8</v>
      </c>
      <c r="G820" s="3" t="n">
        <v>0</v>
      </c>
    </row>
    <row r="821">
      <c r="A821" s="3" t="inlineStr">
        <is>
          <t>Cape Projects Construction (Pty) Ltd</t>
        </is>
      </c>
      <c r="B821" s="4" t="n">
        <v>44620</v>
      </c>
      <c r="C821" s="3" t="inlineStr">
        <is>
          <t>Assets</t>
        </is>
      </c>
      <c r="D821" s="3" t="inlineStr">
        <is>
          <t>8420/000</t>
        </is>
      </c>
      <c r="E821" s="3" t="inlineStr">
        <is>
          <t>Momentum Priv Acc RU502230981</t>
        </is>
      </c>
      <c r="F821" s="3" t="n">
        <v>1.8</v>
      </c>
      <c r="G821" s="3" t="n">
        <v>509.64</v>
      </c>
    </row>
    <row r="822">
      <c r="A822" s="3" t="inlineStr">
        <is>
          <t>Heron Fields (Pty) Ltd</t>
        </is>
      </c>
      <c r="B822" s="4" t="n">
        <v>44620</v>
      </c>
      <c r="C822" s="3" t="inlineStr">
        <is>
          <t>Assets</t>
        </is>
      </c>
      <c r="D822" s="3" t="inlineStr">
        <is>
          <t>8430/000</t>
        </is>
      </c>
      <c r="E822" s="3" t="inlineStr">
        <is>
          <t>Momentum Private Account RU502230151</t>
        </is>
      </c>
      <c r="F822" s="3" t="n">
        <v>5.48</v>
      </c>
      <c r="G822" s="3" t="n">
        <v>784.95</v>
      </c>
    </row>
    <row r="823">
      <c r="A823" s="3" t="inlineStr">
        <is>
          <t>Heron Fields (Pty) Ltd</t>
        </is>
      </c>
      <c r="B823" s="4" t="n">
        <v>44620</v>
      </c>
      <c r="C823" s="3" t="inlineStr">
        <is>
          <t>Assets</t>
        </is>
      </c>
      <c r="D823" s="3" t="inlineStr">
        <is>
          <t>8440/000</t>
        </is>
      </c>
      <c r="E823" s="3" t="inlineStr">
        <is>
          <t>Momentum Investors Account RU502229930</t>
        </is>
      </c>
      <c r="F823" s="3" t="n">
        <v>-3086636.43</v>
      </c>
      <c r="G823" s="3" t="n">
        <v>4416019.37</v>
      </c>
    </row>
    <row r="824">
      <c r="A824" s="3" t="inlineStr">
        <is>
          <t>Cape Projects Construction (Pty) Ltd</t>
        </is>
      </c>
      <c r="B824" s="4" t="n">
        <v>44620</v>
      </c>
      <c r="C824" s="3" t="inlineStr">
        <is>
          <t>Liabilities</t>
        </is>
      </c>
      <c r="D824" s="3" t="inlineStr">
        <is>
          <t>860</t>
        </is>
      </c>
      <c r="E824" s="3" t="inlineStr">
        <is>
          <t>Rounding</t>
        </is>
      </c>
      <c r="F824" s="3" t="n">
        <v>0.02</v>
      </c>
      <c r="G824" s="3" t="n">
        <v>0.01</v>
      </c>
    </row>
    <row r="825">
      <c r="A825" s="3" t="inlineStr">
        <is>
          <t>Heron Fields (Pty) Ltd</t>
        </is>
      </c>
      <c r="B825" s="4" t="n">
        <v>44620</v>
      </c>
      <c r="C825" s="3" t="inlineStr">
        <is>
          <t>Liabilities</t>
        </is>
      </c>
      <c r="D825" s="3" t="inlineStr">
        <is>
          <t>860</t>
        </is>
      </c>
      <c r="E825" s="3" t="inlineStr">
        <is>
          <t>Rounding</t>
        </is>
      </c>
      <c r="F825" s="3" t="n">
        <v>0</v>
      </c>
      <c r="G825" s="3" t="n">
        <v>0.01</v>
      </c>
    </row>
    <row r="826">
      <c r="A826" s="3" t="inlineStr">
        <is>
          <t>Cape Projects Construction (Pty) Ltd</t>
        </is>
      </c>
      <c r="B826" s="4" t="n">
        <v>44620</v>
      </c>
      <c r="C826" s="3" t="inlineStr">
        <is>
          <t>Liabilities</t>
        </is>
      </c>
      <c r="D826" s="3" t="inlineStr">
        <is>
          <t>9000/000</t>
        </is>
      </c>
      <c r="E826" s="3" t="inlineStr">
        <is>
          <t>Supplier Control Account</t>
        </is>
      </c>
      <c r="F826" s="3" t="n">
        <v>-599204.17</v>
      </c>
      <c r="G826" s="3" t="n">
        <v>-1940212.93</v>
      </c>
    </row>
    <row r="827">
      <c r="A827" s="3" t="inlineStr">
        <is>
          <t>Heron Fields (Pty) Ltd</t>
        </is>
      </c>
      <c r="B827" s="4" t="n">
        <v>44620</v>
      </c>
      <c r="C827" s="3" t="inlineStr">
        <is>
          <t>Liabilities</t>
        </is>
      </c>
      <c r="D827" s="3" t="inlineStr">
        <is>
          <t>9000/000</t>
        </is>
      </c>
      <c r="E827" s="3" t="inlineStr">
        <is>
          <t>Supplier Control Account</t>
        </is>
      </c>
      <c r="F827" s="3" t="n">
        <v>-396077.7</v>
      </c>
      <c r="G827" s="3" t="n">
        <v>-46223248.03</v>
      </c>
    </row>
    <row r="828">
      <c r="A828" s="3" t="inlineStr">
        <is>
          <t>Cape Projects Construction (Pty) Ltd</t>
        </is>
      </c>
      <c r="B828" s="4" t="n">
        <v>44620</v>
      </c>
      <c r="C828" s="3" t="inlineStr">
        <is>
          <t>Liabilities</t>
        </is>
      </c>
      <c r="D828" s="3" t="inlineStr">
        <is>
          <t>9200/000</t>
        </is>
      </c>
      <c r="E828" s="3" t="inlineStr">
        <is>
          <t>Sundry Suppliers</t>
        </is>
      </c>
      <c r="F828" s="3" t="n">
        <v>1186.13</v>
      </c>
      <c r="G828" s="3" t="n">
        <v>1186.13</v>
      </c>
    </row>
    <row r="829">
      <c r="A829" s="3" t="inlineStr">
        <is>
          <t>Heron Fields (Pty) Ltd</t>
        </is>
      </c>
      <c r="B829" s="4" t="n">
        <v>44620</v>
      </c>
      <c r="C829" s="3" t="inlineStr">
        <is>
          <t>Liabilities</t>
        </is>
      </c>
      <c r="D829" s="3" t="inlineStr">
        <is>
          <t>9210/001</t>
        </is>
      </c>
      <c r="E829" s="3" t="inlineStr">
        <is>
          <t>Accrued Expenses</t>
        </is>
      </c>
      <c r="F829" s="3" t="n">
        <v>-6223.51</v>
      </c>
      <c r="G829" s="3" t="n">
        <v>-6223.51</v>
      </c>
    </row>
    <row r="830">
      <c r="A830" s="3" t="inlineStr">
        <is>
          <t>Cape Projects Construction (Pty) Ltd</t>
        </is>
      </c>
      <c r="B830" s="4" t="n">
        <v>44620</v>
      </c>
      <c r="C830" s="3" t="inlineStr">
        <is>
          <t>Liabilities</t>
        </is>
      </c>
      <c r="D830" s="3" t="inlineStr">
        <is>
          <t>9250/010</t>
        </is>
      </c>
      <c r="E830" s="3" t="inlineStr">
        <is>
          <t>SALARY CONTROL</t>
        </is>
      </c>
      <c r="F830" s="3" t="n">
        <v>2336.82</v>
      </c>
      <c r="G830" s="3" t="n">
        <v>0</v>
      </c>
    </row>
    <row r="831">
      <c r="A831" s="3" t="inlineStr">
        <is>
          <t>Cape Projects Construction (Pty) Ltd</t>
        </is>
      </c>
      <c r="B831" s="4" t="n">
        <v>44620</v>
      </c>
      <c r="C831" s="3" t="inlineStr">
        <is>
          <t>Liabilities</t>
        </is>
      </c>
      <c r="D831" s="3" t="inlineStr">
        <is>
          <t>9250/020</t>
        </is>
      </c>
      <c r="E831" s="3" t="inlineStr">
        <is>
          <t>PAYE, UIF AND SDL CONTROL</t>
        </is>
      </c>
      <c r="F831" s="3" t="n">
        <v>-48598.75</v>
      </c>
      <c r="G831" s="3" t="n">
        <v>-84559.37</v>
      </c>
    </row>
    <row r="832">
      <c r="A832" s="3" t="inlineStr">
        <is>
          <t>Cape Projects Construction (Pty) Ltd</t>
        </is>
      </c>
      <c r="B832" s="4" t="n">
        <v>44620</v>
      </c>
      <c r="C832" s="3" t="inlineStr">
        <is>
          <t>Liabilities</t>
        </is>
      </c>
      <c r="D832" s="3" t="inlineStr">
        <is>
          <t>9250/030</t>
        </is>
      </c>
      <c r="E832" s="3" t="inlineStr">
        <is>
          <t>BIBC CONTROL</t>
        </is>
      </c>
      <c r="F832" s="3" t="n">
        <v>-204.56</v>
      </c>
      <c r="G832" s="3" t="n">
        <v>-409.12</v>
      </c>
    </row>
    <row r="833">
      <c r="A833" s="3" t="inlineStr">
        <is>
          <t>Cape Projects Construction (Pty) Ltd</t>
        </is>
      </c>
      <c r="B833" s="4" t="n">
        <v>44620</v>
      </c>
      <c r="C833" s="3" t="inlineStr">
        <is>
          <t>Liabilities</t>
        </is>
      </c>
      <c r="D833" s="3" t="inlineStr">
        <is>
          <t>9500/000</t>
        </is>
      </c>
      <c r="E833" s="3" t="inlineStr">
        <is>
          <t>VAT Control Account</t>
        </is>
      </c>
      <c r="F833" s="3" t="n">
        <v>-153844.3</v>
      </c>
      <c r="G833" s="3" t="n">
        <v>-893675.0699999999</v>
      </c>
    </row>
    <row r="834">
      <c r="A834" s="3" t="inlineStr">
        <is>
          <t>Heron Fields (Pty) Ltd</t>
        </is>
      </c>
      <c r="B834" s="4" t="n">
        <v>44620</v>
      </c>
      <c r="C834" s="3" t="inlineStr">
        <is>
          <t>Liabilities</t>
        </is>
      </c>
      <c r="D834" s="3" t="inlineStr">
        <is>
          <t>9500/000</t>
        </is>
      </c>
      <c r="E834" s="3" t="inlineStr">
        <is>
          <t>Vat / Tax Control Account</t>
        </is>
      </c>
      <c r="F834" s="3" t="n">
        <v>44552.02</v>
      </c>
      <c r="G834" s="3" t="n">
        <v>830091.0699999999</v>
      </c>
    </row>
    <row r="835">
      <c r="A835" s="3" t="inlineStr">
        <is>
          <t>Cape Projects Construction (Pty) Ltd</t>
        </is>
      </c>
      <c r="B835" s="4" t="n">
        <v>44620</v>
      </c>
      <c r="C835" s="3" t="inlineStr">
        <is>
          <t>Liabilities</t>
        </is>
      </c>
      <c r="D835" s="3" t="inlineStr">
        <is>
          <t>B/S</t>
        </is>
      </c>
      <c r="E835" s="3" t="inlineStr">
        <is>
          <t>Taxation Payable</t>
        </is>
      </c>
      <c r="F835" s="3" t="n">
        <v>-500</v>
      </c>
      <c r="G835" s="3" t="n">
        <v>1987.82</v>
      </c>
    </row>
    <row r="836">
      <c r="A836" s="3" t="inlineStr">
        <is>
          <t>Cape Projects Construction (Pty) Ltd</t>
        </is>
      </c>
      <c r="B836" s="4" t="n">
        <v>44620</v>
      </c>
      <c r="C836" s="3" t="inlineStr">
        <is>
          <t>Liabilities</t>
        </is>
      </c>
      <c r="D836" s="3" t="inlineStr">
        <is>
          <t>TEMP/ACC</t>
        </is>
      </c>
      <c r="E836" s="3" t="inlineStr">
        <is>
          <t>Conversion Account</t>
        </is>
      </c>
      <c r="F836" s="3" t="n">
        <v>0</v>
      </c>
      <c r="G836" s="3" t="n">
        <v>-254.99</v>
      </c>
    </row>
    <row r="837">
      <c r="A837" s="3" t="inlineStr">
        <is>
          <t>Cape Projects Construction (Pty) Ltd</t>
        </is>
      </c>
      <c r="B837" s="4" t="n">
        <v>44651</v>
      </c>
      <c r="C837" s="3" t="inlineStr">
        <is>
          <t>Revenue</t>
        </is>
      </c>
      <c r="D837" s="3" t="inlineStr">
        <is>
          <t>1040/100</t>
        </is>
      </c>
      <c r="E837" s="3" t="inlineStr">
        <is>
          <t>Fees - Construction - Heron</t>
        </is>
      </c>
      <c r="F837" s="3" t="n">
        <v>-1167362.94</v>
      </c>
      <c r="G837" s="3" t="n">
        <v>-1167362.94</v>
      </c>
    </row>
    <row r="838">
      <c r="A838" s="3" t="inlineStr">
        <is>
          <t>Cape Projects Construction (Pty) Ltd</t>
        </is>
      </c>
      <c r="B838" s="4" t="n">
        <v>44651</v>
      </c>
      <c r="C838" s="3" t="inlineStr">
        <is>
          <t>Revenue</t>
        </is>
      </c>
      <c r="D838" s="3" t="inlineStr">
        <is>
          <t>1050/030</t>
        </is>
      </c>
      <c r="E838" s="3" t="inlineStr">
        <is>
          <t>Fees - Construction - Endulini</t>
        </is>
      </c>
      <c r="F838" s="3" t="n">
        <v>-3723478.26</v>
      </c>
      <c r="G838" s="3" t="n">
        <v>-3723478.26</v>
      </c>
    </row>
    <row r="839">
      <c r="A839" s="3" t="inlineStr">
        <is>
          <t>Cape Projects Construction (Pty) Ltd</t>
        </is>
      </c>
      <c r="B839" s="4" t="n">
        <v>44651</v>
      </c>
      <c r="C839" s="3" t="inlineStr">
        <is>
          <t>Revenue</t>
        </is>
      </c>
      <c r="D839" s="3" t="inlineStr">
        <is>
          <t>1070/000</t>
        </is>
      </c>
      <c r="E839" s="3" t="inlineStr">
        <is>
          <t>Rent - CT Office</t>
        </is>
      </c>
      <c r="F839" s="3" t="n">
        <v>-3490.94</v>
      </c>
      <c r="G839" s="3" t="n">
        <v>-3490.94</v>
      </c>
    </row>
    <row r="840">
      <c r="A840" s="3" t="inlineStr">
        <is>
          <t>Cape Projects Construction (Pty) Ltd</t>
        </is>
      </c>
      <c r="B840" s="4" t="n">
        <v>44651</v>
      </c>
      <c r="C840" s="3" t="inlineStr">
        <is>
          <t>Expenses</t>
        </is>
      </c>
      <c r="D840" s="3" t="inlineStr">
        <is>
          <t>2006/000</t>
        </is>
      </c>
      <c r="E840" s="3" t="inlineStr">
        <is>
          <t>COS - Endulini Construction</t>
        </is>
      </c>
      <c r="F840" s="3" t="n">
        <v>3165566.09</v>
      </c>
      <c r="G840" s="3" t="n">
        <v>3165566.09</v>
      </c>
    </row>
    <row r="841">
      <c r="A841" s="3" t="inlineStr">
        <is>
          <t>Cape Projects Construction (Pty) Ltd</t>
        </is>
      </c>
      <c r="B841" s="4" t="n">
        <v>44651</v>
      </c>
      <c r="C841" s="3" t="inlineStr">
        <is>
          <t>Expenses</t>
        </is>
      </c>
      <c r="D841" s="3" t="inlineStr">
        <is>
          <t>2006/100</t>
        </is>
      </c>
      <c r="E841" s="3" t="inlineStr">
        <is>
          <t>COS - Endulini P and G</t>
        </is>
      </c>
      <c r="F841" s="3" t="n">
        <v>166564.88</v>
      </c>
      <c r="G841" s="3" t="n">
        <v>166564.88</v>
      </c>
    </row>
    <row r="842">
      <c r="A842" s="3" t="inlineStr">
        <is>
          <t>Cape Projects Construction (Pty) Ltd</t>
        </is>
      </c>
      <c r="B842" s="4" t="n">
        <v>44651</v>
      </c>
      <c r="C842" s="3" t="inlineStr">
        <is>
          <t>Expenses</t>
        </is>
      </c>
      <c r="D842" s="3" t="inlineStr">
        <is>
          <t>2006/200</t>
        </is>
      </c>
      <c r="E842" s="3" t="inlineStr">
        <is>
          <t>COS - Insurance</t>
        </is>
      </c>
      <c r="F842" s="3" t="n">
        <v>2867.09</v>
      </c>
      <c r="G842" s="3" t="n">
        <v>2867.09</v>
      </c>
    </row>
    <row r="843">
      <c r="A843" s="3" t="inlineStr">
        <is>
          <t>Cape Projects Construction (Pty) Ltd</t>
        </is>
      </c>
      <c r="B843" s="4" t="n">
        <v>44651</v>
      </c>
      <c r="C843" s="3" t="inlineStr">
        <is>
          <t>Expenses</t>
        </is>
      </c>
      <c r="D843" s="3" t="inlineStr">
        <is>
          <t>2006/350</t>
        </is>
      </c>
      <c r="E843" s="3" t="inlineStr">
        <is>
          <t>COS - Endulini - Security</t>
        </is>
      </c>
      <c r="F843" s="3" t="n">
        <v>5500</v>
      </c>
      <c r="G843" s="3" t="n">
        <v>5500</v>
      </c>
    </row>
    <row r="844">
      <c r="A844" s="3" t="inlineStr">
        <is>
          <t>Cape Projects Construction (Pty) Ltd</t>
        </is>
      </c>
      <c r="B844" s="4" t="n">
        <v>44651</v>
      </c>
      <c r="C844" s="3" t="inlineStr">
        <is>
          <t>Expenses</t>
        </is>
      </c>
      <c r="D844" s="3" t="inlineStr">
        <is>
          <t>2006/400</t>
        </is>
      </c>
      <c r="E844" s="3" t="inlineStr">
        <is>
          <t>COS - Endulini - Health &amp; Safety</t>
        </is>
      </c>
      <c r="F844" s="3" t="n">
        <v>4000</v>
      </c>
      <c r="G844" s="3" t="n">
        <v>4000</v>
      </c>
    </row>
    <row r="845">
      <c r="A845" s="3" t="inlineStr">
        <is>
          <t>Cape Projects Construction (Pty) Ltd</t>
        </is>
      </c>
      <c r="B845" s="4" t="n">
        <v>44651</v>
      </c>
      <c r="C845" s="3" t="inlineStr">
        <is>
          <t>Expenses</t>
        </is>
      </c>
      <c r="D845" s="3" t="inlineStr">
        <is>
          <t>2006/800</t>
        </is>
      </c>
      <c r="E845" s="3" t="inlineStr">
        <is>
          <t>COS - Endulini - Telephone &amp; Internet</t>
        </is>
      </c>
      <c r="F845" s="3" t="n">
        <v>416.52</v>
      </c>
      <c r="G845" s="3" t="n">
        <v>416.52</v>
      </c>
    </row>
    <row r="846">
      <c r="A846" s="3" t="inlineStr">
        <is>
          <t>Cape Projects Construction (Pty) Ltd</t>
        </is>
      </c>
      <c r="B846" s="4" t="n">
        <v>44651</v>
      </c>
      <c r="C846" s="3" t="inlineStr">
        <is>
          <t>Expenses</t>
        </is>
      </c>
      <c r="D846" s="3" t="inlineStr">
        <is>
          <t>2011/300</t>
        </is>
      </c>
      <c r="E846" s="3" t="inlineStr">
        <is>
          <t>COS - Heron Fields - Printing &amp; Stationary</t>
        </is>
      </c>
      <c r="F846" s="3" t="n">
        <v>268.05</v>
      </c>
      <c r="G846" s="3" t="n">
        <v>268.05</v>
      </c>
    </row>
    <row r="847">
      <c r="A847" s="3" t="inlineStr">
        <is>
          <t>Cape Projects Construction (Pty) Ltd</t>
        </is>
      </c>
      <c r="B847" s="4" t="n">
        <v>44651</v>
      </c>
      <c r="C847" s="3" t="inlineStr">
        <is>
          <t>Expenses</t>
        </is>
      </c>
      <c r="D847" s="3" t="inlineStr">
        <is>
          <t>2011/500</t>
        </is>
      </c>
      <c r="E847" s="3" t="inlineStr">
        <is>
          <t>COS - Heron Fields - Construction</t>
        </is>
      </c>
      <c r="F847" s="3" t="n">
        <v>967790.23</v>
      </c>
      <c r="G847" s="3" t="n">
        <v>967790.23</v>
      </c>
    </row>
    <row r="848">
      <c r="A848" s="3" t="inlineStr">
        <is>
          <t>Cape Projects Construction (Pty) Ltd</t>
        </is>
      </c>
      <c r="B848" s="4" t="n">
        <v>44651</v>
      </c>
      <c r="C848" s="3" t="inlineStr">
        <is>
          <t>Expenses</t>
        </is>
      </c>
      <c r="D848" s="3" t="inlineStr">
        <is>
          <t>2011/600</t>
        </is>
      </c>
      <c r="E848" s="3" t="inlineStr">
        <is>
          <t>COS - Heron Fields - P &amp; G</t>
        </is>
      </c>
      <c r="F848" s="3" t="n">
        <v>92590.28</v>
      </c>
      <c r="G848" s="3" t="n">
        <v>92590.28</v>
      </c>
    </row>
    <row r="849">
      <c r="A849" s="3" t="inlineStr">
        <is>
          <t>Cape Projects Construction (Pty) Ltd</t>
        </is>
      </c>
      <c r="B849" s="4" t="n">
        <v>44651</v>
      </c>
      <c r="C849" s="3" t="inlineStr">
        <is>
          <t>Expenses</t>
        </is>
      </c>
      <c r="D849" s="3" t="inlineStr">
        <is>
          <t>2011/700</t>
        </is>
      </c>
      <c r="E849" s="3" t="inlineStr">
        <is>
          <t>COS - Heron Fields - Health &amp; Safety</t>
        </is>
      </c>
      <c r="F849" s="3" t="n">
        <v>6286.3</v>
      </c>
      <c r="G849" s="3" t="n">
        <v>6286.3</v>
      </c>
    </row>
    <row r="850">
      <c r="A850" s="3" t="inlineStr">
        <is>
          <t>Cape Projects Construction (Pty) Ltd</t>
        </is>
      </c>
      <c r="B850" s="4" t="n">
        <v>44651</v>
      </c>
      <c r="C850" s="3" t="inlineStr">
        <is>
          <t>Expenses</t>
        </is>
      </c>
      <c r="D850" s="3" t="inlineStr">
        <is>
          <t>2011/900</t>
        </is>
      </c>
      <c r="E850" s="3" t="inlineStr">
        <is>
          <t>COS - Heron - Internet</t>
        </is>
      </c>
      <c r="F850" s="3" t="n">
        <v>545.59</v>
      </c>
      <c r="G850" s="3" t="n">
        <v>545.59</v>
      </c>
    </row>
    <row r="851">
      <c r="A851" s="3" t="inlineStr">
        <is>
          <t>Cape Projects Construction (Pty) Ltd</t>
        </is>
      </c>
      <c r="B851" s="4" t="n">
        <v>44651</v>
      </c>
      <c r="C851" s="3" t="inlineStr">
        <is>
          <t>Revenue</t>
        </is>
      </c>
      <c r="D851" s="3" t="inlineStr">
        <is>
          <t>2751/001</t>
        </is>
      </c>
      <c r="E851" s="3" t="inlineStr">
        <is>
          <t>Interest received - Momentum</t>
        </is>
      </c>
      <c r="F851" s="3" t="n">
        <v>-2.02</v>
      </c>
      <c r="G851" s="3" t="n">
        <v>-2.02</v>
      </c>
    </row>
    <row r="852">
      <c r="A852" s="3" t="inlineStr">
        <is>
          <t>Heron Fields (Pty) Ltd</t>
        </is>
      </c>
      <c r="B852" s="4" t="n">
        <v>44651</v>
      </c>
      <c r="C852" s="3" t="inlineStr">
        <is>
          <t>Revenue</t>
        </is>
      </c>
      <c r="D852" s="3" t="inlineStr">
        <is>
          <t>2755/001</t>
        </is>
      </c>
      <c r="E852" s="3" t="inlineStr">
        <is>
          <t>Interest Received - Momentum</t>
        </is>
      </c>
      <c r="F852" s="3" t="n">
        <v>-7698.07</v>
      </c>
      <c r="G852" s="3" t="n">
        <v>-7698.07</v>
      </c>
    </row>
    <row r="853">
      <c r="A853" s="3" t="inlineStr">
        <is>
          <t>Cape Projects Construction (Pty) Ltd</t>
        </is>
      </c>
      <c r="B853" s="4" t="n">
        <v>44651</v>
      </c>
      <c r="C853" s="3" t="inlineStr">
        <is>
          <t>Expenses</t>
        </is>
      </c>
      <c r="D853" s="3" t="inlineStr">
        <is>
          <t>3050/000</t>
        </is>
      </c>
      <c r="E853" s="3" t="inlineStr">
        <is>
          <t>Advertising _AND_ Promotions</t>
        </is>
      </c>
      <c r="F853" s="3" t="n">
        <v>687.5</v>
      </c>
      <c r="G853" s="3" t="n">
        <v>687.5</v>
      </c>
    </row>
    <row r="854">
      <c r="A854" s="3" t="inlineStr">
        <is>
          <t>Heron Fields (Pty) Ltd</t>
        </is>
      </c>
      <c r="B854" s="4" t="n">
        <v>44651</v>
      </c>
      <c r="C854" s="3" t="inlineStr">
        <is>
          <t>Expenses</t>
        </is>
      </c>
      <c r="D854" s="3" t="inlineStr">
        <is>
          <t>3050/000</t>
        </is>
      </c>
      <c r="E854" s="3" t="inlineStr">
        <is>
          <t>Advertising _AND_ Promotions</t>
        </is>
      </c>
      <c r="F854" s="3" t="n">
        <v>550</v>
      </c>
      <c r="G854" s="3" t="n">
        <v>550</v>
      </c>
    </row>
    <row r="855">
      <c r="A855" s="3" t="inlineStr">
        <is>
          <t>Cape Projects Construction (Pty) Ltd</t>
        </is>
      </c>
      <c r="B855" s="4" t="n">
        <v>44651</v>
      </c>
      <c r="C855" s="3" t="inlineStr">
        <is>
          <t>Expenses</t>
        </is>
      </c>
      <c r="D855" s="3" t="inlineStr">
        <is>
          <t>3200/000</t>
        </is>
      </c>
      <c r="E855" s="3" t="inlineStr">
        <is>
          <t>Bank Charges</t>
        </is>
      </c>
      <c r="F855" s="3" t="n">
        <v>2575.09</v>
      </c>
      <c r="G855" s="3" t="n">
        <v>2575.09</v>
      </c>
    </row>
    <row r="856">
      <c r="A856" s="3" t="inlineStr">
        <is>
          <t>Heron Fields (Pty) Ltd</t>
        </is>
      </c>
      <c r="B856" s="4" t="n">
        <v>44651</v>
      </c>
      <c r="C856" s="3" t="inlineStr">
        <is>
          <t>Expenses</t>
        </is>
      </c>
      <c r="D856" s="3" t="inlineStr">
        <is>
          <t>3200/000</t>
        </is>
      </c>
      <c r="E856" s="3" t="inlineStr">
        <is>
          <t>Bank Charges</t>
        </is>
      </c>
      <c r="F856" s="3" t="n">
        <v>653.7</v>
      </c>
      <c r="G856" s="3" t="n">
        <v>653.7</v>
      </c>
    </row>
    <row r="857">
      <c r="A857" s="3" t="inlineStr">
        <is>
          <t>Cape Projects Construction (Pty) Ltd</t>
        </is>
      </c>
      <c r="B857" s="4" t="n">
        <v>44651</v>
      </c>
      <c r="C857" s="3" t="inlineStr">
        <is>
          <t>Expenses</t>
        </is>
      </c>
      <c r="D857" s="3" t="inlineStr">
        <is>
          <t>3250/000</t>
        </is>
      </c>
      <c r="E857" s="3" t="inlineStr">
        <is>
          <t>Cleaning</t>
        </is>
      </c>
      <c r="F857" s="3" t="n">
        <v>1736.89</v>
      </c>
      <c r="G857" s="3" t="n">
        <v>1736.89</v>
      </c>
    </row>
    <row r="858">
      <c r="A858" s="3" t="inlineStr">
        <is>
          <t>Cape Projects Construction (Pty) Ltd</t>
        </is>
      </c>
      <c r="B858" s="4" t="n">
        <v>44651</v>
      </c>
      <c r="C858" s="3" t="inlineStr">
        <is>
          <t>Expenses</t>
        </is>
      </c>
      <c r="D858" s="3" t="inlineStr">
        <is>
          <t>3256/000</t>
        </is>
      </c>
      <c r="E858" s="3" t="inlineStr">
        <is>
          <t>Cell Phone - Nick Morgan</t>
        </is>
      </c>
      <c r="F858" s="3" t="n">
        <v>621.83</v>
      </c>
      <c r="G858" s="3" t="n">
        <v>621.83</v>
      </c>
    </row>
    <row r="859">
      <c r="A859" s="3" t="inlineStr">
        <is>
          <t>Cape Projects Construction (Pty) Ltd</t>
        </is>
      </c>
      <c r="B859" s="4" t="n">
        <v>44651</v>
      </c>
      <c r="C859" s="3" t="inlineStr">
        <is>
          <t>Expenses</t>
        </is>
      </c>
      <c r="D859" s="3" t="inlineStr">
        <is>
          <t>3300/000</t>
        </is>
      </c>
      <c r="E859" s="3" t="inlineStr">
        <is>
          <t>Computer Expenses</t>
        </is>
      </c>
      <c r="F859" s="3" t="n">
        <v>566.09</v>
      </c>
      <c r="G859" s="3" t="n">
        <v>566.09</v>
      </c>
    </row>
    <row r="860">
      <c r="A860" s="3" t="inlineStr">
        <is>
          <t>Heron Fields (Pty) Ltd</t>
        </is>
      </c>
      <c r="B860" s="4" t="n">
        <v>44651</v>
      </c>
      <c r="C860" s="3" t="inlineStr">
        <is>
          <t>Expenses</t>
        </is>
      </c>
      <c r="D860" s="3" t="inlineStr">
        <is>
          <t>3350/100</t>
        </is>
      </c>
      <c r="E860" s="3" t="inlineStr">
        <is>
          <t>Consulting Fees - Admin and Finance</t>
        </is>
      </c>
      <c r="F860" s="3" t="n">
        <v>67644.03999999999</v>
      </c>
      <c r="G860" s="3" t="n">
        <v>67644.03999999999</v>
      </c>
    </row>
    <row r="861">
      <c r="A861" s="3" t="inlineStr">
        <is>
          <t>Cape Projects Construction (Pty) Ltd</t>
        </is>
      </c>
      <c r="B861" s="4" t="n">
        <v>44651</v>
      </c>
      <c r="C861" s="3" t="inlineStr">
        <is>
          <t>Expenses</t>
        </is>
      </c>
      <c r="D861" s="3" t="inlineStr">
        <is>
          <t>3350/100</t>
        </is>
      </c>
      <c r="E861" s="3" t="inlineStr">
        <is>
          <t>Consulting fees - Herbert du Plessis</t>
        </is>
      </c>
      <c r="F861" s="3" t="n">
        <v>36000</v>
      </c>
      <c r="G861" s="3" t="n">
        <v>36000</v>
      </c>
    </row>
    <row r="862">
      <c r="A862" s="3" t="inlineStr">
        <is>
          <t>Cape Projects Construction (Pty) Ltd</t>
        </is>
      </c>
      <c r="B862" s="4" t="n">
        <v>44651</v>
      </c>
      <c r="C862" s="3" t="inlineStr">
        <is>
          <t>Expenses</t>
        </is>
      </c>
      <c r="D862" s="3" t="inlineStr">
        <is>
          <t>3350/300</t>
        </is>
      </c>
      <c r="E862" s="3" t="inlineStr">
        <is>
          <t>Consulting Fees - Admin and Finance</t>
        </is>
      </c>
      <c r="F862" s="3" t="n">
        <v>94504.52</v>
      </c>
      <c r="G862" s="3" t="n">
        <v>94504.52</v>
      </c>
    </row>
    <row r="863">
      <c r="A863" s="3" t="inlineStr">
        <is>
          <t>Heron Fields (Pty) Ltd</t>
        </is>
      </c>
      <c r="B863" s="4" t="n">
        <v>44651</v>
      </c>
      <c r="C863" s="3" t="inlineStr">
        <is>
          <t>Expenses</t>
        </is>
      </c>
      <c r="D863" s="3" t="inlineStr">
        <is>
          <t>3351/000</t>
        </is>
      </c>
      <c r="E863" s="3" t="inlineStr">
        <is>
          <t>Consulting fees - Trustee</t>
        </is>
      </c>
      <c r="F863" s="3" t="n">
        <v>4000</v>
      </c>
      <c r="G863" s="3" t="n">
        <v>4000</v>
      </c>
    </row>
    <row r="864">
      <c r="A864" s="3" t="inlineStr">
        <is>
          <t>Cape Projects Construction (Pty) Ltd</t>
        </is>
      </c>
      <c r="B864" s="4" t="n">
        <v>44651</v>
      </c>
      <c r="C864" s="3" t="inlineStr">
        <is>
          <t>Expenses</t>
        </is>
      </c>
      <c r="D864" s="3" t="inlineStr">
        <is>
          <t>3450/001</t>
        </is>
      </c>
      <c r="E864" s="3" t="inlineStr">
        <is>
          <t>Depreciation - Computer Equipment</t>
        </is>
      </c>
      <c r="F864" s="3" t="n">
        <v>1334.57</v>
      </c>
      <c r="G864" s="3" t="n">
        <v>1334.57</v>
      </c>
    </row>
    <row r="865">
      <c r="A865" s="3" t="inlineStr">
        <is>
          <t>Cape Projects Construction (Pty) Ltd</t>
        </is>
      </c>
      <c r="B865" s="4" t="n">
        <v>44651</v>
      </c>
      <c r="C865" s="3" t="inlineStr">
        <is>
          <t>Expenses</t>
        </is>
      </c>
      <c r="D865" s="3" t="inlineStr">
        <is>
          <t>3450/002</t>
        </is>
      </c>
      <c r="E865" s="3" t="inlineStr">
        <is>
          <t>Depreciation - Generator Fixed Asset</t>
        </is>
      </c>
      <c r="F865" s="3" t="n">
        <v>193.33</v>
      </c>
      <c r="G865" s="3" t="n">
        <v>193.33</v>
      </c>
    </row>
    <row r="866">
      <c r="A866" s="3" t="inlineStr">
        <is>
          <t>Cape Projects Construction (Pty) Ltd</t>
        </is>
      </c>
      <c r="B866" s="4" t="n">
        <v>44651</v>
      </c>
      <c r="C866" s="3" t="inlineStr">
        <is>
          <t>Expenses</t>
        </is>
      </c>
      <c r="D866" s="3" t="inlineStr">
        <is>
          <t>3450/030</t>
        </is>
      </c>
      <c r="E866" s="3" t="inlineStr">
        <is>
          <t>Depreciation - Furniture and Fittings</t>
        </is>
      </c>
      <c r="F866" s="3" t="n">
        <v>427.21</v>
      </c>
      <c r="G866" s="3" t="n">
        <v>427.21</v>
      </c>
    </row>
    <row r="867">
      <c r="A867" s="3" t="inlineStr">
        <is>
          <t>Heron Fields (Pty) Ltd</t>
        </is>
      </c>
      <c r="B867" s="4" t="n">
        <v>44651</v>
      </c>
      <c r="C867" s="3" t="inlineStr">
        <is>
          <t>Expenses</t>
        </is>
      </c>
      <c r="D867" s="3" t="inlineStr">
        <is>
          <t>3650/000</t>
        </is>
      </c>
      <c r="E867" s="3" t="inlineStr">
        <is>
          <t>CoCT - Electricity</t>
        </is>
      </c>
      <c r="F867" s="3" t="n">
        <v>2215.9</v>
      </c>
      <c r="G867" s="3" t="n">
        <v>2215.9</v>
      </c>
    </row>
    <row r="868">
      <c r="A868" s="3" t="inlineStr">
        <is>
          <t>Heron Fields (Pty) Ltd</t>
        </is>
      </c>
      <c r="B868" s="4" t="n">
        <v>44651</v>
      </c>
      <c r="C868" s="3" t="inlineStr">
        <is>
          <t>Expenses</t>
        </is>
      </c>
      <c r="D868" s="3" t="inlineStr">
        <is>
          <t>3660/000</t>
        </is>
      </c>
      <c r="E868" s="3" t="inlineStr">
        <is>
          <t>CoCT - Water</t>
        </is>
      </c>
      <c r="F868" s="3" t="n">
        <v>10580.4</v>
      </c>
      <c r="G868" s="3" t="n">
        <v>10580.4</v>
      </c>
    </row>
    <row r="869">
      <c r="A869" s="3" t="inlineStr">
        <is>
          <t>Cape Projects Construction (Pty) Ltd</t>
        </is>
      </c>
      <c r="B869" s="4" t="n">
        <v>44651</v>
      </c>
      <c r="C869" s="3" t="inlineStr">
        <is>
          <t>Expenses</t>
        </is>
      </c>
      <c r="D869" s="3" t="inlineStr">
        <is>
          <t>3700/000</t>
        </is>
      </c>
      <c r="E869" s="3" t="inlineStr">
        <is>
          <t>Entertainment Expenses</t>
        </is>
      </c>
      <c r="F869" s="3" t="n">
        <v>1801.52</v>
      </c>
      <c r="G869" s="3" t="n">
        <v>1801.52</v>
      </c>
    </row>
    <row r="870">
      <c r="A870" s="3" t="inlineStr">
        <is>
          <t>Cape Projects Construction (Pty) Ltd</t>
        </is>
      </c>
      <c r="B870" s="4" t="n">
        <v>44651</v>
      </c>
      <c r="C870" s="3" t="inlineStr">
        <is>
          <t>Expenses</t>
        </is>
      </c>
      <c r="D870" s="3" t="inlineStr">
        <is>
          <t>3850/001</t>
        </is>
      </c>
      <c r="E870" s="3" t="inlineStr">
        <is>
          <t>Insurance - Santam</t>
        </is>
      </c>
      <c r="F870" s="3" t="n">
        <v>1051.21</v>
      </c>
      <c r="G870" s="3" t="n">
        <v>1051.21</v>
      </c>
    </row>
    <row r="871">
      <c r="A871" s="3" t="inlineStr">
        <is>
          <t>Cape Projects Construction (Pty) Ltd</t>
        </is>
      </c>
      <c r="B871" s="4" t="n">
        <v>44651</v>
      </c>
      <c r="C871" s="3" t="inlineStr">
        <is>
          <t>Expenses</t>
        </is>
      </c>
      <c r="D871" s="3" t="inlineStr">
        <is>
          <t>3850/002</t>
        </is>
      </c>
      <c r="E871" s="3" t="inlineStr">
        <is>
          <t>Insurance - RBS</t>
        </is>
      </c>
      <c r="F871" s="3" t="n">
        <v>237.57</v>
      </c>
      <c r="G871" s="3" t="n">
        <v>237.57</v>
      </c>
    </row>
    <row r="872">
      <c r="A872" s="3" t="inlineStr">
        <is>
          <t>Heron Fields (Pty) Ltd</t>
        </is>
      </c>
      <c r="B872" s="4" t="n">
        <v>44651</v>
      </c>
      <c r="C872" s="3" t="inlineStr">
        <is>
          <t>Expenses</t>
        </is>
      </c>
      <c r="D872" s="3" t="inlineStr">
        <is>
          <t>3900/000</t>
        </is>
      </c>
      <c r="E872" s="3" t="inlineStr">
        <is>
          <t>Interest Paid</t>
        </is>
      </c>
      <c r="F872" s="3" t="n">
        <v>54.64</v>
      </c>
      <c r="G872" s="3" t="n">
        <v>54.64</v>
      </c>
    </row>
    <row r="873">
      <c r="A873" s="3" t="inlineStr">
        <is>
          <t>Heron Fields (Pty) Ltd</t>
        </is>
      </c>
      <c r="B873" s="4" t="n">
        <v>44651</v>
      </c>
      <c r="C873" s="3" t="inlineStr">
        <is>
          <t>Expenses</t>
        </is>
      </c>
      <c r="D873" s="3" t="inlineStr">
        <is>
          <t>4100/001</t>
        </is>
      </c>
      <c r="E873" s="3" t="inlineStr">
        <is>
          <t>Momentum Admin Fee</t>
        </is>
      </c>
      <c r="F873" s="3" t="n">
        <v>1156.41</v>
      </c>
      <c r="G873" s="3" t="n">
        <v>1156.41</v>
      </c>
    </row>
    <row r="874">
      <c r="A874" s="3" t="inlineStr">
        <is>
          <t>Cape Projects Construction (Pty) Ltd</t>
        </is>
      </c>
      <c r="B874" s="4" t="n">
        <v>44651</v>
      </c>
      <c r="C874" s="3" t="inlineStr">
        <is>
          <t>Expenses</t>
        </is>
      </c>
      <c r="D874" s="3" t="inlineStr">
        <is>
          <t>4150/030</t>
        </is>
      </c>
      <c r="E874" s="3" t="inlineStr">
        <is>
          <t>Motor Vehicle - Insurance _AND_ Licence</t>
        </is>
      </c>
      <c r="F874" s="3" t="n">
        <v>1200</v>
      </c>
      <c r="G874" s="3" t="n">
        <v>1200</v>
      </c>
    </row>
    <row r="875">
      <c r="A875" s="3" t="inlineStr">
        <is>
          <t>Cape Projects Construction (Pty) Ltd</t>
        </is>
      </c>
      <c r="B875" s="4" t="n">
        <v>44651</v>
      </c>
      <c r="C875" s="3" t="inlineStr">
        <is>
          <t>Expenses</t>
        </is>
      </c>
      <c r="D875" s="3" t="inlineStr">
        <is>
          <t>4200/000</t>
        </is>
      </c>
      <c r="E875" s="3" t="inlineStr">
        <is>
          <t>Printing _AND_ Stationery</t>
        </is>
      </c>
      <c r="F875" s="3" t="n">
        <v>2729.89</v>
      </c>
      <c r="G875" s="3" t="n">
        <v>2729.89</v>
      </c>
    </row>
    <row r="876">
      <c r="A876" s="3" t="inlineStr">
        <is>
          <t>Cape Projects Construction (Pty) Ltd</t>
        </is>
      </c>
      <c r="B876" s="4" t="n">
        <v>44651</v>
      </c>
      <c r="C876" s="3" t="inlineStr">
        <is>
          <t>Expenses</t>
        </is>
      </c>
      <c r="D876" s="3" t="inlineStr">
        <is>
          <t>4201/000</t>
        </is>
      </c>
      <c r="E876" s="3" t="inlineStr">
        <is>
          <t>Printing - Printer rental</t>
        </is>
      </c>
      <c r="F876" s="3" t="n">
        <v>1226.2</v>
      </c>
      <c r="G876" s="3" t="n">
        <v>1226.2</v>
      </c>
    </row>
    <row r="877">
      <c r="A877" s="3" t="inlineStr">
        <is>
          <t>Cape Projects Construction (Pty) Ltd</t>
        </is>
      </c>
      <c r="B877" s="4" t="n">
        <v>44651</v>
      </c>
      <c r="C877" s="3" t="inlineStr">
        <is>
          <t>Expenses</t>
        </is>
      </c>
      <c r="D877" s="3" t="inlineStr">
        <is>
          <t>4300/000</t>
        </is>
      </c>
      <c r="E877" s="3" t="inlineStr">
        <is>
          <t>Rent Paid</t>
        </is>
      </c>
      <c r="F877" s="3" t="n">
        <v>28087.5</v>
      </c>
      <c r="G877" s="3" t="n">
        <v>28087.5</v>
      </c>
    </row>
    <row r="878">
      <c r="A878" s="3" t="inlineStr">
        <is>
          <t>Cape Projects Construction (Pty) Ltd</t>
        </is>
      </c>
      <c r="B878" s="4" t="n">
        <v>44651</v>
      </c>
      <c r="C878" s="3" t="inlineStr">
        <is>
          <t>Expenses</t>
        </is>
      </c>
      <c r="D878" s="3" t="inlineStr">
        <is>
          <t>4310/000</t>
        </is>
      </c>
      <c r="E878" s="3" t="inlineStr">
        <is>
          <t>Rates</t>
        </is>
      </c>
      <c r="F878" s="3" t="n">
        <v>843.6</v>
      </c>
      <c r="G878" s="3" t="n">
        <v>843.6</v>
      </c>
    </row>
    <row r="879">
      <c r="A879" s="3" t="inlineStr">
        <is>
          <t>Heron Fields (Pty) Ltd</t>
        </is>
      </c>
      <c r="B879" s="4" t="n">
        <v>44651</v>
      </c>
      <c r="C879" s="3" t="inlineStr">
        <is>
          <t>Expenses</t>
        </is>
      </c>
      <c r="D879" s="3" t="inlineStr">
        <is>
          <t>4310/000</t>
        </is>
      </c>
      <c r="E879" s="3" t="inlineStr">
        <is>
          <t>Rates - Heron</t>
        </is>
      </c>
      <c r="F879" s="3" t="n">
        <v>3170.13</v>
      </c>
      <c r="G879" s="3" t="n">
        <v>3170.13</v>
      </c>
    </row>
    <row r="880">
      <c r="A880" s="3" t="inlineStr">
        <is>
          <t>Cape Projects Construction (Pty) Ltd</t>
        </is>
      </c>
      <c r="B880" s="4" t="n">
        <v>44651</v>
      </c>
      <c r="C880" s="3" t="inlineStr">
        <is>
          <t>Expenses</t>
        </is>
      </c>
      <c r="D880" s="3" t="inlineStr">
        <is>
          <t>4350/000</t>
        </is>
      </c>
      <c r="E880" s="3" t="inlineStr">
        <is>
          <t>Repairs _AND_ Maintenance</t>
        </is>
      </c>
      <c r="F880" s="3" t="n">
        <v>450</v>
      </c>
      <c r="G880" s="3" t="n">
        <v>450</v>
      </c>
    </row>
    <row r="881">
      <c r="A881" s="3" t="inlineStr">
        <is>
          <t>Cape Projects Construction (Pty) Ltd</t>
        </is>
      </c>
      <c r="B881" s="4" t="n">
        <v>44651</v>
      </c>
      <c r="C881" s="3" t="inlineStr">
        <is>
          <t>Expenses</t>
        </is>
      </c>
      <c r="D881" s="3" t="inlineStr">
        <is>
          <t>4400/000</t>
        </is>
      </c>
      <c r="E881" s="3" t="inlineStr">
        <is>
          <t>Salaries _AND_ Wages</t>
        </is>
      </c>
      <c r="F881" s="3" t="n">
        <v>227696.84</v>
      </c>
      <c r="G881" s="3" t="n">
        <v>227696.84</v>
      </c>
    </row>
    <row r="882">
      <c r="A882" s="3" t="inlineStr">
        <is>
          <t>Heron Fields (Pty) Ltd</t>
        </is>
      </c>
      <c r="B882" s="4" t="n">
        <v>44651</v>
      </c>
      <c r="C882" s="3" t="inlineStr">
        <is>
          <t>Expenses</t>
        </is>
      </c>
      <c r="D882" s="3" t="inlineStr">
        <is>
          <t>4420/001</t>
        </is>
      </c>
      <c r="E882" s="3" t="inlineStr">
        <is>
          <t>Security - ADT</t>
        </is>
      </c>
      <c r="F882" s="3" t="n">
        <v>285.26</v>
      </c>
      <c r="G882" s="3" t="n">
        <v>285.26</v>
      </c>
    </row>
    <row r="883">
      <c r="A883" s="3" t="inlineStr">
        <is>
          <t>Cape Projects Construction (Pty) Ltd</t>
        </is>
      </c>
      <c r="B883" s="4" t="n">
        <v>44651</v>
      </c>
      <c r="C883" s="3" t="inlineStr">
        <is>
          <t>Expenses</t>
        </is>
      </c>
      <c r="D883" s="3" t="inlineStr">
        <is>
          <t>4450/000</t>
        </is>
      </c>
      <c r="E883" s="3" t="inlineStr">
        <is>
          <t>Staff Training</t>
        </is>
      </c>
      <c r="F883" s="3" t="n">
        <v>6800</v>
      </c>
      <c r="G883" s="3" t="n">
        <v>6800</v>
      </c>
    </row>
    <row r="884">
      <c r="A884" s="3" t="inlineStr">
        <is>
          <t>Cape Projects Construction (Pty) Ltd</t>
        </is>
      </c>
      <c r="B884" s="4" t="n">
        <v>44651</v>
      </c>
      <c r="C884" s="3" t="inlineStr">
        <is>
          <t>Expenses</t>
        </is>
      </c>
      <c r="D884" s="3" t="inlineStr">
        <is>
          <t>4500/000</t>
        </is>
      </c>
      <c r="E884" s="3" t="inlineStr">
        <is>
          <t>Staff Welfare _AND_ Refreshmts</t>
        </is>
      </c>
      <c r="F884" s="3" t="n">
        <v>1751.65</v>
      </c>
      <c r="G884" s="3" t="n">
        <v>1751.65</v>
      </c>
    </row>
    <row r="885">
      <c r="A885" s="3" t="inlineStr">
        <is>
          <t>Cape Projects Construction (Pty) Ltd</t>
        </is>
      </c>
      <c r="B885" s="4" t="n">
        <v>44651</v>
      </c>
      <c r="C885" s="3" t="inlineStr">
        <is>
          <t>Expenses</t>
        </is>
      </c>
      <c r="D885" s="3" t="inlineStr">
        <is>
          <t>4550/001</t>
        </is>
      </c>
      <c r="E885" s="3" t="inlineStr">
        <is>
          <t>Subscriptions &amp; Licenses - Sage payroll</t>
        </is>
      </c>
      <c r="F885" s="3" t="n">
        <v>491</v>
      </c>
      <c r="G885" s="3" t="n">
        <v>491</v>
      </c>
    </row>
    <row r="886">
      <c r="A886" s="3" t="inlineStr">
        <is>
          <t>Cape Projects Construction (Pty) Ltd</t>
        </is>
      </c>
      <c r="B886" s="4" t="n">
        <v>44651</v>
      </c>
      <c r="C886" s="3" t="inlineStr">
        <is>
          <t>Expenses</t>
        </is>
      </c>
      <c r="D886" s="3" t="inlineStr">
        <is>
          <t>4550/003</t>
        </is>
      </c>
      <c r="E886" s="3" t="inlineStr">
        <is>
          <t>Subscriptions &amp; Licenses - Xero</t>
        </is>
      </c>
      <c r="F886" s="3" t="n">
        <v>600</v>
      </c>
      <c r="G886" s="3" t="n">
        <v>600</v>
      </c>
    </row>
    <row r="887">
      <c r="A887" s="3" t="inlineStr">
        <is>
          <t>Cape Projects Construction (Pty) Ltd</t>
        </is>
      </c>
      <c r="B887" s="4" t="n">
        <v>44651</v>
      </c>
      <c r="C887" s="3" t="inlineStr">
        <is>
          <t>Expenses</t>
        </is>
      </c>
      <c r="D887" s="3" t="inlineStr">
        <is>
          <t>4550/004</t>
        </is>
      </c>
      <c r="E887" s="3" t="inlineStr">
        <is>
          <t>Subscriptions - Smartsheet</t>
        </is>
      </c>
      <c r="F887" s="3" t="n">
        <v>363</v>
      </c>
      <c r="G887" s="3" t="n">
        <v>363</v>
      </c>
    </row>
    <row r="888">
      <c r="A888" s="3" t="inlineStr">
        <is>
          <t>Cape Projects Construction (Pty) Ltd</t>
        </is>
      </c>
      <c r="B888" s="4" t="n">
        <v>44651</v>
      </c>
      <c r="C888" s="3" t="inlineStr">
        <is>
          <t>Expenses</t>
        </is>
      </c>
      <c r="D888" s="3" t="inlineStr">
        <is>
          <t>4550/006</t>
        </is>
      </c>
      <c r="E888" s="3" t="inlineStr">
        <is>
          <t>Subscription - Candy software</t>
        </is>
      </c>
      <c r="F888" s="3" t="n">
        <v>3925</v>
      </c>
      <c r="G888" s="3" t="n">
        <v>3925</v>
      </c>
    </row>
    <row r="889">
      <c r="A889" s="3" t="inlineStr">
        <is>
          <t>Heron Fields (Pty) Ltd</t>
        </is>
      </c>
      <c r="B889" s="4" t="n">
        <v>44651</v>
      </c>
      <c r="C889" s="3" t="inlineStr">
        <is>
          <t>Expenses</t>
        </is>
      </c>
      <c r="D889" s="3" t="inlineStr">
        <is>
          <t>4550/100</t>
        </is>
      </c>
      <c r="E889" s="3" t="inlineStr">
        <is>
          <t>Subscriptions - Xero</t>
        </is>
      </c>
      <c r="F889" s="3" t="n">
        <v>600</v>
      </c>
      <c r="G889" s="3" t="n">
        <v>600</v>
      </c>
    </row>
    <row r="890">
      <c r="A890" s="3" t="inlineStr">
        <is>
          <t>Cape Projects Construction (Pty) Ltd</t>
        </is>
      </c>
      <c r="B890" s="4" t="n">
        <v>44651</v>
      </c>
      <c r="C890" s="3" t="inlineStr">
        <is>
          <t>Expenses</t>
        </is>
      </c>
      <c r="D890" s="3" t="inlineStr">
        <is>
          <t>4700/000</t>
        </is>
      </c>
      <c r="E890" s="3" t="inlineStr">
        <is>
          <t>PAYE Contributions</t>
        </is>
      </c>
      <c r="F890" s="3" t="n">
        <v>45192.76</v>
      </c>
      <c r="G890" s="3" t="n">
        <v>45192.76</v>
      </c>
    </row>
    <row r="891">
      <c r="A891" s="3" t="inlineStr">
        <is>
          <t>Cape Projects Construction (Pty) Ltd</t>
        </is>
      </c>
      <c r="B891" s="4" t="n">
        <v>44651</v>
      </c>
      <c r="C891" s="3" t="inlineStr">
        <is>
          <t>Expenses</t>
        </is>
      </c>
      <c r="D891" s="3" t="inlineStr">
        <is>
          <t>4720/000</t>
        </is>
      </c>
      <c r="E891" s="3" t="inlineStr">
        <is>
          <t>SDL Contributions</t>
        </is>
      </c>
      <c r="F891" s="3" t="n">
        <v>2534.45</v>
      </c>
      <c r="G891" s="3" t="n">
        <v>2534.45</v>
      </c>
    </row>
    <row r="892">
      <c r="A892" s="3" t="inlineStr">
        <is>
          <t>Cape Projects Construction (Pty) Ltd</t>
        </is>
      </c>
      <c r="B892" s="4" t="n">
        <v>44651</v>
      </c>
      <c r="C892" s="3" t="inlineStr">
        <is>
          <t>Expenses</t>
        </is>
      </c>
      <c r="D892" s="3" t="inlineStr">
        <is>
          <t>4730/000</t>
        </is>
      </c>
      <c r="E892" s="3" t="inlineStr">
        <is>
          <t>UIF Company Contributions</t>
        </is>
      </c>
      <c r="F892" s="3" t="n">
        <v>1485.53</v>
      </c>
      <c r="G892" s="3" t="n">
        <v>1485.53</v>
      </c>
    </row>
    <row r="893">
      <c r="A893" s="3" t="inlineStr">
        <is>
          <t>Cape Projects Construction (Pty) Ltd</t>
        </is>
      </c>
      <c r="B893" s="4" t="n">
        <v>44651</v>
      </c>
      <c r="C893" s="3" t="inlineStr">
        <is>
          <t>Expenses</t>
        </is>
      </c>
      <c r="D893" s="3" t="inlineStr">
        <is>
          <t>4731/000</t>
        </is>
      </c>
      <c r="E893" s="3" t="inlineStr">
        <is>
          <t>UIF Employee Contribution</t>
        </is>
      </c>
      <c r="F893" s="3" t="n">
        <v>1485.53</v>
      </c>
      <c r="G893" s="3" t="n">
        <v>1485.53</v>
      </c>
    </row>
    <row r="894">
      <c r="A894" s="3" t="inlineStr">
        <is>
          <t>Cape Projects Construction (Pty) Ltd</t>
        </is>
      </c>
      <c r="B894" s="4" t="n">
        <v>44651</v>
      </c>
      <c r="C894" s="3" t="inlineStr">
        <is>
          <t>Expenses</t>
        </is>
      </c>
      <c r="D894" s="3" t="inlineStr">
        <is>
          <t>4740/000</t>
        </is>
      </c>
      <c r="E894" s="3" t="inlineStr">
        <is>
          <t>BIBC Company Contribution</t>
        </is>
      </c>
      <c r="F894" s="3" t="n">
        <v>146.78</v>
      </c>
      <c r="G894" s="3" t="n">
        <v>146.78</v>
      </c>
    </row>
    <row r="895">
      <c r="A895" s="3" t="inlineStr">
        <is>
          <t>Cape Projects Construction (Pty) Ltd</t>
        </is>
      </c>
      <c r="B895" s="4" t="n">
        <v>44651</v>
      </c>
      <c r="C895" s="3" t="inlineStr">
        <is>
          <t>Expenses</t>
        </is>
      </c>
      <c r="D895" s="3" t="inlineStr">
        <is>
          <t>4741/000</t>
        </is>
      </c>
      <c r="E895" s="3" t="inlineStr">
        <is>
          <t>BIBC Employee Contribution</t>
        </is>
      </c>
      <c r="F895" s="3" t="n">
        <v>57.78</v>
      </c>
      <c r="G895" s="3" t="n">
        <v>57.78</v>
      </c>
    </row>
    <row r="896">
      <c r="A896" s="3" t="inlineStr">
        <is>
          <t>Heron Fields (Pty) Ltd</t>
        </is>
      </c>
      <c r="B896" s="4" t="n">
        <v>44651</v>
      </c>
      <c r="C896" s="3" t="inlineStr">
        <is>
          <t>Equity</t>
        </is>
      </c>
      <c r="D896" s="3" t="inlineStr">
        <is>
          <t>5100-000</t>
        </is>
      </c>
      <c r="E896" s="3" t="inlineStr">
        <is>
          <t>Share Capital</t>
        </is>
      </c>
      <c r="F896" s="3" t="n">
        <v>0</v>
      </c>
      <c r="G896" s="3" t="n">
        <v>-100</v>
      </c>
    </row>
    <row r="897">
      <c r="A897" s="3" t="inlineStr">
        <is>
          <t>Cape Projects Construction (Pty) Ltd</t>
        </is>
      </c>
      <c r="B897" s="4" t="n">
        <v>44651</v>
      </c>
      <c r="C897" s="3" t="inlineStr">
        <is>
          <t>Equity</t>
        </is>
      </c>
      <c r="D897" s="3" t="inlineStr">
        <is>
          <t>5100/000</t>
        </is>
      </c>
      <c r="E897" s="3" t="inlineStr">
        <is>
          <t>Share Capital / Members Contribution</t>
        </is>
      </c>
      <c r="F897" s="3" t="n">
        <v>0</v>
      </c>
      <c r="G897" s="3" t="n">
        <v>-120</v>
      </c>
    </row>
    <row r="898">
      <c r="A898" s="3" t="inlineStr">
        <is>
          <t>Cape Projects Construction (Pty) Ltd</t>
        </is>
      </c>
      <c r="B898" s="4" t="n">
        <v>44651</v>
      </c>
      <c r="C898" s="3" t="inlineStr">
        <is>
          <t>Equity</t>
        </is>
      </c>
      <c r="D898" s="3" t="inlineStr">
        <is>
          <t>5200/000</t>
        </is>
      </c>
      <c r="E898" s="3" t="inlineStr">
        <is>
          <t>Retained Earnings / Loss</t>
        </is>
      </c>
      <c r="F898" s="3" t="n">
        <v>0</v>
      </c>
      <c r="G898" s="3" t="n">
        <v>247347.05</v>
      </c>
    </row>
    <row r="899">
      <c r="A899" s="3" t="inlineStr">
        <is>
          <t>Heron Fields (Pty) Ltd</t>
        </is>
      </c>
      <c r="B899" s="4" t="n">
        <v>44651</v>
      </c>
      <c r="C899" s="3" t="inlineStr">
        <is>
          <t>Equity</t>
        </is>
      </c>
      <c r="D899" s="3" t="inlineStr">
        <is>
          <t>5200/000</t>
        </is>
      </c>
      <c r="E899" s="3" t="inlineStr">
        <is>
          <t>Retained Earnings / Loss</t>
        </is>
      </c>
      <c r="F899" s="3" t="n">
        <v>0</v>
      </c>
      <c r="G899" s="3" t="n">
        <v>-17080353.05</v>
      </c>
    </row>
    <row r="900">
      <c r="A900" s="3" t="inlineStr">
        <is>
          <t>Heron Fields (Pty) Ltd</t>
        </is>
      </c>
      <c r="B900" s="4" t="n">
        <v>44651</v>
      </c>
      <c r="C900" s="3" t="inlineStr">
        <is>
          <t>Assets</t>
        </is>
      </c>
      <c r="D900" s="3" t="inlineStr">
        <is>
          <t>5300/001</t>
        </is>
      </c>
      <c r="E900" s="3" t="inlineStr">
        <is>
          <t>Revaluation of Land stock</t>
        </is>
      </c>
      <c r="F900" s="3" t="n">
        <v>0</v>
      </c>
      <c r="G900" s="3" t="n">
        <v>17562360.85</v>
      </c>
    </row>
    <row r="901">
      <c r="A901" s="3" t="inlineStr">
        <is>
          <t>Cape Projects Construction (Pty) Ltd</t>
        </is>
      </c>
      <c r="B901" s="4" t="n">
        <v>44651</v>
      </c>
      <c r="C901" s="3" t="inlineStr">
        <is>
          <t>Assets</t>
        </is>
      </c>
      <c r="D901" s="3" t="inlineStr">
        <is>
          <t>5400/100</t>
        </is>
      </c>
      <c r="E901" s="3" t="inlineStr">
        <is>
          <t>Loan - Cape Projects Structuring Dev</t>
        </is>
      </c>
      <c r="F901" s="3" t="n">
        <v>200000</v>
      </c>
      <c r="G901" s="3" t="n">
        <v>0</v>
      </c>
    </row>
    <row r="902">
      <c r="A902" s="3" t="inlineStr">
        <is>
          <t>Cape Projects Construction (Pty) Ltd</t>
        </is>
      </c>
      <c r="B902" s="4" t="n">
        <v>44651</v>
      </c>
      <c r="C902" s="3" t="inlineStr">
        <is>
          <t>Assets</t>
        </is>
      </c>
      <c r="D902" s="3" t="inlineStr">
        <is>
          <t>5400/150</t>
        </is>
      </c>
      <c r="E902" s="3" t="inlineStr">
        <is>
          <t>Loan - Quinate</t>
        </is>
      </c>
      <c r="F902" s="3" t="n">
        <v>0</v>
      </c>
      <c r="G902" s="3" t="n">
        <v>2850000</v>
      </c>
    </row>
    <row r="903">
      <c r="A903" s="3" t="inlineStr">
        <is>
          <t>Cape Projects Construction (Pty) Ltd</t>
        </is>
      </c>
      <c r="B903" s="4" t="n">
        <v>44651</v>
      </c>
      <c r="C903" s="3" t="inlineStr">
        <is>
          <t>Assets</t>
        </is>
      </c>
      <c r="D903" s="3" t="inlineStr">
        <is>
          <t>5400/200</t>
        </is>
      </c>
      <c r="E903" s="3" t="inlineStr">
        <is>
          <t>Members Loan - Nick Morgan</t>
        </is>
      </c>
      <c r="F903" s="3" t="n">
        <v>38862.46</v>
      </c>
      <c r="G903" s="3" t="n">
        <v>0</v>
      </c>
    </row>
    <row r="904">
      <c r="A904" s="3" t="inlineStr">
        <is>
          <t>Cape Projects Construction (Pty) Ltd</t>
        </is>
      </c>
      <c r="B904" s="4" t="n">
        <v>44651</v>
      </c>
      <c r="C904" s="3" t="inlineStr">
        <is>
          <t>Assets</t>
        </is>
      </c>
      <c r="D904" s="3" t="inlineStr">
        <is>
          <t>5400/220</t>
        </is>
      </c>
      <c r="E904" s="3" t="inlineStr">
        <is>
          <t>Members Loan - WH</t>
        </is>
      </c>
      <c r="F904" s="3" t="n">
        <v>-4342.5</v>
      </c>
      <c r="G904" s="3" t="n">
        <v>0</v>
      </c>
    </row>
    <row r="905">
      <c r="A905" s="3" t="inlineStr">
        <is>
          <t>Cape Projects Construction (Pty) Ltd</t>
        </is>
      </c>
      <c r="B905" s="4" t="n">
        <v>44651</v>
      </c>
      <c r="C905" s="3" t="inlineStr">
        <is>
          <t>Assets</t>
        </is>
      </c>
      <c r="D905" s="3" t="inlineStr">
        <is>
          <t>5400/450</t>
        </is>
      </c>
      <c r="E905" s="3" t="inlineStr">
        <is>
          <t>Loan - Opportunity Investment</t>
        </is>
      </c>
      <c r="F905" s="3" t="n">
        <v>150000</v>
      </c>
      <c r="G905" s="3" t="n">
        <v>-30000</v>
      </c>
    </row>
    <row r="906">
      <c r="A906" s="3" t="inlineStr">
        <is>
          <t>Cape Projects Construction (Pty) Ltd</t>
        </is>
      </c>
      <c r="B906" s="4" t="n">
        <v>44651</v>
      </c>
      <c r="C906" s="3" t="inlineStr">
        <is>
          <t>Assets</t>
        </is>
      </c>
      <c r="D906" s="3" t="inlineStr">
        <is>
          <t>5400/500</t>
        </is>
      </c>
      <c r="E906" s="3" t="inlineStr">
        <is>
          <t>Loan - Blou Mamba Trust</t>
        </is>
      </c>
      <c r="F906" s="3" t="n">
        <v>32031.77</v>
      </c>
      <c r="G906" s="3" t="n">
        <v>0</v>
      </c>
    </row>
    <row r="907">
      <c r="A907" s="3" t="inlineStr">
        <is>
          <t>Cape Projects Construction (Pty) Ltd</t>
        </is>
      </c>
      <c r="B907" s="4" t="n">
        <v>44651</v>
      </c>
      <c r="C907" s="3" t="inlineStr">
        <is>
          <t>Assets</t>
        </is>
      </c>
      <c r="D907" s="3" t="inlineStr">
        <is>
          <t>5400/550</t>
        </is>
      </c>
      <c r="E907" s="3" t="inlineStr">
        <is>
          <t>Loan - Trademark</t>
        </is>
      </c>
      <c r="F907" s="3" t="n">
        <v>600</v>
      </c>
      <c r="G907" s="3" t="n">
        <v>-28800</v>
      </c>
    </row>
    <row r="908">
      <c r="A908" s="3" t="inlineStr">
        <is>
          <t>Cape Projects Construction (Pty) Ltd</t>
        </is>
      </c>
      <c r="B908" s="4" t="n">
        <v>44651</v>
      </c>
      <c r="C908" s="3" t="inlineStr">
        <is>
          <t>Assets</t>
        </is>
      </c>
      <c r="D908" s="3" t="inlineStr">
        <is>
          <t>5400/600</t>
        </is>
      </c>
      <c r="E908" s="3" t="inlineStr">
        <is>
          <t>Loan - Heron Projects</t>
        </is>
      </c>
      <c r="F908" s="3" t="n">
        <v>-18000</v>
      </c>
      <c r="G908" s="3" t="n">
        <v>-3356000</v>
      </c>
    </row>
    <row r="909">
      <c r="A909" s="3" t="inlineStr">
        <is>
          <t>Cape Projects Construction (Pty) Ltd</t>
        </is>
      </c>
      <c r="B909" s="4" t="n">
        <v>44651</v>
      </c>
      <c r="C909" s="3" t="inlineStr">
        <is>
          <t>Assets</t>
        </is>
      </c>
      <c r="D909" s="3" t="inlineStr">
        <is>
          <t>5400/650</t>
        </is>
      </c>
      <c r="E909" s="3" t="inlineStr">
        <is>
          <t>Loan - Noble Shield</t>
        </is>
      </c>
      <c r="F909" s="3" t="n">
        <v>600</v>
      </c>
      <c r="G909" s="3" t="n">
        <v>1200</v>
      </c>
    </row>
    <row r="910">
      <c r="A910" s="3" t="inlineStr">
        <is>
          <t>Cape Projects Construction (Pty) Ltd</t>
        </is>
      </c>
      <c r="B910" s="4" t="n">
        <v>44651</v>
      </c>
      <c r="C910" s="3" t="inlineStr">
        <is>
          <t>Assets</t>
        </is>
      </c>
      <c r="D910" s="3" t="inlineStr">
        <is>
          <t>5400/800</t>
        </is>
      </c>
      <c r="E910" s="3" t="inlineStr">
        <is>
          <t>Loan - Opportunity Management Holdings</t>
        </is>
      </c>
      <c r="F910" s="3" t="n">
        <v>0</v>
      </c>
      <c r="G910" s="3" t="n">
        <v>-25233.05</v>
      </c>
    </row>
    <row r="911">
      <c r="A911" s="3" t="inlineStr">
        <is>
          <t>Heron View (Pty) Ltd</t>
        </is>
      </c>
      <c r="B911" s="4" t="n">
        <v>44651</v>
      </c>
      <c r="C911" s="3" t="inlineStr">
        <is>
          <t>Liabilities</t>
        </is>
      </c>
      <c r="D911" s="3" t="inlineStr">
        <is>
          <t>5500/001</t>
        </is>
      </c>
      <c r="E911" s="3" t="inlineStr">
        <is>
          <t>Loan - Heron Fields</t>
        </is>
      </c>
      <c r="F911" s="3" t="n">
        <v>-4140</v>
      </c>
      <c r="G911" s="3" t="n">
        <v>-4140</v>
      </c>
    </row>
    <row r="912">
      <c r="A912" s="3" t="inlineStr">
        <is>
          <t>Heron Fields (Pty) Ltd</t>
        </is>
      </c>
      <c r="B912" s="4" t="n">
        <v>44651</v>
      </c>
      <c r="C912" s="3" t="inlineStr">
        <is>
          <t>Liabilities</t>
        </is>
      </c>
      <c r="D912" s="3" t="inlineStr">
        <is>
          <t>5500/020</t>
        </is>
      </c>
      <c r="E912" s="3" t="inlineStr">
        <is>
          <t>Loan - Cape Projects Construction</t>
        </is>
      </c>
      <c r="F912" s="3" t="n">
        <v>18000</v>
      </c>
      <c r="G912" s="3" t="n">
        <v>3356000</v>
      </c>
    </row>
    <row r="913">
      <c r="A913" s="3" t="inlineStr">
        <is>
          <t>Heron Fields (Pty) Ltd</t>
        </is>
      </c>
      <c r="B913" s="4" t="n">
        <v>44651</v>
      </c>
      <c r="C913" s="3" t="inlineStr">
        <is>
          <t>Liabilities</t>
        </is>
      </c>
      <c r="D913" s="3" t="inlineStr">
        <is>
          <t>5500/050</t>
        </is>
      </c>
      <c r="E913" s="3" t="inlineStr">
        <is>
          <t>Loan - Heron View</t>
        </is>
      </c>
      <c r="F913" s="3" t="n">
        <v>4140</v>
      </c>
      <c r="G913" s="3" t="n">
        <v>4140</v>
      </c>
    </row>
    <row r="914">
      <c r="A914" s="3" t="inlineStr">
        <is>
          <t>Cape Projects Construction (Pty) Ltd</t>
        </is>
      </c>
      <c r="B914" s="4" t="n">
        <v>44651</v>
      </c>
      <c r="C914" s="3" t="inlineStr">
        <is>
          <t>Liabilities</t>
        </is>
      </c>
      <c r="D914" s="3" t="inlineStr">
        <is>
          <t>5600/100</t>
        </is>
      </c>
      <c r="E914" s="3" t="inlineStr">
        <is>
          <t>Motor Vehical Car Repaymts - Toyota</t>
        </is>
      </c>
      <c r="F914" s="3" t="n">
        <v>5195.2</v>
      </c>
      <c r="G914" s="3" t="n">
        <v>5195.2</v>
      </c>
    </row>
    <row r="915">
      <c r="A915" s="3" t="inlineStr">
        <is>
          <t>Cape Projects Construction (Pty) Ltd</t>
        </is>
      </c>
      <c r="B915" s="4" t="n">
        <v>44651</v>
      </c>
      <c r="C915" s="3" t="inlineStr">
        <is>
          <t>Liabilities</t>
        </is>
      </c>
      <c r="D915" s="3" t="inlineStr">
        <is>
          <t>5600/200</t>
        </is>
      </c>
      <c r="E915" s="3" t="inlineStr">
        <is>
          <t>Motor Vehicle Car Repayments - Toyota Shortterm</t>
        </is>
      </c>
      <c r="F915" s="3" t="n">
        <v>0</v>
      </c>
      <c r="G915" s="3" t="n">
        <v>-58920.1</v>
      </c>
    </row>
    <row r="916">
      <c r="A916" s="3" t="inlineStr">
        <is>
          <t>Cape Projects Construction (Pty) Ltd</t>
        </is>
      </c>
      <c r="B916" s="4" t="n">
        <v>44651</v>
      </c>
      <c r="C916" s="3" t="inlineStr">
        <is>
          <t>Assets</t>
        </is>
      </c>
      <c r="D916" s="3" t="inlineStr">
        <is>
          <t>6200/010</t>
        </is>
      </c>
      <c r="E916" s="3" t="inlineStr">
        <is>
          <t>Motor Vehicles - @ Cost</t>
        </is>
      </c>
      <c r="F916" s="3" t="n">
        <v>0</v>
      </c>
      <c r="G916" s="3" t="n">
        <v>216064.1</v>
      </c>
    </row>
    <row r="917">
      <c r="A917" s="3" t="inlineStr">
        <is>
          <t>Cape Projects Construction (Pty) Ltd</t>
        </is>
      </c>
      <c r="B917" s="4" t="n">
        <v>44651</v>
      </c>
      <c r="C917" s="3" t="inlineStr">
        <is>
          <t>Assets</t>
        </is>
      </c>
      <c r="D917" s="3" t="inlineStr">
        <is>
          <t>6200/020</t>
        </is>
      </c>
      <c r="E917" s="3" t="inlineStr">
        <is>
          <t>Motor Vehicles - Accum Depre</t>
        </is>
      </c>
      <c r="F917" s="3" t="n">
        <v>0</v>
      </c>
      <c r="G917" s="3" t="n">
        <v>-176453</v>
      </c>
    </row>
    <row r="918">
      <c r="A918" s="3" t="inlineStr">
        <is>
          <t>Cape Projects Construction (Pty) Ltd</t>
        </is>
      </c>
      <c r="B918" s="4" t="n">
        <v>44651</v>
      </c>
      <c r="C918" s="3" t="inlineStr">
        <is>
          <t>Assets</t>
        </is>
      </c>
      <c r="D918" s="3" t="inlineStr">
        <is>
          <t>6250/010</t>
        </is>
      </c>
      <c r="E918" s="3" t="inlineStr">
        <is>
          <t>Computer Equipment - @ Cost</t>
        </is>
      </c>
      <c r="F918" s="3" t="n">
        <v>0</v>
      </c>
      <c r="G918" s="3" t="n">
        <v>62174.35</v>
      </c>
    </row>
    <row r="919">
      <c r="A919" s="3" t="inlineStr">
        <is>
          <t>Cape Projects Construction (Pty) Ltd</t>
        </is>
      </c>
      <c r="B919" s="4" t="n">
        <v>44651</v>
      </c>
      <c r="C919" s="3" t="inlineStr">
        <is>
          <t>Assets</t>
        </is>
      </c>
      <c r="D919" s="3" t="inlineStr">
        <is>
          <t>6250/020</t>
        </is>
      </c>
      <c r="E919" s="3" t="inlineStr">
        <is>
          <t>Computer Equipment - Accum Depre</t>
        </is>
      </c>
      <c r="F919" s="3" t="n">
        <v>-1334.57</v>
      </c>
      <c r="G919" s="3" t="n">
        <v>-20475.66</v>
      </c>
    </row>
    <row r="920">
      <c r="A920" s="3" t="inlineStr">
        <is>
          <t>Cape Projects Construction (Pty) Ltd</t>
        </is>
      </c>
      <c r="B920" s="4" t="n">
        <v>44651</v>
      </c>
      <c r="C920" s="3" t="inlineStr">
        <is>
          <t>Assets</t>
        </is>
      </c>
      <c r="D920" s="3" t="inlineStr">
        <is>
          <t>6350/010</t>
        </is>
      </c>
      <c r="E920" s="3" t="inlineStr">
        <is>
          <t>Furniture _AND_ Fittings - @ Cost</t>
        </is>
      </c>
      <c r="F920" s="3" t="n">
        <v>0</v>
      </c>
      <c r="G920" s="3" t="n">
        <v>29281.39</v>
      </c>
    </row>
    <row r="921">
      <c r="A921" s="3" t="inlineStr">
        <is>
          <t>Cape Projects Construction (Pty) Ltd</t>
        </is>
      </c>
      <c r="B921" s="4" t="n">
        <v>44651</v>
      </c>
      <c r="C921" s="3" t="inlineStr">
        <is>
          <t>Assets</t>
        </is>
      </c>
      <c r="D921" s="3" t="inlineStr">
        <is>
          <t>6350/020</t>
        </is>
      </c>
      <c r="E921" s="3" t="inlineStr">
        <is>
          <t>Furniture _AND_ Fittings - Accum Depre</t>
        </is>
      </c>
      <c r="F921" s="3" t="n">
        <v>-427.21</v>
      </c>
      <c r="G921" s="3" t="n">
        <v>-833.9</v>
      </c>
    </row>
    <row r="922">
      <c r="A922" s="3" t="inlineStr">
        <is>
          <t>Cape Projects Construction (Pty) Ltd</t>
        </is>
      </c>
      <c r="B922" s="4" t="n">
        <v>44651</v>
      </c>
      <c r="C922" s="3" t="inlineStr">
        <is>
          <t>Assets</t>
        </is>
      </c>
      <c r="D922" s="3" t="inlineStr">
        <is>
          <t>6600/010</t>
        </is>
      </c>
      <c r="E922" s="3" t="inlineStr">
        <is>
          <t>Generator Fixed Asset - @ Cost</t>
        </is>
      </c>
      <c r="F922" s="3" t="n">
        <v>0</v>
      </c>
      <c r="G922" s="3" t="n">
        <v>11600</v>
      </c>
    </row>
    <row r="923">
      <c r="A923" s="3" t="inlineStr">
        <is>
          <t>Cape Projects Construction (Pty) Ltd</t>
        </is>
      </c>
      <c r="B923" s="4" t="n">
        <v>44651</v>
      </c>
      <c r="C923" s="3" t="inlineStr">
        <is>
          <t>Assets</t>
        </is>
      </c>
      <c r="D923" s="3" t="inlineStr">
        <is>
          <t>6600/020</t>
        </is>
      </c>
      <c r="E923" s="3" t="inlineStr">
        <is>
          <t>Generator Fixed Asset - Accum Depre</t>
        </is>
      </c>
      <c r="F923" s="3" t="n">
        <v>-193.33</v>
      </c>
      <c r="G923" s="3" t="n">
        <v>-998.89</v>
      </c>
    </row>
    <row r="924">
      <c r="A924" s="3" t="inlineStr">
        <is>
          <t>Heron Fields (Pty) Ltd</t>
        </is>
      </c>
      <c r="B924" s="4" t="n">
        <v>44651</v>
      </c>
      <c r="C924" s="3" t="inlineStr">
        <is>
          <t>Assets</t>
        </is>
      </c>
      <c r="D924" s="3" t="inlineStr">
        <is>
          <t>7610/395</t>
        </is>
      </c>
      <c r="E924" s="3" t="inlineStr">
        <is>
          <t>HF CIP NHBRC</t>
        </is>
      </c>
      <c r="F924" s="3" t="n">
        <v>0</v>
      </c>
      <c r="G924" s="3" t="n">
        <v>261841.5</v>
      </c>
    </row>
    <row r="925">
      <c r="A925" s="3" t="inlineStr">
        <is>
          <t>Heron Fields (Pty) Ltd</t>
        </is>
      </c>
      <c r="B925" s="4" t="n">
        <v>44651</v>
      </c>
      <c r="C925" s="3" t="inlineStr">
        <is>
          <t>Assets</t>
        </is>
      </c>
      <c r="D925" s="3" t="inlineStr">
        <is>
          <t>7620/100</t>
        </is>
      </c>
      <c r="E925" s="3" t="inlineStr">
        <is>
          <t>Heron View Land</t>
        </is>
      </c>
      <c r="F925" s="3" t="n">
        <v>0</v>
      </c>
      <c r="G925" s="3" t="n">
        <v>26200000</v>
      </c>
    </row>
    <row r="926">
      <c r="A926" s="3" t="inlineStr">
        <is>
          <t>Heron Fields (Pty) Ltd</t>
        </is>
      </c>
      <c r="B926" s="4" t="n">
        <v>44651</v>
      </c>
      <c r="C926" s="3" t="inlineStr">
        <is>
          <t>Assets</t>
        </is>
      </c>
      <c r="D926" s="3" t="inlineStr">
        <is>
          <t>7620/101</t>
        </is>
      </c>
      <c r="E926" s="3" t="inlineStr">
        <is>
          <t>HF CIP Bond Registration Fee</t>
        </is>
      </c>
      <c r="F926" s="3" t="n">
        <v>0</v>
      </c>
      <c r="G926" s="3" t="n">
        <v>68427</v>
      </c>
    </row>
    <row r="927">
      <c r="A927" s="3" t="inlineStr">
        <is>
          <t>Heron Fields (Pty) Ltd</t>
        </is>
      </c>
      <c r="B927" s="4" t="n">
        <v>44651</v>
      </c>
      <c r="C927" s="3" t="inlineStr">
        <is>
          <t>Assets</t>
        </is>
      </c>
      <c r="D927" s="3" t="inlineStr">
        <is>
          <t>7620/102</t>
        </is>
      </c>
      <c r="E927" s="3" t="inlineStr">
        <is>
          <t>HF CIP Transfer Fee</t>
        </is>
      </c>
      <c r="F927" s="3" t="n">
        <v>0</v>
      </c>
      <c r="G927" s="3" t="n">
        <v>103812</v>
      </c>
    </row>
    <row r="928">
      <c r="A928" s="3" t="inlineStr">
        <is>
          <t>Heron Fields (Pty) Ltd</t>
        </is>
      </c>
      <c r="B928" s="4" t="n">
        <v>44651</v>
      </c>
      <c r="C928" s="3" t="inlineStr">
        <is>
          <t>Assets</t>
        </is>
      </c>
      <c r="D928" s="3" t="inlineStr">
        <is>
          <t>7620/220</t>
        </is>
      </c>
      <c r="E928" s="3" t="inlineStr">
        <is>
          <t>HF CIP Architectural Designs</t>
        </is>
      </c>
      <c r="F928" s="3" t="n">
        <v>4980</v>
      </c>
      <c r="G928" s="3" t="n">
        <v>146980</v>
      </c>
    </row>
    <row r="929">
      <c r="A929" s="3" t="inlineStr">
        <is>
          <t>Heron Fields (Pty) Ltd</t>
        </is>
      </c>
      <c r="B929" s="4" t="n">
        <v>44651</v>
      </c>
      <c r="C929" s="3" t="inlineStr">
        <is>
          <t>Assets</t>
        </is>
      </c>
      <c r="D929" s="3" t="inlineStr">
        <is>
          <t>7620/230</t>
        </is>
      </c>
      <c r="E929" s="3" t="inlineStr">
        <is>
          <t>HF CIP Construction Management</t>
        </is>
      </c>
      <c r="F929" s="3" t="n">
        <v>16000</v>
      </c>
      <c r="G929" s="3" t="n">
        <v>16000</v>
      </c>
    </row>
    <row r="930">
      <c r="A930" s="3" t="inlineStr">
        <is>
          <t>Heron Fields (Pty) Ltd</t>
        </is>
      </c>
      <c r="B930" s="4" t="n">
        <v>44651</v>
      </c>
      <c r="C930" s="3" t="inlineStr">
        <is>
          <t>Assets</t>
        </is>
      </c>
      <c r="D930" s="3" t="inlineStr">
        <is>
          <t>7620/240</t>
        </is>
      </c>
      <c r="E930" s="3" t="inlineStr">
        <is>
          <t>HF CIP Civil Engineering</t>
        </is>
      </c>
      <c r="F930" s="3" t="n">
        <v>302433</v>
      </c>
      <c r="G930" s="3" t="n">
        <v>5355349.5</v>
      </c>
    </row>
    <row r="931">
      <c r="A931" s="3" t="inlineStr">
        <is>
          <t>Heron Fields (Pty) Ltd</t>
        </is>
      </c>
      <c r="B931" s="4" t="n">
        <v>44651</v>
      </c>
      <c r="C931" s="3" t="inlineStr">
        <is>
          <t>Assets</t>
        </is>
      </c>
      <c r="D931" s="3" t="inlineStr">
        <is>
          <t>7620/245</t>
        </is>
      </c>
      <c r="E931" s="3" t="inlineStr">
        <is>
          <t>HF CIP Development fee</t>
        </is>
      </c>
      <c r="F931" s="3" t="n">
        <v>0</v>
      </c>
      <c r="G931" s="3" t="n">
        <v>13807.78</v>
      </c>
    </row>
    <row r="932">
      <c r="A932" s="3" t="inlineStr">
        <is>
          <t>Heron Fields (Pty) Ltd</t>
        </is>
      </c>
      <c r="B932" s="4" t="n">
        <v>44651</v>
      </c>
      <c r="C932" s="3" t="inlineStr">
        <is>
          <t>Assets</t>
        </is>
      </c>
      <c r="D932" s="3" t="inlineStr">
        <is>
          <t>7620/250</t>
        </is>
      </c>
      <c r="E932" s="3" t="inlineStr">
        <is>
          <t>HF CIP Land Surveyor</t>
        </is>
      </c>
      <c r="F932" s="3" t="n">
        <v>0</v>
      </c>
      <c r="G932" s="3" t="n">
        <v>6350</v>
      </c>
    </row>
    <row r="933">
      <c r="A933" s="3" t="inlineStr">
        <is>
          <t>Heron Fields (Pty) Ltd</t>
        </is>
      </c>
      <c r="B933" s="4" t="n">
        <v>44651</v>
      </c>
      <c r="C933" s="3" t="inlineStr">
        <is>
          <t>Assets</t>
        </is>
      </c>
      <c r="D933" s="3" t="inlineStr">
        <is>
          <t>7620/255</t>
        </is>
      </c>
      <c r="E933" s="3" t="inlineStr">
        <is>
          <t>HF CIP Landscaping</t>
        </is>
      </c>
      <c r="F933" s="3" t="n">
        <v>0</v>
      </c>
      <c r="G933" s="3" t="n">
        <v>7500</v>
      </c>
    </row>
    <row r="934">
      <c r="A934" s="3" t="inlineStr">
        <is>
          <t>Heron Fields (Pty) Ltd</t>
        </is>
      </c>
      <c r="B934" s="4" t="n">
        <v>44651</v>
      </c>
      <c r="C934" s="3" t="inlineStr">
        <is>
          <t>Assets</t>
        </is>
      </c>
      <c r="D934" s="3" t="inlineStr">
        <is>
          <t>7620/260</t>
        </is>
      </c>
      <c r="E934" s="3" t="inlineStr">
        <is>
          <t>HF CIP Mechanical Engineers</t>
        </is>
      </c>
      <c r="F934" s="3" t="n">
        <v>0</v>
      </c>
      <c r="G934" s="3" t="n">
        <v>67400</v>
      </c>
    </row>
    <row r="935">
      <c r="A935" s="3" t="inlineStr">
        <is>
          <t>Heron Fields (Pty) Ltd</t>
        </is>
      </c>
      <c r="B935" s="4" t="n">
        <v>44651</v>
      </c>
      <c r="C935" s="3" t="inlineStr">
        <is>
          <t>Assets</t>
        </is>
      </c>
      <c r="D935" s="3" t="inlineStr">
        <is>
          <t>7620/265</t>
        </is>
      </c>
      <c r="E935" s="3" t="inlineStr">
        <is>
          <t>HF CIP Health &amp; Safety</t>
        </is>
      </c>
      <c r="F935" s="3" t="n">
        <v>1400</v>
      </c>
      <c r="G935" s="3" t="n">
        <v>8000</v>
      </c>
    </row>
    <row r="936">
      <c r="A936" s="3" t="inlineStr">
        <is>
          <t>Heron Fields (Pty) Ltd</t>
        </is>
      </c>
      <c r="B936" s="4" t="n">
        <v>44651</v>
      </c>
      <c r="C936" s="3" t="inlineStr">
        <is>
          <t>Assets</t>
        </is>
      </c>
      <c r="D936" s="3" t="inlineStr">
        <is>
          <t>7620/270</t>
        </is>
      </c>
      <c r="E936" s="3" t="inlineStr">
        <is>
          <t>HF CIP Geotechnical</t>
        </is>
      </c>
      <c r="F936" s="3" t="n">
        <v>0</v>
      </c>
      <c r="G936" s="3" t="n">
        <v>15175</v>
      </c>
    </row>
    <row r="937">
      <c r="A937" s="3" t="inlineStr">
        <is>
          <t>Heron Fields (Pty) Ltd</t>
        </is>
      </c>
      <c r="B937" s="4" t="n">
        <v>44651</v>
      </c>
      <c r="C937" s="3" t="inlineStr">
        <is>
          <t>Assets</t>
        </is>
      </c>
      <c r="D937" s="3" t="inlineStr">
        <is>
          <t>7620/275</t>
        </is>
      </c>
      <c r="E937" s="3" t="inlineStr">
        <is>
          <t>HF CIP Retaining Wall</t>
        </is>
      </c>
      <c r="F937" s="3" t="n">
        <v>446460.38</v>
      </c>
      <c r="G937" s="3" t="n">
        <v>446460.38</v>
      </c>
    </row>
    <row r="938">
      <c r="A938" s="3" t="inlineStr">
        <is>
          <t>Heron Fields (Pty) Ltd</t>
        </is>
      </c>
      <c r="B938" s="4" t="n">
        <v>44651</v>
      </c>
      <c r="C938" s="3" t="inlineStr">
        <is>
          <t>Assets</t>
        </is>
      </c>
      <c r="D938" s="3" t="inlineStr">
        <is>
          <t>7620/280</t>
        </is>
      </c>
      <c r="E938" s="3" t="inlineStr">
        <is>
          <t>HF CIP Site Establishment</t>
        </is>
      </c>
      <c r="F938" s="3" t="n">
        <v>1167362.94</v>
      </c>
      <c r="G938" s="3" t="n">
        <v>1354722.83</v>
      </c>
    </row>
    <row r="939">
      <c r="A939" s="3" t="inlineStr">
        <is>
          <t>Heron Fields (Pty) Ltd</t>
        </is>
      </c>
      <c r="B939" s="4" t="n">
        <v>44651</v>
      </c>
      <c r="C939" s="3" t="inlineStr">
        <is>
          <t>Assets</t>
        </is>
      </c>
      <c r="D939" s="3" t="inlineStr">
        <is>
          <t>7620/285</t>
        </is>
      </c>
      <c r="E939" s="3" t="inlineStr">
        <is>
          <t>HF CIP Structuring Fee - Invest</t>
        </is>
      </c>
      <c r="F939" s="3" t="n">
        <v>45697.93</v>
      </c>
      <c r="G939" s="3" t="n">
        <v>2376904.99</v>
      </c>
    </row>
    <row r="940">
      <c r="A940" s="3" t="inlineStr">
        <is>
          <t>Heron Fields (Pty) Ltd</t>
        </is>
      </c>
      <c r="B940" s="4" t="n">
        <v>44651</v>
      </c>
      <c r="C940" s="3" t="inlineStr">
        <is>
          <t>Assets</t>
        </is>
      </c>
      <c r="D940" s="3" t="inlineStr">
        <is>
          <t>7620/287</t>
        </is>
      </c>
      <c r="E940" s="3" t="inlineStr">
        <is>
          <t>HF CIP Structuring Fee - Development</t>
        </is>
      </c>
      <c r="F940" s="3" t="n">
        <v>0</v>
      </c>
      <c r="G940" s="3" t="n">
        <v>782608.0699999999</v>
      </c>
    </row>
    <row r="941">
      <c r="A941" s="3" t="inlineStr">
        <is>
          <t>Heron Fields (Pty) Ltd</t>
        </is>
      </c>
      <c r="B941" s="4" t="n">
        <v>44651</v>
      </c>
      <c r="C941" s="3" t="inlineStr">
        <is>
          <t>Assets</t>
        </is>
      </c>
      <c r="D941" s="3" t="inlineStr">
        <is>
          <t>7620/290</t>
        </is>
      </c>
      <c r="E941" s="3" t="inlineStr">
        <is>
          <t>HF CIP Town Planning</t>
        </is>
      </c>
      <c r="F941" s="3" t="n">
        <v>0</v>
      </c>
      <c r="G941" s="3" t="n">
        <v>129550</v>
      </c>
    </row>
    <row r="942">
      <c r="A942" s="3" t="inlineStr">
        <is>
          <t>Heron Fields (Pty) Ltd</t>
        </is>
      </c>
      <c r="B942" s="4" t="n">
        <v>44651</v>
      </c>
      <c r="C942" s="3" t="inlineStr">
        <is>
          <t>Assets</t>
        </is>
      </c>
      <c r="D942" s="3" t="inlineStr">
        <is>
          <t>7620/295</t>
        </is>
      </c>
      <c r="E942" s="3" t="inlineStr">
        <is>
          <t>HF CIP Traffic Planning</t>
        </is>
      </c>
      <c r="F942" s="3" t="n">
        <v>0</v>
      </c>
      <c r="G942" s="3" t="n">
        <v>45000</v>
      </c>
    </row>
    <row r="943">
      <c r="A943" s="3" t="inlineStr">
        <is>
          <t>Heron Fields (Pty) Ltd</t>
        </is>
      </c>
      <c r="B943" s="4" t="n">
        <v>44651</v>
      </c>
      <c r="C943" s="3" t="inlineStr">
        <is>
          <t>Assets</t>
        </is>
      </c>
      <c r="D943" s="3" t="inlineStr">
        <is>
          <t>7620/600</t>
        </is>
      </c>
      <c r="E943" s="3" t="inlineStr">
        <is>
          <t>HF CIP Eco work</t>
        </is>
      </c>
      <c r="F943" s="3" t="n">
        <v>6000</v>
      </c>
      <c r="G943" s="3" t="n">
        <v>60000</v>
      </c>
    </row>
    <row r="944">
      <c r="A944" s="3" t="inlineStr">
        <is>
          <t>Heron Fields (Pty) Ltd</t>
        </is>
      </c>
      <c r="B944" s="4" t="n">
        <v>44651</v>
      </c>
      <c r="C944" s="3" t="inlineStr">
        <is>
          <t>Assets</t>
        </is>
      </c>
      <c r="D944" s="3" t="inlineStr">
        <is>
          <t>7620/630</t>
        </is>
      </c>
      <c r="E944" s="3" t="inlineStr">
        <is>
          <t>HF CIP CoCT development contribution</t>
        </is>
      </c>
      <c r="F944" s="3" t="n">
        <v>562.5700000000001</v>
      </c>
      <c r="G944" s="3" t="n">
        <v>740372.41</v>
      </c>
    </row>
    <row r="945">
      <c r="A945" s="3" t="inlineStr">
        <is>
          <t>Heron Fields (Pty) Ltd</t>
        </is>
      </c>
      <c r="B945" s="4" t="n">
        <v>44651</v>
      </c>
      <c r="C945" s="3" t="inlineStr">
        <is>
          <t>Assets</t>
        </is>
      </c>
      <c r="D945" s="3" t="inlineStr">
        <is>
          <t>7620/640</t>
        </is>
      </c>
      <c r="E945" s="3" t="inlineStr">
        <is>
          <t>HF CIP Project costs</t>
        </is>
      </c>
      <c r="F945" s="3" t="n">
        <v>0</v>
      </c>
      <c r="G945" s="3" t="n">
        <v>622274.51</v>
      </c>
    </row>
    <row r="946">
      <c r="A946" s="3" t="inlineStr">
        <is>
          <t>Cape Projects Construction (Pty) Ltd</t>
        </is>
      </c>
      <c r="B946" s="4" t="n">
        <v>44651</v>
      </c>
      <c r="C946" s="3" t="inlineStr">
        <is>
          <t>Assets</t>
        </is>
      </c>
      <c r="D946" s="3" t="inlineStr">
        <is>
          <t>7800/000</t>
        </is>
      </c>
      <c r="E946" s="3" t="inlineStr">
        <is>
          <t>Deposits paid</t>
        </is>
      </c>
      <c r="F946" s="3" t="n">
        <v>0</v>
      </c>
      <c r="G946" s="3" t="n">
        <v>6875.45</v>
      </c>
    </row>
    <row r="947">
      <c r="A947" s="3" t="inlineStr">
        <is>
          <t>Cape Projects Construction (Pty) Ltd</t>
        </is>
      </c>
      <c r="B947" s="4" t="n">
        <v>44651</v>
      </c>
      <c r="C947" s="3" t="inlineStr">
        <is>
          <t>Assets</t>
        </is>
      </c>
      <c r="D947" s="3" t="inlineStr">
        <is>
          <t>8000/000</t>
        </is>
      </c>
      <c r="E947" s="3" t="inlineStr">
        <is>
          <t>Customer Control Account</t>
        </is>
      </c>
      <c r="F947" s="3" t="n">
        <v>1419556.4</v>
      </c>
      <c r="G947" s="3" t="n">
        <v>4564116.91</v>
      </c>
    </row>
    <row r="948">
      <c r="A948" s="3" t="inlineStr">
        <is>
          <t>Cape Projects Construction (Pty) Ltd</t>
        </is>
      </c>
      <c r="B948" s="4" t="n">
        <v>44651</v>
      </c>
      <c r="C948" s="3" t="inlineStr">
        <is>
          <t>Assets</t>
        </is>
      </c>
      <c r="D948" s="3" t="inlineStr">
        <is>
          <t>8200/010</t>
        </is>
      </c>
      <c r="E948" s="3" t="inlineStr">
        <is>
          <t>Prepayments / Prepaid Expenses</t>
        </is>
      </c>
      <c r="F948" s="3" t="n">
        <v>31125.88</v>
      </c>
      <c r="G948" s="3" t="n">
        <v>45461.35</v>
      </c>
    </row>
    <row r="949">
      <c r="A949" s="3" t="inlineStr">
        <is>
          <t>Heron Fields (Pty) Ltd</t>
        </is>
      </c>
      <c r="B949" s="4" t="n">
        <v>44651</v>
      </c>
      <c r="C949" s="3" t="inlineStr">
        <is>
          <t>Assets</t>
        </is>
      </c>
      <c r="D949" s="3" t="inlineStr">
        <is>
          <t>8200/200</t>
        </is>
      </c>
      <c r="E949" s="3" t="inlineStr">
        <is>
          <t>Sundry Debtor - Quinate</t>
        </is>
      </c>
      <c r="F949" s="3" t="n">
        <v>0</v>
      </c>
      <c r="G949" s="3" t="n">
        <v>300000</v>
      </c>
    </row>
    <row r="950">
      <c r="A950" s="3" t="inlineStr">
        <is>
          <t>Heron Fields (Pty) Ltd</t>
        </is>
      </c>
      <c r="B950" s="4" t="n">
        <v>44651</v>
      </c>
      <c r="C950" s="3" t="inlineStr">
        <is>
          <t>Assets</t>
        </is>
      </c>
      <c r="D950" s="3" t="inlineStr">
        <is>
          <t>8400/000</t>
        </is>
      </c>
      <c r="E950" s="3" t="inlineStr">
        <is>
          <t>RMB - 62882379087</t>
        </is>
      </c>
      <c r="F950" s="3" t="n">
        <v>703690.79</v>
      </c>
      <c r="G950" s="3" t="n">
        <v>728719.98</v>
      </c>
    </row>
    <row r="951">
      <c r="A951" s="3" t="inlineStr">
        <is>
          <t>Cape Projects Construction (Pty) Ltd</t>
        </is>
      </c>
      <c r="B951" s="4" t="n">
        <v>44651</v>
      </c>
      <c r="C951" s="3" t="inlineStr">
        <is>
          <t>Assets</t>
        </is>
      </c>
      <c r="D951" s="3" t="inlineStr">
        <is>
          <t>8400/000</t>
        </is>
      </c>
      <c r="E951" s="3" t="inlineStr">
        <is>
          <t>RMB 62275138470</t>
        </is>
      </c>
      <c r="F951" s="3" t="n">
        <v>-381692.36</v>
      </c>
      <c r="G951" s="3" t="n">
        <v>45928.42</v>
      </c>
    </row>
    <row r="952">
      <c r="A952" s="3" t="inlineStr">
        <is>
          <t>Cape Projects Construction (Pty) Ltd</t>
        </is>
      </c>
      <c r="B952" s="4" t="n">
        <v>44651</v>
      </c>
      <c r="C952" s="3" t="inlineStr">
        <is>
          <t>Assets</t>
        </is>
      </c>
      <c r="D952" s="3" t="inlineStr">
        <is>
          <t>8420/000</t>
        </is>
      </c>
      <c r="E952" s="3" t="inlineStr">
        <is>
          <t>Momentum Priv Acc RU502230981</t>
        </is>
      </c>
      <c r="F952" s="3" t="n">
        <v>2.02</v>
      </c>
      <c r="G952" s="3" t="n">
        <v>511.66</v>
      </c>
    </row>
    <row r="953">
      <c r="A953" s="3" t="inlineStr">
        <is>
          <t>Heron Fields (Pty) Ltd</t>
        </is>
      </c>
      <c r="B953" s="4" t="n">
        <v>44651</v>
      </c>
      <c r="C953" s="3" t="inlineStr">
        <is>
          <t>Assets</t>
        </is>
      </c>
      <c r="D953" s="3" t="inlineStr">
        <is>
          <t>8430/000</t>
        </is>
      </c>
      <c r="E953" s="3" t="inlineStr">
        <is>
          <t>Momentum Private Account RU502230151</t>
        </is>
      </c>
      <c r="F953" s="3" t="n">
        <v>3.12</v>
      </c>
      <c r="G953" s="3" t="n">
        <v>788.0700000000001</v>
      </c>
    </row>
    <row r="954">
      <c r="A954" s="3" t="inlineStr">
        <is>
          <t>Heron Fields (Pty) Ltd</t>
        </is>
      </c>
      <c r="B954" s="4" t="n">
        <v>44651</v>
      </c>
      <c r="C954" s="3" t="inlineStr">
        <is>
          <t>Assets</t>
        </is>
      </c>
      <c r="D954" s="3" t="inlineStr">
        <is>
          <t>8440/000</t>
        </is>
      </c>
      <c r="E954" s="3" t="inlineStr">
        <is>
          <t>Momentum Investors Account RU502229930</t>
        </is>
      </c>
      <c r="F954" s="3" t="n">
        <v>-1393634.92</v>
      </c>
      <c r="G954" s="3" t="n">
        <v>3022384.45</v>
      </c>
    </row>
    <row r="955">
      <c r="A955" s="3" t="inlineStr">
        <is>
          <t>Cape Projects Construction (Pty) Ltd</t>
        </is>
      </c>
      <c r="B955" s="4" t="n">
        <v>44651</v>
      </c>
      <c r="C955" s="3" t="inlineStr">
        <is>
          <t>Liabilities</t>
        </is>
      </c>
      <c r="D955" s="3" t="inlineStr">
        <is>
          <t>860</t>
        </is>
      </c>
      <c r="E955" s="3" t="inlineStr">
        <is>
          <t>Rounding</t>
        </is>
      </c>
      <c r="F955" s="3" t="n">
        <v>-0.04</v>
      </c>
      <c r="G955" s="3" t="n">
        <v>-0.03</v>
      </c>
    </row>
    <row r="956">
      <c r="A956" s="3" t="inlineStr">
        <is>
          <t>Heron Fields (Pty) Ltd</t>
        </is>
      </c>
      <c r="B956" s="4" t="n">
        <v>44651</v>
      </c>
      <c r="C956" s="3" t="inlineStr">
        <is>
          <t>Liabilities</t>
        </is>
      </c>
      <c r="D956" s="3" t="inlineStr">
        <is>
          <t>860</t>
        </is>
      </c>
      <c r="E956" s="3" t="inlineStr">
        <is>
          <t>Rounding</t>
        </is>
      </c>
      <c r="F956" s="3" t="n">
        <v>0</v>
      </c>
      <c r="G956" s="3" t="n">
        <v>0.01</v>
      </c>
    </row>
    <row r="957">
      <c r="A957" s="3" t="inlineStr">
        <is>
          <t>Cape Projects Construction (Pty) Ltd</t>
        </is>
      </c>
      <c r="B957" s="4" t="n">
        <v>44651</v>
      </c>
      <c r="C957" s="3" t="inlineStr">
        <is>
          <t>Liabilities</t>
        </is>
      </c>
      <c r="D957" s="3" t="inlineStr">
        <is>
          <t>9000/000</t>
        </is>
      </c>
      <c r="E957" s="3" t="inlineStr">
        <is>
          <t>Supplier Control Account</t>
        </is>
      </c>
      <c r="F957" s="3" t="n">
        <v>-1344321.38</v>
      </c>
      <c r="G957" s="3" t="n">
        <v>-3284534.31</v>
      </c>
    </row>
    <row r="958">
      <c r="A958" s="3" t="inlineStr">
        <is>
          <t>Heron Fields (Pty) Ltd</t>
        </is>
      </c>
      <c r="B958" s="4" t="n">
        <v>44651</v>
      </c>
      <c r="C958" s="3" t="inlineStr">
        <is>
          <t>Liabilities</t>
        </is>
      </c>
      <c r="D958" s="3" t="inlineStr">
        <is>
          <t>9000/000</t>
        </is>
      </c>
      <c r="E958" s="3" t="inlineStr">
        <is>
          <t>Supplier Control Account</t>
        </is>
      </c>
      <c r="F958" s="3" t="n">
        <v>-715169.89</v>
      </c>
      <c r="G958" s="3" t="n">
        <v>-46938417.92</v>
      </c>
    </row>
    <row r="959">
      <c r="A959" s="3" t="inlineStr">
        <is>
          <t>Heron View (Pty) Ltd</t>
        </is>
      </c>
      <c r="B959" s="4" t="n">
        <v>44651</v>
      </c>
      <c r="C959" s="3" t="inlineStr">
        <is>
          <t>Liabilities</t>
        </is>
      </c>
      <c r="D959" s="3" t="inlineStr">
        <is>
          <t>9000/000</t>
        </is>
      </c>
      <c r="E959" s="3" t="inlineStr">
        <is>
          <t>Supplier Control Account</t>
        </is>
      </c>
      <c r="F959" s="3" t="n">
        <v>4140</v>
      </c>
      <c r="G959" s="3" t="n">
        <v>4140</v>
      </c>
    </row>
    <row r="960">
      <c r="A960" s="3" t="inlineStr">
        <is>
          <t>Cape Projects Construction (Pty) Ltd</t>
        </is>
      </c>
      <c r="B960" s="4" t="n">
        <v>44651</v>
      </c>
      <c r="C960" s="3" t="inlineStr">
        <is>
          <t>Liabilities</t>
        </is>
      </c>
      <c r="D960" s="3" t="inlineStr">
        <is>
          <t>9200/000</t>
        </is>
      </c>
      <c r="E960" s="3" t="inlineStr">
        <is>
          <t>Sundry Suppliers</t>
        </is>
      </c>
      <c r="F960" s="3" t="n">
        <v>0</v>
      </c>
      <c r="G960" s="3" t="n">
        <v>1186.13</v>
      </c>
    </row>
    <row r="961">
      <c r="A961" s="3" t="inlineStr">
        <is>
          <t>Heron Fields (Pty) Ltd</t>
        </is>
      </c>
      <c r="B961" s="4" t="n">
        <v>44651</v>
      </c>
      <c r="C961" s="3" t="inlineStr">
        <is>
          <t>Liabilities</t>
        </is>
      </c>
      <c r="D961" s="3" t="inlineStr">
        <is>
          <t>9210/001</t>
        </is>
      </c>
      <c r="E961" s="3" t="inlineStr">
        <is>
          <t>Accrued Expenses</t>
        </is>
      </c>
      <c r="F961" s="3" t="n">
        <v>6223.51</v>
      </c>
      <c r="G961" s="3" t="n">
        <v>0</v>
      </c>
    </row>
    <row r="962">
      <c r="A962" s="3" t="inlineStr">
        <is>
          <t>Cape Projects Construction (Pty) Ltd</t>
        </is>
      </c>
      <c r="B962" s="4" t="n">
        <v>44651</v>
      </c>
      <c r="C962" s="3" t="inlineStr">
        <is>
          <t>Liabilities</t>
        </is>
      </c>
      <c r="D962" s="3" t="inlineStr">
        <is>
          <t>9250/010</t>
        </is>
      </c>
      <c r="E962" s="3" t="inlineStr">
        <is>
          <t>SALARY CONTROL</t>
        </is>
      </c>
      <c r="F962" s="3" t="n">
        <v>5644.75</v>
      </c>
      <c r="G962" s="3" t="n">
        <v>5644.75</v>
      </c>
    </row>
    <row r="963">
      <c r="A963" s="3" t="inlineStr">
        <is>
          <t>Cape Projects Construction (Pty) Ltd</t>
        </is>
      </c>
      <c r="B963" s="4" t="n">
        <v>44651</v>
      </c>
      <c r="C963" s="3" t="inlineStr">
        <is>
          <t>Liabilities</t>
        </is>
      </c>
      <c r="D963" s="3" t="inlineStr">
        <is>
          <t>9250/020</t>
        </is>
      </c>
      <c r="E963" s="3" t="inlineStr">
        <is>
          <t>PAYE, UIF AND SDL CONTROL</t>
        </is>
      </c>
      <c r="F963" s="3" t="n">
        <v>33861.1</v>
      </c>
      <c r="G963" s="3" t="n">
        <v>-50698.27</v>
      </c>
    </row>
    <row r="964">
      <c r="A964" s="3" t="inlineStr">
        <is>
          <t>Cape Projects Construction (Pty) Ltd</t>
        </is>
      </c>
      <c r="B964" s="4" t="n">
        <v>44651</v>
      </c>
      <c r="C964" s="3" t="inlineStr">
        <is>
          <t>Liabilities</t>
        </is>
      </c>
      <c r="D964" s="3" t="inlineStr">
        <is>
          <t>9250/030</t>
        </is>
      </c>
      <c r="E964" s="3" t="inlineStr">
        <is>
          <t>BIBC CONTROL</t>
        </is>
      </c>
      <c r="F964" s="3" t="n">
        <v>-204.56</v>
      </c>
      <c r="G964" s="3" t="n">
        <v>-613.6799999999999</v>
      </c>
    </row>
    <row r="965">
      <c r="A965" s="3" t="inlineStr">
        <is>
          <t>Cape Projects Construction (Pty) Ltd</t>
        </is>
      </c>
      <c r="B965" s="4" t="n">
        <v>44651</v>
      </c>
      <c r="C965" s="3" t="inlineStr">
        <is>
          <t>Liabilities</t>
        </is>
      </c>
      <c r="D965" s="3" t="inlineStr">
        <is>
          <t>9500/000</t>
        </is>
      </c>
      <c r="E965" s="3" t="inlineStr">
        <is>
          <t>VAT Control Account</t>
        </is>
      </c>
      <c r="F965" s="3" t="n">
        <v>-153711.32</v>
      </c>
      <c r="G965" s="3" t="n">
        <v>-1047386.39</v>
      </c>
    </row>
    <row r="966">
      <c r="A966" s="3" t="inlineStr">
        <is>
          <t>Heron Fields (Pty) Ltd</t>
        </is>
      </c>
      <c r="B966" s="4" t="n">
        <v>44651</v>
      </c>
      <c r="C966" s="3" t="inlineStr">
        <is>
          <t>Liabilities</t>
        </is>
      </c>
      <c r="D966" s="3" t="inlineStr">
        <is>
          <t>9500/000</t>
        </is>
      </c>
      <c r="E966" s="3" t="inlineStr">
        <is>
          <t>Vat / Tax Control Account</t>
        </is>
      </c>
      <c r="F966" s="3" t="n">
        <v>-697361.84</v>
      </c>
      <c r="G966" s="3" t="n">
        <v>132729.23</v>
      </c>
    </row>
    <row r="967">
      <c r="A967" s="3" t="inlineStr">
        <is>
          <t>Cape Projects Construction (Pty) Ltd</t>
        </is>
      </c>
      <c r="B967" s="4" t="n">
        <v>44651</v>
      </c>
      <c r="C967" s="3" t="inlineStr">
        <is>
          <t>Liabilities</t>
        </is>
      </c>
      <c r="D967" s="3" t="inlineStr">
        <is>
          <t>B/S</t>
        </is>
      </c>
      <c r="E967" s="3" t="inlineStr">
        <is>
          <t>Taxation Payable</t>
        </is>
      </c>
      <c r="F967" s="3" t="n">
        <v>-118.02</v>
      </c>
      <c r="G967" s="3" t="n">
        <v>1869.8</v>
      </c>
    </row>
    <row r="968">
      <c r="A968" s="3" t="inlineStr">
        <is>
          <t>Cape Projects Construction (Pty) Ltd</t>
        </is>
      </c>
      <c r="B968" s="4" t="n">
        <v>44651</v>
      </c>
      <c r="C968" s="3" t="inlineStr">
        <is>
          <t>Liabilities</t>
        </is>
      </c>
      <c r="D968" s="3" t="inlineStr">
        <is>
          <t>TEMP/ACC</t>
        </is>
      </c>
      <c r="E968" s="3" t="inlineStr">
        <is>
          <t>Conversion Account</t>
        </is>
      </c>
      <c r="F968" s="3" t="n">
        <v>0</v>
      </c>
      <c r="G968" s="3" t="n">
        <v>-254.99</v>
      </c>
    </row>
    <row r="969">
      <c r="A969" s="3" t="inlineStr">
        <is>
          <t>Cape Projects Construction (Pty) Ltd</t>
        </is>
      </c>
      <c r="B969" s="4" t="n">
        <v>44681</v>
      </c>
      <c r="C969" s="3" t="inlineStr">
        <is>
          <t>Revenue</t>
        </is>
      </c>
      <c r="D969" s="3" t="inlineStr">
        <is>
          <t>1040/100</t>
        </is>
      </c>
      <c r="E969" s="3" t="inlineStr">
        <is>
          <t>Fees - Construction - Heron</t>
        </is>
      </c>
      <c r="F969" s="3" t="n">
        <v>-2316900.66</v>
      </c>
      <c r="G969" s="3" t="n">
        <v>-3484263.6</v>
      </c>
    </row>
    <row r="970">
      <c r="A970" s="3" t="inlineStr">
        <is>
          <t>Cape Projects Construction (Pty) Ltd</t>
        </is>
      </c>
      <c r="B970" s="4" t="n">
        <v>44681</v>
      </c>
      <c r="C970" s="3" t="inlineStr">
        <is>
          <t>Revenue</t>
        </is>
      </c>
      <c r="D970" s="3" t="inlineStr">
        <is>
          <t>1050/030</t>
        </is>
      </c>
      <c r="E970" s="3" t="inlineStr">
        <is>
          <t>Fees - Construction - Endulini</t>
        </is>
      </c>
      <c r="F970" s="3" t="n">
        <v>-3823586.17</v>
      </c>
      <c r="G970" s="3" t="n">
        <v>-7547064.43</v>
      </c>
    </row>
    <row r="971">
      <c r="A971" s="3" t="inlineStr">
        <is>
          <t>Cape Projects Construction (Pty) Ltd</t>
        </is>
      </c>
      <c r="B971" s="4" t="n">
        <v>44681</v>
      </c>
      <c r="C971" s="3" t="inlineStr">
        <is>
          <t>Revenue</t>
        </is>
      </c>
      <c r="D971" s="3" t="inlineStr">
        <is>
          <t>1070/000</t>
        </is>
      </c>
      <c r="E971" s="3" t="inlineStr">
        <is>
          <t>Rent - CT Office</t>
        </is>
      </c>
      <c r="F971" s="3" t="n">
        <v>-3490.94</v>
      </c>
      <c r="G971" s="3" t="n">
        <v>-6981.88</v>
      </c>
    </row>
    <row r="972">
      <c r="A972" s="3" t="inlineStr">
        <is>
          <t>Cape Projects Construction (Pty) Ltd</t>
        </is>
      </c>
      <c r="B972" s="4" t="n">
        <v>44681</v>
      </c>
      <c r="C972" s="3" t="inlineStr">
        <is>
          <t>Revenue</t>
        </is>
      </c>
      <c r="D972" s="3" t="inlineStr">
        <is>
          <t>1080/000</t>
        </is>
      </c>
      <c r="E972" s="3" t="inlineStr">
        <is>
          <t>Other income</t>
        </is>
      </c>
      <c r="F972" s="3" t="n">
        <v>-104</v>
      </c>
      <c r="G972" s="3" t="n">
        <v>-104</v>
      </c>
    </row>
    <row r="973">
      <c r="A973" s="3" t="inlineStr">
        <is>
          <t>Cape Projects Construction (Pty) Ltd</t>
        </is>
      </c>
      <c r="B973" s="4" t="n">
        <v>44681</v>
      </c>
      <c r="C973" s="3" t="inlineStr">
        <is>
          <t>Expenses</t>
        </is>
      </c>
      <c r="D973" s="3" t="inlineStr">
        <is>
          <t>2005/200</t>
        </is>
      </c>
      <c r="E973" s="3" t="inlineStr">
        <is>
          <t>COS - External Works</t>
        </is>
      </c>
      <c r="F973" s="3" t="n">
        <v>957.28</v>
      </c>
      <c r="G973" s="3" t="n">
        <v>957.28</v>
      </c>
    </row>
    <row r="974">
      <c r="A974" s="3" t="inlineStr">
        <is>
          <t>Cape Projects Construction (Pty) Ltd</t>
        </is>
      </c>
      <c r="B974" s="4" t="n">
        <v>44681</v>
      </c>
      <c r="C974" s="3" t="inlineStr">
        <is>
          <t>Expenses</t>
        </is>
      </c>
      <c r="D974" s="3" t="inlineStr">
        <is>
          <t>2006/000</t>
        </is>
      </c>
      <c r="E974" s="3" t="inlineStr">
        <is>
          <t>COS - Endulini Construction</t>
        </is>
      </c>
      <c r="F974" s="3" t="n">
        <v>3114643.78</v>
      </c>
      <c r="G974" s="3" t="n">
        <v>6280209.87</v>
      </c>
    </row>
    <row r="975">
      <c r="A975" s="3" t="inlineStr">
        <is>
          <t>Cape Projects Construction (Pty) Ltd</t>
        </is>
      </c>
      <c r="B975" s="4" t="n">
        <v>44681</v>
      </c>
      <c r="C975" s="3" t="inlineStr">
        <is>
          <t>Expenses</t>
        </is>
      </c>
      <c r="D975" s="3" t="inlineStr">
        <is>
          <t>2006/100</t>
        </is>
      </c>
      <c r="E975" s="3" t="inlineStr">
        <is>
          <t>COS - Endulini P and G</t>
        </is>
      </c>
      <c r="F975" s="3" t="n">
        <v>94519</v>
      </c>
      <c r="G975" s="3" t="n">
        <v>261083.88</v>
      </c>
    </row>
    <row r="976">
      <c r="A976" s="3" t="inlineStr">
        <is>
          <t>Cape Projects Construction (Pty) Ltd</t>
        </is>
      </c>
      <c r="B976" s="4" t="n">
        <v>44681</v>
      </c>
      <c r="C976" s="3" t="inlineStr">
        <is>
          <t>Expenses</t>
        </is>
      </c>
      <c r="D976" s="3" t="inlineStr">
        <is>
          <t>2006/200</t>
        </is>
      </c>
      <c r="E976" s="3" t="inlineStr">
        <is>
          <t>COS - Insurance</t>
        </is>
      </c>
      <c r="F976" s="3" t="n">
        <v>6946.25</v>
      </c>
      <c r="G976" s="3" t="n">
        <v>9813.34</v>
      </c>
    </row>
    <row r="977">
      <c r="A977" s="3" t="inlineStr">
        <is>
          <t>Cape Projects Construction (Pty) Ltd</t>
        </is>
      </c>
      <c r="B977" s="4" t="n">
        <v>44681</v>
      </c>
      <c r="C977" s="3" t="inlineStr">
        <is>
          <t>Expenses</t>
        </is>
      </c>
      <c r="D977" s="3" t="inlineStr">
        <is>
          <t>2006/350</t>
        </is>
      </c>
      <c r="E977" s="3" t="inlineStr">
        <is>
          <t>COS - Endulini - Security</t>
        </is>
      </c>
      <c r="F977" s="3" t="n">
        <v>0</v>
      </c>
      <c r="G977" s="3" t="n">
        <v>5500</v>
      </c>
    </row>
    <row r="978">
      <c r="A978" s="3" t="inlineStr">
        <is>
          <t>Cape Projects Construction (Pty) Ltd</t>
        </is>
      </c>
      <c r="B978" s="4" t="n">
        <v>44681</v>
      </c>
      <c r="C978" s="3" t="inlineStr">
        <is>
          <t>Expenses</t>
        </is>
      </c>
      <c r="D978" s="3" t="inlineStr">
        <is>
          <t>2006/400</t>
        </is>
      </c>
      <c r="E978" s="3" t="inlineStr">
        <is>
          <t>COS - Endulini - Health &amp; Safety</t>
        </is>
      </c>
      <c r="F978" s="3" t="n">
        <v>4000</v>
      </c>
      <c r="G978" s="3" t="n">
        <v>8000</v>
      </c>
    </row>
    <row r="979">
      <c r="A979" s="3" t="inlineStr">
        <is>
          <t>Cape Projects Construction (Pty) Ltd</t>
        </is>
      </c>
      <c r="B979" s="4" t="n">
        <v>44681</v>
      </c>
      <c r="C979" s="3" t="inlineStr">
        <is>
          <t>Expenses</t>
        </is>
      </c>
      <c r="D979" s="3" t="inlineStr">
        <is>
          <t>2006/700</t>
        </is>
      </c>
      <c r="E979" s="3" t="inlineStr">
        <is>
          <t>COS - Endulini - Fuel</t>
        </is>
      </c>
      <c r="F979" s="3" t="n">
        <v>2473.65</v>
      </c>
      <c r="G979" s="3" t="n">
        <v>2473.65</v>
      </c>
    </row>
    <row r="980">
      <c r="A980" s="3" t="inlineStr">
        <is>
          <t>Cape Projects Construction (Pty) Ltd</t>
        </is>
      </c>
      <c r="B980" s="4" t="n">
        <v>44681</v>
      </c>
      <c r="C980" s="3" t="inlineStr">
        <is>
          <t>Expenses</t>
        </is>
      </c>
      <c r="D980" s="3" t="inlineStr">
        <is>
          <t>2006/800</t>
        </is>
      </c>
      <c r="E980" s="3" t="inlineStr">
        <is>
          <t>COS - Endulini - Telephone &amp; Internet</t>
        </is>
      </c>
      <c r="F980" s="3" t="n">
        <v>520.87</v>
      </c>
      <c r="G980" s="3" t="n">
        <v>937.39</v>
      </c>
    </row>
    <row r="981">
      <c r="A981" s="3" t="inlineStr">
        <is>
          <t>Cape Projects Construction (Pty) Ltd</t>
        </is>
      </c>
      <c r="B981" s="4" t="n">
        <v>44681</v>
      </c>
      <c r="C981" s="3" t="inlineStr">
        <is>
          <t>Expenses</t>
        </is>
      </c>
      <c r="D981" s="3" t="inlineStr">
        <is>
          <t>2011/300</t>
        </is>
      </c>
      <c r="E981" s="3" t="inlineStr">
        <is>
          <t>COS - Heron Fields - Printing &amp; Stationary</t>
        </is>
      </c>
      <c r="F981" s="3" t="n">
        <v>2415</v>
      </c>
      <c r="G981" s="3" t="n">
        <v>2683.05</v>
      </c>
    </row>
    <row r="982">
      <c r="A982" s="3" t="inlineStr">
        <is>
          <t>Cape Projects Construction (Pty) Ltd</t>
        </is>
      </c>
      <c r="B982" s="4" t="n">
        <v>44681</v>
      </c>
      <c r="C982" s="3" t="inlineStr">
        <is>
          <t>Expenses</t>
        </is>
      </c>
      <c r="D982" s="3" t="inlineStr">
        <is>
          <t>2011/500</t>
        </is>
      </c>
      <c r="E982" s="3" t="inlineStr">
        <is>
          <t>COS - Heron Fields - Construction</t>
        </is>
      </c>
      <c r="F982" s="3" t="n">
        <v>2138785</v>
      </c>
      <c r="G982" s="3" t="n">
        <v>3106575.23</v>
      </c>
    </row>
    <row r="983">
      <c r="A983" s="3" t="inlineStr">
        <is>
          <t>Cape Projects Construction (Pty) Ltd</t>
        </is>
      </c>
      <c r="B983" s="4" t="n">
        <v>44681</v>
      </c>
      <c r="C983" s="3" t="inlineStr">
        <is>
          <t>Expenses</t>
        </is>
      </c>
      <c r="D983" s="3" t="inlineStr">
        <is>
          <t>2011/600</t>
        </is>
      </c>
      <c r="E983" s="3" t="inlineStr">
        <is>
          <t>COS - Heron Fields - P &amp; G</t>
        </is>
      </c>
      <c r="F983" s="3" t="n">
        <v>239884.17</v>
      </c>
      <c r="G983" s="3" t="n">
        <v>332474.45</v>
      </c>
    </row>
    <row r="984">
      <c r="A984" s="3" t="inlineStr">
        <is>
          <t>Cape Projects Construction (Pty) Ltd</t>
        </is>
      </c>
      <c r="B984" s="4" t="n">
        <v>44681</v>
      </c>
      <c r="C984" s="3" t="inlineStr">
        <is>
          <t>Expenses</t>
        </is>
      </c>
      <c r="D984" s="3" t="inlineStr">
        <is>
          <t>2011/700</t>
        </is>
      </c>
      <c r="E984" s="3" t="inlineStr">
        <is>
          <t>COS - Heron Fields - Health &amp; Safety</t>
        </is>
      </c>
      <c r="F984" s="3" t="n">
        <v>4000</v>
      </c>
      <c r="G984" s="3" t="n">
        <v>10286.3</v>
      </c>
    </row>
    <row r="985">
      <c r="A985" s="3" t="inlineStr">
        <is>
          <t>Cape Projects Construction (Pty) Ltd</t>
        </is>
      </c>
      <c r="B985" s="4" t="n">
        <v>44681</v>
      </c>
      <c r="C985" s="3" t="inlineStr">
        <is>
          <t>Expenses</t>
        </is>
      </c>
      <c r="D985" s="3" t="inlineStr">
        <is>
          <t>2011/900</t>
        </is>
      </c>
      <c r="E985" s="3" t="inlineStr">
        <is>
          <t>COS - Heron - Internet</t>
        </is>
      </c>
      <c r="F985" s="3" t="n">
        <v>1085.22</v>
      </c>
      <c r="G985" s="3" t="n">
        <v>1630.81</v>
      </c>
    </row>
    <row r="986">
      <c r="A986" s="3" t="inlineStr">
        <is>
          <t>Cape Projects Construction (Pty) Ltd</t>
        </is>
      </c>
      <c r="B986" s="4" t="n">
        <v>44681</v>
      </c>
      <c r="C986" s="3" t="inlineStr">
        <is>
          <t>Expenses</t>
        </is>
      </c>
      <c r="D986" s="3" t="inlineStr">
        <is>
          <t>2011/950</t>
        </is>
      </c>
      <c r="E986" s="3" t="inlineStr">
        <is>
          <t>COS - Heron Fields - Security</t>
        </is>
      </c>
      <c r="F986" s="3" t="n">
        <v>4782.61</v>
      </c>
      <c r="G986" s="3" t="n">
        <v>4782.61</v>
      </c>
    </row>
    <row r="987">
      <c r="A987" s="3" t="inlineStr">
        <is>
          <t>Cape Projects Construction (Pty) Ltd</t>
        </is>
      </c>
      <c r="B987" s="4" t="n">
        <v>44681</v>
      </c>
      <c r="C987" s="3" t="inlineStr">
        <is>
          <t>Revenue</t>
        </is>
      </c>
      <c r="D987" s="3" t="inlineStr">
        <is>
          <t>2751/001</t>
        </is>
      </c>
      <c r="E987" s="3" t="inlineStr">
        <is>
          <t>Interest received - Momentum</t>
        </is>
      </c>
      <c r="F987" s="3" t="n">
        <v>0</v>
      </c>
      <c r="G987" s="3" t="n">
        <v>-2.02</v>
      </c>
    </row>
    <row r="988">
      <c r="A988" s="3" t="inlineStr">
        <is>
          <t>Heron Fields (Pty) Ltd</t>
        </is>
      </c>
      <c r="B988" s="4" t="n">
        <v>44681</v>
      </c>
      <c r="C988" s="3" t="inlineStr">
        <is>
          <t>Revenue</t>
        </is>
      </c>
      <c r="D988" s="3" t="inlineStr">
        <is>
          <t>2755/001</t>
        </is>
      </c>
      <c r="E988" s="3" t="inlineStr">
        <is>
          <t>Interest Received - Momentum</t>
        </is>
      </c>
      <c r="F988" s="3" t="n">
        <v>-33568.16</v>
      </c>
      <c r="G988" s="3" t="n">
        <v>-41266.23</v>
      </c>
    </row>
    <row r="989">
      <c r="A989" s="3" t="inlineStr">
        <is>
          <t>Cape Projects Construction (Pty) Ltd</t>
        </is>
      </c>
      <c r="B989" s="4" t="n">
        <v>44681</v>
      </c>
      <c r="C989" s="3" t="inlineStr">
        <is>
          <t>Expenses</t>
        </is>
      </c>
      <c r="D989" s="3" t="inlineStr">
        <is>
          <t>3002/000</t>
        </is>
      </c>
      <c r="E989" s="3" t="inlineStr">
        <is>
          <t>Accounting Fees - Audit</t>
        </is>
      </c>
      <c r="F989" s="3" t="n">
        <v>10600</v>
      </c>
      <c r="G989" s="3" t="n">
        <v>10600</v>
      </c>
    </row>
    <row r="990">
      <c r="A990" s="3" t="inlineStr">
        <is>
          <t>Cape Projects Construction (Pty) Ltd</t>
        </is>
      </c>
      <c r="B990" s="4" t="n">
        <v>44681</v>
      </c>
      <c r="C990" s="3" t="inlineStr">
        <is>
          <t>Expenses</t>
        </is>
      </c>
      <c r="D990" s="3" t="inlineStr">
        <is>
          <t>3020/100</t>
        </is>
      </c>
      <c r="E990" s="3" t="inlineStr">
        <is>
          <t>Admin - Subcontractors</t>
        </is>
      </c>
      <c r="F990" s="3" t="n">
        <v>639.13</v>
      </c>
      <c r="G990" s="3" t="n">
        <v>639.13</v>
      </c>
    </row>
    <row r="991">
      <c r="A991" s="3" t="inlineStr">
        <is>
          <t>Cape Projects Construction (Pty) Ltd</t>
        </is>
      </c>
      <c r="B991" s="4" t="n">
        <v>44681</v>
      </c>
      <c r="C991" s="3" t="inlineStr">
        <is>
          <t>Expenses</t>
        </is>
      </c>
      <c r="D991" s="3" t="inlineStr">
        <is>
          <t>3050/000</t>
        </is>
      </c>
      <c r="E991" s="3" t="inlineStr">
        <is>
          <t>Advertising _AND_ Promotions</t>
        </is>
      </c>
      <c r="F991" s="3" t="n">
        <v>0</v>
      </c>
      <c r="G991" s="3" t="n">
        <v>687.5</v>
      </c>
    </row>
    <row r="992">
      <c r="A992" s="3" t="inlineStr">
        <is>
          <t>Heron Fields (Pty) Ltd</t>
        </is>
      </c>
      <c r="B992" s="4" t="n">
        <v>44681</v>
      </c>
      <c r="C992" s="3" t="inlineStr">
        <is>
          <t>Expenses</t>
        </is>
      </c>
      <c r="D992" s="3" t="inlineStr">
        <is>
          <t>3050/000</t>
        </is>
      </c>
      <c r="E992" s="3" t="inlineStr">
        <is>
          <t>Advertising _AND_ Promotions</t>
        </is>
      </c>
      <c r="F992" s="3" t="n">
        <v>55237.86</v>
      </c>
      <c r="G992" s="3" t="n">
        <v>55787.86</v>
      </c>
    </row>
    <row r="993">
      <c r="A993" s="3" t="inlineStr">
        <is>
          <t>Heron Fields (Pty) Ltd</t>
        </is>
      </c>
      <c r="B993" s="4" t="n">
        <v>44681</v>
      </c>
      <c r="C993" s="3" t="inlineStr">
        <is>
          <t>Expenses</t>
        </is>
      </c>
      <c r="D993" s="3" t="inlineStr">
        <is>
          <t>3050/100</t>
        </is>
      </c>
      <c r="E993" s="3" t="inlineStr">
        <is>
          <t>Advertising - Property24</t>
        </is>
      </c>
      <c r="F993" s="3" t="n">
        <v>23112</v>
      </c>
      <c r="G993" s="3" t="n">
        <v>23112</v>
      </c>
    </row>
    <row r="994">
      <c r="A994" s="3" t="inlineStr">
        <is>
          <t>Cape Projects Construction (Pty) Ltd</t>
        </is>
      </c>
      <c r="B994" s="4" t="n">
        <v>44681</v>
      </c>
      <c r="C994" s="3" t="inlineStr">
        <is>
          <t>Expenses</t>
        </is>
      </c>
      <c r="D994" s="3" t="inlineStr">
        <is>
          <t>3200/000</t>
        </is>
      </c>
      <c r="E994" s="3" t="inlineStr">
        <is>
          <t>Bank Charges</t>
        </is>
      </c>
      <c r="F994" s="3" t="n">
        <v>2938.93</v>
      </c>
      <c r="G994" s="3" t="n">
        <v>5514.02</v>
      </c>
    </row>
    <row r="995">
      <c r="A995" s="3" t="inlineStr">
        <is>
          <t>Heron Fields (Pty) Ltd</t>
        </is>
      </c>
      <c r="B995" s="4" t="n">
        <v>44681</v>
      </c>
      <c r="C995" s="3" t="inlineStr">
        <is>
          <t>Expenses</t>
        </is>
      </c>
      <c r="D995" s="3" t="inlineStr">
        <is>
          <t>3200/000</t>
        </is>
      </c>
      <c r="E995" s="3" t="inlineStr">
        <is>
          <t>Bank Charges</t>
        </is>
      </c>
      <c r="F995" s="3" t="n">
        <v>714.16</v>
      </c>
      <c r="G995" s="3" t="n">
        <v>1367.86</v>
      </c>
    </row>
    <row r="996">
      <c r="A996" s="3" t="inlineStr">
        <is>
          <t>Cape Projects Construction (Pty) Ltd</t>
        </is>
      </c>
      <c r="B996" s="4" t="n">
        <v>44681</v>
      </c>
      <c r="C996" s="3" t="inlineStr">
        <is>
          <t>Expenses</t>
        </is>
      </c>
      <c r="D996" s="3" t="inlineStr">
        <is>
          <t>3250/000</t>
        </is>
      </c>
      <c r="E996" s="3" t="inlineStr">
        <is>
          <t>Cleaning</t>
        </is>
      </c>
      <c r="F996" s="3" t="n">
        <v>250</v>
      </c>
      <c r="G996" s="3" t="n">
        <v>1986.89</v>
      </c>
    </row>
    <row r="997">
      <c r="A997" s="3" t="inlineStr">
        <is>
          <t>Cape Projects Construction (Pty) Ltd</t>
        </is>
      </c>
      <c r="B997" s="4" t="n">
        <v>44681</v>
      </c>
      <c r="C997" s="3" t="inlineStr">
        <is>
          <t>Expenses</t>
        </is>
      </c>
      <c r="D997" s="3" t="inlineStr">
        <is>
          <t>3256/000</t>
        </is>
      </c>
      <c r="E997" s="3" t="inlineStr">
        <is>
          <t>Cell Phone - Nick Morgan</t>
        </is>
      </c>
      <c r="F997" s="3" t="n">
        <v>662.7</v>
      </c>
      <c r="G997" s="3" t="n">
        <v>1284.53</v>
      </c>
    </row>
    <row r="998">
      <c r="A998" s="3" t="inlineStr">
        <is>
          <t>Cape Projects Construction (Pty) Ltd</t>
        </is>
      </c>
      <c r="B998" s="4" t="n">
        <v>44681</v>
      </c>
      <c r="C998" s="3" t="inlineStr">
        <is>
          <t>Expenses</t>
        </is>
      </c>
      <c r="D998" s="3" t="inlineStr">
        <is>
          <t>3300/000</t>
        </is>
      </c>
      <c r="E998" s="3" t="inlineStr">
        <is>
          <t>Computer Expenses</t>
        </is>
      </c>
      <c r="F998" s="3" t="n">
        <v>0</v>
      </c>
      <c r="G998" s="3" t="n">
        <v>566.09</v>
      </c>
    </row>
    <row r="999">
      <c r="A999" s="3" t="inlineStr">
        <is>
          <t>Cape Projects Construction (Pty) Ltd</t>
        </is>
      </c>
      <c r="B999" s="4" t="n">
        <v>44681</v>
      </c>
      <c r="C999" s="3" t="inlineStr">
        <is>
          <t>Expenses</t>
        </is>
      </c>
      <c r="D999" s="3" t="inlineStr">
        <is>
          <t>3300/100</t>
        </is>
      </c>
      <c r="E999" s="3" t="inlineStr">
        <is>
          <t>Computer Exp - IT, Internet/Hosting Fee</t>
        </is>
      </c>
      <c r="F999" s="3" t="n">
        <v>3130</v>
      </c>
      <c r="G999" s="3" t="n">
        <v>3130</v>
      </c>
    </row>
    <row r="1000">
      <c r="A1000" s="3" t="inlineStr">
        <is>
          <t>Heron Fields (Pty) Ltd</t>
        </is>
      </c>
      <c r="B1000" s="4" t="n">
        <v>44681</v>
      </c>
      <c r="C1000" s="3" t="inlineStr">
        <is>
          <t>Expenses</t>
        </is>
      </c>
      <c r="D1000" s="3" t="inlineStr">
        <is>
          <t>3350/100</t>
        </is>
      </c>
      <c r="E1000" s="3" t="inlineStr">
        <is>
          <t>Consulting Fees - Admin and Finance</t>
        </is>
      </c>
      <c r="F1000" s="3" t="n">
        <v>78771.64999999999</v>
      </c>
      <c r="G1000" s="3" t="n">
        <v>146415.69</v>
      </c>
    </row>
    <row r="1001">
      <c r="A1001" s="3" t="inlineStr">
        <is>
          <t>Cape Projects Construction (Pty) Ltd</t>
        </is>
      </c>
      <c r="B1001" s="4" t="n">
        <v>44681</v>
      </c>
      <c r="C1001" s="3" t="inlineStr">
        <is>
          <t>Expenses</t>
        </is>
      </c>
      <c r="D1001" s="3" t="inlineStr">
        <is>
          <t>3350/100</t>
        </is>
      </c>
      <c r="E1001" s="3" t="inlineStr">
        <is>
          <t>Consulting fees - Herbert du Plessis</t>
        </is>
      </c>
      <c r="F1001" s="3" t="n">
        <v>36000</v>
      </c>
      <c r="G1001" s="3" t="n">
        <v>72000</v>
      </c>
    </row>
    <row r="1002">
      <c r="A1002" s="3" t="inlineStr">
        <is>
          <t>Cape Projects Construction (Pty) Ltd</t>
        </is>
      </c>
      <c r="B1002" s="4" t="n">
        <v>44681</v>
      </c>
      <c r="C1002" s="3" t="inlineStr">
        <is>
          <t>Expenses</t>
        </is>
      </c>
      <c r="D1002" s="3" t="inlineStr">
        <is>
          <t>3350/300</t>
        </is>
      </c>
      <c r="E1002" s="3" t="inlineStr">
        <is>
          <t>Consulting Fees - Admin and Finance</t>
        </is>
      </c>
      <c r="F1002" s="3" t="n">
        <v>119917.35</v>
      </c>
      <c r="G1002" s="3" t="n">
        <v>214421.87</v>
      </c>
    </row>
    <row r="1003">
      <c r="A1003" s="3" t="inlineStr">
        <is>
          <t>Heron Fields (Pty) Ltd</t>
        </is>
      </c>
      <c r="B1003" s="4" t="n">
        <v>44681</v>
      </c>
      <c r="C1003" s="3" t="inlineStr">
        <is>
          <t>Expenses</t>
        </is>
      </c>
      <c r="D1003" s="3" t="inlineStr">
        <is>
          <t>3351/000</t>
        </is>
      </c>
      <c r="E1003" s="3" t="inlineStr">
        <is>
          <t>Consulting fees - Trustee</t>
        </is>
      </c>
      <c r="F1003" s="3" t="n">
        <v>0</v>
      </c>
      <c r="G1003" s="3" t="n">
        <v>4000</v>
      </c>
    </row>
    <row r="1004">
      <c r="A1004" s="3" t="inlineStr">
        <is>
          <t>Cape Projects Construction (Pty) Ltd</t>
        </is>
      </c>
      <c r="B1004" s="4" t="n">
        <v>44681</v>
      </c>
      <c r="C1004" s="3" t="inlineStr">
        <is>
          <t>Expenses</t>
        </is>
      </c>
      <c r="D1004" s="3" t="inlineStr">
        <is>
          <t>3450/001</t>
        </is>
      </c>
      <c r="E1004" s="3" t="inlineStr">
        <is>
          <t>Depreciation - Computer Equipment</t>
        </is>
      </c>
      <c r="F1004" s="3" t="n">
        <v>1539.82</v>
      </c>
      <c r="G1004" s="3" t="n">
        <v>2874.39</v>
      </c>
    </row>
    <row r="1005">
      <c r="A1005" s="3" t="inlineStr">
        <is>
          <t>Cape Projects Construction (Pty) Ltd</t>
        </is>
      </c>
      <c r="B1005" s="4" t="n">
        <v>44681</v>
      </c>
      <c r="C1005" s="3" t="inlineStr">
        <is>
          <t>Expenses</t>
        </is>
      </c>
      <c r="D1005" s="3" t="inlineStr">
        <is>
          <t>3450/002</t>
        </is>
      </c>
      <c r="E1005" s="3" t="inlineStr">
        <is>
          <t>Depreciation - Generator Fixed Asset</t>
        </is>
      </c>
      <c r="F1005" s="3" t="n">
        <v>193.34</v>
      </c>
      <c r="G1005" s="3" t="n">
        <v>386.67</v>
      </c>
    </row>
    <row r="1006">
      <c r="A1006" s="3" t="inlineStr">
        <is>
          <t>Cape Projects Construction (Pty) Ltd</t>
        </is>
      </c>
      <c r="B1006" s="4" t="n">
        <v>44681</v>
      </c>
      <c r="C1006" s="3" t="inlineStr">
        <is>
          <t>Expenses</t>
        </is>
      </c>
      <c r="D1006" s="3" t="inlineStr">
        <is>
          <t>3450/030</t>
        </is>
      </c>
      <c r="E1006" s="3" t="inlineStr">
        <is>
          <t>Depreciation - Furniture and Fittings</t>
        </is>
      </c>
      <c r="F1006" s="3" t="n">
        <v>427.2</v>
      </c>
      <c r="G1006" s="3" t="n">
        <v>854.41</v>
      </c>
    </row>
    <row r="1007">
      <c r="A1007" s="3" t="inlineStr">
        <is>
          <t>Heron Fields (Pty) Ltd</t>
        </is>
      </c>
      <c r="B1007" s="4" t="n">
        <v>44681</v>
      </c>
      <c r="C1007" s="3" t="inlineStr">
        <is>
          <t>Expenses</t>
        </is>
      </c>
      <c r="D1007" s="3" t="inlineStr">
        <is>
          <t>3650/000</t>
        </is>
      </c>
      <c r="E1007" s="3" t="inlineStr">
        <is>
          <t>CoCT - Electricity</t>
        </is>
      </c>
      <c r="F1007" s="3" t="n">
        <v>0</v>
      </c>
      <c r="G1007" s="3" t="n">
        <v>2215.9</v>
      </c>
    </row>
    <row r="1008">
      <c r="A1008" s="3" t="inlineStr">
        <is>
          <t>Cape Projects Construction (Pty) Ltd</t>
        </is>
      </c>
      <c r="B1008" s="4" t="n">
        <v>44681</v>
      </c>
      <c r="C1008" s="3" t="inlineStr">
        <is>
          <t>Expenses</t>
        </is>
      </c>
      <c r="D1008" s="3" t="inlineStr">
        <is>
          <t>3650/000</t>
        </is>
      </c>
      <c r="E1008" s="3" t="inlineStr">
        <is>
          <t>Electricity _AND_ Water</t>
        </is>
      </c>
      <c r="F1008" s="3" t="n">
        <v>7622.4</v>
      </c>
      <c r="G1008" s="3" t="n">
        <v>7622.4</v>
      </c>
    </row>
    <row r="1009">
      <c r="A1009" s="3" t="inlineStr">
        <is>
          <t>Heron Fields (Pty) Ltd</t>
        </is>
      </c>
      <c r="B1009" s="4" t="n">
        <v>44681</v>
      </c>
      <c r="C1009" s="3" t="inlineStr">
        <is>
          <t>Expenses</t>
        </is>
      </c>
      <c r="D1009" s="3" t="inlineStr">
        <is>
          <t>3660/000</t>
        </is>
      </c>
      <c r="E1009" s="3" t="inlineStr">
        <is>
          <t>CoCT - Water</t>
        </is>
      </c>
      <c r="F1009" s="3" t="n">
        <v>0</v>
      </c>
      <c r="G1009" s="3" t="n">
        <v>10580.4</v>
      </c>
    </row>
    <row r="1010">
      <c r="A1010" s="3" t="inlineStr">
        <is>
          <t>Cape Projects Construction (Pty) Ltd</t>
        </is>
      </c>
      <c r="B1010" s="4" t="n">
        <v>44681</v>
      </c>
      <c r="C1010" s="3" t="inlineStr">
        <is>
          <t>Expenses</t>
        </is>
      </c>
      <c r="D1010" s="3" t="inlineStr">
        <is>
          <t>3700/000</t>
        </is>
      </c>
      <c r="E1010" s="3" t="inlineStr">
        <is>
          <t>Entertainment Expenses</t>
        </is>
      </c>
      <c r="F1010" s="3" t="n">
        <v>0</v>
      </c>
      <c r="G1010" s="3" t="n">
        <v>1801.52</v>
      </c>
    </row>
    <row r="1011">
      <c r="A1011" s="3" t="inlineStr">
        <is>
          <t>Cape Projects Construction (Pty) Ltd</t>
        </is>
      </c>
      <c r="B1011" s="4" t="n">
        <v>44681</v>
      </c>
      <c r="C1011" s="3" t="inlineStr">
        <is>
          <t>Expenses</t>
        </is>
      </c>
      <c r="D1011" s="3" t="inlineStr">
        <is>
          <t>3850/001</t>
        </is>
      </c>
      <c r="E1011" s="3" t="inlineStr">
        <is>
          <t>Insurance - Santam</t>
        </is>
      </c>
      <c r="F1011" s="3" t="n">
        <v>2461.8</v>
      </c>
      <c r="G1011" s="3" t="n">
        <v>3513.01</v>
      </c>
    </row>
    <row r="1012">
      <c r="A1012" s="3" t="inlineStr">
        <is>
          <t>Cape Projects Construction (Pty) Ltd</t>
        </is>
      </c>
      <c r="B1012" s="4" t="n">
        <v>44681</v>
      </c>
      <c r="C1012" s="3" t="inlineStr">
        <is>
          <t>Expenses</t>
        </is>
      </c>
      <c r="D1012" s="3" t="inlineStr">
        <is>
          <t>3850/002</t>
        </is>
      </c>
      <c r="E1012" s="3" t="inlineStr">
        <is>
          <t>Insurance - RBS</t>
        </is>
      </c>
      <c r="F1012" s="3" t="n">
        <v>237.57</v>
      </c>
      <c r="G1012" s="3" t="n">
        <v>475.14</v>
      </c>
    </row>
    <row r="1013">
      <c r="A1013" s="3" t="inlineStr">
        <is>
          <t>Heron Fields (Pty) Ltd</t>
        </is>
      </c>
      <c r="B1013" s="4" t="n">
        <v>44681</v>
      </c>
      <c r="C1013" s="3" t="inlineStr">
        <is>
          <t>Expenses</t>
        </is>
      </c>
      <c r="D1013" s="3" t="inlineStr">
        <is>
          <t>3900/000</t>
        </is>
      </c>
      <c r="E1013" s="3" t="inlineStr">
        <is>
          <t>Interest Paid</t>
        </is>
      </c>
      <c r="F1013" s="3" t="n">
        <v>0</v>
      </c>
      <c r="G1013" s="3" t="n">
        <v>54.64</v>
      </c>
    </row>
    <row r="1014">
      <c r="A1014" s="3" t="inlineStr">
        <is>
          <t>Heron Fields (Pty) Ltd</t>
        </is>
      </c>
      <c r="B1014" s="4" t="n">
        <v>44681</v>
      </c>
      <c r="C1014" s="3" t="inlineStr">
        <is>
          <t>Expenses</t>
        </is>
      </c>
      <c r="D1014" s="3" t="inlineStr">
        <is>
          <t>4100/001</t>
        </is>
      </c>
      <c r="E1014" s="3" t="inlineStr">
        <is>
          <t>Momentum Admin Fee</t>
        </is>
      </c>
      <c r="F1014" s="3" t="n">
        <v>19858.78</v>
      </c>
      <c r="G1014" s="3" t="n">
        <v>21015.19</v>
      </c>
    </row>
    <row r="1015">
      <c r="A1015" s="3" t="inlineStr">
        <is>
          <t>Cape Projects Construction (Pty) Ltd</t>
        </is>
      </c>
      <c r="B1015" s="4" t="n">
        <v>44681</v>
      </c>
      <c r="C1015" s="3" t="inlineStr">
        <is>
          <t>Expenses</t>
        </is>
      </c>
      <c r="D1015" s="3" t="inlineStr">
        <is>
          <t>4150/030</t>
        </is>
      </c>
      <c r="E1015" s="3" t="inlineStr">
        <is>
          <t>Motor Vehicle - Insurance _AND_ Licence</t>
        </is>
      </c>
      <c r="F1015" s="3" t="n">
        <v>0</v>
      </c>
      <c r="G1015" s="3" t="n">
        <v>1200</v>
      </c>
    </row>
    <row r="1016">
      <c r="A1016" s="3" t="inlineStr">
        <is>
          <t>Cape Projects Construction (Pty) Ltd</t>
        </is>
      </c>
      <c r="B1016" s="4" t="n">
        <v>44681</v>
      </c>
      <c r="C1016" s="3" t="inlineStr">
        <is>
          <t>Expenses</t>
        </is>
      </c>
      <c r="D1016" s="3" t="inlineStr">
        <is>
          <t>4200/000</t>
        </is>
      </c>
      <c r="E1016" s="3" t="inlineStr">
        <is>
          <t>Printing _AND_ Stationery</t>
        </is>
      </c>
      <c r="F1016" s="3" t="n">
        <v>768.08</v>
      </c>
      <c r="G1016" s="3" t="n">
        <v>3497.97</v>
      </c>
    </row>
    <row r="1017">
      <c r="A1017" s="3" t="inlineStr">
        <is>
          <t>Cape Projects Construction (Pty) Ltd</t>
        </is>
      </c>
      <c r="B1017" s="4" t="n">
        <v>44681</v>
      </c>
      <c r="C1017" s="3" t="inlineStr">
        <is>
          <t>Expenses</t>
        </is>
      </c>
      <c r="D1017" s="3" t="inlineStr">
        <is>
          <t>4201/000</t>
        </is>
      </c>
      <c r="E1017" s="3" t="inlineStr">
        <is>
          <t>Printing - Printer rental</t>
        </is>
      </c>
      <c r="F1017" s="3" t="n">
        <v>0</v>
      </c>
      <c r="G1017" s="3" t="n">
        <v>1226.2</v>
      </c>
    </row>
    <row r="1018">
      <c r="A1018" s="3" t="inlineStr">
        <is>
          <t>Cape Projects Construction (Pty) Ltd</t>
        </is>
      </c>
      <c r="B1018" s="4" t="n">
        <v>44681</v>
      </c>
      <c r="C1018" s="3" t="inlineStr">
        <is>
          <t>Expenses</t>
        </is>
      </c>
      <c r="D1018" s="3" t="inlineStr">
        <is>
          <t>4300/000</t>
        </is>
      </c>
      <c r="E1018" s="3" t="inlineStr">
        <is>
          <t>Rent Paid</t>
        </is>
      </c>
      <c r="F1018" s="3" t="n">
        <v>28087.5</v>
      </c>
      <c r="G1018" s="3" t="n">
        <v>56175</v>
      </c>
    </row>
    <row r="1019">
      <c r="A1019" s="3" t="inlineStr">
        <is>
          <t>Cape Projects Construction (Pty) Ltd</t>
        </is>
      </c>
      <c r="B1019" s="4" t="n">
        <v>44681</v>
      </c>
      <c r="C1019" s="3" t="inlineStr">
        <is>
          <t>Expenses</t>
        </is>
      </c>
      <c r="D1019" s="3" t="inlineStr">
        <is>
          <t>4310/000</t>
        </is>
      </c>
      <c r="E1019" s="3" t="inlineStr">
        <is>
          <t>Rates</t>
        </is>
      </c>
      <c r="F1019" s="3" t="n">
        <v>843.6</v>
      </c>
      <c r="G1019" s="3" t="n">
        <v>1687.2</v>
      </c>
    </row>
    <row r="1020">
      <c r="A1020" s="3" t="inlineStr">
        <is>
          <t>Heron Fields (Pty) Ltd</t>
        </is>
      </c>
      <c r="B1020" s="4" t="n">
        <v>44681</v>
      </c>
      <c r="C1020" s="3" t="inlineStr">
        <is>
          <t>Expenses</t>
        </is>
      </c>
      <c r="D1020" s="3" t="inlineStr">
        <is>
          <t>4310/000</t>
        </is>
      </c>
      <c r="E1020" s="3" t="inlineStr">
        <is>
          <t>Rates - Heron</t>
        </is>
      </c>
      <c r="F1020" s="3" t="n">
        <v>0</v>
      </c>
      <c r="G1020" s="3" t="n">
        <v>3170.13</v>
      </c>
    </row>
    <row r="1021">
      <c r="A1021" s="3" t="inlineStr">
        <is>
          <t>Cape Projects Construction (Pty) Ltd</t>
        </is>
      </c>
      <c r="B1021" s="4" t="n">
        <v>44681</v>
      </c>
      <c r="C1021" s="3" t="inlineStr">
        <is>
          <t>Expenses</t>
        </is>
      </c>
      <c r="D1021" s="3" t="inlineStr">
        <is>
          <t>4350/000</t>
        </is>
      </c>
      <c r="E1021" s="3" t="inlineStr">
        <is>
          <t>Repairs _AND_ Maintenance</t>
        </is>
      </c>
      <c r="F1021" s="3" t="n">
        <v>0</v>
      </c>
      <c r="G1021" s="3" t="n">
        <v>450</v>
      </c>
    </row>
    <row r="1022">
      <c r="A1022" s="3" t="inlineStr">
        <is>
          <t>Cape Projects Construction (Pty) Ltd</t>
        </is>
      </c>
      <c r="B1022" s="4" t="n">
        <v>44681</v>
      </c>
      <c r="C1022" s="3" t="inlineStr">
        <is>
          <t>Expenses</t>
        </is>
      </c>
      <c r="D1022" s="3" t="inlineStr">
        <is>
          <t>4400/000</t>
        </is>
      </c>
      <c r="E1022" s="3" t="inlineStr">
        <is>
          <t>Salaries _AND_ Wages</t>
        </is>
      </c>
      <c r="F1022" s="3" t="n">
        <v>229998.21</v>
      </c>
      <c r="G1022" s="3" t="n">
        <v>457695.05</v>
      </c>
    </row>
    <row r="1023">
      <c r="A1023" s="3" t="inlineStr">
        <is>
          <t>Heron Fields (Pty) Ltd</t>
        </is>
      </c>
      <c r="B1023" s="4" t="n">
        <v>44681</v>
      </c>
      <c r="C1023" s="3" t="inlineStr">
        <is>
          <t>Expenses</t>
        </is>
      </c>
      <c r="D1023" s="3" t="inlineStr">
        <is>
          <t>4420/001</t>
        </is>
      </c>
      <c r="E1023" s="3" t="inlineStr">
        <is>
          <t>Security - ADT</t>
        </is>
      </c>
      <c r="F1023" s="3" t="n">
        <v>302.65</v>
      </c>
      <c r="G1023" s="3" t="n">
        <v>587.91</v>
      </c>
    </row>
    <row r="1024">
      <c r="A1024" s="3" t="inlineStr">
        <is>
          <t>Cape Projects Construction (Pty) Ltd</t>
        </is>
      </c>
      <c r="B1024" s="4" t="n">
        <v>44681</v>
      </c>
      <c r="C1024" s="3" t="inlineStr">
        <is>
          <t>Expenses</t>
        </is>
      </c>
      <c r="D1024" s="3" t="inlineStr">
        <is>
          <t>4450/000</t>
        </is>
      </c>
      <c r="E1024" s="3" t="inlineStr">
        <is>
          <t>Staff Training</t>
        </is>
      </c>
      <c r="F1024" s="3" t="n">
        <v>0</v>
      </c>
      <c r="G1024" s="3" t="n">
        <v>6800</v>
      </c>
    </row>
    <row r="1025">
      <c r="A1025" s="3" t="inlineStr">
        <is>
          <t>Cape Projects Construction (Pty) Ltd</t>
        </is>
      </c>
      <c r="B1025" s="4" t="n">
        <v>44681</v>
      </c>
      <c r="C1025" s="3" t="inlineStr">
        <is>
          <t>Expenses</t>
        </is>
      </c>
      <c r="D1025" s="3" t="inlineStr">
        <is>
          <t>4500/000</t>
        </is>
      </c>
      <c r="E1025" s="3" t="inlineStr">
        <is>
          <t>Staff Welfare _AND_ Refreshmts</t>
        </is>
      </c>
      <c r="F1025" s="3" t="n">
        <v>0</v>
      </c>
      <c r="G1025" s="3" t="n">
        <v>1751.65</v>
      </c>
    </row>
    <row r="1026">
      <c r="A1026" s="3" t="inlineStr">
        <is>
          <t>Cape Projects Construction (Pty) Ltd</t>
        </is>
      </c>
      <c r="B1026" s="4" t="n">
        <v>44681</v>
      </c>
      <c r="C1026" s="3" t="inlineStr">
        <is>
          <t>Expenses</t>
        </is>
      </c>
      <c r="D1026" s="3" t="inlineStr">
        <is>
          <t>4550/001</t>
        </is>
      </c>
      <c r="E1026" s="3" t="inlineStr">
        <is>
          <t>Subscriptions &amp; Licenses - Sage payroll</t>
        </is>
      </c>
      <c r="F1026" s="3" t="n">
        <v>491</v>
      </c>
      <c r="G1026" s="3" t="n">
        <v>982</v>
      </c>
    </row>
    <row r="1027">
      <c r="A1027" s="3" t="inlineStr">
        <is>
          <t>Cape Projects Construction (Pty) Ltd</t>
        </is>
      </c>
      <c r="B1027" s="4" t="n">
        <v>44681</v>
      </c>
      <c r="C1027" s="3" t="inlineStr">
        <is>
          <t>Expenses</t>
        </is>
      </c>
      <c r="D1027" s="3" t="inlineStr">
        <is>
          <t>4550/003</t>
        </is>
      </c>
      <c r="E1027" s="3" t="inlineStr">
        <is>
          <t>Subscriptions &amp; Licenses - Xero</t>
        </is>
      </c>
      <c r="F1027" s="3" t="n">
        <v>600</v>
      </c>
      <c r="G1027" s="3" t="n">
        <v>1200</v>
      </c>
    </row>
    <row r="1028">
      <c r="A1028" s="3" t="inlineStr">
        <is>
          <t>Cape Projects Construction (Pty) Ltd</t>
        </is>
      </c>
      <c r="B1028" s="4" t="n">
        <v>44681</v>
      </c>
      <c r="C1028" s="3" t="inlineStr">
        <is>
          <t>Expenses</t>
        </is>
      </c>
      <c r="D1028" s="3" t="inlineStr">
        <is>
          <t>4550/004</t>
        </is>
      </c>
      <c r="E1028" s="3" t="inlineStr">
        <is>
          <t>Subscriptions - Smartsheet</t>
        </is>
      </c>
      <c r="F1028" s="3" t="n">
        <v>0</v>
      </c>
      <c r="G1028" s="3" t="n">
        <v>363</v>
      </c>
    </row>
    <row r="1029">
      <c r="A1029" s="3" t="inlineStr">
        <is>
          <t>Cape Projects Construction (Pty) Ltd</t>
        </is>
      </c>
      <c r="B1029" s="4" t="n">
        <v>44681</v>
      </c>
      <c r="C1029" s="3" t="inlineStr">
        <is>
          <t>Expenses</t>
        </is>
      </c>
      <c r="D1029" s="3" t="inlineStr">
        <is>
          <t>4550/006</t>
        </is>
      </c>
      <c r="E1029" s="3" t="inlineStr">
        <is>
          <t>Subscription - Candy software</t>
        </is>
      </c>
      <c r="F1029" s="3" t="n">
        <v>1640</v>
      </c>
      <c r="G1029" s="3" t="n">
        <v>5565</v>
      </c>
    </row>
    <row r="1030">
      <c r="A1030" s="3" t="inlineStr">
        <is>
          <t>Heron Fields (Pty) Ltd</t>
        </is>
      </c>
      <c r="B1030" s="4" t="n">
        <v>44681</v>
      </c>
      <c r="C1030" s="3" t="inlineStr">
        <is>
          <t>Expenses</t>
        </is>
      </c>
      <c r="D1030" s="3" t="inlineStr">
        <is>
          <t>4550/100</t>
        </is>
      </c>
      <c r="E1030" s="3" t="inlineStr">
        <is>
          <t>Subscriptions - Xero</t>
        </is>
      </c>
      <c r="F1030" s="3" t="n">
        <v>600</v>
      </c>
      <c r="G1030" s="3" t="n">
        <v>1200</v>
      </c>
    </row>
    <row r="1031">
      <c r="A1031" s="3" t="inlineStr">
        <is>
          <t>Heron View (Pty) Ltd</t>
        </is>
      </c>
      <c r="B1031" s="4" t="n">
        <v>44681</v>
      </c>
      <c r="C1031" s="3" t="inlineStr">
        <is>
          <t>Expenses</t>
        </is>
      </c>
      <c r="D1031" s="3" t="inlineStr">
        <is>
          <t>4550/100</t>
        </is>
      </c>
      <c r="E1031" s="3" t="inlineStr">
        <is>
          <t>Subscriptions - Xero</t>
        </is>
      </c>
      <c r="F1031" s="3" t="n">
        <v>1200</v>
      </c>
      <c r="G1031" s="3" t="n">
        <v>1200</v>
      </c>
    </row>
    <row r="1032">
      <c r="A1032" s="3" t="inlineStr">
        <is>
          <t>Cape Projects Construction (Pty) Ltd</t>
        </is>
      </c>
      <c r="B1032" s="4" t="n">
        <v>44681</v>
      </c>
      <c r="C1032" s="3" t="inlineStr">
        <is>
          <t>Expenses</t>
        </is>
      </c>
      <c r="D1032" s="3" t="inlineStr">
        <is>
          <t>4700/000</t>
        </is>
      </c>
      <c r="E1032" s="3" t="inlineStr">
        <is>
          <t>PAYE Contributions</t>
        </is>
      </c>
      <c r="F1032" s="3" t="n">
        <v>46961.19</v>
      </c>
      <c r="G1032" s="3" t="n">
        <v>92153.95</v>
      </c>
    </row>
    <row r="1033">
      <c r="A1033" s="3" t="inlineStr">
        <is>
          <t>Cape Projects Construction (Pty) Ltd</t>
        </is>
      </c>
      <c r="B1033" s="4" t="n">
        <v>44681</v>
      </c>
      <c r="C1033" s="3" t="inlineStr">
        <is>
          <t>Expenses</t>
        </is>
      </c>
      <c r="D1033" s="3" t="inlineStr">
        <is>
          <t>4720/000</t>
        </is>
      </c>
      <c r="E1033" s="3" t="inlineStr">
        <is>
          <t>SDL Contributions</t>
        </is>
      </c>
      <c r="F1033" s="3" t="n">
        <v>2714.99</v>
      </c>
      <c r="G1033" s="3" t="n">
        <v>5249.44</v>
      </c>
    </row>
    <row r="1034">
      <c r="A1034" s="3" t="inlineStr">
        <is>
          <t>Cape Projects Construction (Pty) Ltd</t>
        </is>
      </c>
      <c r="B1034" s="4" t="n">
        <v>44681</v>
      </c>
      <c r="C1034" s="3" t="inlineStr">
        <is>
          <t>Expenses</t>
        </is>
      </c>
      <c r="D1034" s="3" t="inlineStr">
        <is>
          <t>4730/000</t>
        </is>
      </c>
      <c r="E1034" s="3" t="inlineStr">
        <is>
          <t>UIF Company Contributions</t>
        </is>
      </c>
      <c r="F1034" s="3" t="n">
        <v>1621.66</v>
      </c>
      <c r="G1034" s="3" t="n">
        <v>3107.19</v>
      </c>
    </row>
    <row r="1035">
      <c r="A1035" s="3" t="inlineStr">
        <is>
          <t>Cape Projects Construction (Pty) Ltd</t>
        </is>
      </c>
      <c r="B1035" s="4" t="n">
        <v>44681</v>
      </c>
      <c r="C1035" s="3" t="inlineStr">
        <is>
          <t>Expenses</t>
        </is>
      </c>
      <c r="D1035" s="3" t="inlineStr">
        <is>
          <t>4731/000</t>
        </is>
      </c>
      <c r="E1035" s="3" t="inlineStr">
        <is>
          <t>UIF Employee Contribution</t>
        </is>
      </c>
      <c r="F1035" s="3" t="n">
        <v>1621.66</v>
      </c>
      <c r="G1035" s="3" t="n">
        <v>3107.19</v>
      </c>
    </row>
    <row r="1036">
      <c r="A1036" s="3" t="inlineStr">
        <is>
          <t>Cape Projects Construction (Pty) Ltd</t>
        </is>
      </c>
      <c r="B1036" s="4" t="n">
        <v>44681</v>
      </c>
      <c r="C1036" s="3" t="inlineStr">
        <is>
          <t>Expenses</t>
        </is>
      </c>
      <c r="D1036" s="3" t="inlineStr">
        <is>
          <t>4740/000</t>
        </is>
      </c>
      <c r="E1036" s="3" t="inlineStr">
        <is>
          <t>BIBC Company Contribution</t>
        </is>
      </c>
      <c r="F1036" s="3" t="n">
        <v>146.78</v>
      </c>
      <c r="G1036" s="3" t="n">
        <v>293.56</v>
      </c>
    </row>
    <row r="1037">
      <c r="A1037" s="3" t="inlineStr">
        <is>
          <t>Cape Projects Construction (Pty) Ltd</t>
        </is>
      </c>
      <c r="B1037" s="4" t="n">
        <v>44681</v>
      </c>
      <c r="C1037" s="3" t="inlineStr">
        <is>
          <t>Expenses</t>
        </is>
      </c>
      <c r="D1037" s="3" t="inlineStr">
        <is>
          <t>4741/000</t>
        </is>
      </c>
      <c r="E1037" s="3" t="inlineStr">
        <is>
          <t>BIBC Employee Contribution</t>
        </is>
      </c>
      <c r="F1037" s="3" t="n">
        <v>57.78</v>
      </c>
      <c r="G1037" s="3" t="n">
        <v>115.56</v>
      </c>
    </row>
    <row r="1038">
      <c r="A1038" s="3" t="inlineStr">
        <is>
          <t>Heron Fields (Pty) Ltd</t>
        </is>
      </c>
      <c r="B1038" s="4" t="n">
        <v>44681</v>
      </c>
      <c r="C1038" s="3" t="inlineStr">
        <is>
          <t>Equity</t>
        </is>
      </c>
      <c r="D1038" s="3" t="inlineStr">
        <is>
          <t>5100-000</t>
        </is>
      </c>
      <c r="E1038" s="3" t="inlineStr">
        <is>
          <t>Share Capital</t>
        </is>
      </c>
      <c r="F1038" s="3" t="n">
        <v>0</v>
      </c>
      <c r="G1038" s="3" t="n">
        <v>-100</v>
      </c>
    </row>
    <row r="1039">
      <c r="A1039" s="3" t="inlineStr">
        <is>
          <t>Cape Projects Construction (Pty) Ltd</t>
        </is>
      </c>
      <c r="B1039" s="4" t="n">
        <v>44681</v>
      </c>
      <c r="C1039" s="3" t="inlineStr">
        <is>
          <t>Equity</t>
        </is>
      </c>
      <c r="D1039" s="3" t="inlineStr">
        <is>
          <t>5100/000</t>
        </is>
      </c>
      <c r="E1039" s="3" t="inlineStr">
        <is>
          <t>Share Capital / Members Contribution</t>
        </is>
      </c>
      <c r="F1039" s="3" t="n">
        <v>0</v>
      </c>
      <c r="G1039" s="3" t="n">
        <v>-120</v>
      </c>
    </row>
    <row r="1040">
      <c r="A1040" s="3" t="inlineStr">
        <is>
          <t>Cape Projects Construction (Pty) Ltd</t>
        </is>
      </c>
      <c r="B1040" s="4" t="n">
        <v>44681</v>
      </c>
      <c r="C1040" s="3" t="inlineStr">
        <is>
          <t>Equity</t>
        </is>
      </c>
      <c r="D1040" s="3" t="inlineStr">
        <is>
          <t>5200/000</t>
        </is>
      </c>
      <c r="E1040" s="3" t="inlineStr">
        <is>
          <t>Retained Earnings / Loss</t>
        </is>
      </c>
      <c r="F1040" s="3" t="n">
        <v>0</v>
      </c>
      <c r="G1040" s="3" t="n">
        <v>247347.05</v>
      </c>
    </row>
    <row r="1041">
      <c r="A1041" s="3" t="inlineStr">
        <is>
          <t>Heron Fields (Pty) Ltd</t>
        </is>
      </c>
      <c r="B1041" s="4" t="n">
        <v>44681</v>
      </c>
      <c r="C1041" s="3" t="inlineStr">
        <is>
          <t>Equity</t>
        </is>
      </c>
      <c r="D1041" s="3" t="inlineStr">
        <is>
          <t>5200/000</t>
        </is>
      </c>
      <c r="E1041" s="3" t="inlineStr">
        <is>
          <t>Retained Earnings / Loss</t>
        </is>
      </c>
      <c r="F1041" s="3" t="n">
        <v>0</v>
      </c>
      <c r="G1041" s="3" t="n">
        <v>-17080353.05</v>
      </c>
    </row>
    <row r="1042">
      <c r="A1042" s="3" t="inlineStr">
        <is>
          <t>Heron Fields (Pty) Ltd</t>
        </is>
      </c>
      <c r="B1042" s="4" t="n">
        <v>44681</v>
      </c>
      <c r="C1042" s="3" t="inlineStr">
        <is>
          <t>Assets</t>
        </is>
      </c>
      <c r="D1042" s="3" t="inlineStr">
        <is>
          <t>5300/001</t>
        </is>
      </c>
      <c r="E1042" s="3" t="inlineStr">
        <is>
          <t>Revaluation of Land stock</t>
        </is>
      </c>
      <c r="F1042" s="3" t="n">
        <v>0</v>
      </c>
      <c r="G1042" s="3" t="n">
        <v>17562360.85</v>
      </c>
    </row>
    <row r="1043">
      <c r="A1043" s="3" t="inlineStr">
        <is>
          <t>Cape Projects Construction (Pty) Ltd</t>
        </is>
      </c>
      <c r="B1043" s="4" t="n">
        <v>44681</v>
      </c>
      <c r="C1043" s="3" t="inlineStr">
        <is>
          <t>Assets</t>
        </is>
      </c>
      <c r="D1043" s="3" t="inlineStr">
        <is>
          <t>5400/150</t>
        </is>
      </c>
      <c r="E1043" s="3" t="inlineStr">
        <is>
          <t>Loan - Quinate</t>
        </is>
      </c>
      <c r="F1043" s="3" t="n">
        <v>0</v>
      </c>
      <c r="G1043" s="3" t="n">
        <v>2850000</v>
      </c>
    </row>
    <row r="1044">
      <c r="A1044" s="3" t="inlineStr">
        <is>
          <t>Cape Projects Construction (Pty) Ltd</t>
        </is>
      </c>
      <c r="B1044" s="4" t="n">
        <v>44681</v>
      </c>
      <c r="C1044" s="3" t="inlineStr">
        <is>
          <t>Assets</t>
        </is>
      </c>
      <c r="D1044" s="3" t="inlineStr">
        <is>
          <t>5400/450</t>
        </is>
      </c>
      <c r="E1044" s="3" t="inlineStr">
        <is>
          <t>Loan - Opportunity Investment</t>
        </is>
      </c>
      <c r="F1044" s="3" t="n">
        <v>-178000</v>
      </c>
      <c r="G1044" s="3" t="n">
        <v>-208000</v>
      </c>
    </row>
    <row r="1045">
      <c r="A1045" s="3" t="inlineStr">
        <is>
          <t>Cape Projects Construction (Pty) Ltd</t>
        </is>
      </c>
      <c r="B1045" s="4" t="n">
        <v>44681</v>
      </c>
      <c r="C1045" s="3" t="inlineStr">
        <is>
          <t>Assets</t>
        </is>
      </c>
      <c r="D1045" s="3" t="inlineStr">
        <is>
          <t>5400/550</t>
        </is>
      </c>
      <c r="E1045" s="3" t="inlineStr">
        <is>
          <t>Loan - Trademark</t>
        </is>
      </c>
      <c r="F1045" s="3" t="n">
        <v>29400</v>
      </c>
      <c r="G1045" s="3" t="n">
        <v>600</v>
      </c>
    </row>
    <row r="1046">
      <c r="A1046" s="3" t="inlineStr">
        <is>
          <t>Cape Projects Construction (Pty) Ltd</t>
        </is>
      </c>
      <c r="B1046" s="4" t="n">
        <v>44681</v>
      </c>
      <c r="C1046" s="3" t="inlineStr">
        <is>
          <t>Assets</t>
        </is>
      </c>
      <c r="D1046" s="3" t="inlineStr">
        <is>
          <t>5400/600</t>
        </is>
      </c>
      <c r="E1046" s="3" t="inlineStr">
        <is>
          <t>Loan - Heron Projects</t>
        </is>
      </c>
      <c r="F1046" s="3" t="n">
        <v>-625000</v>
      </c>
      <c r="G1046" s="3" t="n">
        <v>-3981000</v>
      </c>
    </row>
    <row r="1047">
      <c r="A1047" s="3" t="inlineStr">
        <is>
          <t>Cape Projects Construction (Pty) Ltd</t>
        </is>
      </c>
      <c r="B1047" s="4" t="n">
        <v>44681</v>
      </c>
      <c r="C1047" s="3" t="inlineStr">
        <is>
          <t>Assets</t>
        </is>
      </c>
      <c r="D1047" s="3" t="inlineStr">
        <is>
          <t>5400/650</t>
        </is>
      </c>
      <c r="E1047" s="3" t="inlineStr">
        <is>
          <t>Loan - Noble Shield</t>
        </is>
      </c>
      <c r="F1047" s="3" t="n">
        <v>-600</v>
      </c>
      <c r="G1047" s="3" t="n">
        <v>600</v>
      </c>
    </row>
    <row r="1048">
      <c r="A1048" s="3" t="inlineStr">
        <is>
          <t>Cape Projects Construction (Pty) Ltd</t>
        </is>
      </c>
      <c r="B1048" s="4" t="n">
        <v>44681</v>
      </c>
      <c r="C1048" s="3" t="inlineStr">
        <is>
          <t>Assets</t>
        </is>
      </c>
      <c r="D1048" s="3" t="inlineStr">
        <is>
          <t>5400/800</t>
        </is>
      </c>
      <c r="E1048" s="3" t="inlineStr">
        <is>
          <t>Loan - Opportunity Management Holdings</t>
        </is>
      </c>
      <c r="F1048" s="3" t="n">
        <v>-30000</v>
      </c>
      <c r="G1048" s="3" t="n">
        <v>-55233.05</v>
      </c>
    </row>
    <row r="1049">
      <c r="A1049" s="3" t="inlineStr">
        <is>
          <t>Heron View (Pty) Ltd</t>
        </is>
      </c>
      <c r="B1049" s="4" t="n">
        <v>44681</v>
      </c>
      <c r="C1049" s="3" t="inlineStr">
        <is>
          <t>Liabilities</t>
        </is>
      </c>
      <c r="D1049" s="3" t="inlineStr">
        <is>
          <t>5500/001</t>
        </is>
      </c>
      <c r="E1049" s="3" t="inlineStr">
        <is>
          <t>Loan - Heron Fields</t>
        </is>
      </c>
      <c r="F1049" s="3" t="n">
        <v>-1380</v>
      </c>
      <c r="G1049" s="3" t="n">
        <v>-5520</v>
      </c>
    </row>
    <row r="1050">
      <c r="A1050" s="3" t="inlineStr">
        <is>
          <t>Heron Fields (Pty) Ltd</t>
        </is>
      </c>
      <c r="B1050" s="4" t="n">
        <v>44681</v>
      </c>
      <c r="C1050" s="3" t="inlineStr">
        <is>
          <t>Liabilities</t>
        </is>
      </c>
      <c r="D1050" s="3" t="inlineStr">
        <is>
          <t>5500/020</t>
        </is>
      </c>
      <c r="E1050" s="3" t="inlineStr">
        <is>
          <t>Loan - Cape Projects Construction</t>
        </is>
      </c>
      <c r="F1050" s="3" t="n">
        <v>625000</v>
      </c>
      <c r="G1050" s="3" t="n">
        <v>3981000</v>
      </c>
    </row>
    <row r="1051">
      <c r="A1051" s="3" t="inlineStr">
        <is>
          <t>Heron Fields (Pty) Ltd</t>
        </is>
      </c>
      <c r="B1051" s="4" t="n">
        <v>44681</v>
      </c>
      <c r="C1051" s="3" t="inlineStr">
        <is>
          <t>Liabilities</t>
        </is>
      </c>
      <c r="D1051" s="3" t="inlineStr">
        <is>
          <t>5500/050</t>
        </is>
      </c>
      <c r="E1051" s="3" t="inlineStr">
        <is>
          <t>Loan - Heron View</t>
        </is>
      </c>
      <c r="F1051" s="3" t="n">
        <v>1380</v>
      </c>
      <c r="G1051" s="3" t="n">
        <v>5520</v>
      </c>
    </row>
    <row r="1052">
      <c r="A1052" s="3" t="inlineStr">
        <is>
          <t>Cape Projects Construction (Pty) Ltd</t>
        </is>
      </c>
      <c r="B1052" s="4" t="n">
        <v>44681</v>
      </c>
      <c r="C1052" s="3" t="inlineStr">
        <is>
          <t>Liabilities</t>
        </is>
      </c>
      <c r="D1052" s="3" t="inlineStr">
        <is>
          <t>5600/100</t>
        </is>
      </c>
      <c r="E1052" s="3" t="inlineStr">
        <is>
          <t>Motor Vehical Car Repaymts - Toyota</t>
        </is>
      </c>
      <c r="F1052" s="3" t="n">
        <v>10396.47</v>
      </c>
      <c r="G1052" s="3" t="n">
        <v>15591.67</v>
      </c>
    </row>
    <row r="1053">
      <c r="A1053" s="3" t="inlineStr">
        <is>
          <t>Cape Projects Construction (Pty) Ltd</t>
        </is>
      </c>
      <c r="B1053" s="4" t="n">
        <v>44681</v>
      </c>
      <c r="C1053" s="3" t="inlineStr">
        <is>
          <t>Liabilities</t>
        </is>
      </c>
      <c r="D1053" s="3" t="inlineStr">
        <is>
          <t>5600/200</t>
        </is>
      </c>
      <c r="E1053" s="3" t="inlineStr">
        <is>
          <t>Motor Vehicle Car Repayments - Toyota Shortterm</t>
        </is>
      </c>
      <c r="F1053" s="3" t="n">
        <v>0</v>
      </c>
      <c r="G1053" s="3" t="n">
        <v>-58920.1</v>
      </c>
    </row>
    <row r="1054">
      <c r="A1054" s="3" t="inlineStr">
        <is>
          <t>Cape Projects Construction (Pty) Ltd</t>
        </is>
      </c>
      <c r="B1054" s="4" t="n">
        <v>44681</v>
      </c>
      <c r="C1054" s="3" t="inlineStr">
        <is>
          <t>Assets</t>
        </is>
      </c>
      <c r="D1054" s="3" t="inlineStr">
        <is>
          <t>6200/010</t>
        </is>
      </c>
      <c r="E1054" s="3" t="inlineStr">
        <is>
          <t>Motor Vehicles - @ Cost</t>
        </is>
      </c>
      <c r="F1054" s="3" t="n">
        <v>0</v>
      </c>
      <c r="G1054" s="3" t="n">
        <v>216064.1</v>
      </c>
    </row>
    <row r="1055">
      <c r="A1055" s="3" t="inlineStr">
        <is>
          <t>Cape Projects Construction (Pty) Ltd</t>
        </is>
      </c>
      <c r="B1055" s="4" t="n">
        <v>44681</v>
      </c>
      <c r="C1055" s="3" t="inlineStr">
        <is>
          <t>Assets</t>
        </is>
      </c>
      <c r="D1055" s="3" t="inlineStr">
        <is>
          <t>6200/020</t>
        </is>
      </c>
      <c r="E1055" s="3" t="inlineStr">
        <is>
          <t>Motor Vehicles - Accum Depre</t>
        </is>
      </c>
      <c r="F1055" s="3" t="n">
        <v>0</v>
      </c>
      <c r="G1055" s="3" t="n">
        <v>-176453</v>
      </c>
    </row>
    <row r="1056">
      <c r="A1056" s="3" t="inlineStr">
        <is>
          <t>Cape Projects Construction (Pty) Ltd</t>
        </is>
      </c>
      <c r="B1056" s="4" t="n">
        <v>44681</v>
      </c>
      <c r="C1056" s="3" t="inlineStr">
        <is>
          <t>Assets</t>
        </is>
      </c>
      <c r="D1056" s="3" t="inlineStr">
        <is>
          <t>6250/010</t>
        </is>
      </c>
      <c r="E1056" s="3" t="inlineStr">
        <is>
          <t>Computer Equipment - @ Cost</t>
        </is>
      </c>
      <c r="F1056" s="3" t="n">
        <v>7389.56</v>
      </c>
      <c r="G1056" s="3" t="n">
        <v>69563.91</v>
      </c>
    </row>
    <row r="1057">
      <c r="A1057" s="3" t="inlineStr">
        <is>
          <t>Cape Projects Construction (Pty) Ltd</t>
        </is>
      </c>
      <c r="B1057" s="4" t="n">
        <v>44681</v>
      </c>
      <c r="C1057" s="3" t="inlineStr">
        <is>
          <t>Assets</t>
        </is>
      </c>
      <c r="D1057" s="3" t="inlineStr">
        <is>
          <t>6250/020</t>
        </is>
      </c>
      <c r="E1057" s="3" t="inlineStr">
        <is>
          <t>Computer Equipment - Accum Depre</t>
        </is>
      </c>
      <c r="F1057" s="3" t="n">
        <v>-1539.82</v>
      </c>
      <c r="G1057" s="3" t="n">
        <v>-22015.48</v>
      </c>
    </row>
    <row r="1058">
      <c r="A1058" s="3" t="inlineStr">
        <is>
          <t>Cape Projects Construction (Pty) Ltd</t>
        </is>
      </c>
      <c r="B1058" s="4" t="n">
        <v>44681</v>
      </c>
      <c r="C1058" s="3" t="inlineStr">
        <is>
          <t>Assets</t>
        </is>
      </c>
      <c r="D1058" s="3" t="inlineStr">
        <is>
          <t>6350/010</t>
        </is>
      </c>
      <c r="E1058" s="3" t="inlineStr">
        <is>
          <t>Furniture _AND_ Fittings - @ Cost</t>
        </is>
      </c>
      <c r="F1058" s="3" t="n">
        <v>0</v>
      </c>
      <c r="G1058" s="3" t="n">
        <v>29281.39</v>
      </c>
    </row>
    <row r="1059">
      <c r="A1059" s="3" t="inlineStr">
        <is>
          <t>Cape Projects Construction (Pty) Ltd</t>
        </is>
      </c>
      <c r="B1059" s="4" t="n">
        <v>44681</v>
      </c>
      <c r="C1059" s="3" t="inlineStr">
        <is>
          <t>Assets</t>
        </is>
      </c>
      <c r="D1059" s="3" t="inlineStr">
        <is>
          <t>6350/020</t>
        </is>
      </c>
      <c r="E1059" s="3" t="inlineStr">
        <is>
          <t>Furniture _AND_ Fittings - Accum Depre</t>
        </is>
      </c>
      <c r="F1059" s="3" t="n">
        <v>-427.2</v>
      </c>
      <c r="G1059" s="3" t="n">
        <v>-1261.1</v>
      </c>
    </row>
    <row r="1060">
      <c r="A1060" s="3" t="inlineStr">
        <is>
          <t>Cape Projects Construction (Pty) Ltd</t>
        </is>
      </c>
      <c r="B1060" s="4" t="n">
        <v>44681</v>
      </c>
      <c r="C1060" s="3" t="inlineStr">
        <is>
          <t>Assets</t>
        </is>
      </c>
      <c r="D1060" s="3" t="inlineStr">
        <is>
          <t>6600/010</t>
        </is>
      </c>
      <c r="E1060" s="3" t="inlineStr">
        <is>
          <t>Generator Fixed Asset - @ Cost</t>
        </is>
      </c>
      <c r="F1060" s="3" t="n">
        <v>0</v>
      </c>
      <c r="G1060" s="3" t="n">
        <v>11600</v>
      </c>
    </row>
    <row r="1061">
      <c r="A1061" s="3" t="inlineStr">
        <is>
          <t>Cape Projects Construction (Pty) Ltd</t>
        </is>
      </c>
      <c r="B1061" s="4" t="n">
        <v>44681</v>
      </c>
      <c r="C1061" s="3" t="inlineStr">
        <is>
          <t>Assets</t>
        </is>
      </c>
      <c r="D1061" s="3" t="inlineStr">
        <is>
          <t>6600/020</t>
        </is>
      </c>
      <c r="E1061" s="3" t="inlineStr">
        <is>
          <t>Generator Fixed Asset - Accum Depre</t>
        </is>
      </c>
      <c r="F1061" s="3" t="n">
        <v>-193.34</v>
      </c>
      <c r="G1061" s="3" t="n">
        <v>-1192.23</v>
      </c>
    </row>
    <row r="1062">
      <c r="A1062" s="3" t="inlineStr">
        <is>
          <t>Heron Fields (Pty) Ltd</t>
        </is>
      </c>
      <c r="B1062" s="4" t="n">
        <v>44681</v>
      </c>
      <c r="C1062" s="3" t="inlineStr">
        <is>
          <t>Assets</t>
        </is>
      </c>
      <c r="D1062" s="3" t="inlineStr">
        <is>
          <t>7610/395</t>
        </is>
      </c>
      <c r="E1062" s="3" t="inlineStr">
        <is>
          <t>HF CIP NHBRC</t>
        </is>
      </c>
      <c r="F1062" s="3" t="n">
        <v>612664.25</v>
      </c>
      <c r="G1062" s="3" t="n">
        <v>874505.75</v>
      </c>
    </row>
    <row r="1063">
      <c r="A1063" s="3" t="inlineStr">
        <is>
          <t>Heron Fields (Pty) Ltd</t>
        </is>
      </c>
      <c r="B1063" s="4" t="n">
        <v>44681</v>
      </c>
      <c r="C1063" s="3" t="inlineStr">
        <is>
          <t>Assets</t>
        </is>
      </c>
      <c r="D1063" s="3" t="inlineStr">
        <is>
          <t>7620/100</t>
        </is>
      </c>
      <c r="E1063" s="3" t="inlineStr">
        <is>
          <t>Heron View Land</t>
        </is>
      </c>
      <c r="F1063" s="3" t="n">
        <v>0</v>
      </c>
      <c r="G1063" s="3" t="n">
        <v>26200000</v>
      </c>
    </row>
    <row r="1064">
      <c r="A1064" s="3" t="inlineStr">
        <is>
          <t>Heron Fields (Pty) Ltd</t>
        </is>
      </c>
      <c r="B1064" s="4" t="n">
        <v>44681</v>
      </c>
      <c r="C1064" s="3" t="inlineStr">
        <is>
          <t>Assets</t>
        </is>
      </c>
      <c r="D1064" s="3" t="inlineStr">
        <is>
          <t>7620/101</t>
        </is>
      </c>
      <c r="E1064" s="3" t="inlineStr">
        <is>
          <t>HF CIP Bond Registration Fee</t>
        </is>
      </c>
      <c r="F1064" s="3" t="n">
        <v>0</v>
      </c>
      <c r="G1064" s="3" t="n">
        <v>68427</v>
      </c>
    </row>
    <row r="1065">
      <c r="A1065" s="3" t="inlineStr">
        <is>
          <t>Heron Fields (Pty) Ltd</t>
        </is>
      </c>
      <c r="B1065" s="4" t="n">
        <v>44681</v>
      </c>
      <c r="C1065" s="3" t="inlineStr">
        <is>
          <t>Assets</t>
        </is>
      </c>
      <c r="D1065" s="3" t="inlineStr">
        <is>
          <t>7620/102</t>
        </is>
      </c>
      <c r="E1065" s="3" t="inlineStr">
        <is>
          <t>HF CIP Transfer Fee</t>
        </is>
      </c>
      <c r="F1065" s="3" t="n">
        <v>0</v>
      </c>
      <c r="G1065" s="3" t="n">
        <v>103812</v>
      </c>
    </row>
    <row r="1066">
      <c r="A1066" s="3" t="inlineStr">
        <is>
          <t>Heron Fields (Pty) Ltd</t>
        </is>
      </c>
      <c r="B1066" s="4" t="n">
        <v>44681</v>
      </c>
      <c r="C1066" s="3" t="inlineStr">
        <is>
          <t>Assets</t>
        </is>
      </c>
      <c r="D1066" s="3" t="inlineStr">
        <is>
          <t>7620/220</t>
        </is>
      </c>
      <c r="E1066" s="3" t="inlineStr">
        <is>
          <t>HF CIP Architectural Designs</t>
        </is>
      </c>
      <c r="F1066" s="3" t="n">
        <v>3800</v>
      </c>
      <c r="G1066" s="3" t="n">
        <v>150780</v>
      </c>
    </row>
    <row r="1067">
      <c r="A1067" s="3" t="inlineStr">
        <is>
          <t>Heron Fields (Pty) Ltd</t>
        </is>
      </c>
      <c r="B1067" s="4" t="n">
        <v>44681</v>
      </c>
      <c r="C1067" s="3" t="inlineStr">
        <is>
          <t>Assets</t>
        </is>
      </c>
      <c r="D1067" s="3" t="inlineStr">
        <is>
          <t>7620/230</t>
        </is>
      </c>
      <c r="E1067" s="3" t="inlineStr">
        <is>
          <t>HF CIP Construction Management</t>
        </is>
      </c>
      <c r="F1067" s="3" t="n">
        <v>11000</v>
      </c>
      <c r="G1067" s="3" t="n">
        <v>27000</v>
      </c>
    </row>
    <row r="1068">
      <c r="A1068" s="3" t="inlineStr">
        <is>
          <t>Heron Fields (Pty) Ltd</t>
        </is>
      </c>
      <c r="B1068" s="4" t="n">
        <v>44681</v>
      </c>
      <c r="C1068" s="3" t="inlineStr">
        <is>
          <t>Assets</t>
        </is>
      </c>
      <c r="D1068" s="3" t="inlineStr">
        <is>
          <t>7620/240</t>
        </is>
      </c>
      <c r="E1068" s="3" t="inlineStr">
        <is>
          <t>HF CIP Civil Engineering</t>
        </is>
      </c>
      <c r="F1068" s="3" t="n">
        <v>135158.78</v>
      </c>
      <c r="G1068" s="3" t="n">
        <v>5490508.28</v>
      </c>
    </row>
    <row r="1069">
      <c r="A1069" s="3" t="inlineStr">
        <is>
          <t>Heron Fields (Pty) Ltd</t>
        </is>
      </c>
      <c r="B1069" s="4" t="n">
        <v>44681</v>
      </c>
      <c r="C1069" s="3" t="inlineStr">
        <is>
          <t>Assets</t>
        </is>
      </c>
      <c r="D1069" s="3" t="inlineStr">
        <is>
          <t>7620/245</t>
        </is>
      </c>
      <c r="E1069" s="3" t="inlineStr">
        <is>
          <t>HF CIP Development fee</t>
        </is>
      </c>
      <c r="F1069" s="3" t="n">
        <v>0</v>
      </c>
      <c r="G1069" s="3" t="n">
        <v>13807.78</v>
      </c>
    </row>
    <row r="1070">
      <c r="A1070" s="3" t="inlineStr">
        <is>
          <t>Heron Fields (Pty) Ltd</t>
        </is>
      </c>
      <c r="B1070" s="4" t="n">
        <v>44681</v>
      </c>
      <c r="C1070" s="3" t="inlineStr">
        <is>
          <t>Assets</t>
        </is>
      </c>
      <c r="D1070" s="3" t="inlineStr">
        <is>
          <t>7620/250</t>
        </is>
      </c>
      <c r="E1070" s="3" t="inlineStr">
        <is>
          <t>HF CIP Land Surveyor</t>
        </is>
      </c>
      <c r="F1070" s="3" t="n">
        <v>37676.09</v>
      </c>
      <c r="G1070" s="3" t="n">
        <v>44026.09</v>
      </c>
    </row>
    <row r="1071">
      <c r="A1071" s="3" t="inlineStr">
        <is>
          <t>Heron Fields (Pty) Ltd</t>
        </is>
      </c>
      <c r="B1071" s="4" t="n">
        <v>44681</v>
      </c>
      <c r="C1071" s="3" t="inlineStr">
        <is>
          <t>Assets</t>
        </is>
      </c>
      <c r="D1071" s="3" t="inlineStr">
        <is>
          <t>7620/255</t>
        </is>
      </c>
      <c r="E1071" s="3" t="inlineStr">
        <is>
          <t>HF CIP Landscaping</t>
        </is>
      </c>
      <c r="F1071" s="3" t="n">
        <v>0</v>
      </c>
      <c r="G1071" s="3" t="n">
        <v>7500</v>
      </c>
    </row>
    <row r="1072">
      <c r="A1072" s="3" t="inlineStr">
        <is>
          <t>Heron Fields (Pty) Ltd</t>
        </is>
      </c>
      <c r="B1072" s="4" t="n">
        <v>44681</v>
      </c>
      <c r="C1072" s="3" t="inlineStr">
        <is>
          <t>Assets</t>
        </is>
      </c>
      <c r="D1072" s="3" t="inlineStr">
        <is>
          <t>7620/260</t>
        </is>
      </c>
      <c r="E1072" s="3" t="inlineStr">
        <is>
          <t>HF CIP Mechanical Engineers</t>
        </is>
      </c>
      <c r="F1072" s="3" t="n">
        <v>0</v>
      </c>
      <c r="G1072" s="3" t="n">
        <v>67400</v>
      </c>
    </row>
    <row r="1073">
      <c r="A1073" s="3" t="inlineStr">
        <is>
          <t>Heron Fields (Pty) Ltd</t>
        </is>
      </c>
      <c r="B1073" s="4" t="n">
        <v>44681</v>
      </c>
      <c r="C1073" s="3" t="inlineStr">
        <is>
          <t>Assets</t>
        </is>
      </c>
      <c r="D1073" s="3" t="inlineStr">
        <is>
          <t>7620/265</t>
        </is>
      </c>
      <c r="E1073" s="3" t="inlineStr">
        <is>
          <t>HF CIP Health &amp; Safety</t>
        </is>
      </c>
      <c r="F1073" s="3" t="n">
        <v>1400</v>
      </c>
      <c r="G1073" s="3" t="n">
        <v>9400</v>
      </c>
    </row>
    <row r="1074">
      <c r="A1074" s="3" t="inlineStr">
        <is>
          <t>Heron Fields (Pty) Ltd</t>
        </is>
      </c>
      <c r="B1074" s="4" t="n">
        <v>44681</v>
      </c>
      <c r="C1074" s="3" t="inlineStr">
        <is>
          <t>Assets</t>
        </is>
      </c>
      <c r="D1074" s="3" t="inlineStr">
        <is>
          <t>7620/270</t>
        </is>
      </c>
      <c r="E1074" s="3" t="inlineStr">
        <is>
          <t>HF CIP Geotechnical</t>
        </is>
      </c>
      <c r="F1074" s="3" t="n">
        <v>0</v>
      </c>
      <c r="G1074" s="3" t="n">
        <v>15175</v>
      </c>
    </row>
    <row r="1075">
      <c r="A1075" s="3" t="inlineStr">
        <is>
          <t>Heron Fields (Pty) Ltd</t>
        </is>
      </c>
      <c r="B1075" s="4" t="n">
        <v>44681</v>
      </c>
      <c r="C1075" s="3" t="inlineStr">
        <is>
          <t>Assets</t>
        </is>
      </c>
      <c r="D1075" s="3" t="inlineStr">
        <is>
          <t>7620/275</t>
        </is>
      </c>
      <c r="E1075" s="3" t="inlineStr">
        <is>
          <t>HF CIP Retaining Wall</t>
        </is>
      </c>
      <c r="F1075" s="3" t="n">
        <v>124395.7</v>
      </c>
      <c r="G1075" s="3" t="n">
        <v>570856.08</v>
      </c>
    </row>
    <row r="1076">
      <c r="A1076" s="3" t="inlineStr">
        <is>
          <t>Heron Fields (Pty) Ltd</t>
        </is>
      </c>
      <c r="B1076" s="4" t="n">
        <v>44681</v>
      </c>
      <c r="C1076" s="3" t="inlineStr">
        <is>
          <t>Assets</t>
        </is>
      </c>
      <c r="D1076" s="3" t="inlineStr">
        <is>
          <t>7620/280</t>
        </is>
      </c>
      <c r="E1076" s="3" t="inlineStr">
        <is>
          <t>HF CIP Site Establishment</t>
        </is>
      </c>
      <c r="F1076" s="3" t="n">
        <v>2316900.66</v>
      </c>
      <c r="G1076" s="3" t="n">
        <v>3671623.49</v>
      </c>
    </row>
    <row r="1077">
      <c r="A1077" s="3" t="inlineStr">
        <is>
          <t>Heron Fields (Pty) Ltd</t>
        </is>
      </c>
      <c r="B1077" s="4" t="n">
        <v>44681</v>
      </c>
      <c r="C1077" s="3" t="inlineStr">
        <is>
          <t>Assets</t>
        </is>
      </c>
      <c r="D1077" s="3" t="inlineStr">
        <is>
          <t>7620/285</t>
        </is>
      </c>
      <c r="E1077" s="3" t="inlineStr">
        <is>
          <t>HF CIP Structuring Fee - Invest</t>
        </is>
      </c>
      <c r="F1077" s="3" t="n">
        <v>0</v>
      </c>
      <c r="G1077" s="3" t="n">
        <v>2376904.99</v>
      </c>
    </row>
    <row r="1078">
      <c r="A1078" s="3" t="inlineStr">
        <is>
          <t>Heron Fields (Pty) Ltd</t>
        </is>
      </c>
      <c r="B1078" s="4" t="n">
        <v>44681</v>
      </c>
      <c r="C1078" s="3" t="inlineStr">
        <is>
          <t>Assets</t>
        </is>
      </c>
      <c r="D1078" s="3" t="inlineStr">
        <is>
          <t>7620/287</t>
        </is>
      </c>
      <c r="E1078" s="3" t="inlineStr">
        <is>
          <t>HF CIP Structuring Fee - Development</t>
        </is>
      </c>
      <c r="F1078" s="3" t="n">
        <v>0</v>
      </c>
      <c r="G1078" s="3" t="n">
        <v>782608.0699999999</v>
      </c>
    </row>
    <row r="1079">
      <c r="A1079" s="3" t="inlineStr">
        <is>
          <t>Heron Fields (Pty) Ltd</t>
        </is>
      </c>
      <c r="B1079" s="4" t="n">
        <v>44681</v>
      </c>
      <c r="C1079" s="3" t="inlineStr">
        <is>
          <t>Assets</t>
        </is>
      </c>
      <c r="D1079" s="3" t="inlineStr">
        <is>
          <t>7620/290</t>
        </is>
      </c>
      <c r="E1079" s="3" t="inlineStr">
        <is>
          <t>HF CIP Town Planning</t>
        </is>
      </c>
      <c r="F1079" s="3" t="n">
        <v>0</v>
      </c>
      <c r="G1079" s="3" t="n">
        <v>129550</v>
      </c>
    </row>
    <row r="1080">
      <c r="A1080" s="3" t="inlineStr">
        <is>
          <t>Heron Fields (Pty) Ltd</t>
        </is>
      </c>
      <c r="B1080" s="4" t="n">
        <v>44681</v>
      </c>
      <c r="C1080" s="3" t="inlineStr">
        <is>
          <t>Assets</t>
        </is>
      </c>
      <c r="D1080" s="3" t="inlineStr">
        <is>
          <t>7620/295</t>
        </is>
      </c>
      <c r="E1080" s="3" t="inlineStr">
        <is>
          <t>HF CIP Traffic Planning</t>
        </is>
      </c>
      <c r="F1080" s="3" t="n">
        <v>0</v>
      </c>
      <c r="G1080" s="3" t="n">
        <v>45000</v>
      </c>
    </row>
    <row r="1081">
      <c r="A1081" s="3" t="inlineStr">
        <is>
          <t>Heron Fields (Pty) Ltd</t>
        </is>
      </c>
      <c r="B1081" s="4" t="n">
        <v>44681</v>
      </c>
      <c r="C1081" s="3" t="inlineStr">
        <is>
          <t>Assets</t>
        </is>
      </c>
      <c r="D1081" s="3" t="inlineStr">
        <is>
          <t>7620/600</t>
        </is>
      </c>
      <c r="E1081" s="3" t="inlineStr">
        <is>
          <t>HF CIP Eco work</t>
        </is>
      </c>
      <c r="F1081" s="3" t="n">
        <v>11000</v>
      </c>
      <c r="G1081" s="3" t="n">
        <v>71000</v>
      </c>
    </row>
    <row r="1082">
      <c r="A1082" s="3" t="inlineStr">
        <is>
          <t>Heron Fields (Pty) Ltd</t>
        </is>
      </c>
      <c r="B1082" s="4" t="n">
        <v>44681</v>
      </c>
      <c r="C1082" s="3" t="inlineStr">
        <is>
          <t>Assets</t>
        </is>
      </c>
      <c r="D1082" s="3" t="inlineStr">
        <is>
          <t>7620/630</t>
        </is>
      </c>
      <c r="E1082" s="3" t="inlineStr">
        <is>
          <t>HF CIP CoCT development contribution</t>
        </is>
      </c>
      <c r="F1082" s="3" t="n">
        <v>9600</v>
      </c>
      <c r="G1082" s="3" t="n">
        <v>749972.41</v>
      </c>
    </row>
    <row r="1083">
      <c r="A1083" s="3" t="inlineStr">
        <is>
          <t>Heron Fields (Pty) Ltd</t>
        </is>
      </c>
      <c r="B1083" s="4" t="n">
        <v>44681</v>
      </c>
      <c r="C1083" s="3" t="inlineStr">
        <is>
          <t>Assets</t>
        </is>
      </c>
      <c r="D1083" s="3" t="inlineStr">
        <is>
          <t>7620/640</t>
        </is>
      </c>
      <c r="E1083" s="3" t="inlineStr">
        <is>
          <t>HF CIP Project costs</t>
        </is>
      </c>
      <c r="F1083" s="3" t="n">
        <v>0</v>
      </c>
      <c r="G1083" s="3" t="n">
        <v>622274.51</v>
      </c>
    </row>
    <row r="1084">
      <c r="A1084" s="3" t="inlineStr">
        <is>
          <t>Cape Projects Construction (Pty) Ltd</t>
        </is>
      </c>
      <c r="B1084" s="4" t="n">
        <v>44681</v>
      </c>
      <c r="C1084" s="3" t="inlineStr">
        <is>
          <t>Assets</t>
        </is>
      </c>
      <c r="D1084" s="3" t="inlineStr">
        <is>
          <t>7800/000</t>
        </is>
      </c>
      <c r="E1084" s="3" t="inlineStr">
        <is>
          <t>Deposits paid</t>
        </is>
      </c>
      <c r="F1084" s="3" t="n">
        <v>0</v>
      </c>
      <c r="G1084" s="3" t="n">
        <v>6875.45</v>
      </c>
    </row>
    <row r="1085">
      <c r="A1085" s="3" t="inlineStr">
        <is>
          <t>Cape Projects Construction (Pty) Ltd</t>
        </is>
      </c>
      <c r="B1085" s="4" t="n">
        <v>44681</v>
      </c>
      <c r="C1085" s="3" t="inlineStr">
        <is>
          <t>Assets</t>
        </is>
      </c>
      <c r="D1085" s="3" t="inlineStr">
        <is>
          <t>8000/000</t>
        </is>
      </c>
      <c r="E1085" s="3" t="inlineStr">
        <is>
          <t>Customer Control Account</t>
        </is>
      </c>
      <c r="F1085" s="3" t="n">
        <v>1105559.85</v>
      </c>
      <c r="G1085" s="3" t="n">
        <v>5669676.76</v>
      </c>
    </row>
    <row r="1086">
      <c r="A1086" s="3" t="inlineStr">
        <is>
          <t>Cape Projects Construction (Pty) Ltd</t>
        </is>
      </c>
      <c r="B1086" s="4" t="n">
        <v>44681</v>
      </c>
      <c r="C1086" s="3" t="inlineStr">
        <is>
          <t>Assets</t>
        </is>
      </c>
      <c r="D1086" s="3" t="inlineStr">
        <is>
          <t>8200/010</t>
        </is>
      </c>
      <c r="E1086" s="3" t="inlineStr">
        <is>
          <t>Prepayments / Prepaid Expenses</t>
        </is>
      </c>
      <c r="F1086" s="3" t="n">
        <v>-6946.25</v>
      </c>
      <c r="G1086" s="3" t="n">
        <v>38515.1</v>
      </c>
    </row>
    <row r="1087">
      <c r="A1087" s="3" t="inlineStr">
        <is>
          <t>Heron Fields (Pty) Ltd</t>
        </is>
      </c>
      <c r="B1087" s="4" t="n">
        <v>44681</v>
      </c>
      <c r="C1087" s="3" t="inlineStr">
        <is>
          <t>Assets</t>
        </is>
      </c>
      <c r="D1087" s="3" t="inlineStr">
        <is>
          <t>8200/200</t>
        </is>
      </c>
      <c r="E1087" s="3" t="inlineStr">
        <is>
          <t>Sundry Debtor - Quinate</t>
        </is>
      </c>
      <c r="F1087" s="3" t="n">
        <v>0</v>
      </c>
      <c r="G1087" s="3" t="n">
        <v>300000</v>
      </c>
    </row>
    <row r="1088">
      <c r="A1088" s="3" t="inlineStr">
        <is>
          <t>Heron Fields (Pty) Ltd</t>
        </is>
      </c>
      <c r="B1088" s="4" t="n">
        <v>44681</v>
      </c>
      <c r="C1088" s="3" t="inlineStr">
        <is>
          <t>Assets</t>
        </is>
      </c>
      <c r="D1088" s="3" t="inlineStr">
        <is>
          <t>8400/000</t>
        </is>
      </c>
      <c r="E1088" s="3" t="inlineStr">
        <is>
          <t>RMB - 62882379087</t>
        </is>
      </c>
      <c r="F1088" s="3" t="n">
        <v>-712650.9</v>
      </c>
      <c r="G1088" s="3" t="n">
        <v>16069.08</v>
      </c>
    </row>
    <row r="1089">
      <c r="A1089" s="3" t="inlineStr">
        <is>
          <t>Cape Projects Construction (Pty) Ltd</t>
        </is>
      </c>
      <c r="B1089" s="4" t="n">
        <v>44681</v>
      </c>
      <c r="C1089" s="3" t="inlineStr">
        <is>
          <t>Assets</t>
        </is>
      </c>
      <c r="D1089" s="3" t="inlineStr">
        <is>
          <t>8400/000</t>
        </is>
      </c>
      <c r="E1089" s="3" t="inlineStr">
        <is>
          <t>RMB 62275138470</t>
        </is>
      </c>
      <c r="F1089" s="3" t="n">
        <v>137387.03</v>
      </c>
      <c r="G1089" s="3" t="n">
        <v>183315.45</v>
      </c>
    </row>
    <row r="1090">
      <c r="A1090" s="3" t="inlineStr">
        <is>
          <t>Cape Projects Construction (Pty) Ltd</t>
        </is>
      </c>
      <c r="B1090" s="4" t="n">
        <v>44681</v>
      </c>
      <c r="C1090" s="3" t="inlineStr">
        <is>
          <t>Assets</t>
        </is>
      </c>
      <c r="D1090" s="3" t="inlineStr">
        <is>
          <t>8420/000</t>
        </is>
      </c>
      <c r="E1090" s="3" t="inlineStr">
        <is>
          <t>Momentum Priv Acc RU502230981</t>
        </is>
      </c>
      <c r="F1090" s="3" t="n">
        <v>0</v>
      </c>
      <c r="G1090" s="3" t="n">
        <v>511.66</v>
      </c>
    </row>
    <row r="1091">
      <c r="A1091" s="3" t="inlineStr">
        <is>
          <t>Heron Fields (Pty) Ltd</t>
        </is>
      </c>
      <c r="B1091" s="4" t="n">
        <v>44681</v>
      </c>
      <c r="C1091" s="3" t="inlineStr">
        <is>
          <t>Assets</t>
        </is>
      </c>
      <c r="D1091" s="3" t="inlineStr">
        <is>
          <t>8430/000</t>
        </is>
      </c>
      <c r="E1091" s="3" t="inlineStr">
        <is>
          <t>Momentum Private Account RU502230151</t>
        </is>
      </c>
      <c r="F1091" s="3" t="n">
        <v>2.33</v>
      </c>
      <c r="G1091" s="3" t="n">
        <v>790.4</v>
      </c>
    </row>
    <row r="1092">
      <c r="A1092" s="3" t="inlineStr">
        <is>
          <t>Heron Fields (Pty) Ltd</t>
        </is>
      </c>
      <c r="B1092" s="4" t="n">
        <v>44681</v>
      </c>
      <c r="C1092" s="3" t="inlineStr">
        <is>
          <t>Assets</t>
        </is>
      </c>
      <c r="D1092" s="3" t="inlineStr">
        <is>
          <t>8440/000</t>
        </is>
      </c>
      <c r="E1092" s="3" t="inlineStr">
        <is>
          <t>Momentum Investors Account RU502229930</t>
        </is>
      </c>
      <c r="F1092" s="3" t="n">
        <v>-1255266.78</v>
      </c>
      <c r="G1092" s="3" t="n">
        <v>1767117.67</v>
      </c>
    </row>
    <row r="1093">
      <c r="A1093" s="3" t="inlineStr">
        <is>
          <t>Cape Projects Construction (Pty) Ltd</t>
        </is>
      </c>
      <c r="B1093" s="4" t="n">
        <v>44681</v>
      </c>
      <c r="C1093" s="3" t="inlineStr">
        <is>
          <t>Liabilities</t>
        </is>
      </c>
      <c r="D1093" s="3" t="inlineStr">
        <is>
          <t>860</t>
        </is>
      </c>
      <c r="E1093" s="3" t="inlineStr">
        <is>
          <t>Rounding</t>
        </is>
      </c>
      <c r="F1093" s="3" t="n">
        <v>0</v>
      </c>
      <c r="G1093" s="3" t="n">
        <v>-0.03</v>
      </c>
    </row>
    <row r="1094">
      <c r="A1094" s="3" t="inlineStr">
        <is>
          <t>Heron Fields (Pty) Ltd</t>
        </is>
      </c>
      <c r="B1094" s="4" t="n">
        <v>44681</v>
      </c>
      <c r="C1094" s="3" t="inlineStr">
        <is>
          <t>Liabilities</t>
        </is>
      </c>
      <c r="D1094" s="3" t="inlineStr">
        <is>
          <t>860</t>
        </is>
      </c>
      <c r="E1094" s="3" t="inlineStr">
        <is>
          <t>Rounding</t>
        </is>
      </c>
      <c r="F1094" s="3" t="n">
        <v>0</v>
      </c>
      <c r="G1094" s="3" t="n">
        <v>0.01</v>
      </c>
    </row>
    <row r="1095">
      <c r="A1095" s="3" t="inlineStr">
        <is>
          <t>Cape Projects Construction (Pty) Ltd</t>
        </is>
      </c>
      <c r="B1095" s="4" t="n">
        <v>44681</v>
      </c>
      <c r="C1095" s="3" t="inlineStr">
        <is>
          <t>Liabilities</t>
        </is>
      </c>
      <c r="D1095" s="3" t="inlineStr">
        <is>
          <t>9000/000</t>
        </is>
      </c>
      <c r="E1095" s="3" t="inlineStr">
        <is>
          <t>Supplier Control Account</t>
        </is>
      </c>
      <c r="F1095" s="3" t="n">
        <v>-563883.97</v>
      </c>
      <c r="G1095" s="3" t="n">
        <v>-3848418.28</v>
      </c>
    </row>
    <row r="1096">
      <c r="A1096" s="3" t="inlineStr">
        <is>
          <t>Heron Fields (Pty) Ltd</t>
        </is>
      </c>
      <c r="B1096" s="4" t="n">
        <v>44681</v>
      </c>
      <c r="C1096" s="3" t="inlineStr">
        <is>
          <t>Liabilities</t>
        </is>
      </c>
      <c r="D1096" s="3" t="inlineStr">
        <is>
          <t>9000/000</t>
        </is>
      </c>
      <c r="E1096" s="3" t="inlineStr">
        <is>
          <t>Supplier Control Account</t>
        </is>
      </c>
      <c r="F1096" s="3" t="n">
        <v>-2481281.73</v>
      </c>
      <c r="G1096" s="3" t="n">
        <v>-49419699.65</v>
      </c>
    </row>
    <row r="1097">
      <c r="A1097" s="3" t="inlineStr">
        <is>
          <t>Heron View (Pty) Ltd</t>
        </is>
      </c>
      <c r="B1097" s="4" t="n">
        <v>44681</v>
      </c>
      <c r="C1097" s="3" t="inlineStr">
        <is>
          <t>Liabilities</t>
        </is>
      </c>
      <c r="D1097" s="3" t="inlineStr">
        <is>
          <t>9000/000</t>
        </is>
      </c>
      <c r="E1097" s="3" t="inlineStr">
        <is>
          <t>Supplier Control Account</t>
        </is>
      </c>
      <c r="F1097" s="3" t="n">
        <v>0</v>
      </c>
      <c r="G1097" s="3" t="n">
        <v>4140</v>
      </c>
    </row>
    <row r="1098">
      <c r="A1098" s="3" t="inlineStr">
        <is>
          <t>Cape Projects Construction (Pty) Ltd</t>
        </is>
      </c>
      <c r="B1098" s="4" t="n">
        <v>44681</v>
      </c>
      <c r="C1098" s="3" t="inlineStr">
        <is>
          <t>Liabilities</t>
        </is>
      </c>
      <c r="D1098" s="3" t="inlineStr">
        <is>
          <t>9200/000</t>
        </is>
      </c>
      <c r="E1098" s="3" t="inlineStr">
        <is>
          <t>Sundry Suppliers</t>
        </is>
      </c>
      <c r="F1098" s="3" t="n">
        <v>0</v>
      </c>
      <c r="G1098" s="3" t="n">
        <v>1186.13</v>
      </c>
    </row>
    <row r="1099">
      <c r="A1099" s="3" t="inlineStr">
        <is>
          <t>Cape Projects Construction (Pty) Ltd</t>
        </is>
      </c>
      <c r="B1099" s="4" t="n">
        <v>44681</v>
      </c>
      <c r="C1099" s="3" t="inlineStr">
        <is>
          <t>Liabilities</t>
        </is>
      </c>
      <c r="D1099" s="3" t="inlineStr">
        <is>
          <t>9250/010</t>
        </is>
      </c>
      <c r="E1099" s="3" t="inlineStr">
        <is>
          <t>SALARY CONTROL</t>
        </is>
      </c>
      <c r="F1099" s="3" t="n">
        <v>15113.79</v>
      </c>
      <c r="G1099" s="3" t="n">
        <v>20758.54</v>
      </c>
    </row>
    <row r="1100">
      <c r="A1100" s="3" t="inlineStr">
        <is>
          <t>Cape Projects Construction (Pty) Ltd</t>
        </is>
      </c>
      <c r="B1100" s="4" t="n">
        <v>44681</v>
      </c>
      <c r="C1100" s="3" t="inlineStr">
        <is>
          <t>Liabilities</t>
        </is>
      </c>
      <c r="D1100" s="3" t="inlineStr">
        <is>
          <t>9250/020</t>
        </is>
      </c>
      <c r="E1100" s="3" t="inlineStr">
        <is>
          <t>PAYE, UIF AND SDL CONTROL</t>
        </is>
      </c>
      <c r="F1100" s="3" t="n">
        <v>-510.68</v>
      </c>
      <c r="G1100" s="3" t="n">
        <v>-51208.95</v>
      </c>
    </row>
    <row r="1101">
      <c r="A1101" s="3" t="inlineStr">
        <is>
          <t>Cape Projects Construction (Pty) Ltd</t>
        </is>
      </c>
      <c r="B1101" s="4" t="n">
        <v>44681</v>
      </c>
      <c r="C1101" s="3" t="inlineStr">
        <is>
          <t>Liabilities</t>
        </is>
      </c>
      <c r="D1101" s="3" t="inlineStr">
        <is>
          <t>9250/030</t>
        </is>
      </c>
      <c r="E1101" s="3" t="inlineStr">
        <is>
          <t>BIBC CONTROL</t>
        </is>
      </c>
      <c r="F1101" s="3" t="n">
        <v>-204.56</v>
      </c>
      <c r="G1101" s="3" t="n">
        <v>-818.24</v>
      </c>
    </row>
    <row r="1102">
      <c r="A1102" s="3" t="inlineStr">
        <is>
          <t>Cape Projects Construction (Pty) Ltd</t>
        </is>
      </c>
      <c r="B1102" s="4" t="n">
        <v>44681</v>
      </c>
      <c r="C1102" s="3" t="inlineStr">
        <is>
          <t>Liabilities</t>
        </is>
      </c>
      <c r="D1102" s="3" t="inlineStr">
        <is>
          <t>9500/000</t>
        </is>
      </c>
      <c r="E1102" s="3" t="inlineStr">
        <is>
          <t>VAT Control Account</t>
        </is>
      </c>
      <c r="F1102" s="3" t="n">
        <v>-39490.88</v>
      </c>
      <c r="G1102" s="3" t="n">
        <v>-1086877.27</v>
      </c>
    </row>
    <row r="1103">
      <c r="A1103" s="3" t="inlineStr">
        <is>
          <t>Heron Fields (Pty) Ltd</t>
        </is>
      </c>
      <c r="B1103" s="4" t="n">
        <v>44681</v>
      </c>
      <c r="C1103" s="3" t="inlineStr">
        <is>
          <t>Liabilities</t>
        </is>
      </c>
      <c r="D1103" s="3" t="inlineStr">
        <is>
          <t>9500/000</t>
        </is>
      </c>
      <c r="E1103" s="3" t="inlineStr">
        <is>
          <t>Vat / Tax Control Account</t>
        </is>
      </c>
      <c r="F1103" s="3" t="n">
        <v>414192.66</v>
      </c>
      <c r="G1103" s="3" t="n">
        <v>546921.89</v>
      </c>
    </row>
    <row r="1104">
      <c r="A1104" s="3" t="inlineStr">
        <is>
          <t>Heron View (Pty) Ltd</t>
        </is>
      </c>
      <c r="B1104" s="4" t="n">
        <v>44681</v>
      </c>
      <c r="C1104" s="3" t="inlineStr">
        <is>
          <t>Liabilities</t>
        </is>
      </c>
      <c r="D1104" s="3" t="inlineStr">
        <is>
          <t>9500/000</t>
        </is>
      </c>
      <c r="E1104" s="3" t="inlineStr">
        <is>
          <t>Vat / Tax Control Account</t>
        </is>
      </c>
      <c r="F1104" s="3" t="n">
        <v>180</v>
      </c>
      <c r="G1104" s="3" t="n">
        <v>180</v>
      </c>
    </row>
    <row r="1105">
      <c r="A1105" s="3" t="inlineStr">
        <is>
          <t>Cape Projects Construction (Pty) Ltd</t>
        </is>
      </c>
      <c r="B1105" s="4" t="n">
        <v>44681</v>
      </c>
      <c r="C1105" s="3" t="inlineStr">
        <is>
          <t>Liabilities</t>
        </is>
      </c>
      <c r="D1105" s="3" t="inlineStr">
        <is>
          <t>9990/000</t>
        </is>
      </c>
      <c r="E1105" s="3" t="inlineStr">
        <is>
          <t>Opening Balance / Suspense Account</t>
        </is>
      </c>
      <c r="F1105" s="3" t="n">
        <v>168446.25</v>
      </c>
      <c r="G1105" s="3" t="n">
        <v>168446.25</v>
      </c>
    </row>
    <row r="1106">
      <c r="A1106" s="3" t="inlineStr">
        <is>
          <t>Cape Projects Construction (Pty) Ltd</t>
        </is>
      </c>
      <c r="B1106" s="4" t="n">
        <v>44681</v>
      </c>
      <c r="C1106" s="3" t="inlineStr">
        <is>
          <t>Liabilities</t>
        </is>
      </c>
      <c r="D1106" s="3" t="inlineStr">
        <is>
          <t>B/S</t>
        </is>
      </c>
      <c r="E1106" s="3" t="inlineStr">
        <is>
          <t>Taxation Payable</t>
        </is>
      </c>
      <c r="F1106" s="3" t="n">
        <v>0</v>
      </c>
      <c r="G1106" s="3" t="n">
        <v>1869.8</v>
      </c>
    </row>
    <row r="1107">
      <c r="A1107" s="3" t="inlineStr">
        <is>
          <t>Cape Projects Construction (Pty) Ltd</t>
        </is>
      </c>
      <c r="B1107" s="4" t="n">
        <v>44681</v>
      </c>
      <c r="C1107" s="3" t="inlineStr">
        <is>
          <t>Liabilities</t>
        </is>
      </c>
      <c r="D1107" s="3" t="inlineStr">
        <is>
          <t>TEMP/ACC</t>
        </is>
      </c>
      <c r="E1107" s="3" t="inlineStr">
        <is>
          <t>Conversion Account</t>
        </is>
      </c>
      <c r="F1107" s="3" t="n">
        <v>0</v>
      </c>
      <c r="G1107" s="3" t="n">
        <v>-254.99</v>
      </c>
    </row>
    <row r="1108">
      <c r="A1108" s="3" t="inlineStr">
        <is>
          <t>Cape Projects Construction (Pty) Ltd</t>
        </is>
      </c>
      <c r="B1108" s="4" t="n">
        <v>44712</v>
      </c>
      <c r="C1108" s="3" t="inlineStr">
        <is>
          <t>Revenue</t>
        </is>
      </c>
      <c r="D1108" s="3" t="inlineStr">
        <is>
          <t>1040/100</t>
        </is>
      </c>
      <c r="E1108" s="3" t="inlineStr">
        <is>
          <t>Fees - Construction - Heron</t>
        </is>
      </c>
      <c r="F1108" s="3" t="n">
        <v>-2231250.1</v>
      </c>
      <c r="G1108" s="3" t="n">
        <v>-5715513.7</v>
      </c>
    </row>
    <row r="1109">
      <c r="A1109" s="3" t="inlineStr">
        <is>
          <t>Cape Projects Construction (Pty) Ltd</t>
        </is>
      </c>
      <c r="B1109" s="4" t="n">
        <v>44712</v>
      </c>
      <c r="C1109" s="3" t="inlineStr">
        <is>
          <t>Revenue</t>
        </is>
      </c>
      <c r="D1109" s="3" t="inlineStr">
        <is>
          <t>1050/030</t>
        </is>
      </c>
      <c r="E1109" s="3" t="inlineStr">
        <is>
          <t>Fees - Construction - Endulini</t>
        </is>
      </c>
      <c r="F1109" s="3" t="n">
        <v>-3566047.38</v>
      </c>
      <c r="G1109" s="3" t="n">
        <v>-11113111.81</v>
      </c>
    </row>
    <row r="1110">
      <c r="A1110" s="3" t="inlineStr">
        <is>
          <t>Cape Projects Construction (Pty) Ltd</t>
        </is>
      </c>
      <c r="B1110" s="4" t="n">
        <v>44712</v>
      </c>
      <c r="C1110" s="3" t="inlineStr">
        <is>
          <t>Revenue</t>
        </is>
      </c>
      <c r="D1110" s="3" t="inlineStr">
        <is>
          <t>1051/100</t>
        </is>
      </c>
      <c r="E1110" s="3" t="inlineStr">
        <is>
          <t>Fees - Construction - Heron Fields</t>
        </is>
      </c>
      <c r="F1110" s="3" t="n">
        <v>-1782369.8</v>
      </c>
      <c r="G1110" s="3" t="n">
        <v>-1782369.8</v>
      </c>
    </row>
    <row r="1111">
      <c r="A1111" s="3" t="inlineStr">
        <is>
          <t>Cape Projects Construction (Pty) Ltd</t>
        </is>
      </c>
      <c r="B1111" s="4" t="n">
        <v>44712</v>
      </c>
      <c r="C1111" s="3" t="inlineStr">
        <is>
          <t>Revenue</t>
        </is>
      </c>
      <c r="D1111" s="3" t="inlineStr">
        <is>
          <t>1060/000</t>
        </is>
      </c>
      <c r="E1111" s="3" t="inlineStr">
        <is>
          <t>Insurance recovery</t>
        </is>
      </c>
      <c r="F1111" s="3" t="n">
        <v>-2839.7</v>
      </c>
      <c r="G1111" s="3" t="n">
        <v>-2839.7</v>
      </c>
    </row>
    <row r="1112">
      <c r="A1112" s="3" t="inlineStr">
        <is>
          <t>Cape Projects Construction (Pty) Ltd</t>
        </is>
      </c>
      <c r="B1112" s="4" t="n">
        <v>44712</v>
      </c>
      <c r="C1112" s="3" t="inlineStr">
        <is>
          <t>Revenue</t>
        </is>
      </c>
      <c r="D1112" s="3" t="inlineStr">
        <is>
          <t>1070/000</t>
        </is>
      </c>
      <c r="E1112" s="3" t="inlineStr">
        <is>
          <t>Rent - CT Office</t>
        </is>
      </c>
      <c r="F1112" s="3" t="n">
        <v>-3490.94</v>
      </c>
      <c r="G1112" s="3" t="n">
        <v>-10472.82</v>
      </c>
    </row>
    <row r="1113">
      <c r="A1113" s="3" t="inlineStr">
        <is>
          <t>Cape Projects Construction (Pty) Ltd</t>
        </is>
      </c>
      <c r="B1113" s="4" t="n">
        <v>44712</v>
      </c>
      <c r="C1113" s="3" t="inlineStr">
        <is>
          <t>Revenue</t>
        </is>
      </c>
      <c r="D1113" s="3" t="inlineStr">
        <is>
          <t>1080/000</t>
        </is>
      </c>
      <c r="E1113" s="3" t="inlineStr">
        <is>
          <t>Other income</t>
        </is>
      </c>
      <c r="F1113" s="3" t="n">
        <v>0</v>
      </c>
      <c r="G1113" s="3" t="n">
        <v>-104</v>
      </c>
    </row>
    <row r="1114">
      <c r="A1114" s="3" t="inlineStr">
        <is>
          <t>Cape Projects Construction (Pty) Ltd</t>
        </is>
      </c>
      <c r="B1114" s="4" t="n">
        <v>44712</v>
      </c>
      <c r="C1114" s="3" t="inlineStr">
        <is>
          <t>Expenses</t>
        </is>
      </c>
      <c r="D1114" s="3" t="inlineStr">
        <is>
          <t>2005/200</t>
        </is>
      </c>
      <c r="E1114" s="3" t="inlineStr">
        <is>
          <t>COS - External Works</t>
        </is>
      </c>
      <c r="F1114" s="3" t="n">
        <v>0</v>
      </c>
      <c r="G1114" s="3" t="n">
        <v>957.28</v>
      </c>
    </row>
    <row r="1115">
      <c r="A1115" s="3" t="inlineStr">
        <is>
          <t>Cape Projects Construction (Pty) Ltd</t>
        </is>
      </c>
      <c r="B1115" s="4" t="n">
        <v>44712</v>
      </c>
      <c r="C1115" s="3" t="inlineStr">
        <is>
          <t>Expenses</t>
        </is>
      </c>
      <c r="D1115" s="3" t="inlineStr">
        <is>
          <t>2006/000</t>
        </is>
      </c>
      <c r="E1115" s="3" t="inlineStr">
        <is>
          <t>COS - Endulini Construction</t>
        </is>
      </c>
      <c r="F1115" s="3" t="n">
        <v>2992307.2</v>
      </c>
      <c r="G1115" s="3" t="n">
        <v>9272517.07</v>
      </c>
    </row>
    <row r="1116">
      <c r="A1116" s="3" t="inlineStr">
        <is>
          <t>Cape Projects Construction (Pty) Ltd</t>
        </is>
      </c>
      <c r="B1116" s="4" t="n">
        <v>44712</v>
      </c>
      <c r="C1116" s="3" t="inlineStr">
        <is>
          <t>Expenses</t>
        </is>
      </c>
      <c r="D1116" s="3" t="inlineStr">
        <is>
          <t>2006/100</t>
        </is>
      </c>
      <c r="E1116" s="3" t="inlineStr">
        <is>
          <t>COS - Endulini P and G</t>
        </is>
      </c>
      <c r="F1116" s="3" t="n">
        <v>176708.88</v>
      </c>
      <c r="G1116" s="3" t="n">
        <v>437792.76</v>
      </c>
    </row>
    <row r="1117">
      <c r="A1117" s="3" t="inlineStr">
        <is>
          <t>Cape Projects Construction (Pty) Ltd</t>
        </is>
      </c>
      <c r="B1117" s="4" t="n">
        <v>44712</v>
      </c>
      <c r="C1117" s="3" t="inlineStr">
        <is>
          <t>Expenses</t>
        </is>
      </c>
      <c r="D1117" s="3" t="inlineStr">
        <is>
          <t>2006/200</t>
        </is>
      </c>
      <c r="E1117" s="3" t="inlineStr">
        <is>
          <t>COS - Insurance</t>
        </is>
      </c>
      <c r="F1117" s="3" t="n">
        <v>5586.53</v>
      </c>
      <c r="G1117" s="3" t="n">
        <v>15399.87</v>
      </c>
    </row>
    <row r="1118">
      <c r="A1118" s="3" t="inlineStr">
        <is>
          <t>Cape Projects Construction (Pty) Ltd</t>
        </is>
      </c>
      <c r="B1118" s="4" t="n">
        <v>44712</v>
      </c>
      <c r="C1118" s="3" t="inlineStr">
        <is>
          <t>Expenses</t>
        </is>
      </c>
      <c r="D1118" s="3" t="inlineStr">
        <is>
          <t>2006/300</t>
        </is>
      </c>
      <c r="E1118" s="3" t="inlineStr">
        <is>
          <t>COS - Endulini - Printing &amp; Stationary</t>
        </is>
      </c>
      <c r="F1118" s="3" t="n">
        <v>269.65</v>
      </c>
      <c r="G1118" s="3" t="n">
        <v>269.65</v>
      </c>
    </row>
    <row r="1119">
      <c r="A1119" s="3" t="inlineStr">
        <is>
          <t>Cape Projects Construction (Pty) Ltd</t>
        </is>
      </c>
      <c r="B1119" s="4" t="n">
        <v>44712</v>
      </c>
      <c r="C1119" s="3" t="inlineStr">
        <is>
          <t>Expenses</t>
        </is>
      </c>
      <c r="D1119" s="3" t="inlineStr">
        <is>
          <t>2006/350</t>
        </is>
      </c>
      <c r="E1119" s="3" t="inlineStr">
        <is>
          <t>COS - Endulini - Security</t>
        </is>
      </c>
      <c r="F1119" s="3" t="n">
        <v>5500</v>
      </c>
      <c r="G1119" s="3" t="n">
        <v>11000</v>
      </c>
    </row>
    <row r="1120">
      <c r="A1120" s="3" t="inlineStr">
        <is>
          <t>Cape Projects Construction (Pty) Ltd</t>
        </is>
      </c>
      <c r="B1120" s="4" t="n">
        <v>44712</v>
      </c>
      <c r="C1120" s="3" t="inlineStr">
        <is>
          <t>Expenses</t>
        </is>
      </c>
      <c r="D1120" s="3" t="inlineStr">
        <is>
          <t>2006/400</t>
        </is>
      </c>
      <c r="E1120" s="3" t="inlineStr">
        <is>
          <t>COS - Endulini - Health &amp; Safety</t>
        </is>
      </c>
      <c r="F1120" s="3" t="n">
        <v>4000</v>
      </c>
      <c r="G1120" s="3" t="n">
        <v>12000</v>
      </c>
    </row>
    <row r="1121">
      <c r="A1121" s="3" t="inlineStr">
        <is>
          <t>Cape Projects Construction (Pty) Ltd</t>
        </is>
      </c>
      <c r="B1121" s="4" t="n">
        <v>44712</v>
      </c>
      <c r="C1121" s="3" t="inlineStr">
        <is>
          <t>Expenses</t>
        </is>
      </c>
      <c r="D1121" s="3" t="inlineStr">
        <is>
          <t>2006/700</t>
        </is>
      </c>
      <c r="E1121" s="3" t="inlineStr">
        <is>
          <t>COS - Endulini - Fuel</t>
        </is>
      </c>
      <c r="F1121" s="3" t="n">
        <v>0</v>
      </c>
      <c r="G1121" s="3" t="n">
        <v>2473.65</v>
      </c>
    </row>
    <row r="1122">
      <c r="A1122" s="3" t="inlineStr">
        <is>
          <t>Cape Projects Construction (Pty) Ltd</t>
        </is>
      </c>
      <c r="B1122" s="4" t="n">
        <v>44712</v>
      </c>
      <c r="C1122" s="3" t="inlineStr">
        <is>
          <t>Expenses</t>
        </is>
      </c>
      <c r="D1122" s="3" t="inlineStr">
        <is>
          <t>2006/800</t>
        </is>
      </c>
      <c r="E1122" s="3" t="inlineStr">
        <is>
          <t>COS - Endulini - Telephone &amp; Internet</t>
        </is>
      </c>
      <c r="F1122" s="3" t="n">
        <v>0</v>
      </c>
      <c r="G1122" s="3" t="n">
        <v>937.39</v>
      </c>
    </row>
    <row r="1123">
      <c r="A1123" s="3" t="inlineStr">
        <is>
          <t>Cape Projects Construction (Pty) Ltd</t>
        </is>
      </c>
      <c r="B1123" s="4" t="n">
        <v>44712</v>
      </c>
      <c r="C1123" s="3" t="inlineStr">
        <is>
          <t>Expenses</t>
        </is>
      </c>
      <c r="D1123" s="3" t="inlineStr">
        <is>
          <t>2007/000</t>
        </is>
      </c>
      <c r="E1123" s="3" t="inlineStr">
        <is>
          <t>COS - Repairs &amp; Maintenance - SW Southwark</t>
        </is>
      </c>
      <c r="F1123" s="3" t="n">
        <v>2418.26</v>
      </c>
      <c r="G1123" s="3" t="n">
        <v>2418.26</v>
      </c>
    </row>
    <row r="1124">
      <c r="A1124" s="3" t="inlineStr">
        <is>
          <t>Cape Projects Construction (Pty) Ltd</t>
        </is>
      </c>
      <c r="B1124" s="4" t="n">
        <v>44712</v>
      </c>
      <c r="C1124" s="3" t="inlineStr">
        <is>
          <t>Expenses</t>
        </is>
      </c>
      <c r="D1124" s="3" t="inlineStr">
        <is>
          <t>2011/300</t>
        </is>
      </c>
      <c r="E1124" s="3" t="inlineStr">
        <is>
          <t>COS - Heron Fields - Printing &amp; Stationary</t>
        </is>
      </c>
      <c r="F1124" s="3" t="n">
        <v>269.65</v>
      </c>
      <c r="G1124" s="3" t="n">
        <v>2952.7</v>
      </c>
    </row>
    <row r="1125">
      <c r="A1125" s="3" t="inlineStr">
        <is>
          <t>Cape Projects Construction (Pty) Ltd</t>
        </is>
      </c>
      <c r="B1125" s="4" t="n">
        <v>44712</v>
      </c>
      <c r="C1125" s="3" t="inlineStr">
        <is>
          <t>Expenses</t>
        </is>
      </c>
      <c r="D1125" s="3" t="inlineStr">
        <is>
          <t>2011/500</t>
        </is>
      </c>
      <c r="E1125" s="3" t="inlineStr">
        <is>
          <t>COS - Heron Fields - Construction</t>
        </is>
      </c>
      <c r="F1125" s="3" t="n">
        <v>3587901.07</v>
      </c>
      <c r="G1125" s="3" t="n">
        <v>6694476.3</v>
      </c>
    </row>
    <row r="1126">
      <c r="A1126" s="3" t="inlineStr">
        <is>
          <t>Cape Projects Construction (Pty) Ltd</t>
        </is>
      </c>
      <c r="B1126" s="4" t="n">
        <v>44712</v>
      </c>
      <c r="C1126" s="3" t="inlineStr">
        <is>
          <t>Expenses</t>
        </is>
      </c>
      <c r="D1126" s="3" t="inlineStr">
        <is>
          <t>2011/600</t>
        </is>
      </c>
      <c r="E1126" s="3" t="inlineStr">
        <is>
          <t>COS - Heron Fields - P &amp; G</t>
        </is>
      </c>
      <c r="F1126" s="3" t="n">
        <v>265346.33</v>
      </c>
      <c r="G1126" s="3" t="n">
        <v>597820.78</v>
      </c>
    </row>
    <row r="1127">
      <c r="A1127" s="3" t="inlineStr">
        <is>
          <t>Cape Projects Construction (Pty) Ltd</t>
        </is>
      </c>
      <c r="B1127" s="4" t="n">
        <v>44712</v>
      </c>
      <c r="C1127" s="3" t="inlineStr">
        <is>
          <t>Expenses</t>
        </is>
      </c>
      <c r="D1127" s="3" t="inlineStr">
        <is>
          <t>2011/700</t>
        </is>
      </c>
      <c r="E1127" s="3" t="inlineStr">
        <is>
          <t>COS - Heron Fields - Health &amp; Safety</t>
        </is>
      </c>
      <c r="F1127" s="3" t="n">
        <v>4000</v>
      </c>
      <c r="G1127" s="3" t="n">
        <v>14286.3</v>
      </c>
    </row>
    <row r="1128">
      <c r="A1128" s="3" t="inlineStr">
        <is>
          <t>Cape Projects Construction (Pty) Ltd</t>
        </is>
      </c>
      <c r="B1128" s="4" t="n">
        <v>44712</v>
      </c>
      <c r="C1128" s="3" t="inlineStr">
        <is>
          <t>Expenses</t>
        </is>
      </c>
      <c r="D1128" s="3" t="inlineStr">
        <is>
          <t>2011/900</t>
        </is>
      </c>
      <c r="E1128" s="3" t="inlineStr">
        <is>
          <t>COS - Heron - Internet</t>
        </is>
      </c>
      <c r="F1128" s="3" t="n">
        <v>0</v>
      </c>
      <c r="G1128" s="3" t="n">
        <v>1630.81</v>
      </c>
    </row>
    <row r="1129">
      <c r="A1129" s="3" t="inlineStr">
        <is>
          <t>Cape Projects Construction (Pty) Ltd</t>
        </is>
      </c>
      <c r="B1129" s="4" t="n">
        <v>44712</v>
      </c>
      <c r="C1129" s="3" t="inlineStr">
        <is>
          <t>Expenses</t>
        </is>
      </c>
      <c r="D1129" s="3" t="inlineStr">
        <is>
          <t>2011/950</t>
        </is>
      </c>
      <c r="E1129" s="3" t="inlineStr">
        <is>
          <t>COS - Heron Fields - Security</t>
        </is>
      </c>
      <c r="F1129" s="3" t="n">
        <v>0</v>
      </c>
      <c r="G1129" s="3" t="n">
        <v>4782.61</v>
      </c>
    </row>
    <row r="1130">
      <c r="A1130" s="3" t="inlineStr">
        <is>
          <t>Cape Projects Construction (Pty) Ltd</t>
        </is>
      </c>
      <c r="B1130" s="4" t="n">
        <v>44712</v>
      </c>
      <c r="C1130" s="3" t="inlineStr">
        <is>
          <t>Revenue</t>
        </is>
      </c>
      <c r="D1130" s="3" t="inlineStr">
        <is>
          <t>2750/000</t>
        </is>
      </c>
      <c r="E1130" s="3" t="inlineStr">
        <is>
          <t>Interest Received - FNB</t>
        </is>
      </c>
      <c r="F1130" s="3" t="n">
        <v>-3.49</v>
      </c>
      <c r="G1130" s="3" t="n">
        <v>-3.49</v>
      </c>
    </row>
    <row r="1131">
      <c r="A1131" s="3" t="inlineStr">
        <is>
          <t>Cape Projects Construction (Pty) Ltd</t>
        </is>
      </c>
      <c r="B1131" s="4" t="n">
        <v>44712</v>
      </c>
      <c r="C1131" s="3" t="inlineStr">
        <is>
          <t>Revenue</t>
        </is>
      </c>
      <c r="D1131" s="3" t="inlineStr">
        <is>
          <t>2751/001</t>
        </is>
      </c>
      <c r="E1131" s="3" t="inlineStr">
        <is>
          <t>Interest received - Momentum</t>
        </is>
      </c>
      <c r="F1131" s="3" t="n">
        <v>-4.12</v>
      </c>
      <c r="G1131" s="3" t="n">
        <v>-6.14</v>
      </c>
    </row>
    <row r="1132">
      <c r="A1132" s="3" t="inlineStr">
        <is>
          <t>Heron Fields (Pty) Ltd</t>
        </is>
      </c>
      <c r="B1132" s="4" t="n">
        <v>44712</v>
      </c>
      <c r="C1132" s="3" t="inlineStr">
        <is>
          <t>Revenue</t>
        </is>
      </c>
      <c r="D1132" s="3" t="inlineStr">
        <is>
          <t>2755/001</t>
        </is>
      </c>
      <c r="E1132" s="3" t="inlineStr">
        <is>
          <t>Interest Received - Momentum</t>
        </is>
      </c>
      <c r="F1132" s="3" t="n">
        <v>-19914.54</v>
      </c>
      <c r="G1132" s="3" t="n">
        <v>-61180.77</v>
      </c>
    </row>
    <row r="1133">
      <c r="A1133" s="3" t="inlineStr">
        <is>
          <t>Cape Projects Construction (Pty) Ltd</t>
        </is>
      </c>
      <c r="B1133" s="4" t="n">
        <v>44712</v>
      </c>
      <c r="C1133" s="3" t="inlineStr">
        <is>
          <t>Expenses</t>
        </is>
      </c>
      <c r="D1133" s="3" t="inlineStr">
        <is>
          <t>3002/000</t>
        </is>
      </c>
      <c r="E1133" s="3" t="inlineStr">
        <is>
          <t>Accounting Fees - Audit</t>
        </is>
      </c>
      <c r="F1133" s="3" t="n">
        <v>0</v>
      </c>
      <c r="G1133" s="3" t="n">
        <v>10600</v>
      </c>
    </row>
    <row r="1134">
      <c r="A1134" s="3" t="inlineStr">
        <is>
          <t>Cape Projects Construction (Pty) Ltd</t>
        </is>
      </c>
      <c r="B1134" s="4" t="n">
        <v>44712</v>
      </c>
      <c r="C1134" s="3" t="inlineStr">
        <is>
          <t>Expenses</t>
        </is>
      </c>
      <c r="D1134" s="3" t="inlineStr">
        <is>
          <t>3020/100</t>
        </is>
      </c>
      <c r="E1134" s="3" t="inlineStr">
        <is>
          <t>Admin - Subcontractors</t>
        </is>
      </c>
      <c r="F1134" s="3" t="n">
        <v>13500</v>
      </c>
      <c r="G1134" s="3" t="n">
        <v>14139.13</v>
      </c>
    </row>
    <row r="1135">
      <c r="A1135" s="3" t="inlineStr">
        <is>
          <t>Cape Projects Construction (Pty) Ltd</t>
        </is>
      </c>
      <c r="B1135" s="4" t="n">
        <v>44712</v>
      </c>
      <c r="C1135" s="3" t="inlineStr">
        <is>
          <t>Expenses</t>
        </is>
      </c>
      <c r="D1135" s="3" t="inlineStr">
        <is>
          <t>3050/000</t>
        </is>
      </c>
      <c r="E1135" s="3" t="inlineStr">
        <is>
          <t>Advertising _AND_ Promotions</t>
        </is>
      </c>
      <c r="F1135" s="3" t="n">
        <v>0</v>
      </c>
      <c r="G1135" s="3" t="n">
        <v>687.5</v>
      </c>
    </row>
    <row r="1136">
      <c r="A1136" s="3" t="inlineStr">
        <is>
          <t>Heron Fields (Pty) Ltd</t>
        </is>
      </c>
      <c r="B1136" s="4" t="n">
        <v>44712</v>
      </c>
      <c r="C1136" s="3" t="inlineStr">
        <is>
          <t>Expenses</t>
        </is>
      </c>
      <c r="D1136" s="3" t="inlineStr">
        <is>
          <t>3050/000</t>
        </is>
      </c>
      <c r="E1136" s="3" t="inlineStr">
        <is>
          <t>Advertising _AND_ Promotions</t>
        </is>
      </c>
      <c r="F1136" s="3" t="n">
        <v>7620</v>
      </c>
      <c r="G1136" s="3" t="n">
        <v>63407.86</v>
      </c>
    </row>
    <row r="1137">
      <c r="A1137" s="3" t="inlineStr">
        <is>
          <t>Heron Fields (Pty) Ltd</t>
        </is>
      </c>
      <c r="B1137" s="4" t="n">
        <v>44712</v>
      </c>
      <c r="C1137" s="3" t="inlineStr">
        <is>
          <t>Expenses</t>
        </is>
      </c>
      <c r="D1137" s="3" t="inlineStr">
        <is>
          <t>3050/100</t>
        </is>
      </c>
      <c r="E1137" s="3" t="inlineStr">
        <is>
          <t>Advertising - Property24</t>
        </is>
      </c>
      <c r="F1137" s="3" t="n">
        <v>11556</v>
      </c>
      <c r="G1137" s="3" t="n">
        <v>34668</v>
      </c>
    </row>
    <row r="1138">
      <c r="A1138" s="3" t="inlineStr">
        <is>
          <t>Cape Projects Construction (Pty) Ltd</t>
        </is>
      </c>
      <c r="B1138" s="4" t="n">
        <v>44712</v>
      </c>
      <c r="C1138" s="3" t="inlineStr">
        <is>
          <t>Expenses</t>
        </is>
      </c>
      <c r="D1138" s="3" t="inlineStr">
        <is>
          <t>3050/450</t>
        </is>
      </c>
      <c r="E1138" s="3" t="inlineStr">
        <is>
          <t>Advertising - Other</t>
        </is>
      </c>
      <c r="F1138" s="3" t="n">
        <v>137.5</v>
      </c>
      <c r="G1138" s="3" t="n">
        <v>137.5</v>
      </c>
    </row>
    <row r="1139">
      <c r="A1139" s="3" t="inlineStr">
        <is>
          <t>Cape Projects Construction (Pty) Ltd</t>
        </is>
      </c>
      <c r="B1139" s="4" t="n">
        <v>44712</v>
      </c>
      <c r="C1139" s="3" t="inlineStr">
        <is>
          <t>Expenses</t>
        </is>
      </c>
      <c r="D1139" s="3" t="inlineStr">
        <is>
          <t>3200/000</t>
        </is>
      </c>
      <c r="E1139" s="3" t="inlineStr">
        <is>
          <t>Bank Charges</t>
        </is>
      </c>
      <c r="F1139" s="3" t="n">
        <v>3257.75</v>
      </c>
      <c r="G1139" s="3" t="n">
        <v>8771.77</v>
      </c>
    </row>
    <row r="1140">
      <c r="A1140" s="3" t="inlineStr">
        <is>
          <t>Heron Fields (Pty) Ltd</t>
        </is>
      </c>
      <c r="B1140" s="4" t="n">
        <v>44712</v>
      </c>
      <c r="C1140" s="3" t="inlineStr">
        <is>
          <t>Expenses</t>
        </is>
      </c>
      <c r="D1140" s="3" t="inlineStr">
        <is>
          <t>3200/000</t>
        </is>
      </c>
      <c r="E1140" s="3" t="inlineStr">
        <is>
          <t>Bank Charges</t>
        </is>
      </c>
      <c r="F1140" s="3" t="n">
        <v>698.54</v>
      </c>
      <c r="G1140" s="3" t="n">
        <v>2066.4</v>
      </c>
    </row>
    <row r="1141">
      <c r="A1141" s="3" t="inlineStr">
        <is>
          <t>Cape Projects Construction (Pty) Ltd</t>
        </is>
      </c>
      <c r="B1141" s="4" t="n">
        <v>44712</v>
      </c>
      <c r="C1141" s="3" t="inlineStr">
        <is>
          <t>Expenses</t>
        </is>
      </c>
      <c r="D1141" s="3" t="inlineStr">
        <is>
          <t>3250/000</t>
        </is>
      </c>
      <c r="E1141" s="3" t="inlineStr">
        <is>
          <t>Cleaning</t>
        </is>
      </c>
      <c r="F1141" s="3" t="n">
        <v>0</v>
      </c>
      <c r="G1141" s="3" t="n">
        <v>1986.89</v>
      </c>
    </row>
    <row r="1142">
      <c r="A1142" s="3" t="inlineStr">
        <is>
          <t>Cape Projects Construction (Pty) Ltd</t>
        </is>
      </c>
      <c r="B1142" s="4" t="n">
        <v>44712</v>
      </c>
      <c r="C1142" s="3" t="inlineStr">
        <is>
          <t>Expenses</t>
        </is>
      </c>
      <c r="D1142" s="3" t="inlineStr">
        <is>
          <t>3256/000</t>
        </is>
      </c>
      <c r="E1142" s="3" t="inlineStr">
        <is>
          <t>Cell Phone - Nick Morgan</t>
        </is>
      </c>
      <c r="F1142" s="3" t="n">
        <v>656.62</v>
      </c>
      <c r="G1142" s="3" t="n">
        <v>1941.15</v>
      </c>
    </row>
    <row r="1143">
      <c r="A1143" s="3" t="inlineStr">
        <is>
          <t>Cape Projects Construction (Pty) Ltd</t>
        </is>
      </c>
      <c r="B1143" s="4" t="n">
        <v>44712</v>
      </c>
      <c r="C1143" s="3" t="inlineStr">
        <is>
          <t>Expenses</t>
        </is>
      </c>
      <c r="D1143" s="3" t="inlineStr">
        <is>
          <t>3300/000</t>
        </is>
      </c>
      <c r="E1143" s="3" t="inlineStr">
        <is>
          <t>Computer Expenses</t>
        </is>
      </c>
      <c r="F1143" s="3" t="n">
        <v>0</v>
      </c>
      <c r="G1143" s="3" t="n">
        <v>566.09</v>
      </c>
    </row>
    <row r="1144">
      <c r="A1144" s="3" t="inlineStr">
        <is>
          <t>Cape Projects Construction (Pty) Ltd</t>
        </is>
      </c>
      <c r="B1144" s="4" t="n">
        <v>44712</v>
      </c>
      <c r="C1144" s="3" t="inlineStr">
        <is>
          <t>Expenses</t>
        </is>
      </c>
      <c r="D1144" s="3" t="inlineStr">
        <is>
          <t>3300/100</t>
        </is>
      </c>
      <c r="E1144" s="3" t="inlineStr">
        <is>
          <t>Computer Exp - IT, Internet/Hosting Fee</t>
        </is>
      </c>
      <c r="F1144" s="3" t="n">
        <v>10823</v>
      </c>
      <c r="G1144" s="3" t="n">
        <v>13953</v>
      </c>
    </row>
    <row r="1145">
      <c r="A1145" s="3" t="inlineStr">
        <is>
          <t>Heron Fields (Pty) Ltd</t>
        </is>
      </c>
      <c r="B1145" s="4" t="n">
        <v>44712</v>
      </c>
      <c r="C1145" s="3" t="inlineStr">
        <is>
          <t>Expenses</t>
        </is>
      </c>
      <c r="D1145" s="3" t="inlineStr">
        <is>
          <t>3350/100</t>
        </is>
      </c>
      <c r="E1145" s="3" t="inlineStr">
        <is>
          <t>Consulting Fees - Admin and Finance</t>
        </is>
      </c>
      <c r="F1145" s="3" t="n">
        <v>86424.99000000001</v>
      </c>
      <c r="G1145" s="3" t="n">
        <v>232840.68</v>
      </c>
    </row>
    <row r="1146">
      <c r="A1146" s="3" t="inlineStr">
        <is>
          <t>Cape Projects Construction (Pty) Ltd</t>
        </is>
      </c>
      <c r="B1146" s="4" t="n">
        <v>44712</v>
      </c>
      <c r="C1146" s="3" t="inlineStr">
        <is>
          <t>Expenses</t>
        </is>
      </c>
      <c r="D1146" s="3" t="inlineStr">
        <is>
          <t>3350/100</t>
        </is>
      </c>
      <c r="E1146" s="3" t="inlineStr">
        <is>
          <t>Consulting fees - Herbert du Plessis</t>
        </is>
      </c>
      <c r="F1146" s="3" t="n">
        <v>36000</v>
      </c>
      <c r="G1146" s="3" t="n">
        <v>108000</v>
      </c>
    </row>
    <row r="1147">
      <c r="A1147" s="3" t="inlineStr">
        <is>
          <t>Cape Projects Construction (Pty) Ltd</t>
        </is>
      </c>
      <c r="B1147" s="4" t="n">
        <v>44712</v>
      </c>
      <c r="C1147" s="3" t="inlineStr">
        <is>
          <t>Expenses</t>
        </is>
      </c>
      <c r="D1147" s="3" t="inlineStr">
        <is>
          <t>3350/300</t>
        </is>
      </c>
      <c r="E1147" s="3" t="inlineStr">
        <is>
          <t>Consulting Fees - Admin and Finance</t>
        </is>
      </c>
      <c r="F1147" s="3" t="n">
        <v>132650</v>
      </c>
      <c r="G1147" s="3" t="n">
        <v>347071.87</v>
      </c>
    </row>
    <row r="1148">
      <c r="A1148" s="3" t="inlineStr">
        <is>
          <t>Heron Fields (Pty) Ltd</t>
        </is>
      </c>
      <c r="B1148" s="4" t="n">
        <v>44712</v>
      </c>
      <c r="C1148" s="3" t="inlineStr">
        <is>
          <t>Expenses</t>
        </is>
      </c>
      <c r="D1148" s="3" t="inlineStr">
        <is>
          <t>3351/000</t>
        </is>
      </c>
      <c r="E1148" s="3" t="inlineStr">
        <is>
          <t>Consulting fees - Trustee</t>
        </is>
      </c>
      <c r="F1148" s="3" t="n">
        <v>24000</v>
      </c>
      <c r="G1148" s="3" t="n">
        <v>28000</v>
      </c>
    </row>
    <row r="1149">
      <c r="A1149" s="3" t="inlineStr">
        <is>
          <t>Cape Projects Construction (Pty) Ltd</t>
        </is>
      </c>
      <c r="B1149" s="4" t="n">
        <v>44712</v>
      </c>
      <c r="C1149" s="3" t="inlineStr">
        <is>
          <t>Expenses</t>
        </is>
      </c>
      <c r="D1149" s="3" t="inlineStr">
        <is>
          <t>3450/001</t>
        </is>
      </c>
      <c r="E1149" s="3" t="inlineStr">
        <is>
          <t>Depreciation - Computer Equipment</t>
        </is>
      </c>
      <c r="F1149" s="3" t="n">
        <v>1926.81</v>
      </c>
      <c r="G1149" s="3" t="n">
        <v>4801.2</v>
      </c>
    </row>
    <row r="1150">
      <c r="A1150" s="3" t="inlineStr">
        <is>
          <t>Cape Projects Construction (Pty) Ltd</t>
        </is>
      </c>
      <c r="B1150" s="4" t="n">
        <v>44712</v>
      </c>
      <c r="C1150" s="3" t="inlineStr">
        <is>
          <t>Expenses</t>
        </is>
      </c>
      <c r="D1150" s="3" t="inlineStr">
        <is>
          <t>3450/002</t>
        </is>
      </c>
      <c r="E1150" s="3" t="inlineStr">
        <is>
          <t>Depreciation - Generator Fixed Asset</t>
        </is>
      </c>
      <c r="F1150" s="3" t="n">
        <v>193.33</v>
      </c>
      <c r="G1150" s="3" t="n">
        <v>580</v>
      </c>
    </row>
    <row r="1151">
      <c r="A1151" s="3" t="inlineStr">
        <is>
          <t>Cape Projects Construction (Pty) Ltd</t>
        </is>
      </c>
      <c r="B1151" s="4" t="n">
        <v>44712</v>
      </c>
      <c r="C1151" s="3" t="inlineStr">
        <is>
          <t>Expenses</t>
        </is>
      </c>
      <c r="D1151" s="3" t="inlineStr">
        <is>
          <t>3450/030</t>
        </is>
      </c>
      <c r="E1151" s="3" t="inlineStr">
        <is>
          <t>Depreciation - Furniture and Fittings</t>
        </is>
      </c>
      <c r="F1151" s="3" t="n">
        <v>427.21</v>
      </c>
      <c r="G1151" s="3" t="n">
        <v>1281.62</v>
      </c>
    </row>
    <row r="1152">
      <c r="A1152" s="3" t="inlineStr">
        <is>
          <t>Heron Fields (Pty) Ltd</t>
        </is>
      </c>
      <c r="B1152" s="4" t="n">
        <v>44712</v>
      </c>
      <c r="C1152" s="3" t="inlineStr">
        <is>
          <t>Expenses</t>
        </is>
      </c>
      <c r="D1152" s="3" t="inlineStr">
        <is>
          <t>3650/000</t>
        </is>
      </c>
      <c r="E1152" s="3" t="inlineStr">
        <is>
          <t>CoCT - Electricity</t>
        </is>
      </c>
      <c r="F1152" s="3" t="n">
        <v>4886.73</v>
      </c>
      <c r="G1152" s="3" t="n">
        <v>7102.63</v>
      </c>
    </row>
    <row r="1153">
      <c r="A1153" s="3" t="inlineStr">
        <is>
          <t>Cape Projects Construction (Pty) Ltd</t>
        </is>
      </c>
      <c r="B1153" s="4" t="n">
        <v>44712</v>
      </c>
      <c r="C1153" s="3" t="inlineStr">
        <is>
          <t>Expenses</t>
        </is>
      </c>
      <c r="D1153" s="3" t="inlineStr">
        <is>
          <t>3650/000</t>
        </is>
      </c>
      <c r="E1153" s="3" t="inlineStr">
        <is>
          <t>Electricity _AND_ Water</t>
        </is>
      </c>
      <c r="F1153" s="3" t="n">
        <v>4899.68</v>
      </c>
      <c r="G1153" s="3" t="n">
        <v>12522.08</v>
      </c>
    </row>
    <row r="1154">
      <c r="A1154" s="3" t="inlineStr">
        <is>
          <t>Heron Fields (Pty) Ltd</t>
        </is>
      </c>
      <c r="B1154" s="4" t="n">
        <v>44712</v>
      </c>
      <c r="C1154" s="3" t="inlineStr">
        <is>
          <t>Expenses</t>
        </is>
      </c>
      <c r="D1154" s="3" t="inlineStr">
        <is>
          <t>3660/000</t>
        </is>
      </c>
      <c r="E1154" s="3" t="inlineStr">
        <is>
          <t>CoCT - Water</t>
        </is>
      </c>
      <c r="F1154" s="3" t="n">
        <v>9207.4</v>
      </c>
      <c r="G1154" s="3" t="n">
        <v>19787.8</v>
      </c>
    </row>
    <row r="1155">
      <c r="A1155" s="3" t="inlineStr">
        <is>
          <t>Cape Projects Construction (Pty) Ltd</t>
        </is>
      </c>
      <c r="B1155" s="4" t="n">
        <v>44712</v>
      </c>
      <c r="C1155" s="3" t="inlineStr">
        <is>
          <t>Expenses</t>
        </is>
      </c>
      <c r="D1155" s="3" t="inlineStr">
        <is>
          <t>3700/000</t>
        </is>
      </c>
      <c r="E1155" s="3" t="inlineStr">
        <is>
          <t>Entertainment Expenses</t>
        </is>
      </c>
      <c r="F1155" s="3" t="n">
        <v>0</v>
      </c>
      <c r="G1155" s="3" t="n">
        <v>1801.52</v>
      </c>
    </row>
    <row r="1156">
      <c r="A1156" s="3" t="inlineStr">
        <is>
          <t>Cape Projects Construction (Pty) Ltd</t>
        </is>
      </c>
      <c r="B1156" s="4" t="n">
        <v>44712</v>
      </c>
      <c r="C1156" s="3" t="inlineStr">
        <is>
          <t>Expenses</t>
        </is>
      </c>
      <c r="D1156" s="3" t="inlineStr">
        <is>
          <t>3850/001</t>
        </is>
      </c>
      <c r="E1156" s="3" t="inlineStr">
        <is>
          <t>Insurance - Santam</t>
        </is>
      </c>
      <c r="F1156" s="3" t="n">
        <v>0</v>
      </c>
      <c r="G1156" s="3" t="n">
        <v>3513.01</v>
      </c>
    </row>
    <row r="1157">
      <c r="A1157" s="3" t="inlineStr">
        <is>
          <t>Cape Projects Construction (Pty) Ltd</t>
        </is>
      </c>
      <c r="B1157" s="4" t="n">
        <v>44712</v>
      </c>
      <c r="C1157" s="3" t="inlineStr">
        <is>
          <t>Expenses</t>
        </is>
      </c>
      <c r="D1157" s="3" t="inlineStr">
        <is>
          <t>3850/002</t>
        </is>
      </c>
      <c r="E1157" s="3" t="inlineStr">
        <is>
          <t>Insurance - RBS</t>
        </is>
      </c>
      <c r="F1157" s="3" t="n">
        <v>237.57</v>
      </c>
      <c r="G1157" s="3" t="n">
        <v>712.71</v>
      </c>
    </row>
    <row r="1158">
      <c r="A1158" s="3" t="inlineStr">
        <is>
          <t>Heron Fields (Pty) Ltd</t>
        </is>
      </c>
      <c r="B1158" s="4" t="n">
        <v>44712</v>
      </c>
      <c r="C1158" s="3" t="inlineStr">
        <is>
          <t>Expenses</t>
        </is>
      </c>
      <c r="D1158" s="3" t="inlineStr">
        <is>
          <t>3900/000</t>
        </is>
      </c>
      <c r="E1158" s="3" t="inlineStr">
        <is>
          <t>Interest Paid</t>
        </is>
      </c>
      <c r="F1158" s="3" t="n">
        <v>0</v>
      </c>
      <c r="G1158" s="3" t="n">
        <v>54.64</v>
      </c>
    </row>
    <row r="1159">
      <c r="A1159" s="3" t="inlineStr">
        <is>
          <t>Heron Fields (Pty) Ltd</t>
        </is>
      </c>
      <c r="B1159" s="4" t="n">
        <v>44712</v>
      </c>
      <c r="C1159" s="3" t="inlineStr">
        <is>
          <t>Expenses</t>
        </is>
      </c>
      <c r="D1159" s="3" t="inlineStr">
        <is>
          <t>4100/001</t>
        </is>
      </c>
      <c r="E1159" s="3" t="inlineStr">
        <is>
          <t>Momentum Admin Fee</t>
        </is>
      </c>
      <c r="F1159" s="3" t="n">
        <v>49434.6</v>
      </c>
      <c r="G1159" s="3" t="n">
        <v>70449.78999999999</v>
      </c>
    </row>
    <row r="1160">
      <c r="A1160" s="3" t="inlineStr">
        <is>
          <t>Cape Projects Construction (Pty) Ltd</t>
        </is>
      </c>
      <c r="B1160" s="4" t="n">
        <v>44712</v>
      </c>
      <c r="C1160" s="3" t="inlineStr">
        <is>
          <t>Expenses</t>
        </is>
      </c>
      <c r="D1160" s="3" t="inlineStr">
        <is>
          <t>4150/030</t>
        </is>
      </c>
      <c r="E1160" s="3" t="inlineStr">
        <is>
          <t>Motor Vehicle - Insurance _AND_ Licence</t>
        </is>
      </c>
      <c r="F1160" s="3" t="n">
        <v>0</v>
      </c>
      <c r="G1160" s="3" t="n">
        <v>1200</v>
      </c>
    </row>
    <row r="1161">
      <c r="A1161" s="3" t="inlineStr">
        <is>
          <t>Cape Projects Construction (Pty) Ltd</t>
        </is>
      </c>
      <c r="B1161" s="4" t="n">
        <v>44712</v>
      </c>
      <c r="C1161" s="3" t="inlineStr">
        <is>
          <t>Expenses</t>
        </is>
      </c>
      <c r="D1161" s="3" t="inlineStr">
        <is>
          <t>4200/000</t>
        </is>
      </c>
      <c r="E1161" s="3" t="inlineStr">
        <is>
          <t>Printing _AND_ Stationery</t>
        </is>
      </c>
      <c r="F1161" s="3" t="n">
        <v>1164.19</v>
      </c>
      <c r="G1161" s="3" t="n">
        <v>4662.16</v>
      </c>
    </row>
    <row r="1162">
      <c r="A1162" s="3" t="inlineStr">
        <is>
          <t>Cape Projects Construction (Pty) Ltd</t>
        </is>
      </c>
      <c r="B1162" s="4" t="n">
        <v>44712</v>
      </c>
      <c r="C1162" s="3" t="inlineStr">
        <is>
          <t>Expenses</t>
        </is>
      </c>
      <c r="D1162" s="3" t="inlineStr">
        <is>
          <t>4201/000</t>
        </is>
      </c>
      <c r="E1162" s="3" t="inlineStr">
        <is>
          <t>Printing - Printer rental</t>
        </is>
      </c>
      <c r="F1162" s="3" t="n">
        <v>616.23</v>
      </c>
      <c r="G1162" s="3" t="n">
        <v>1842.43</v>
      </c>
    </row>
    <row r="1163">
      <c r="A1163" s="3" t="inlineStr">
        <is>
          <t>Cape Projects Construction (Pty) Ltd</t>
        </is>
      </c>
      <c r="B1163" s="4" t="n">
        <v>44712</v>
      </c>
      <c r="C1163" s="3" t="inlineStr">
        <is>
          <t>Expenses</t>
        </is>
      </c>
      <c r="D1163" s="3" t="inlineStr">
        <is>
          <t>4300/000</t>
        </is>
      </c>
      <c r="E1163" s="3" t="inlineStr">
        <is>
          <t>Rent Paid</t>
        </is>
      </c>
      <c r="F1163" s="3" t="n">
        <v>28087.5</v>
      </c>
      <c r="G1163" s="3" t="n">
        <v>84262.5</v>
      </c>
    </row>
    <row r="1164">
      <c r="A1164" s="3" t="inlineStr">
        <is>
          <t>Cape Projects Construction (Pty) Ltd</t>
        </is>
      </c>
      <c r="B1164" s="4" t="n">
        <v>44712</v>
      </c>
      <c r="C1164" s="3" t="inlineStr">
        <is>
          <t>Expenses</t>
        </is>
      </c>
      <c r="D1164" s="3" t="inlineStr">
        <is>
          <t>4310/000</t>
        </is>
      </c>
      <c r="E1164" s="3" t="inlineStr">
        <is>
          <t>Rates</t>
        </is>
      </c>
      <c r="F1164" s="3" t="n">
        <v>843.6</v>
      </c>
      <c r="G1164" s="3" t="n">
        <v>2530.8</v>
      </c>
    </row>
    <row r="1165">
      <c r="A1165" s="3" t="inlineStr">
        <is>
          <t>Heron Fields (Pty) Ltd</t>
        </is>
      </c>
      <c r="B1165" s="4" t="n">
        <v>44712</v>
      </c>
      <c r="C1165" s="3" t="inlineStr">
        <is>
          <t>Expenses</t>
        </is>
      </c>
      <c r="D1165" s="3" t="inlineStr">
        <is>
          <t>4310/000</t>
        </is>
      </c>
      <c r="E1165" s="3" t="inlineStr">
        <is>
          <t>Rates - Heron</t>
        </is>
      </c>
      <c r="F1165" s="3" t="n">
        <v>6340.26</v>
      </c>
      <c r="G1165" s="3" t="n">
        <v>9510.389999999999</v>
      </c>
    </row>
    <row r="1166">
      <c r="A1166" s="3" t="inlineStr">
        <is>
          <t>Cape Projects Construction (Pty) Ltd</t>
        </is>
      </c>
      <c r="B1166" s="4" t="n">
        <v>44712</v>
      </c>
      <c r="C1166" s="3" t="inlineStr">
        <is>
          <t>Expenses</t>
        </is>
      </c>
      <c r="D1166" s="3" t="inlineStr">
        <is>
          <t>4350/000</t>
        </is>
      </c>
      <c r="E1166" s="3" t="inlineStr">
        <is>
          <t>Repairs _AND_ Maintenance</t>
        </is>
      </c>
      <c r="F1166" s="3" t="n">
        <v>0</v>
      </c>
      <c r="G1166" s="3" t="n">
        <v>450</v>
      </c>
    </row>
    <row r="1167">
      <c r="A1167" s="3" t="inlineStr">
        <is>
          <t>Cape Projects Construction (Pty) Ltd</t>
        </is>
      </c>
      <c r="B1167" s="4" t="n">
        <v>44712</v>
      </c>
      <c r="C1167" s="3" t="inlineStr">
        <is>
          <t>Expenses</t>
        </is>
      </c>
      <c r="D1167" s="3" t="inlineStr">
        <is>
          <t>4400/000</t>
        </is>
      </c>
      <c r="E1167" s="3" t="inlineStr">
        <is>
          <t>Salaries _AND_ Wages</t>
        </is>
      </c>
      <c r="F1167" s="3" t="n">
        <v>231061.89</v>
      </c>
      <c r="G1167" s="3" t="n">
        <v>688756.9399999999</v>
      </c>
    </row>
    <row r="1168">
      <c r="A1168" s="3" t="inlineStr">
        <is>
          <t>Cape Projects Construction (Pty) Ltd</t>
        </is>
      </c>
      <c r="B1168" s="4" t="n">
        <v>44712</v>
      </c>
      <c r="C1168" s="3" t="inlineStr">
        <is>
          <t>Expenses</t>
        </is>
      </c>
      <c r="D1168" s="3" t="inlineStr">
        <is>
          <t>4403/000</t>
        </is>
      </c>
      <c r="E1168" s="3" t="inlineStr">
        <is>
          <t>Security</t>
        </is>
      </c>
      <c r="F1168" s="3" t="n">
        <v>328.7</v>
      </c>
      <c r="G1168" s="3" t="n">
        <v>328.7</v>
      </c>
    </row>
    <row r="1169">
      <c r="A1169" s="3" t="inlineStr">
        <is>
          <t>Cape Projects Construction (Pty) Ltd</t>
        </is>
      </c>
      <c r="B1169" s="4" t="n">
        <v>44712</v>
      </c>
      <c r="C1169" s="3" t="inlineStr">
        <is>
          <t>Expenses</t>
        </is>
      </c>
      <c r="D1169" s="3" t="inlineStr">
        <is>
          <t>4420/000</t>
        </is>
      </c>
      <c r="E1169" s="3" t="inlineStr">
        <is>
          <t>Small Assets</t>
        </is>
      </c>
      <c r="F1169" s="3" t="n">
        <v>898</v>
      </c>
      <c r="G1169" s="3" t="n">
        <v>898</v>
      </c>
    </row>
    <row r="1170">
      <c r="A1170" s="3" t="inlineStr">
        <is>
          <t>Heron Fields (Pty) Ltd</t>
        </is>
      </c>
      <c r="B1170" s="4" t="n">
        <v>44712</v>
      </c>
      <c r="C1170" s="3" t="inlineStr">
        <is>
          <t>Expenses</t>
        </is>
      </c>
      <c r="D1170" s="3" t="inlineStr">
        <is>
          <t>4420/001</t>
        </is>
      </c>
      <c r="E1170" s="3" t="inlineStr">
        <is>
          <t>Security - ADT</t>
        </is>
      </c>
      <c r="F1170" s="3" t="n">
        <v>302.65</v>
      </c>
      <c r="G1170" s="3" t="n">
        <v>890.5599999999999</v>
      </c>
    </row>
    <row r="1171">
      <c r="A1171" s="3" t="inlineStr">
        <is>
          <t>Cape Projects Construction (Pty) Ltd</t>
        </is>
      </c>
      <c r="B1171" s="4" t="n">
        <v>44712</v>
      </c>
      <c r="C1171" s="3" t="inlineStr">
        <is>
          <t>Expenses</t>
        </is>
      </c>
      <c r="D1171" s="3" t="inlineStr">
        <is>
          <t>4450/000</t>
        </is>
      </c>
      <c r="E1171" s="3" t="inlineStr">
        <is>
          <t>Staff Training</t>
        </is>
      </c>
      <c r="F1171" s="3" t="n">
        <v>0</v>
      </c>
      <c r="G1171" s="3" t="n">
        <v>6800</v>
      </c>
    </row>
    <row r="1172">
      <c r="A1172" s="3" t="inlineStr">
        <is>
          <t>Cape Projects Construction (Pty) Ltd</t>
        </is>
      </c>
      <c r="B1172" s="4" t="n">
        <v>44712</v>
      </c>
      <c r="C1172" s="3" t="inlineStr">
        <is>
          <t>Expenses</t>
        </is>
      </c>
      <c r="D1172" s="3" t="inlineStr">
        <is>
          <t>4500/000</t>
        </is>
      </c>
      <c r="E1172" s="3" t="inlineStr">
        <is>
          <t>Staff Welfare _AND_ Refreshmts</t>
        </is>
      </c>
      <c r="F1172" s="3" t="n">
        <v>922.85</v>
      </c>
      <c r="G1172" s="3" t="n">
        <v>2674.5</v>
      </c>
    </row>
    <row r="1173">
      <c r="A1173" s="3" t="inlineStr">
        <is>
          <t>Cape Projects Construction (Pty) Ltd</t>
        </is>
      </c>
      <c r="B1173" s="4" t="n">
        <v>44712</v>
      </c>
      <c r="C1173" s="3" t="inlineStr">
        <is>
          <t>Expenses</t>
        </is>
      </c>
      <c r="D1173" s="3" t="inlineStr">
        <is>
          <t>4550/001</t>
        </is>
      </c>
      <c r="E1173" s="3" t="inlineStr">
        <is>
          <t>Subscriptions &amp; Licenses - Sage payroll</t>
        </is>
      </c>
      <c r="F1173" s="3" t="n">
        <v>491</v>
      </c>
      <c r="G1173" s="3" t="n">
        <v>1473</v>
      </c>
    </row>
    <row r="1174">
      <c r="A1174" s="3" t="inlineStr">
        <is>
          <t>Cape Projects Construction (Pty) Ltd</t>
        </is>
      </c>
      <c r="B1174" s="4" t="n">
        <v>44712</v>
      </c>
      <c r="C1174" s="3" t="inlineStr">
        <is>
          <t>Expenses</t>
        </is>
      </c>
      <c r="D1174" s="3" t="inlineStr">
        <is>
          <t>4550/003</t>
        </is>
      </c>
      <c r="E1174" s="3" t="inlineStr">
        <is>
          <t>Subscriptions &amp; Licenses - Xero</t>
        </is>
      </c>
      <c r="F1174" s="3" t="n">
        <v>600</v>
      </c>
      <c r="G1174" s="3" t="n">
        <v>1800</v>
      </c>
    </row>
    <row r="1175">
      <c r="A1175" s="3" t="inlineStr">
        <is>
          <t>Cape Projects Construction (Pty) Ltd</t>
        </is>
      </c>
      <c r="B1175" s="4" t="n">
        <v>44712</v>
      </c>
      <c r="C1175" s="3" t="inlineStr">
        <is>
          <t>Expenses</t>
        </is>
      </c>
      <c r="D1175" s="3" t="inlineStr">
        <is>
          <t>4550/004</t>
        </is>
      </c>
      <c r="E1175" s="3" t="inlineStr">
        <is>
          <t>Subscriptions - Smartsheet</t>
        </is>
      </c>
      <c r="F1175" s="3" t="n">
        <v>726</v>
      </c>
      <c r="G1175" s="3" t="n">
        <v>1089</v>
      </c>
    </row>
    <row r="1176">
      <c r="A1176" s="3" t="inlineStr">
        <is>
          <t>Cape Projects Construction (Pty) Ltd</t>
        </is>
      </c>
      <c r="B1176" s="4" t="n">
        <v>44712</v>
      </c>
      <c r="C1176" s="3" t="inlineStr">
        <is>
          <t>Expenses</t>
        </is>
      </c>
      <c r="D1176" s="3" t="inlineStr">
        <is>
          <t>4550/006</t>
        </is>
      </c>
      <c r="E1176" s="3" t="inlineStr">
        <is>
          <t>Subscription - Candy software</t>
        </is>
      </c>
      <c r="F1176" s="3" t="n">
        <v>1640</v>
      </c>
      <c r="G1176" s="3" t="n">
        <v>7205</v>
      </c>
    </row>
    <row r="1177">
      <c r="A1177" s="3" t="inlineStr">
        <is>
          <t>Heron Fields (Pty) Ltd</t>
        </is>
      </c>
      <c r="B1177" s="4" t="n">
        <v>44712</v>
      </c>
      <c r="C1177" s="3" t="inlineStr">
        <is>
          <t>Expenses</t>
        </is>
      </c>
      <c r="D1177" s="3" t="inlineStr">
        <is>
          <t>4550/100</t>
        </is>
      </c>
      <c r="E1177" s="3" t="inlineStr">
        <is>
          <t>Subscriptions - Xero</t>
        </is>
      </c>
      <c r="F1177" s="3" t="n">
        <v>600</v>
      </c>
      <c r="G1177" s="3" t="n">
        <v>1800</v>
      </c>
    </row>
    <row r="1178">
      <c r="A1178" s="3" t="inlineStr">
        <is>
          <t>Heron View (Pty) Ltd</t>
        </is>
      </c>
      <c r="B1178" s="4" t="n">
        <v>44712</v>
      </c>
      <c r="C1178" s="3" t="inlineStr">
        <is>
          <t>Expenses</t>
        </is>
      </c>
      <c r="D1178" s="3" t="inlineStr">
        <is>
          <t>4550/100</t>
        </is>
      </c>
      <c r="E1178" s="3" t="inlineStr">
        <is>
          <t>Subscriptions - Xero</t>
        </is>
      </c>
      <c r="F1178" s="3" t="n">
        <v>600</v>
      </c>
      <c r="G1178" s="3" t="n">
        <v>1800</v>
      </c>
    </row>
    <row r="1179">
      <c r="A1179" s="3" t="inlineStr">
        <is>
          <t>Cape Projects Construction (Pty) Ltd</t>
        </is>
      </c>
      <c r="B1179" s="4" t="n">
        <v>44712</v>
      </c>
      <c r="C1179" s="3" t="inlineStr">
        <is>
          <t>Expenses</t>
        </is>
      </c>
      <c r="D1179" s="3" t="inlineStr">
        <is>
          <t>4700/000</t>
        </is>
      </c>
      <c r="E1179" s="3" t="inlineStr">
        <is>
          <t>PAYE Contributions</t>
        </is>
      </c>
      <c r="F1179" s="3" t="n">
        <v>36200.89</v>
      </c>
      <c r="G1179" s="3" t="n">
        <v>128354.84</v>
      </c>
    </row>
    <row r="1180">
      <c r="A1180" s="3" t="inlineStr">
        <is>
          <t>Cape Projects Construction (Pty) Ltd</t>
        </is>
      </c>
      <c r="B1180" s="4" t="n">
        <v>44712</v>
      </c>
      <c r="C1180" s="3" t="inlineStr">
        <is>
          <t>Expenses</t>
        </is>
      </c>
      <c r="D1180" s="3" t="inlineStr">
        <is>
          <t>4720/000</t>
        </is>
      </c>
      <c r="E1180" s="3" t="inlineStr">
        <is>
          <t>SDL Contributions</t>
        </is>
      </c>
      <c r="F1180" s="3" t="n">
        <v>2541.99</v>
      </c>
      <c r="G1180" s="3" t="n">
        <v>7791.43</v>
      </c>
    </row>
    <row r="1181">
      <c r="A1181" s="3" t="inlineStr">
        <is>
          <t>Cape Projects Construction (Pty) Ltd</t>
        </is>
      </c>
      <c r="B1181" s="4" t="n">
        <v>44712</v>
      </c>
      <c r="C1181" s="3" t="inlineStr">
        <is>
          <t>Expenses</t>
        </is>
      </c>
      <c r="D1181" s="3" t="inlineStr">
        <is>
          <t>4730/000</t>
        </is>
      </c>
      <c r="E1181" s="3" t="inlineStr">
        <is>
          <t>UIF Company Contributions</t>
        </is>
      </c>
      <c r="F1181" s="3" t="n">
        <v>1802.24</v>
      </c>
      <c r="G1181" s="3" t="n">
        <v>4909.43</v>
      </c>
    </row>
    <row r="1182">
      <c r="A1182" s="3" t="inlineStr">
        <is>
          <t>Cape Projects Construction (Pty) Ltd</t>
        </is>
      </c>
      <c r="B1182" s="4" t="n">
        <v>44712</v>
      </c>
      <c r="C1182" s="3" t="inlineStr">
        <is>
          <t>Expenses</t>
        </is>
      </c>
      <c r="D1182" s="3" t="inlineStr">
        <is>
          <t>4731/000</t>
        </is>
      </c>
      <c r="E1182" s="3" t="inlineStr">
        <is>
          <t>UIF Employee Contribution</t>
        </is>
      </c>
      <c r="F1182" s="3" t="n">
        <v>1802.24</v>
      </c>
      <c r="G1182" s="3" t="n">
        <v>4909.43</v>
      </c>
    </row>
    <row r="1183">
      <c r="A1183" s="3" t="inlineStr">
        <is>
          <t>Cape Projects Construction (Pty) Ltd</t>
        </is>
      </c>
      <c r="B1183" s="4" t="n">
        <v>44712</v>
      </c>
      <c r="C1183" s="3" t="inlineStr">
        <is>
          <t>Expenses</t>
        </is>
      </c>
      <c r="D1183" s="3" t="inlineStr">
        <is>
          <t>4740/000</t>
        </is>
      </c>
      <c r="E1183" s="3" t="inlineStr">
        <is>
          <t>BIBC Company Contribution</t>
        </is>
      </c>
      <c r="F1183" s="3" t="n">
        <v>2579.79</v>
      </c>
      <c r="G1183" s="3" t="n">
        <v>2873.35</v>
      </c>
    </row>
    <row r="1184">
      <c r="A1184" s="3" t="inlineStr">
        <is>
          <t>Cape Projects Construction (Pty) Ltd</t>
        </is>
      </c>
      <c r="B1184" s="4" t="n">
        <v>44712</v>
      </c>
      <c r="C1184" s="3" t="inlineStr">
        <is>
          <t>Expenses</t>
        </is>
      </c>
      <c r="D1184" s="3" t="inlineStr">
        <is>
          <t>4741/000</t>
        </is>
      </c>
      <c r="E1184" s="3" t="inlineStr">
        <is>
          <t>BIBC Employee Contribution</t>
        </is>
      </c>
      <c r="F1184" s="3" t="n">
        <v>2579.79</v>
      </c>
      <c r="G1184" s="3" t="n">
        <v>2695.35</v>
      </c>
    </row>
    <row r="1185">
      <c r="A1185" s="3" t="inlineStr">
        <is>
          <t>Heron Fields (Pty) Ltd</t>
        </is>
      </c>
      <c r="B1185" s="4" t="n">
        <v>44712</v>
      </c>
      <c r="C1185" s="3" t="inlineStr">
        <is>
          <t>Equity</t>
        </is>
      </c>
      <c r="D1185" s="3" t="inlineStr">
        <is>
          <t>5100-000</t>
        </is>
      </c>
      <c r="E1185" s="3" t="inlineStr">
        <is>
          <t>Share Capital</t>
        </is>
      </c>
      <c r="F1185" s="3" t="n">
        <v>0</v>
      </c>
      <c r="G1185" s="3" t="n">
        <v>-100</v>
      </c>
    </row>
    <row r="1186">
      <c r="A1186" s="3" t="inlineStr">
        <is>
          <t>Cape Projects Construction (Pty) Ltd</t>
        </is>
      </c>
      <c r="B1186" s="4" t="n">
        <v>44712</v>
      </c>
      <c r="C1186" s="3" t="inlineStr">
        <is>
          <t>Equity</t>
        </is>
      </c>
      <c r="D1186" s="3" t="inlineStr">
        <is>
          <t>5100/000</t>
        </is>
      </c>
      <c r="E1186" s="3" t="inlineStr">
        <is>
          <t>Share Capital / Members Contribution</t>
        </is>
      </c>
      <c r="F1186" s="3" t="n">
        <v>0</v>
      </c>
      <c r="G1186" s="3" t="n">
        <v>-120</v>
      </c>
    </row>
    <row r="1187">
      <c r="A1187" s="3" t="inlineStr">
        <is>
          <t>Cape Projects Construction (Pty) Ltd</t>
        </is>
      </c>
      <c r="B1187" s="4" t="n">
        <v>44712</v>
      </c>
      <c r="C1187" s="3" t="inlineStr">
        <is>
          <t>Equity</t>
        </is>
      </c>
      <c r="D1187" s="3" t="inlineStr">
        <is>
          <t>5200/000</t>
        </is>
      </c>
      <c r="E1187" s="3" t="inlineStr">
        <is>
          <t>Retained Earnings / Loss</t>
        </is>
      </c>
      <c r="F1187" s="3" t="n">
        <v>0</v>
      </c>
      <c r="G1187" s="3" t="n">
        <v>247347.05</v>
      </c>
    </row>
    <row r="1188">
      <c r="A1188" s="3" t="inlineStr">
        <is>
          <t>Heron Fields (Pty) Ltd</t>
        </is>
      </c>
      <c r="B1188" s="4" t="n">
        <v>44712</v>
      </c>
      <c r="C1188" s="3" t="inlineStr">
        <is>
          <t>Equity</t>
        </is>
      </c>
      <c r="D1188" s="3" t="inlineStr">
        <is>
          <t>5200/000</t>
        </is>
      </c>
      <c r="E1188" s="3" t="inlineStr">
        <is>
          <t>Retained Earnings / Loss</t>
        </is>
      </c>
      <c r="F1188" s="3" t="n">
        <v>0</v>
      </c>
      <c r="G1188" s="3" t="n">
        <v>-17080353.05</v>
      </c>
    </row>
    <row r="1189">
      <c r="A1189" s="3" t="inlineStr">
        <is>
          <t>Heron Fields (Pty) Ltd</t>
        </is>
      </c>
      <c r="B1189" s="4" t="n">
        <v>44712</v>
      </c>
      <c r="C1189" s="3" t="inlineStr">
        <is>
          <t>Assets</t>
        </is>
      </c>
      <c r="D1189" s="3" t="inlineStr">
        <is>
          <t>5300/001</t>
        </is>
      </c>
      <c r="E1189" s="3" t="inlineStr">
        <is>
          <t>Revaluation of Land stock</t>
        </is>
      </c>
      <c r="F1189" s="3" t="n">
        <v>0</v>
      </c>
      <c r="G1189" s="3" t="n">
        <v>17562360.85</v>
      </c>
    </row>
    <row r="1190">
      <c r="A1190" s="3" t="inlineStr">
        <is>
          <t>Cape Projects Construction (Pty) Ltd</t>
        </is>
      </c>
      <c r="B1190" s="4" t="n">
        <v>44712</v>
      </c>
      <c r="C1190" s="3" t="inlineStr">
        <is>
          <t>Assets</t>
        </is>
      </c>
      <c r="D1190" s="3" t="inlineStr">
        <is>
          <t>5400/150</t>
        </is>
      </c>
      <c r="E1190" s="3" t="inlineStr">
        <is>
          <t>Loan - Quinate</t>
        </is>
      </c>
      <c r="F1190" s="3" t="n">
        <v>0</v>
      </c>
      <c r="G1190" s="3" t="n">
        <v>2850000</v>
      </c>
    </row>
    <row r="1191">
      <c r="A1191" s="3" t="inlineStr">
        <is>
          <t>Cape Projects Construction (Pty) Ltd</t>
        </is>
      </c>
      <c r="B1191" s="4" t="n">
        <v>44712</v>
      </c>
      <c r="C1191" s="3" t="inlineStr">
        <is>
          <t>Assets</t>
        </is>
      </c>
      <c r="D1191" s="3" t="inlineStr">
        <is>
          <t>5400/450</t>
        </is>
      </c>
      <c r="E1191" s="3" t="inlineStr">
        <is>
          <t>Loan - Opportunity Investment</t>
        </is>
      </c>
      <c r="F1191" s="3" t="n">
        <v>-115000</v>
      </c>
      <c r="G1191" s="3" t="n">
        <v>-323000</v>
      </c>
    </row>
    <row r="1192">
      <c r="A1192" s="3" t="inlineStr">
        <is>
          <t>Cape Projects Construction (Pty) Ltd</t>
        </is>
      </c>
      <c r="B1192" s="4" t="n">
        <v>44712</v>
      </c>
      <c r="C1192" s="3" t="inlineStr">
        <is>
          <t>Assets</t>
        </is>
      </c>
      <c r="D1192" s="3" t="inlineStr">
        <is>
          <t>5400/550</t>
        </is>
      </c>
      <c r="E1192" s="3" t="inlineStr">
        <is>
          <t>Loan - Trademark</t>
        </is>
      </c>
      <c r="F1192" s="3" t="n">
        <v>-600</v>
      </c>
      <c r="G1192" s="3" t="n">
        <v>0</v>
      </c>
    </row>
    <row r="1193">
      <c r="A1193" s="3" t="inlineStr">
        <is>
          <t>Cape Projects Construction (Pty) Ltd</t>
        </is>
      </c>
      <c r="B1193" s="4" t="n">
        <v>44712</v>
      </c>
      <c r="C1193" s="3" t="inlineStr">
        <is>
          <t>Assets</t>
        </is>
      </c>
      <c r="D1193" s="3" t="inlineStr">
        <is>
          <t>5400/600</t>
        </is>
      </c>
      <c r="E1193" s="3" t="inlineStr">
        <is>
          <t>Loan - Heron Projects</t>
        </is>
      </c>
      <c r="F1193" s="3" t="n">
        <v>270000</v>
      </c>
      <c r="G1193" s="3" t="n">
        <v>-3711000</v>
      </c>
    </row>
    <row r="1194">
      <c r="A1194" s="3" t="inlineStr">
        <is>
          <t>Cape Projects Construction (Pty) Ltd</t>
        </is>
      </c>
      <c r="B1194" s="4" t="n">
        <v>44712</v>
      </c>
      <c r="C1194" s="3" t="inlineStr">
        <is>
          <t>Assets</t>
        </is>
      </c>
      <c r="D1194" s="3" t="inlineStr">
        <is>
          <t>5400/650</t>
        </is>
      </c>
      <c r="E1194" s="3" t="inlineStr">
        <is>
          <t>Loan - Noble Shield</t>
        </is>
      </c>
      <c r="F1194" s="3" t="n">
        <v>-600</v>
      </c>
      <c r="G1194" s="3" t="n">
        <v>0</v>
      </c>
    </row>
    <row r="1195">
      <c r="A1195" s="3" t="inlineStr">
        <is>
          <t>Cape Projects Construction (Pty) Ltd</t>
        </is>
      </c>
      <c r="B1195" s="4" t="n">
        <v>44712</v>
      </c>
      <c r="C1195" s="3" t="inlineStr">
        <is>
          <t>Assets</t>
        </is>
      </c>
      <c r="D1195" s="3" t="inlineStr">
        <is>
          <t>5400/750</t>
        </is>
      </c>
      <c r="E1195" s="3" t="inlineStr">
        <is>
          <t>Loan - Endulini</t>
        </is>
      </c>
      <c r="F1195" s="3" t="n">
        <v>-162675.54</v>
      </c>
      <c r="G1195" s="3" t="n">
        <v>-162675.54</v>
      </c>
    </row>
    <row r="1196">
      <c r="A1196" s="3" t="inlineStr">
        <is>
          <t>Cape Projects Construction (Pty) Ltd</t>
        </is>
      </c>
      <c r="B1196" s="4" t="n">
        <v>44712</v>
      </c>
      <c r="C1196" s="3" t="inlineStr">
        <is>
          <t>Assets</t>
        </is>
      </c>
      <c r="D1196" s="3" t="inlineStr">
        <is>
          <t>5400/800</t>
        </is>
      </c>
      <c r="E1196" s="3" t="inlineStr">
        <is>
          <t>Loan - Opportunity Management Holdings</t>
        </is>
      </c>
      <c r="F1196" s="3" t="n">
        <v>5233.05</v>
      </c>
      <c r="G1196" s="3" t="n">
        <v>-50000</v>
      </c>
    </row>
    <row r="1197">
      <c r="A1197" s="3" t="inlineStr">
        <is>
          <t>Heron View (Pty) Ltd</t>
        </is>
      </c>
      <c r="B1197" s="4" t="n">
        <v>44712</v>
      </c>
      <c r="C1197" s="3" t="inlineStr">
        <is>
          <t>Liabilities</t>
        </is>
      </c>
      <c r="D1197" s="3" t="inlineStr">
        <is>
          <t>5500/001</t>
        </is>
      </c>
      <c r="E1197" s="3" t="inlineStr">
        <is>
          <t>Loan - Heron Fields</t>
        </is>
      </c>
      <c r="F1197" s="3" t="n">
        <v>-5200</v>
      </c>
      <c r="G1197" s="3" t="n">
        <v>-10720</v>
      </c>
    </row>
    <row r="1198">
      <c r="A1198" s="3" t="inlineStr">
        <is>
          <t>Heron Fields (Pty) Ltd</t>
        </is>
      </c>
      <c r="B1198" s="4" t="n">
        <v>44712</v>
      </c>
      <c r="C1198" s="3" t="inlineStr">
        <is>
          <t>Liabilities</t>
        </is>
      </c>
      <c r="D1198" s="3" t="inlineStr">
        <is>
          <t>5500/020</t>
        </is>
      </c>
      <c r="E1198" s="3" t="inlineStr">
        <is>
          <t>Loan - Cape Projects Construction</t>
        </is>
      </c>
      <c r="F1198" s="3" t="n">
        <v>-270000</v>
      </c>
      <c r="G1198" s="3" t="n">
        <v>3711000</v>
      </c>
    </row>
    <row r="1199">
      <c r="A1199" s="3" t="inlineStr">
        <is>
          <t>Heron Fields (Pty) Ltd</t>
        </is>
      </c>
      <c r="B1199" s="4" t="n">
        <v>44712</v>
      </c>
      <c r="C1199" s="3" t="inlineStr">
        <is>
          <t>Liabilities</t>
        </is>
      </c>
      <c r="D1199" s="3" t="inlineStr">
        <is>
          <t>5500/050</t>
        </is>
      </c>
      <c r="E1199" s="3" t="inlineStr">
        <is>
          <t>Loan - Heron View</t>
        </is>
      </c>
      <c r="F1199" s="3" t="n">
        <v>5200</v>
      </c>
      <c r="G1199" s="3" t="n">
        <v>10720</v>
      </c>
    </row>
    <row r="1200">
      <c r="A1200" s="3" t="inlineStr">
        <is>
          <t>Cape Projects Construction (Pty) Ltd</t>
        </is>
      </c>
      <c r="B1200" s="4" t="n">
        <v>44712</v>
      </c>
      <c r="C1200" s="3" t="inlineStr">
        <is>
          <t>Liabilities</t>
        </is>
      </c>
      <c r="D1200" s="3" t="inlineStr">
        <is>
          <t>5600/100</t>
        </is>
      </c>
      <c r="E1200" s="3" t="inlineStr">
        <is>
          <t>Motor Vehical Car Repaymts - Toyota</t>
        </is>
      </c>
      <c r="F1200" s="3" t="n">
        <v>0</v>
      </c>
      <c r="G1200" s="3" t="n">
        <v>15591.67</v>
      </c>
    </row>
    <row r="1201">
      <c r="A1201" s="3" t="inlineStr">
        <is>
          <t>Cape Projects Construction (Pty) Ltd</t>
        </is>
      </c>
      <c r="B1201" s="4" t="n">
        <v>44712</v>
      </c>
      <c r="C1201" s="3" t="inlineStr">
        <is>
          <t>Liabilities</t>
        </is>
      </c>
      <c r="D1201" s="3" t="inlineStr">
        <is>
          <t>5600/200</t>
        </is>
      </c>
      <c r="E1201" s="3" t="inlineStr">
        <is>
          <t>Motor Vehicle Car Repayments - Toyota Shortterm</t>
        </is>
      </c>
      <c r="F1201" s="3" t="n">
        <v>0</v>
      </c>
      <c r="G1201" s="3" t="n">
        <v>-58920.1</v>
      </c>
    </row>
    <row r="1202">
      <c r="A1202" s="3" t="inlineStr">
        <is>
          <t>Cape Projects Construction (Pty) Ltd</t>
        </is>
      </c>
      <c r="B1202" s="4" t="n">
        <v>44712</v>
      </c>
      <c r="C1202" s="3" t="inlineStr">
        <is>
          <t>Assets</t>
        </is>
      </c>
      <c r="D1202" s="3" t="inlineStr">
        <is>
          <t>6200/010</t>
        </is>
      </c>
      <c r="E1202" s="3" t="inlineStr">
        <is>
          <t>Motor Vehicles - @ Cost</t>
        </is>
      </c>
      <c r="F1202" s="3" t="n">
        <v>0</v>
      </c>
      <c r="G1202" s="3" t="n">
        <v>216064.1</v>
      </c>
    </row>
    <row r="1203">
      <c r="A1203" s="3" t="inlineStr">
        <is>
          <t>Cape Projects Construction (Pty) Ltd</t>
        </is>
      </c>
      <c r="B1203" s="4" t="n">
        <v>44712</v>
      </c>
      <c r="C1203" s="3" t="inlineStr">
        <is>
          <t>Assets</t>
        </is>
      </c>
      <c r="D1203" s="3" t="inlineStr">
        <is>
          <t>6200/020</t>
        </is>
      </c>
      <c r="E1203" s="3" t="inlineStr">
        <is>
          <t>Motor Vehicles - Accum Depre</t>
        </is>
      </c>
      <c r="F1203" s="3" t="n">
        <v>0</v>
      </c>
      <c r="G1203" s="3" t="n">
        <v>-176453</v>
      </c>
    </row>
    <row r="1204">
      <c r="A1204" s="3" t="inlineStr">
        <is>
          <t>Cape Projects Construction (Pty) Ltd</t>
        </is>
      </c>
      <c r="B1204" s="4" t="n">
        <v>44712</v>
      </c>
      <c r="C1204" s="3" t="inlineStr">
        <is>
          <t>Assets</t>
        </is>
      </c>
      <c r="D1204" s="3" t="inlineStr">
        <is>
          <t>6250/010</t>
        </is>
      </c>
      <c r="E1204" s="3" t="inlineStr">
        <is>
          <t>Computer Equipment - @ Cost</t>
        </is>
      </c>
      <c r="F1204" s="3" t="n">
        <v>13931</v>
      </c>
      <c r="G1204" s="3" t="n">
        <v>83494.91</v>
      </c>
    </row>
    <row r="1205">
      <c r="A1205" s="3" t="inlineStr">
        <is>
          <t>Cape Projects Construction (Pty) Ltd</t>
        </is>
      </c>
      <c r="B1205" s="4" t="n">
        <v>44712</v>
      </c>
      <c r="C1205" s="3" t="inlineStr">
        <is>
          <t>Assets</t>
        </is>
      </c>
      <c r="D1205" s="3" t="inlineStr">
        <is>
          <t>6250/020</t>
        </is>
      </c>
      <c r="E1205" s="3" t="inlineStr">
        <is>
          <t>Computer Equipment - Accum Depre</t>
        </is>
      </c>
      <c r="F1205" s="3" t="n">
        <v>-1926.81</v>
      </c>
      <c r="G1205" s="3" t="n">
        <v>-23942.29</v>
      </c>
    </row>
    <row r="1206">
      <c r="A1206" s="3" t="inlineStr">
        <is>
          <t>Cape Projects Construction (Pty) Ltd</t>
        </is>
      </c>
      <c r="B1206" s="4" t="n">
        <v>44712</v>
      </c>
      <c r="C1206" s="3" t="inlineStr">
        <is>
          <t>Assets</t>
        </is>
      </c>
      <c r="D1206" s="3" t="inlineStr">
        <is>
          <t>6350/010</t>
        </is>
      </c>
      <c r="E1206" s="3" t="inlineStr">
        <is>
          <t>Furniture _AND_ Fittings - @ Cost</t>
        </is>
      </c>
      <c r="F1206" s="3" t="n">
        <v>0</v>
      </c>
      <c r="G1206" s="3" t="n">
        <v>29281.39</v>
      </c>
    </row>
    <row r="1207">
      <c r="A1207" s="3" t="inlineStr">
        <is>
          <t>Cape Projects Construction (Pty) Ltd</t>
        </is>
      </c>
      <c r="B1207" s="4" t="n">
        <v>44712</v>
      </c>
      <c r="C1207" s="3" t="inlineStr">
        <is>
          <t>Assets</t>
        </is>
      </c>
      <c r="D1207" s="3" t="inlineStr">
        <is>
          <t>6350/020</t>
        </is>
      </c>
      <c r="E1207" s="3" t="inlineStr">
        <is>
          <t>Furniture _AND_ Fittings - Accum Depre</t>
        </is>
      </c>
      <c r="F1207" s="3" t="n">
        <v>-427.21</v>
      </c>
      <c r="G1207" s="3" t="n">
        <v>-1688.31</v>
      </c>
    </row>
    <row r="1208">
      <c r="A1208" s="3" t="inlineStr">
        <is>
          <t>Cape Projects Construction (Pty) Ltd</t>
        </is>
      </c>
      <c r="B1208" s="4" t="n">
        <v>44712</v>
      </c>
      <c r="C1208" s="3" t="inlineStr">
        <is>
          <t>Assets</t>
        </is>
      </c>
      <c r="D1208" s="3" t="inlineStr">
        <is>
          <t>6600/010</t>
        </is>
      </c>
      <c r="E1208" s="3" t="inlineStr">
        <is>
          <t>Generator Fixed Asset - @ Cost</t>
        </is>
      </c>
      <c r="F1208" s="3" t="n">
        <v>0</v>
      </c>
      <c r="G1208" s="3" t="n">
        <v>11600</v>
      </c>
    </row>
    <row r="1209">
      <c r="A1209" s="3" t="inlineStr">
        <is>
          <t>Cape Projects Construction (Pty) Ltd</t>
        </is>
      </c>
      <c r="B1209" s="4" t="n">
        <v>44712</v>
      </c>
      <c r="C1209" s="3" t="inlineStr">
        <is>
          <t>Assets</t>
        </is>
      </c>
      <c r="D1209" s="3" t="inlineStr">
        <is>
          <t>6600/020</t>
        </is>
      </c>
      <c r="E1209" s="3" t="inlineStr">
        <is>
          <t>Generator Fixed Asset - Accum Depre</t>
        </is>
      </c>
      <c r="F1209" s="3" t="n">
        <v>-193.33</v>
      </c>
      <c r="G1209" s="3" t="n">
        <v>-1385.56</v>
      </c>
    </row>
    <row r="1210">
      <c r="A1210" s="3" t="inlineStr">
        <is>
          <t>Heron Fields (Pty) Ltd</t>
        </is>
      </c>
      <c r="B1210" s="4" t="n">
        <v>44712</v>
      </c>
      <c r="C1210" s="3" t="inlineStr">
        <is>
          <t>Assets</t>
        </is>
      </c>
      <c r="D1210" s="3" t="inlineStr">
        <is>
          <t>7610/395</t>
        </is>
      </c>
      <c r="E1210" s="3" t="inlineStr">
        <is>
          <t>HF CIP NHBRC</t>
        </is>
      </c>
      <c r="F1210" s="3" t="n">
        <v>0</v>
      </c>
      <c r="G1210" s="3" t="n">
        <v>874505.75</v>
      </c>
    </row>
    <row r="1211">
      <c r="A1211" s="3" t="inlineStr">
        <is>
          <t>Heron Fields (Pty) Ltd</t>
        </is>
      </c>
      <c r="B1211" s="4" t="n">
        <v>44712</v>
      </c>
      <c r="C1211" s="3" t="inlineStr">
        <is>
          <t>Assets</t>
        </is>
      </c>
      <c r="D1211" s="3" t="inlineStr">
        <is>
          <t>7620/100</t>
        </is>
      </c>
      <c r="E1211" s="3" t="inlineStr">
        <is>
          <t>Heron View Land</t>
        </is>
      </c>
      <c r="F1211" s="3" t="n">
        <v>0</v>
      </c>
      <c r="G1211" s="3" t="n">
        <v>26200000</v>
      </c>
    </row>
    <row r="1212">
      <c r="A1212" s="3" t="inlineStr">
        <is>
          <t>Heron Fields (Pty) Ltd</t>
        </is>
      </c>
      <c r="B1212" s="4" t="n">
        <v>44712</v>
      </c>
      <c r="C1212" s="3" t="inlineStr">
        <is>
          <t>Assets</t>
        </is>
      </c>
      <c r="D1212" s="3" t="inlineStr">
        <is>
          <t>7620/101</t>
        </is>
      </c>
      <c r="E1212" s="3" t="inlineStr">
        <is>
          <t>HF CIP Bond Registration Fee</t>
        </is>
      </c>
      <c r="F1212" s="3" t="n">
        <v>0</v>
      </c>
      <c r="G1212" s="3" t="n">
        <v>68427</v>
      </c>
    </row>
    <row r="1213">
      <c r="A1213" s="3" t="inlineStr">
        <is>
          <t>Heron Fields (Pty) Ltd</t>
        </is>
      </c>
      <c r="B1213" s="4" t="n">
        <v>44712</v>
      </c>
      <c r="C1213" s="3" t="inlineStr">
        <is>
          <t>Assets</t>
        </is>
      </c>
      <c r="D1213" s="3" t="inlineStr">
        <is>
          <t>7620/102</t>
        </is>
      </c>
      <c r="E1213" s="3" t="inlineStr">
        <is>
          <t>HF CIP Transfer Fee</t>
        </is>
      </c>
      <c r="F1213" s="3" t="n">
        <v>0</v>
      </c>
      <c r="G1213" s="3" t="n">
        <v>103812</v>
      </c>
    </row>
    <row r="1214">
      <c r="A1214" s="3" t="inlineStr">
        <is>
          <t>Heron Fields (Pty) Ltd</t>
        </is>
      </c>
      <c r="B1214" s="4" t="n">
        <v>44712</v>
      </c>
      <c r="C1214" s="3" t="inlineStr">
        <is>
          <t>Assets</t>
        </is>
      </c>
      <c r="D1214" s="3" t="inlineStr">
        <is>
          <t>7620/220</t>
        </is>
      </c>
      <c r="E1214" s="3" t="inlineStr">
        <is>
          <t>HF CIP Architectural Designs</t>
        </is>
      </c>
      <c r="F1214" s="3" t="n">
        <v>0</v>
      </c>
      <c r="G1214" s="3" t="n">
        <v>150780</v>
      </c>
    </row>
    <row r="1215">
      <c r="A1215" s="3" t="inlineStr">
        <is>
          <t>Heron Fields (Pty) Ltd</t>
        </is>
      </c>
      <c r="B1215" s="4" t="n">
        <v>44712</v>
      </c>
      <c r="C1215" s="3" t="inlineStr">
        <is>
          <t>Assets</t>
        </is>
      </c>
      <c r="D1215" s="3" t="inlineStr">
        <is>
          <t>7620/230</t>
        </is>
      </c>
      <c r="E1215" s="3" t="inlineStr">
        <is>
          <t>HF CIP Construction Management</t>
        </is>
      </c>
      <c r="F1215" s="3" t="n">
        <v>11000</v>
      </c>
      <c r="G1215" s="3" t="n">
        <v>38000</v>
      </c>
    </row>
    <row r="1216">
      <c r="A1216" s="3" t="inlineStr">
        <is>
          <t>Heron Fields (Pty) Ltd</t>
        </is>
      </c>
      <c r="B1216" s="4" t="n">
        <v>44712</v>
      </c>
      <c r="C1216" s="3" t="inlineStr">
        <is>
          <t>Assets</t>
        </is>
      </c>
      <c r="D1216" s="3" t="inlineStr">
        <is>
          <t>7620/240</t>
        </is>
      </c>
      <c r="E1216" s="3" t="inlineStr">
        <is>
          <t>HF CIP Civil Engineering</t>
        </is>
      </c>
      <c r="F1216" s="3" t="n">
        <v>272866.52</v>
      </c>
      <c r="G1216" s="3" t="n">
        <v>5763374.8</v>
      </c>
    </row>
    <row r="1217">
      <c r="A1217" s="3" t="inlineStr">
        <is>
          <t>Heron Fields (Pty) Ltd</t>
        </is>
      </c>
      <c r="B1217" s="4" t="n">
        <v>44712</v>
      </c>
      <c r="C1217" s="3" t="inlineStr">
        <is>
          <t>Assets</t>
        </is>
      </c>
      <c r="D1217" s="3" t="inlineStr">
        <is>
          <t>7620/245</t>
        </is>
      </c>
      <c r="E1217" s="3" t="inlineStr">
        <is>
          <t>HF CIP Development fee</t>
        </is>
      </c>
      <c r="F1217" s="3" t="n">
        <v>0</v>
      </c>
      <c r="G1217" s="3" t="n">
        <v>13807.78</v>
      </c>
    </row>
    <row r="1218">
      <c r="A1218" s="3" t="inlineStr">
        <is>
          <t>Heron Fields (Pty) Ltd</t>
        </is>
      </c>
      <c r="B1218" s="4" t="n">
        <v>44712</v>
      </c>
      <c r="C1218" s="3" t="inlineStr">
        <is>
          <t>Assets</t>
        </is>
      </c>
      <c r="D1218" s="3" t="inlineStr">
        <is>
          <t>7620/250</t>
        </is>
      </c>
      <c r="E1218" s="3" t="inlineStr">
        <is>
          <t>HF CIP Land Surveyor</t>
        </is>
      </c>
      <c r="F1218" s="3" t="n">
        <v>0</v>
      </c>
      <c r="G1218" s="3" t="n">
        <v>44026.09</v>
      </c>
    </row>
    <row r="1219">
      <c r="A1219" s="3" t="inlineStr">
        <is>
          <t>Heron Fields (Pty) Ltd</t>
        </is>
      </c>
      <c r="B1219" s="4" t="n">
        <v>44712</v>
      </c>
      <c r="C1219" s="3" t="inlineStr">
        <is>
          <t>Assets</t>
        </is>
      </c>
      <c r="D1219" s="3" t="inlineStr">
        <is>
          <t>7620/255</t>
        </is>
      </c>
      <c r="E1219" s="3" t="inlineStr">
        <is>
          <t>HF CIP Landscaping</t>
        </is>
      </c>
      <c r="F1219" s="3" t="n">
        <v>0</v>
      </c>
      <c r="G1219" s="3" t="n">
        <v>7500</v>
      </c>
    </row>
    <row r="1220">
      <c r="A1220" s="3" t="inlineStr">
        <is>
          <t>Heron Fields (Pty) Ltd</t>
        </is>
      </c>
      <c r="B1220" s="4" t="n">
        <v>44712</v>
      </c>
      <c r="C1220" s="3" t="inlineStr">
        <is>
          <t>Assets</t>
        </is>
      </c>
      <c r="D1220" s="3" t="inlineStr">
        <is>
          <t>7620/260</t>
        </is>
      </c>
      <c r="E1220" s="3" t="inlineStr">
        <is>
          <t>HF CIP Mechanical Engineers</t>
        </is>
      </c>
      <c r="F1220" s="3" t="n">
        <v>0</v>
      </c>
      <c r="G1220" s="3" t="n">
        <v>67400</v>
      </c>
    </row>
    <row r="1221">
      <c r="A1221" s="3" t="inlineStr">
        <is>
          <t>Heron Fields (Pty) Ltd</t>
        </is>
      </c>
      <c r="B1221" s="4" t="n">
        <v>44712</v>
      </c>
      <c r="C1221" s="3" t="inlineStr">
        <is>
          <t>Assets</t>
        </is>
      </c>
      <c r="D1221" s="3" t="inlineStr">
        <is>
          <t>7620/265</t>
        </is>
      </c>
      <c r="E1221" s="3" t="inlineStr">
        <is>
          <t>HF CIP Health &amp; Safety</t>
        </is>
      </c>
      <c r="F1221" s="3" t="n">
        <v>1400</v>
      </c>
      <c r="G1221" s="3" t="n">
        <v>10800</v>
      </c>
    </row>
    <row r="1222">
      <c r="A1222" s="3" t="inlineStr">
        <is>
          <t>Heron Fields (Pty) Ltd</t>
        </is>
      </c>
      <c r="B1222" s="4" t="n">
        <v>44712</v>
      </c>
      <c r="C1222" s="3" t="inlineStr">
        <is>
          <t>Assets</t>
        </is>
      </c>
      <c r="D1222" s="3" t="inlineStr">
        <is>
          <t>7620/270</t>
        </is>
      </c>
      <c r="E1222" s="3" t="inlineStr">
        <is>
          <t>HF CIP Geotechnical</t>
        </is>
      </c>
      <c r="F1222" s="3" t="n">
        <v>0</v>
      </c>
      <c r="G1222" s="3" t="n">
        <v>15175</v>
      </c>
    </row>
    <row r="1223">
      <c r="A1223" s="3" t="inlineStr">
        <is>
          <t>Heron Fields (Pty) Ltd</t>
        </is>
      </c>
      <c r="B1223" s="4" t="n">
        <v>44712</v>
      </c>
      <c r="C1223" s="3" t="inlineStr">
        <is>
          <t>Assets</t>
        </is>
      </c>
      <c r="D1223" s="3" t="inlineStr">
        <is>
          <t>7620/275</t>
        </is>
      </c>
      <c r="E1223" s="3" t="inlineStr">
        <is>
          <t>HF CIP Retaining Wall</t>
        </is>
      </c>
      <c r="F1223" s="3" t="n">
        <v>0</v>
      </c>
      <c r="G1223" s="3" t="n">
        <v>570856.08</v>
      </c>
    </row>
    <row r="1224">
      <c r="A1224" s="3" t="inlineStr">
        <is>
          <t>Heron Fields (Pty) Ltd</t>
        </is>
      </c>
      <c r="B1224" s="4" t="n">
        <v>44712</v>
      </c>
      <c r="C1224" s="3" t="inlineStr">
        <is>
          <t>Assets</t>
        </is>
      </c>
      <c r="D1224" s="3" t="inlineStr">
        <is>
          <t>7620/280</t>
        </is>
      </c>
      <c r="E1224" s="3" t="inlineStr">
        <is>
          <t>HF CIP Site Establishment</t>
        </is>
      </c>
      <c r="F1224" s="3" t="n">
        <v>4013619.9</v>
      </c>
      <c r="G1224" s="3" t="n">
        <v>7685243.39</v>
      </c>
    </row>
    <row r="1225">
      <c r="A1225" s="3" t="inlineStr">
        <is>
          <t>Heron Fields (Pty) Ltd</t>
        </is>
      </c>
      <c r="B1225" s="4" t="n">
        <v>44712</v>
      </c>
      <c r="C1225" s="3" t="inlineStr">
        <is>
          <t>Assets</t>
        </is>
      </c>
      <c r="D1225" s="3" t="inlineStr">
        <is>
          <t>7620/285</t>
        </is>
      </c>
      <c r="E1225" s="3" t="inlineStr">
        <is>
          <t>HF CIP Structuring Fee - Invest</t>
        </is>
      </c>
      <c r="F1225" s="3" t="n">
        <v>0</v>
      </c>
      <c r="G1225" s="3" t="n">
        <v>2376904.99</v>
      </c>
    </row>
    <row r="1226">
      <c r="A1226" s="3" t="inlineStr">
        <is>
          <t>Heron Fields (Pty) Ltd</t>
        </is>
      </c>
      <c r="B1226" s="4" t="n">
        <v>44712</v>
      </c>
      <c r="C1226" s="3" t="inlineStr">
        <is>
          <t>Assets</t>
        </is>
      </c>
      <c r="D1226" s="3" t="inlineStr">
        <is>
          <t>7620/287</t>
        </is>
      </c>
      <c r="E1226" s="3" t="inlineStr">
        <is>
          <t>HF CIP Structuring Fee - Development</t>
        </is>
      </c>
      <c r="F1226" s="3" t="n">
        <v>0</v>
      </c>
      <c r="G1226" s="3" t="n">
        <v>782608.0699999999</v>
      </c>
    </row>
    <row r="1227">
      <c r="A1227" s="3" t="inlineStr">
        <is>
          <t>Heron Fields (Pty) Ltd</t>
        </is>
      </c>
      <c r="B1227" s="4" t="n">
        <v>44712</v>
      </c>
      <c r="C1227" s="3" t="inlineStr">
        <is>
          <t>Assets</t>
        </is>
      </c>
      <c r="D1227" s="3" t="inlineStr">
        <is>
          <t>7620/290</t>
        </is>
      </c>
      <c r="E1227" s="3" t="inlineStr">
        <is>
          <t>HF CIP Town Planning</t>
        </is>
      </c>
      <c r="F1227" s="3" t="n">
        <v>0</v>
      </c>
      <c r="G1227" s="3" t="n">
        <v>129550</v>
      </c>
    </row>
    <row r="1228">
      <c r="A1228" s="3" t="inlineStr">
        <is>
          <t>Heron Fields (Pty) Ltd</t>
        </is>
      </c>
      <c r="B1228" s="4" t="n">
        <v>44712</v>
      </c>
      <c r="C1228" s="3" t="inlineStr">
        <is>
          <t>Assets</t>
        </is>
      </c>
      <c r="D1228" s="3" t="inlineStr">
        <is>
          <t>7620/295</t>
        </is>
      </c>
      <c r="E1228" s="3" t="inlineStr">
        <is>
          <t>HF CIP Traffic Planning</t>
        </is>
      </c>
      <c r="F1228" s="3" t="n">
        <v>0</v>
      </c>
      <c r="G1228" s="3" t="n">
        <v>45000</v>
      </c>
    </row>
    <row r="1229">
      <c r="A1229" s="3" t="inlineStr">
        <is>
          <t>Heron Fields (Pty) Ltd</t>
        </is>
      </c>
      <c r="B1229" s="4" t="n">
        <v>44712</v>
      </c>
      <c r="C1229" s="3" t="inlineStr">
        <is>
          <t>Assets</t>
        </is>
      </c>
      <c r="D1229" s="3" t="inlineStr">
        <is>
          <t>7620/600</t>
        </is>
      </c>
      <c r="E1229" s="3" t="inlineStr">
        <is>
          <t>HF CIP Eco work</t>
        </is>
      </c>
      <c r="F1229" s="3" t="n">
        <v>6000</v>
      </c>
      <c r="G1229" s="3" t="n">
        <v>77000</v>
      </c>
    </row>
    <row r="1230">
      <c r="A1230" s="3" t="inlineStr">
        <is>
          <t>Heron Fields (Pty) Ltd</t>
        </is>
      </c>
      <c r="B1230" s="4" t="n">
        <v>44712</v>
      </c>
      <c r="C1230" s="3" t="inlineStr">
        <is>
          <t>Assets</t>
        </is>
      </c>
      <c r="D1230" s="3" t="inlineStr">
        <is>
          <t>7620/630</t>
        </is>
      </c>
      <c r="E1230" s="3" t="inlineStr">
        <is>
          <t>HF CIP CoCT development contribution</t>
        </is>
      </c>
      <c r="F1230" s="3" t="n">
        <v>0</v>
      </c>
      <c r="G1230" s="3" t="n">
        <v>749972.41</v>
      </c>
    </row>
    <row r="1231">
      <c r="A1231" s="3" t="inlineStr">
        <is>
          <t>Heron Fields (Pty) Ltd</t>
        </is>
      </c>
      <c r="B1231" s="4" t="n">
        <v>44712</v>
      </c>
      <c r="C1231" s="3" t="inlineStr">
        <is>
          <t>Assets</t>
        </is>
      </c>
      <c r="D1231" s="3" t="inlineStr">
        <is>
          <t>7620/640</t>
        </is>
      </c>
      <c r="E1231" s="3" t="inlineStr">
        <is>
          <t>HF CIP Project costs</t>
        </is>
      </c>
      <c r="F1231" s="3" t="n">
        <v>0</v>
      </c>
      <c r="G1231" s="3" t="n">
        <v>622274.51</v>
      </c>
    </row>
    <row r="1232">
      <c r="A1232" s="3" t="inlineStr">
        <is>
          <t>Cape Projects Construction (Pty) Ltd</t>
        </is>
      </c>
      <c r="B1232" s="4" t="n">
        <v>44712</v>
      </c>
      <c r="C1232" s="3" t="inlineStr">
        <is>
          <t>Assets</t>
        </is>
      </c>
      <c r="D1232" s="3" t="inlineStr">
        <is>
          <t>7800/000</t>
        </is>
      </c>
      <c r="E1232" s="3" t="inlineStr">
        <is>
          <t>Deposits paid</t>
        </is>
      </c>
      <c r="F1232" s="3" t="n">
        <v>0</v>
      </c>
      <c r="G1232" s="3" t="n">
        <v>6875.45</v>
      </c>
    </row>
    <row r="1233">
      <c r="A1233" s="3" t="inlineStr">
        <is>
          <t>Cape Projects Construction (Pty) Ltd</t>
        </is>
      </c>
      <c r="B1233" s="4" t="n">
        <v>44712</v>
      </c>
      <c r="C1233" s="3" t="inlineStr">
        <is>
          <t>Assets</t>
        </is>
      </c>
      <c r="D1233" s="3" t="inlineStr">
        <is>
          <t>8000/000</t>
        </is>
      </c>
      <c r="E1233" s="3" t="inlineStr">
        <is>
          <t>Customer Control Account</t>
        </is>
      </c>
      <c r="F1233" s="3" t="n">
        <v>1985117.36</v>
      </c>
      <c r="G1233" s="3" t="n">
        <v>7654794.12</v>
      </c>
    </row>
    <row r="1234">
      <c r="A1234" s="3" t="inlineStr">
        <is>
          <t>Cape Projects Construction (Pty) Ltd</t>
        </is>
      </c>
      <c r="B1234" s="4" t="n">
        <v>44712</v>
      </c>
      <c r="C1234" s="3" t="inlineStr">
        <is>
          <t>Assets</t>
        </is>
      </c>
      <c r="D1234" s="3" t="inlineStr">
        <is>
          <t>8200/010</t>
        </is>
      </c>
      <c r="E1234" s="3" t="inlineStr">
        <is>
          <t>Prepayments / Prepaid Expenses</t>
        </is>
      </c>
      <c r="F1234" s="3" t="n">
        <v>-5586.53</v>
      </c>
      <c r="G1234" s="3" t="n">
        <v>32928.57</v>
      </c>
    </row>
    <row r="1235">
      <c r="A1235" s="3" t="inlineStr">
        <is>
          <t>Heron Fields (Pty) Ltd</t>
        </is>
      </c>
      <c r="B1235" s="4" t="n">
        <v>44712</v>
      </c>
      <c r="C1235" s="3" t="inlineStr">
        <is>
          <t>Assets</t>
        </is>
      </c>
      <c r="D1235" s="3" t="inlineStr">
        <is>
          <t>8200/200</t>
        </is>
      </c>
      <c r="E1235" s="3" t="inlineStr">
        <is>
          <t>Sundry Debtor - Quinate</t>
        </is>
      </c>
      <c r="F1235" s="3" t="n">
        <v>-300000</v>
      </c>
      <c r="G1235" s="3" t="n">
        <v>0</v>
      </c>
    </row>
    <row r="1236">
      <c r="A1236" s="3" t="inlineStr">
        <is>
          <t>Heron Fields (Pty) Ltd</t>
        </is>
      </c>
      <c r="B1236" s="4" t="n">
        <v>44712</v>
      </c>
      <c r="C1236" s="3" t="inlineStr">
        <is>
          <t>Assets</t>
        </is>
      </c>
      <c r="D1236" s="3" t="inlineStr">
        <is>
          <t>8400/000</t>
        </is>
      </c>
      <c r="E1236" s="3" t="inlineStr">
        <is>
          <t>RMB - 62882379087</t>
        </is>
      </c>
      <c r="F1236" s="3" t="n">
        <v>1373413.49</v>
      </c>
      <c r="G1236" s="3" t="n">
        <v>1389482.57</v>
      </c>
    </row>
    <row r="1237">
      <c r="A1237" s="3" t="inlineStr">
        <is>
          <t>Cape Projects Construction (Pty) Ltd</t>
        </is>
      </c>
      <c r="B1237" s="4" t="n">
        <v>44712</v>
      </c>
      <c r="C1237" s="3" t="inlineStr">
        <is>
          <t>Assets</t>
        </is>
      </c>
      <c r="D1237" s="3" t="inlineStr">
        <is>
          <t>8400/000</t>
        </is>
      </c>
      <c r="E1237" s="3" t="inlineStr">
        <is>
          <t>RMB 62275138470</t>
        </is>
      </c>
      <c r="F1237" s="3" t="n">
        <v>-135598.42</v>
      </c>
      <c r="G1237" s="3" t="n">
        <v>47717.03</v>
      </c>
    </row>
    <row r="1238">
      <c r="A1238" s="3" t="inlineStr">
        <is>
          <t>Cape Projects Construction (Pty) Ltd</t>
        </is>
      </c>
      <c r="B1238" s="4" t="n">
        <v>44712</v>
      </c>
      <c r="C1238" s="3" t="inlineStr">
        <is>
          <t>Assets</t>
        </is>
      </c>
      <c r="D1238" s="3" t="inlineStr">
        <is>
          <t>8420/000</t>
        </is>
      </c>
      <c r="E1238" s="3" t="inlineStr">
        <is>
          <t>Momentum Priv Acc RU502230981</t>
        </is>
      </c>
      <c r="F1238" s="3" t="n">
        <v>4.12</v>
      </c>
      <c r="G1238" s="3" t="n">
        <v>515.78</v>
      </c>
    </row>
    <row r="1239">
      <c r="A1239" s="3" t="inlineStr">
        <is>
          <t>Heron Fields (Pty) Ltd</t>
        </is>
      </c>
      <c r="B1239" s="4" t="n">
        <v>44712</v>
      </c>
      <c r="C1239" s="3" t="inlineStr">
        <is>
          <t>Assets</t>
        </is>
      </c>
      <c r="D1239" s="3" t="inlineStr">
        <is>
          <t>8430/000</t>
        </is>
      </c>
      <c r="E1239" s="3" t="inlineStr">
        <is>
          <t>Momentum Private Account RU502230151</t>
        </is>
      </c>
      <c r="F1239" s="3" t="n">
        <v>2.88</v>
      </c>
      <c r="G1239" s="3" t="n">
        <v>793.28</v>
      </c>
    </row>
    <row r="1240">
      <c r="A1240" s="3" t="inlineStr">
        <is>
          <t>Heron Fields (Pty) Ltd</t>
        </is>
      </c>
      <c r="B1240" s="4" t="n">
        <v>44712</v>
      </c>
      <c r="C1240" s="3" t="inlineStr">
        <is>
          <t>Assets</t>
        </is>
      </c>
      <c r="D1240" s="3" t="inlineStr">
        <is>
          <t>8440/000</t>
        </is>
      </c>
      <c r="E1240" s="3" t="inlineStr">
        <is>
          <t>Momentum Investors Account RU502229930</t>
        </is>
      </c>
      <c r="F1240" s="3" t="n">
        <v>6595964.96</v>
      </c>
      <c r="G1240" s="3" t="n">
        <v>8363082.63</v>
      </c>
    </row>
    <row r="1241">
      <c r="A1241" s="3" t="inlineStr">
        <is>
          <t>Cape Projects Construction (Pty) Ltd</t>
        </is>
      </c>
      <c r="B1241" s="4" t="n">
        <v>44712</v>
      </c>
      <c r="C1241" s="3" t="inlineStr">
        <is>
          <t>Liabilities</t>
        </is>
      </c>
      <c r="D1241" s="3" t="inlineStr">
        <is>
          <t>860</t>
        </is>
      </c>
      <c r="E1241" s="3" t="inlineStr">
        <is>
          <t>Rounding</t>
        </is>
      </c>
      <c r="F1241" s="3" t="n">
        <v>0</v>
      </c>
      <c r="G1241" s="3" t="n">
        <v>-0.03</v>
      </c>
    </row>
    <row r="1242">
      <c r="A1242" s="3" t="inlineStr">
        <is>
          <t>Heron Fields (Pty) Ltd</t>
        </is>
      </c>
      <c r="B1242" s="4" t="n">
        <v>44712</v>
      </c>
      <c r="C1242" s="3" t="inlineStr">
        <is>
          <t>Liabilities</t>
        </is>
      </c>
      <c r="D1242" s="3" t="inlineStr">
        <is>
          <t>860</t>
        </is>
      </c>
      <c r="E1242" s="3" t="inlineStr">
        <is>
          <t>Rounding</t>
        </is>
      </c>
      <c r="F1242" s="3" t="n">
        <v>0</v>
      </c>
      <c r="G1242" s="3" t="n">
        <v>0.01</v>
      </c>
    </row>
    <row r="1243">
      <c r="A1243" s="3" t="inlineStr">
        <is>
          <t>Cape Projects Construction (Pty) Ltd</t>
        </is>
      </c>
      <c r="B1243" s="4" t="n">
        <v>44712</v>
      </c>
      <c r="C1243" s="3" t="inlineStr">
        <is>
          <t>Liabilities</t>
        </is>
      </c>
      <c r="D1243" s="3" t="inlineStr">
        <is>
          <t>9000/000</t>
        </is>
      </c>
      <c r="E1243" s="3" t="inlineStr">
        <is>
          <t>Supplier Control Account</t>
        </is>
      </c>
      <c r="F1243" s="3" t="n">
        <v>-1431977.96</v>
      </c>
      <c r="G1243" s="3" t="n">
        <v>-5280396.24</v>
      </c>
    </row>
    <row r="1244">
      <c r="A1244" s="3" t="inlineStr">
        <is>
          <t>Heron Fields (Pty) Ltd</t>
        </is>
      </c>
      <c r="B1244" s="4" t="n">
        <v>44712</v>
      </c>
      <c r="C1244" s="3" t="inlineStr">
        <is>
          <t>Liabilities</t>
        </is>
      </c>
      <c r="D1244" s="3" t="inlineStr">
        <is>
          <t>9000/000</t>
        </is>
      </c>
      <c r="E1244" s="3" t="inlineStr">
        <is>
          <t>Supplier Control Account</t>
        </is>
      </c>
      <c r="F1244" s="3" t="n">
        <v>-12561963.99</v>
      </c>
      <c r="G1244" s="3" t="n">
        <v>-61981663.64</v>
      </c>
    </row>
    <row r="1245">
      <c r="A1245" s="3" t="inlineStr">
        <is>
          <t>Heron View (Pty) Ltd</t>
        </is>
      </c>
      <c r="B1245" s="4" t="n">
        <v>44712</v>
      </c>
      <c r="C1245" s="3" t="inlineStr">
        <is>
          <t>Liabilities</t>
        </is>
      </c>
      <c r="D1245" s="3" t="inlineStr">
        <is>
          <t>9000/000</t>
        </is>
      </c>
      <c r="E1245" s="3" t="inlineStr">
        <is>
          <t>Supplier Control Account</t>
        </is>
      </c>
      <c r="F1245" s="3" t="n">
        <v>4510</v>
      </c>
      <c r="G1245" s="3" t="n">
        <v>8650</v>
      </c>
    </row>
    <row r="1246">
      <c r="A1246" s="3" t="inlineStr">
        <is>
          <t>Cape Projects Construction (Pty) Ltd</t>
        </is>
      </c>
      <c r="B1246" s="4" t="n">
        <v>44712</v>
      </c>
      <c r="C1246" s="3" t="inlineStr">
        <is>
          <t>Liabilities</t>
        </is>
      </c>
      <c r="D1246" s="3" t="inlineStr">
        <is>
          <t>9200/000</t>
        </is>
      </c>
      <c r="E1246" s="3" t="inlineStr">
        <is>
          <t>Sundry Suppliers</t>
        </is>
      </c>
      <c r="F1246" s="3" t="n">
        <v>0</v>
      </c>
      <c r="G1246" s="3" t="n">
        <v>1186.13</v>
      </c>
    </row>
    <row r="1247">
      <c r="A1247" s="3" t="inlineStr">
        <is>
          <t>Cape Projects Construction (Pty) Ltd</t>
        </is>
      </c>
      <c r="B1247" s="4" t="n">
        <v>44712</v>
      </c>
      <c r="C1247" s="3" t="inlineStr">
        <is>
          <t>Liabilities</t>
        </is>
      </c>
      <c r="D1247" s="3" t="inlineStr">
        <is>
          <t>9250/010</t>
        </is>
      </c>
      <c r="E1247" s="3" t="inlineStr">
        <is>
          <t>SALARY CONTROL</t>
        </is>
      </c>
      <c r="F1247" s="3" t="n">
        <v>0</v>
      </c>
      <c r="G1247" s="3" t="n">
        <v>20758.54</v>
      </c>
    </row>
    <row r="1248">
      <c r="A1248" s="3" t="inlineStr">
        <is>
          <t>Cape Projects Construction (Pty) Ltd</t>
        </is>
      </c>
      <c r="B1248" s="4" t="n">
        <v>44712</v>
      </c>
      <c r="C1248" s="3" t="inlineStr">
        <is>
          <t>Liabilities</t>
        </is>
      </c>
      <c r="D1248" s="3" t="inlineStr">
        <is>
          <t>9250/020</t>
        </is>
      </c>
      <c r="E1248" s="3" t="inlineStr">
        <is>
          <t>PAYE, UIF AND SDL CONTROL</t>
        </is>
      </c>
      <c r="F1248" s="3" t="n">
        <v>10572.14</v>
      </c>
      <c r="G1248" s="3" t="n">
        <v>-40636.81</v>
      </c>
    </row>
    <row r="1249">
      <c r="A1249" s="3" t="inlineStr">
        <is>
          <t>Cape Projects Construction (Pty) Ltd</t>
        </is>
      </c>
      <c r="B1249" s="4" t="n">
        <v>44712</v>
      </c>
      <c r="C1249" s="3" t="inlineStr">
        <is>
          <t>Liabilities</t>
        </is>
      </c>
      <c r="D1249" s="3" t="inlineStr">
        <is>
          <t>9250/030</t>
        </is>
      </c>
      <c r="E1249" s="3" t="inlineStr">
        <is>
          <t>BIBC CONTROL</t>
        </is>
      </c>
      <c r="F1249" s="3" t="n">
        <v>-5159.58</v>
      </c>
      <c r="G1249" s="3" t="n">
        <v>-5977.82</v>
      </c>
    </row>
    <row r="1250">
      <c r="A1250" s="3" t="inlineStr">
        <is>
          <t>Cape Projects Construction (Pty) Ltd</t>
        </is>
      </c>
      <c r="B1250" s="4" t="n">
        <v>44712</v>
      </c>
      <c r="C1250" s="3" t="inlineStr">
        <is>
          <t>Liabilities</t>
        </is>
      </c>
      <c r="D1250" s="3" t="inlineStr">
        <is>
          <t>9500/000</t>
        </is>
      </c>
      <c r="E1250" s="3" t="inlineStr">
        <is>
          <t>VAT Control Account</t>
        </is>
      </c>
      <c r="F1250" s="3" t="n">
        <v>-234644.45</v>
      </c>
      <c r="G1250" s="3" t="n">
        <v>-1321521.72</v>
      </c>
    </row>
    <row r="1251">
      <c r="A1251" s="3" t="inlineStr">
        <is>
          <t>Heron Fields (Pty) Ltd</t>
        </is>
      </c>
      <c r="B1251" s="4" t="n">
        <v>44712</v>
      </c>
      <c r="C1251" s="3" t="inlineStr">
        <is>
          <t>Liabilities</t>
        </is>
      </c>
      <c r="D1251" s="3" t="inlineStr">
        <is>
          <t>9500/000</t>
        </is>
      </c>
      <c r="E1251" s="3" t="inlineStr">
        <is>
          <t>Vat / Tax Control Account</t>
        </is>
      </c>
      <c r="F1251" s="3" t="n">
        <v>671339.61</v>
      </c>
      <c r="G1251" s="3" t="n">
        <v>1218261.5</v>
      </c>
    </row>
    <row r="1252">
      <c r="A1252" s="3" t="inlineStr">
        <is>
          <t>Heron View (Pty) Ltd</t>
        </is>
      </c>
      <c r="B1252" s="4" t="n">
        <v>44712</v>
      </c>
      <c r="C1252" s="3" t="inlineStr">
        <is>
          <t>Liabilities</t>
        </is>
      </c>
      <c r="D1252" s="3" t="inlineStr">
        <is>
          <t>9500/000</t>
        </is>
      </c>
      <c r="E1252" s="3" t="inlineStr">
        <is>
          <t>Vat / Tax Control Account</t>
        </is>
      </c>
      <c r="F1252" s="3" t="n">
        <v>90</v>
      </c>
      <c r="G1252" s="3" t="n">
        <v>270</v>
      </c>
    </row>
    <row r="1253">
      <c r="A1253" s="3" t="inlineStr">
        <is>
          <t>Cape Projects Construction (Pty) Ltd</t>
        </is>
      </c>
      <c r="B1253" s="4" t="n">
        <v>44712</v>
      </c>
      <c r="C1253" s="3" t="inlineStr">
        <is>
          <t>Liabilities</t>
        </is>
      </c>
      <c r="D1253" s="3" t="inlineStr">
        <is>
          <t>9990/000</t>
        </is>
      </c>
      <c r="E1253" s="3" t="inlineStr">
        <is>
          <t>Opening Balance / Suspense Account</t>
        </is>
      </c>
      <c r="F1253" s="3" t="n">
        <v>-168366.25</v>
      </c>
      <c r="G1253" s="3" t="n">
        <v>80</v>
      </c>
    </row>
    <row r="1254">
      <c r="A1254" s="3" t="inlineStr">
        <is>
          <t>Cape Projects Construction (Pty) Ltd</t>
        </is>
      </c>
      <c r="B1254" s="4" t="n">
        <v>44712</v>
      </c>
      <c r="C1254" s="3" t="inlineStr">
        <is>
          <t>Liabilities</t>
        </is>
      </c>
      <c r="D1254" s="3" t="inlineStr">
        <is>
          <t>B/S</t>
        </is>
      </c>
      <c r="E1254" s="3" t="inlineStr">
        <is>
          <t>Taxation Payable</t>
        </is>
      </c>
      <c r="F1254" s="3" t="n">
        <v>0</v>
      </c>
      <c r="G1254" s="3" t="n">
        <v>1869.8</v>
      </c>
    </row>
    <row r="1255">
      <c r="A1255" s="3" t="inlineStr">
        <is>
          <t>Cape Projects Construction (Pty) Ltd</t>
        </is>
      </c>
      <c r="B1255" s="4" t="n">
        <v>44712</v>
      </c>
      <c r="C1255" s="3" t="inlineStr">
        <is>
          <t>Liabilities</t>
        </is>
      </c>
      <c r="D1255" s="3" t="inlineStr">
        <is>
          <t>TEMP/ACC</t>
        </is>
      </c>
      <c r="E1255" s="3" t="inlineStr">
        <is>
          <t>Conversion Account</t>
        </is>
      </c>
      <c r="F1255" s="3" t="n">
        <v>0</v>
      </c>
      <c r="G1255" s="3" t="n">
        <v>-254.99</v>
      </c>
    </row>
    <row r="1256">
      <c r="A1256" s="3" t="inlineStr">
        <is>
          <t>Cape Projects Construction (Pty) Ltd</t>
        </is>
      </c>
      <c r="B1256" s="4" t="n">
        <v>44742</v>
      </c>
      <c r="C1256" s="3" t="inlineStr">
        <is>
          <t>Revenue</t>
        </is>
      </c>
      <c r="D1256" s="3" t="inlineStr">
        <is>
          <t>1040/100</t>
        </is>
      </c>
      <c r="E1256" s="3" t="inlineStr">
        <is>
          <t>Fees - Construction - Heron</t>
        </is>
      </c>
      <c r="F1256" s="3" t="n">
        <v>-5468173.62</v>
      </c>
      <c r="G1256" s="3" t="n">
        <v>-11183687.32</v>
      </c>
    </row>
    <row r="1257">
      <c r="A1257" s="3" t="inlineStr">
        <is>
          <t>Cape Projects Construction (Pty) Ltd</t>
        </is>
      </c>
      <c r="B1257" s="4" t="n">
        <v>44742</v>
      </c>
      <c r="C1257" s="3" t="inlineStr">
        <is>
          <t>Revenue</t>
        </is>
      </c>
      <c r="D1257" s="3" t="inlineStr">
        <is>
          <t>1050/030</t>
        </is>
      </c>
      <c r="E1257" s="3" t="inlineStr">
        <is>
          <t>Fees - Construction - Endulini</t>
        </is>
      </c>
      <c r="F1257" s="3" t="n">
        <v>-11339330.6</v>
      </c>
      <c r="G1257" s="3" t="n">
        <v>-22452442.41</v>
      </c>
    </row>
    <row r="1258">
      <c r="A1258" s="3" t="inlineStr">
        <is>
          <t>Cape Projects Construction (Pty) Ltd</t>
        </is>
      </c>
      <c r="B1258" s="4" t="n">
        <v>44742</v>
      </c>
      <c r="C1258" s="3" t="inlineStr">
        <is>
          <t>Revenue</t>
        </is>
      </c>
      <c r="D1258" s="3" t="inlineStr">
        <is>
          <t>1051/100</t>
        </is>
      </c>
      <c r="E1258" s="3" t="inlineStr">
        <is>
          <t>Fees - Construction - Heron Fields</t>
        </is>
      </c>
      <c r="F1258" s="3" t="n">
        <v>0</v>
      </c>
      <c r="G1258" s="3" t="n">
        <v>-1782369.8</v>
      </c>
    </row>
    <row r="1259">
      <c r="A1259" s="3" t="inlineStr">
        <is>
          <t>Cape Projects Construction (Pty) Ltd</t>
        </is>
      </c>
      <c r="B1259" s="4" t="n">
        <v>44742</v>
      </c>
      <c r="C1259" s="3" t="inlineStr">
        <is>
          <t>Revenue</t>
        </is>
      </c>
      <c r="D1259" s="3" t="inlineStr">
        <is>
          <t>1060/000</t>
        </is>
      </c>
      <c r="E1259" s="3" t="inlineStr">
        <is>
          <t>Insurance recovery</t>
        </is>
      </c>
      <c r="F1259" s="3" t="n">
        <v>0</v>
      </c>
      <c r="G1259" s="3" t="n">
        <v>-2839.7</v>
      </c>
    </row>
    <row r="1260">
      <c r="A1260" s="3" t="inlineStr">
        <is>
          <t>Cape Projects Construction (Pty) Ltd</t>
        </is>
      </c>
      <c r="B1260" s="4" t="n">
        <v>44742</v>
      </c>
      <c r="C1260" s="3" t="inlineStr">
        <is>
          <t>Revenue</t>
        </is>
      </c>
      <c r="D1260" s="3" t="inlineStr">
        <is>
          <t>1070/000</t>
        </is>
      </c>
      <c r="E1260" s="3" t="inlineStr">
        <is>
          <t>Rent - CT Office</t>
        </is>
      </c>
      <c r="F1260" s="3" t="n">
        <v>-3490.94</v>
      </c>
      <c r="G1260" s="3" t="n">
        <v>-13963.76</v>
      </c>
    </row>
    <row r="1261">
      <c r="A1261" s="3" t="inlineStr">
        <is>
          <t>Cape Projects Construction (Pty) Ltd</t>
        </is>
      </c>
      <c r="B1261" s="4" t="n">
        <v>44742</v>
      </c>
      <c r="C1261" s="3" t="inlineStr">
        <is>
          <t>Revenue</t>
        </is>
      </c>
      <c r="D1261" s="3" t="inlineStr">
        <is>
          <t>1080/000</t>
        </is>
      </c>
      <c r="E1261" s="3" t="inlineStr">
        <is>
          <t>Other income</t>
        </is>
      </c>
      <c r="F1261" s="3" t="n">
        <v>104</v>
      </c>
      <c r="G1261" s="3" t="n">
        <v>0</v>
      </c>
    </row>
    <row r="1262">
      <c r="A1262" s="3" t="inlineStr">
        <is>
          <t>Heron Fields (Pty) Ltd</t>
        </is>
      </c>
      <c r="B1262" s="4" t="n">
        <v>44742</v>
      </c>
      <c r="C1262" s="3" t="inlineStr">
        <is>
          <t>Expenses</t>
        </is>
      </c>
      <c r="D1262" s="3" t="inlineStr">
        <is>
          <t>2000/030</t>
        </is>
      </c>
      <c r="E1262" s="3" t="inlineStr">
        <is>
          <t>COS - Commission Heron Fields investors</t>
        </is>
      </c>
      <c r="F1262" s="3" t="n">
        <v>86956.52</v>
      </c>
      <c r="G1262" s="3" t="n">
        <v>86956.52</v>
      </c>
    </row>
    <row r="1263">
      <c r="A1263" s="3" t="inlineStr">
        <is>
          <t>Cape Projects Construction (Pty) Ltd</t>
        </is>
      </c>
      <c r="B1263" s="4" t="n">
        <v>44742</v>
      </c>
      <c r="C1263" s="3" t="inlineStr">
        <is>
          <t>Expenses</t>
        </is>
      </c>
      <c r="D1263" s="3" t="inlineStr">
        <is>
          <t>2005/200</t>
        </is>
      </c>
      <c r="E1263" s="3" t="inlineStr">
        <is>
          <t>COS - External Works</t>
        </is>
      </c>
      <c r="F1263" s="3" t="n">
        <v>0</v>
      </c>
      <c r="G1263" s="3" t="n">
        <v>957.28</v>
      </c>
    </row>
    <row r="1264">
      <c r="A1264" s="3" t="inlineStr">
        <is>
          <t>Cape Projects Construction (Pty) Ltd</t>
        </is>
      </c>
      <c r="B1264" s="4" t="n">
        <v>44742</v>
      </c>
      <c r="C1264" s="3" t="inlineStr">
        <is>
          <t>Expenses</t>
        </is>
      </c>
      <c r="D1264" s="3" t="inlineStr">
        <is>
          <t>2006/000</t>
        </is>
      </c>
      <c r="E1264" s="3" t="inlineStr">
        <is>
          <t>COS - Endulini Construction</t>
        </is>
      </c>
      <c r="F1264" s="3" t="n">
        <v>2300399.51</v>
      </c>
      <c r="G1264" s="3" t="n">
        <v>11572916.58</v>
      </c>
    </row>
    <row r="1265">
      <c r="A1265" s="3" t="inlineStr">
        <is>
          <t>Cape Projects Construction (Pty) Ltd</t>
        </is>
      </c>
      <c r="B1265" s="4" t="n">
        <v>44742</v>
      </c>
      <c r="C1265" s="3" t="inlineStr">
        <is>
          <t>Expenses</t>
        </is>
      </c>
      <c r="D1265" s="3" t="inlineStr">
        <is>
          <t>2006/100</t>
        </is>
      </c>
      <c r="E1265" s="3" t="inlineStr">
        <is>
          <t>COS - Endulini P and G</t>
        </is>
      </c>
      <c r="F1265" s="3" t="n">
        <v>141455.83</v>
      </c>
      <c r="G1265" s="3" t="n">
        <v>579248.59</v>
      </c>
    </row>
    <row r="1266">
      <c r="A1266" s="3" t="inlineStr">
        <is>
          <t>Cape Projects Construction (Pty) Ltd</t>
        </is>
      </c>
      <c r="B1266" s="4" t="n">
        <v>44742</v>
      </c>
      <c r="C1266" s="3" t="inlineStr">
        <is>
          <t>Expenses</t>
        </is>
      </c>
      <c r="D1266" s="3" t="inlineStr">
        <is>
          <t>2006/200</t>
        </is>
      </c>
      <c r="E1266" s="3" t="inlineStr">
        <is>
          <t>COS - Insurance</t>
        </is>
      </c>
      <c r="F1266" s="3" t="n">
        <v>5586.53</v>
      </c>
      <c r="G1266" s="3" t="n">
        <v>20986.4</v>
      </c>
    </row>
    <row r="1267">
      <c r="A1267" s="3" t="inlineStr">
        <is>
          <t>Cape Projects Construction (Pty) Ltd</t>
        </is>
      </c>
      <c r="B1267" s="4" t="n">
        <v>44742</v>
      </c>
      <c r="C1267" s="3" t="inlineStr">
        <is>
          <t>Expenses</t>
        </is>
      </c>
      <c r="D1267" s="3" t="inlineStr">
        <is>
          <t>2006/300</t>
        </is>
      </c>
      <c r="E1267" s="3" t="inlineStr">
        <is>
          <t>COS - Endulini - Printing &amp; Stationary</t>
        </is>
      </c>
      <c r="F1267" s="3" t="n">
        <v>0</v>
      </c>
      <c r="G1267" s="3" t="n">
        <v>269.65</v>
      </c>
    </row>
    <row r="1268">
      <c r="A1268" s="3" t="inlineStr">
        <is>
          <t>Cape Projects Construction (Pty) Ltd</t>
        </is>
      </c>
      <c r="B1268" s="4" t="n">
        <v>44742</v>
      </c>
      <c r="C1268" s="3" t="inlineStr">
        <is>
          <t>Expenses</t>
        </is>
      </c>
      <c r="D1268" s="3" t="inlineStr">
        <is>
          <t>2006/350</t>
        </is>
      </c>
      <c r="E1268" s="3" t="inlineStr">
        <is>
          <t>COS - Endulini - Security</t>
        </is>
      </c>
      <c r="F1268" s="3" t="n">
        <v>0</v>
      </c>
      <c r="G1268" s="3" t="n">
        <v>11000</v>
      </c>
    </row>
    <row r="1269">
      <c r="A1269" s="3" t="inlineStr">
        <is>
          <t>Cape Projects Construction (Pty) Ltd</t>
        </is>
      </c>
      <c r="B1269" s="4" t="n">
        <v>44742</v>
      </c>
      <c r="C1269" s="3" t="inlineStr">
        <is>
          <t>Expenses</t>
        </is>
      </c>
      <c r="D1269" s="3" t="inlineStr">
        <is>
          <t>2006/400</t>
        </is>
      </c>
      <c r="E1269" s="3" t="inlineStr">
        <is>
          <t>COS - Endulini - Health &amp; Safety</t>
        </is>
      </c>
      <c r="F1269" s="3" t="n">
        <v>4000</v>
      </c>
      <c r="G1269" s="3" t="n">
        <v>16000</v>
      </c>
    </row>
    <row r="1270">
      <c r="A1270" s="3" t="inlineStr">
        <is>
          <t>Cape Projects Construction (Pty) Ltd</t>
        </is>
      </c>
      <c r="B1270" s="4" t="n">
        <v>44742</v>
      </c>
      <c r="C1270" s="3" t="inlineStr">
        <is>
          <t>Expenses</t>
        </is>
      </c>
      <c r="D1270" s="3" t="inlineStr">
        <is>
          <t>2006/700</t>
        </is>
      </c>
      <c r="E1270" s="3" t="inlineStr">
        <is>
          <t>COS - Endulini - Fuel</t>
        </is>
      </c>
      <c r="F1270" s="3" t="n">
        <v>0</v>
      </c>
      <c r="G1270" s="3" t="n">
        <v>2473.65</v>
      </c>
    </row>
    <row r="1271">
      <c r="A1271" s="3" t="inlineStr">
        <is>
          <t>Cape Projects Construction (Pty) Ltd</t>
        </is>
      </c>
      <c r="B1271" s="4" t="n">
        <v>44742</v>
      </c>
      <c r="C1271" s="3" t="inlineStr">
        <is>
          <t>Expenses</t>
        </is>
      </c>
      <c r="D1271" s="3" t="inlineStr">
        <is>
          <t>2006/800</t>
        </is>
      </c>
      <c r="E1271" s="3" t="inlineStr">
        <is>
          <t>COS - Endulini - Telephone &amp; Internet</t>
        </is>
      </c>
      <c r="F1271" s="3" t="n">
        <v>0</v>
      </c>
      <c r="G1271" s="3" t="n">
        <v>937.39</v>
      </c>
    </row>
    <row r="1272">
      <c r="A1272" s="3" t="inlineStr">
        <is>
          <t>Cape Projects Construction (Pty) Ltd</t>
        </is>
      </c>
      <c r="B1272" s="4" t="n">
        <v>44742</v>
      </c>
      <c r="C1272" s="3" t="inlineStr">
        <is>
          <t>Expenses</t>
        </is>
      </c>
      <c r="D1272" s="3" t="inlineStr">
        <is>
          <t>2007/000</t>
        </is>
      </c>
      <c r="E1272" s="3" t="inlineStr">
        <is>
          <t>COS - Repairs &amp; Maintenance - SW Southwark</t>
        </is>
      </c>
      <c r="F1272" s="3" t="n">
        <v>0</v>
      </c>
      <c r="G1272" s="3" t="n">
        <v>2418.26</v>
      </c>
    </row>
    <row r="1273">
      <c r="A1273" s="3" t="inlineStr">
        <is>
          <t>Cape Projects Construction (Pty) Ltd</t>
        </is>
      </c>
      <c r="B1273" s="4" t="n">
        <v>44742</v>
      </c>
      <c r="C1273" s="3" t="inlineStr">
        <is>
          <t>Expenses</t>
        </is>
      </c>
      <c r="D1273" s="3" t="inlineStr">
        <is>
          <t>2011/300</t>
        </is>
      </c>
      <c r="E1273" s="3" t="inlineStr">
        <is>
          <t>COS - Heron Fields - Printing &amp; Stationary</t>
        </is>
      </c>
      <c r="F1273" s="3" t="n">
        <v>0</v>
      </c>
      <c r="G1273" s="3" t="n">
        <v>2952.7</v>
      </c>
    </row>
    <row r="1274">
      <c r="A1274" s="3" t="inlineStr">
        <is>
          <t>Cape Projects Construction (Pty) Ltd</t>
        </is>
      </c>
      <c r="B1274" s="4" t="n">
        <v>44742</v>
      </c>
      <c r="C1274" s="3" t="inlineStr">
        <is>
          <t>Expenses</t>
        </is>
      </c>
      <c r="D1274" s="3" t="inlineStr">
        <is>
          <t>2011/500</t>
        </is>
      </c>
      <c r="E1274" s="3" t="inlineStr">
        <is>
          <t>COS - Heron Fields - Construction</t>
        </is>
      </c>
      <c r="F1274" s="3" t="n">
        <v>2326102.06</v>
      </c>
      <c r="G1274" s="3" t="n">
        <v>9020578.359999999</v>
      </c>
    </row>
    <row r="1275">
      <c r="A1275" s="3" t="inlineStr">
        <is>
          <t>Cape Projects Construction (Pty) Ltd</t>
        </is>
      </c>
      <c r="B1275" s="4" t="n">
        <v>44742</v>
      </c>
      <c r="C1275" s="3" t="inlineStr">
        <is>
          <t>Expenses</t>
        </is>
      </c>
      <c r="D1275" s="3" t="inlineStr">
        <is>
          <t>2011/600</t>
        </is>
      </c>
      <c r="E1275" s="3" t="inlineStr">
        <is>
          <t>COS - Heron Fields - P &amp; G</t>
        </is>
      </c>
      <c r="F1275" s="3" t="n">
        <v>246746.39</v>
      </c>
      <c r="G1275" s="3" t="n">
        <v>844567.17</v>
      </c>
    </row>
    <row r="1276">
      <c r="A1276" s="3" t="inlineStr">
        <is>
          <t>Cape Projects Construction (Pty) Ltd</t>
        </is>
      </c>
      <c r="B1276" s="4" t="n">
        <v>44742</v>
      </c>
      <c r="C1276" s="3" t="inlineStr">
        <is>
          <t>Expenses</t>
        </is>
      </c>
      <c r="D1276" s="3" t="inlineStr">
        <is>
          <t>2011/700</t>
        </is>
      </c>
      <c r="E1276" s="3" t="inlineStr">
        <is>
          <t>COS - Heron Fields - Health &amp; Safety</t>
        </is>
      </c>
      <c r="F1276" s="3" t="n">
        <v>4000</v>
      </c>
      <c r="G1276" s="3" t="n">
        <v>18286.3</v>
      </c>
    </row>
    <row r="1277">
      <c r="A1277" s="3" t="inlineStr">
        <is>
          <t>Cape Projects Construction (Pty) Ltd</t>
        </is>
      </c>
      <c r="B1277" s="4" t="n">
        <v>44742</v>
      </c>
      <c r="C1277" s="3" t="inlineStr">
        <is>
          <t>Expenses</t>
        </is>
      </c>
      <c r="D1277" s="3" t="inlineStr">
        <is>
          <t>2011/900</t>
        </is>
      </c>
      <c r="E1277" s="3" t="inlineStr">
        <is>
          <t>COS - Heron - Internet</t>
        </is>
      </c>
      <c r="F1277" s="3" t="n">
        <v>607.83</v>
      </c>
      <c r="G1277" s="3" t="n">
        <v>2238.64</v>
      </c>
    </row>
    <row r="1278">
      <c r="A1278" s="3" t="inlineStr">
        <is>
          <t>Cape Projects Construction (Pty) Ltd</t>
        </is>
      </c>
      <c r="B1278" s="4" t="n">
        <v>44742</v>
      </c>
      <c r="C1278" s="3" t="inlineStr">
        <is>
          <t>Expenses</t>
        </is>
      </c>
      <c r="D1278" s="3" t="inlineStr">
        <is>
          <t>2011/950</t>
        </is>
      </c>
      <c r="E1278" s="3" t="inlineStr">
        <is>
          <t>COS - Heron Fields - Security</t>
        </is>
      </c>
      <c r="F1278" s="3" t="n">
        <v>4782.61</v>
      </c>
      <c r="G1278" s="3" t="n">
        <v>9565.219999999999</v>
      </c>
    </row>
    <row r="1279">
      <c r="A1279" s="3" t="inlineStr">
        <is>
          <t>Cape Projects Construction (Pty) Ltd</t>
        </is>
      </c>
      <c r="B1279" s="4" t="n">
        <v>44742</v>
      </c>
      <c r="C1279" s="3" t="inlineStr">
        <is>
          <t>Revenue</t>
        </is>
      </c>
      <c r="D1279" s="3" t="inlineStr">
        <is>
          <t>2750/000</t>
        </is>
      </c>
      <c r="E1279" s="3" t="inlineStr">
        <is>
          <t>Interest Received - FNB</t>
        </is>
      </c>
      <c r="F1279" s="3" t="n">
        <v>0</v>
      </c>
      <c r="G1279" s="3" t="n">
        <v>-3.49</v>
      </c>
    </row>
    <row r="1280">
      <c r="A1280" s="3" t="inlineStr">
        <is>
          <t>Cape Projects Construction (Pty) Ltd</t>
        </is>
      </c>
      <c r="B1280" s="4" t="n">
        <v>44742</v>
      </c>
      <c r="C1280" s="3" t="inlineStr">
        <is>
          <t>Revenue</t>
        </is>
      </c>
      <c r="D1280" s="3" t="inlineStr">
        <is>
          <t>2751/001</t>
        </is>
      </c>
      <c r="E1280" s="3" t="inlineStr">
        <is>
          <t>Interest received - Momentum</t>
        </is>
      </c>
      <c r="F1280" s="3" t="n">
        <v>-2.15</v>
      </c>
      <c r="G1280" s="3" t="n">
        <v>-8.289999999999999</v>
      </c>
    </row>
    <row r="1281">
      <c r="A1281" s="3" t="inlineStr">
        <is>
          <t>Heron Fields (Pty) Ltd</t>
        </is>
      </c>
      <c r="B1281" s="4" t="n">
        <v>44742</v>
      </c>
      <c r="C1281" s="3" t="inlineStr">
        <is>
          <t>Revenue</t>
        </is>
      </c>
      <c r="D1281" s="3" t="inlineStr">
        <is>
          <t>2755/001</t>
        </is>
      </c>
      <c r="E1281" s="3" t="inlineStr">
        <is>
          <t>Interest Received - Momentum</t>
        </is>
      </c>
      <c r="F1281" s="3" t="n">
        <v>-59954.34</v>
      </c>
      <c r="G1281" s="3" t="n">
        <v>-121135.11</v>
      </c>
    </row>
    <row r="1282">
      <c r="A1282" s="3" t="inlineStr">
        <is>
          <t>Cape Projects Construction (Pty) Ltd</t>
        </is>
      </c>
      <c r="B1282" s="4" t="n">
        <v>44742</v>
      </c>
      <c r="C1282" s="3" t="inlineStr">
        <is>
          <t>Expenses</t>
        </is>
      </c>
      <c r="D1282" s="3" t="inlineStr">
        <is>
          <t>3002/000</t>
        </is>
      </c>
      <c r="E1282" s="3" t="inlineStr">
        <is>
          <t>Accounting Fees - Audit</t>
        </is>
      </c>
      <c r="F1282" s="3" t="n">
        <v>0</v>
      </c>
      <c r="G1282" s="3" t="n">
        <v>10600</v>
      </c>
    </row>
    <row r="1283">
      <c r="A1283" s="3" t="inlineStr">
        <is>
          <t>Cape Projects Construction (Pty) Ltd</t>
        </is>
      </c>
      <c r="B1283" s="4" t="n">
        <v>44742</v>
      </c>
      <c r="C1283" s="3" t="inlineStr">
        <is>
          <t>Expenses</t>
        </is>
      </c>
      <c r="D1283" s="3" t="inlineStr">
        <is>
          <t>3020/100</t>
        </is>
      </c>
      <c r="E1283" s="3" t="inlineStr">
        <is>
          <t>Admin - Subcontractors</t>
        </is>
      </c>
      <c r="F1283" s="3" t="n">
        <v>0</v>
      </c>
      <c r="G1283" s="3" t="n">
        <v>14139.13</v>
      </c>
    </row>
    <row r="1284">
      <c r="A1284" s="3" t="inlineStr">
        <is>
          <t>Cape Projects Construction (Pty) Ltd</t>
        </is>
      </c>
      <c r="B1284" s="4" t="n">
        <v>44742</v>
      </c>
      <c r="C1284" s="3" t="inlineStr">
        <is>
          <t>Expenses</t>
        </is>
      </c>
      <c r="D1284" s="3" t="inlineStr">
        <is>
          <t>3050/000</t>
        </is>
      </c>
      <c r="E1284" s="3" t="inlineStr">
        <is>
          <t>Advertising _AND_ Promotions</t>
        </is>
      </c>
      <c r="F1284" s="3" t="n">
        <v>0</v>
      </c>
      <c r="G1284" s="3" t="n">
        <v>687.5</v>
      </c>
    </row>
    <row r="1285">
      <c r="A1285" s="3" t="inlineStr">
        <is>
          <t>Heron Fields (Pty) Ltd</t>
        </is>
      </c>
      <c r="B1285" s="4" t="n">
        <v>44742</v>
      </c>
      <c r="C1285" s="3" t="inlineStr">
        <is>
          <t>Expenses</t>
        </is>
      </c>
      <c r="D1285" s="3" t="inlineStr">
        <is>
          <t>3050/000</t>
        </is>
      </c>
      <c r="E1285" s="3" t="inlineStr">
        <is>
          <t>Advertising _AND_ Promotions</t>
        </is>
      </c>
      <c r="F1285" s="3" t="n">
        <v>0</v>
      </c>
      <c r="G1285" s="3" t="n">
        <v>63407.86</v>
      </c>
    </row>
    <row r="1286">
      <c r="A1286" s="3" t="inlineStr">
        <is>
          <t>Heron Fields (Pty) Ltd</t>
        </is>
      </c>
      <c r="B1286" s="4" t="n">
        <v>44742</v>
      </c>
      <c r="C1286" s="3" t="inlineStr">
        <is>
          <t>Expenses</t>
        </is>
      </c>
      <c r="D1286" s="3" t="inlineStr">
        <is>
          <t>3050/100</t>
        </is>
      </c>
      <c r="E1286" s="3" t="inlineStr">
        <is>
          <t>Advertising - Property24</t>
        </is>
      </c>
      <c r="F1286" s="3" t="n">
        <v>11556</v>
      </c>
      <c r="G1286" s="3" t="n">
        <v>46224</v>
      </c>
    </row>
    <row r="1287">
      <c r="A1287" s="3" t="inlineStr">
        <is>
          <t>Cape Projects Construction (Pty) Ltd</t>
        </is>
      </c>
      <c r="B1287" s="4" t="n">
        <v>44742</v>
      </c>
      <c r="C1287" s="3" t="inlineStr">
        <is>
          <t>Expenses</t>
        </is>
      </c>
      <c r="D1287" s="3" t="inlineStr">
        <is>
          <t>3050/450</t>
        </is>
      </c>
      <c r="E1287" s="3" t="inlineStr">
        <is>
          <t>Advertising - Other</t>
        </is>
      </c>
      <c r="F1287" s="3" t="n">
        <v>0</v>
      </c>
      <c r="G1287" s="3" t="n">
        <v>137.5</v>
      </c>
    </row>
    <row r="1288">
      <c r="A1288" s="3" t="inlineStr">
        <is>
          <t>Cape Projects Construction (Pty) Ltd</t>
        </is>
      </c>
      <c r="B1288" s="4" t="n">
        <v>44742</v>
      </c>
      <c r="C1288" s="3" t="inlineStr">
        <is>
          <t>Expenses</t>
        </is>
      </c>
      <c r="D1288" s="3" t="inlineStr">
        <is>
          <t>3200/000</t>
        </is>
      </c>
      <c r="E1288" s="3" t="inlineStr">
        <is>
          <t>Bank Charges</t>
        </is>
      </c>
      <c r="F1288" s="3" t="n">
        <v>3186.59</v>
      </c>
      <c r="G1288" s="3" t="n">
        <v>11958.36</v>
      </c>
    </row>
    <row r="1289">
      <c r="A1289" s="3" t="inlineStr">
        <is>
          <t>Heron Fields (Pty) Ltd</t>
        </is>
      </c>
      <c r="B1289" s="4" t="n">
        <v>44742</v>
      </c>
      <c r="C1289" s="3" t="inlineStr">
        <is>
          <t>Expenses</t>
        </is>
      </c>
      <c r="D1289" s="3" t="inlineStr">
        <is>
          <t>3200/000</t>
        </is>
      </c>
      <c r="E1289" s="3" t="inlineStr">
        <is>
          <t>Bank Charges</t>
        </is>
      </c>
      <c r="F1289" s="3" t="n">
        <v>633.27</v>
      </c>
      <c r="G1289" s="3" t="n">
        <v>2699.67</v>
      </c>
    </row>
    <row r="1290">
      <c r="A1290" s="3" t="inlineStr">
        <is>
          <t>Cape Projects Construction (Pty) Ltd</t>
        </is>
      </c>
      <c r="B1290" s="4" t="n">
        <v>44742</v>
      </c>
      <c r="C1290" s="3" t="inlineStr">
        <is>
          <t>Expenses</t>
        </is>
      </c>
      <c r="D1290" s="3" t="inlineStr">
        <is>
          <t>3250/000</t>
        </is>
      </c>
      <c r="E1290" s="3" t="inlineStr">
        <is>
          <t>Cleaning</t>
        </is>
      </c>
      <c r="F1290" s="3" t="n">
        <v>0</v>
      </c>
      <c r="G1290" s="3" t="n">
        <v>1986.89</v>
      </c>
    </row>
    <row r="1291">
      <c r="A1291" s="3" t="inlineStr">
        <is>
          <t>Cape Projects Construction (Pty) Ltd</t>
        </is>
      </c>
      <c r="B1291" s="4" t="n">
        <v>44742</v>
      </c>
      <c r="C1291" s="3" t="inlineStr">
        <is>
          <t>Expenses</t>
        </is>
      </c>
      <c r="D1291" s="3" t="inlineStr">
        <is>
          <t>3256/000</t>
        </is>
      </c>
      <c r="E1291" s="3" t="inlineStr">
        <is>
          <t>Cell Phone - Nick Morgan</t>
        </is>
      </c>
      <c r="F1291" s="3" t="n">
        <v>662.7</v>
      </c>
      <c r="G1291" s="3" t="n">
        <v>2603.85</v>
      </c>
    </row>
    <row r="1292">
      <c r="A1292" s="3" t="inlineStr">
        <is>
          <t>Cape Projects Construction (Pty) Ltd</t>
        </is>
      </c>
      <c r="B1292" s="4" t="n">
        <v>44742</v>
      </c>
      <c r="C1292" s="3" t="inlineStr">
        <is>
          <t>Expenses</t>
        </is>
      </c>
      <c r="D1292" s="3" t="inlineStr">
        <is>
          <t>3300/000</t>
        </is>
      </c>
      <c r="E1292" s="3" t="inlineStr">
        <is>
          <t>Computer Expenses</t>
        </is>
      </c>
      <c r="F1292" s="3" t="n">
        <v>742.6</v>
      </c>
      <c r="G1292" s="3" t="n">
        <v>1308.69</v>
      </c>
    </row>
    <row r="1293">
      <c r="A1293" s="3" t="inlineStr">
        <is>
          <t>Cape Projects Construction (Pty) Ltd</t>
        </is>
      </c>
      <c r="B1293" s="4" t="n">
        <v>44742</v>
      </c>
      <c r="C1293" s="3" t="inlineStr">
        <is>
          <t>Expenses</t>
        </is>
      </c>
      <c r="D1293" s="3" t="inlineStr">
        <is>
          <t>3300/100</t>
        </is>
      </c>
      <c r="E1293" s="3" t="inlineStr">
        <is>
          <t>Computer Exp - IT, Internet/Hosting Fee</t>
        </is>
      </c>
      <c r="F1293" s="3" t="n">
        <v>4430</v>
      </c>
      <c r="G1293" s="3" t="n">
        <v>18383</v>
      </c>
    </row>
    <row r="1294">
      <c r="A1294" s="3" t="inlineStr">
        <is>
          <t>Heron Fields (Pty) Ltd</t>
        </is>
      </c>
      <c r="B1294" s="4" t="n">
        <v>44742</v>
      </c>
      <c r="C1294" s="3" t="inlineStr">
        <is>
          <t>Expenses</t>
        </is>
      </c>
      <c r="D1294" s="3" t="inlineStr">
        <is>
          <t>3350/100</t>
        </is>
      </c>
      <c r="E1294" s="3" t="inlineStr">
        <is>
          <t>Consulting Fees - Admin and Finance</t>
        </is>
      </c>
      <c r="F1294" s="3" t="n">
        <v>86425</v>
      </c>
      <c r="G1294" s="3" t="n">
        <v>319265.68</v>
      </c>
    </row>
    <row r="1295">
      <c r="A1295" s="3" t="inlineStr">
        <is>
          <t>Cape Projects Construction (Pty) Ltd</t>
        </is>
      </c>
      <c r="B1295" s="4" t="n">
        <v>44742</v>
      </c>
      <c r="C1295" s="3" t="inlineStr">
        <is>
          <t>Expenses</t>
        </is>
      </c>
      <c r="D1295" s="3" t="inlineStr">
        <is>
          <t>3350/100</t>
        </is>
      </c>
      <c r="E1295" s="3" t="inlineStr">
        <is>
          <t>Consulting fees - Herbert du Plessis</t>
        </is>
      </c>
      <c r="F1295" s="3" t="n">
        <v>36000</v>
      </c>
      <c r="G1295" s="3" t="n">
        <v>144000</v>
      </c>
    </row>
    <row r="1296">
      <c r="A1296" s="3" t="inlineStr">
        <is>
          <t>Cape Projects Construction (Pty) Ltd</t>
        </is>
      </c>
      <c r="B1296" s="4" t="n">
        <v>44742</v>
      </c>
      <c r="C1296" s="3" t="inlineStr">
        <is>
          <t>Expenses</t>
        </is>
      </c>
      <c r="D1296" s="3" t="inlineStr">
        <is>
          <t>3350/300</t>
        </is>
      </c>
      <c r="E1296" s="3" t="inlineStr">
        <is>
          <t>Consulting Fees - Admin and Finance</t>
        </is>
      </c>
      <c r="F1296" s="3" t="n">
        <v>132650</v>
      </c>
      <c r="G1296" s="3" t="n">
        <v>479721.87</v>
      </c>
    </row>
    <row r="1297">
      <c r="A1297" s="3" t="inlineStr">
        <is>
          <t>Heron Fields (Pty) Ltd</t>
        </is>
      </c>
      <c r="B1297" s="4" t="n">
        <v>44742</v>
      </c>
      <c r="C1297" s="3" t="inlineStr">
        <is>
          <t>Expenses</t>
        </is>
      </c>
      <c r="D1297" s="3" t="inlineStr">
        <is>
          <t>3351/000</t>
        </is>
      </c>
      <c r="E1297" s="3" t="inlineStr">
        <is>
          <t>Consulting fees - Trustee</t>
        </is>
      </c>
      <c r="F1297" s="3" t="n">
        <v>4000</v>
      </c>
      <c r="G1297" s="3" t="n">
        <v>32000</v>
      </c>
    </row>
    <row r="1298">
      <c r="A1298" s="3" t="inlineStr">
        <is>
          <t>Cape Projects Construction (Pty) Ltd</t>
        </is>
      </c>
      <c r="B1298" s="4" t="n">
        <v>44742</v>
      </c>
      <c r="C1298" s="3" t="inlineStr">
        <is>
          <t>Expenses</t>
        </is>
      </c>
      <c r="D1298" s="3" t="inlineStr">
        <is>
          <t>3400/000</t>
        </is>
      </c>
      <c r="E1298" s="3" t="inlineStr">
        <is>
          <t>Courier _AND_ Postage</t>
        </is>
      </c>
      <c r="F1298" s="3" t="n">
        <v>160.87</v>
      </c>
      <c r="G1298" s="3" t="n">
        <v>160.87</v>
      </c>
    </row>
    <row r="1299">
      <c r="A1299" s="3" t="inlineStr">
        <is>
          <t>Cape Projects Construction (Pty) Ltd</t>
        </is>
      </c>
      <c r="B1299" s="4" t="n">
        <v>44742</v>
      </c>
      <c r="C1299" s="3" t="inlineStr">
        <is>
          <t>Expenses</t>
        </is>
      </c>
      <c r="D1299" s="3" t="inlineStr">
        <is>
          <t>3450/001</t>
        </is>
      </c>
      <c r="E1299" s="3" t="inlineStr">
        <is>
          <t>Depreciation - Computer Equipment</t>
        </is>
      </c>
      <c r="F1299" s="3" t="n">
        <v>1926.8</v>
      </c>
      <c r="G1299" s="3" t="n">
        <v>6728</v>
      </c>
    </row>
    <row r="1300">
      <c r="A1300" s="3" t="inlineStr">
        <is>
          <t>Cape Projects Construction (Pty) Ltd</t>
        </is>
      </c>
      <c r="B1300" s="4" t="n">
        <v>44742</v>
      </c>
      <c r="C1300" s="3" t="inlineStr">
        <is>
          <t>Expenses</t>
        </is>
      </c>
      <c r="D1300" s="3" t="inlineStr">
        <is>
          <t>3450/002</t>
        </is>
      </c>
      <c r="E1300" s="3" t="inlineStr">
        <is>
          <t>Depreciation - Generator Fixed Asset</t>
        </is>
      </c>
      <c r="F1300" s="3" t="n">
        <v>193.33</v>
      </c>
      <c r="G1300" s="3" t="n">
        <v>773.33</v>
      </c>
    </row>
    <row r="1301">
      <c r="A1301" s="3" t="inlineStr">
        <is>
          <t>Cape Projects Construction (Pty) Ltd</t>
        </is>
      </c>
      <c r="B1301" s="4" t="n">
        <v>44742</v>
      </c>
      <c r="C1301" s="3" t="inlineStr">
        <is>
          <t>Expenses</t>
        </is>
      </c>
      <c r="D1301" s="3" t="inlineStr">
        <is>
          <t>3450/030</t>
        </is>
      </c>
      <c r="E1301" s="3" t="inlineStr">
        <is>
          <t>Depreciation - Furniture and Fittings</t>
        </is>
      </c>
      <c r="F1301" s="3" t="n">
        <v>427.2</v>
      </c>
      <c r="G1301" s="3" t="n">
        <v>1708.82</v>
      </c>
    </row>
    <row r="1302">
      <c r="A1302" s="3" t="inlineStr">
        <is>
          <t>Heron Fields (Pty) Ltd</t>
        </is>
      </c>
      <c r="B1302" s="4" t="n">
        <v>44742</v>
      </c>
      <c r="C1302" s="3" t="inlineStr">
        <is>
          <t>Expenses</t>
        </is>
      </c>
      <c r="D1302" s="3" t="inlineStr">
        <is>
          <t>3650/000</t>
        </is>
      </c>
      <c r="E1302" s="3" t="inlineStr">
        <is>
          <t>CoCT - Electricity</t>
        </is>
      </c>
      <c r="F1302" s="3" t="n">
        <v>2619.62</v>
      </c>
      <c r="G1302" s="3" t="n">
        <v>9722.25</v>
      </c>
    </row>
    <row r="1303">
      <c r="A1303" s="3" t="inlineStr">
        <is>
          <t>Cape Projects Construction (Pty) Ltd</t>
        </is>
      </c>
      <c r="B1303" s="4" t="n">
        <v>44742</v>
      </c>
      <c r="C1303" s="3" t="inlineStr">
        <is>
          <t>Expenses</t>
        </is>
      </c>
      <c r="D1303" s="3" t="inlineStr">
        <is>
          <t>3650/000</t>
        </is>
      </c>
      <c r="E1303" s="3" t="inlineStr">
        <is>
          <t>Electricity _AND_ Water</t>
        </is>
      </c>
      <c r="F1303" s="3" t="n">
        <v>5224.15</v>
      </c>
      <c r="G1303" s="3" t="n">
        <v>17746.23</v>
      </c>
    </row>
    <row r="1304">
      <c r="A1304" s="3" t="inlineStr">
        <is>
          <t>Heron Fields (Pty) Ltd</t>
        </is>
      </c>
      <c r="B1304" s="4" t="n">
        <v>44742</v>
      </c>
      <c r="C1304" s="3" t="inlineStr">
        <is>
          <t>Expenses</t>
        </is>
      </c>
      <c r="D1304" s="3" t="inlineStr">
        <is>
          <t>3660/000</t>
        </is>
      </c>
      <c r="E1304" s="3" t="inlineStr">
        <is>
          <t>CoCT - Water</t>
        </is>
      </c>
      <c r="F1304" s="3" t="n">
        <v>4339.57</v>
      </c>
      <c r="G1304" s="3" t="n">
        <v>24127.37</v>
      </c>
    </row>
    <row r="1305">
      <c r="A1305" s="3" t="inlineStr">
        <is>
          <t>Cape Projects Construction (Pty) Ltd</t>
        </is>
      </c>
      <c r="B1305" s="4" t="n">
        <v>44742</v>
      </c>
      <c r="C1305" s="3" t="inlineStr">
        <is>
          <t>Expenses</t>
        </is>
      </c>
      <c r="D1305" s="3" t="inlineStr">
        <is>
          <t>3700/000</t>
        </is>
      </c>
      <c r="E1305" s="3" t="inlineStr">
        <is>
          <t>Entertainment Expenses</t>
        </is>
      </c>
      <c r="F1305" s="3" t="n">
        <v>0</v>
      </c>
      <c r="G1305" s="3" t="n">
        <v>1801.52</v>
      </c>
    </row>
    <row r="1306">
      <c r="A1306" s="3" t="inlineStr">
        <is>
          <t>Cape Projects Construction (Pty) Ltd</t>
        </is>
      </c>
      <c r="B1306" s="4" t="n">
        <v>44742</v>
      </c>
      <c r="C1306" s="3" t="inlineStr">
        <is>
          <t>Expenses</t>
        </is>
      </c>
      <c r="D1306" s="3" t="inlineStr">
        <is>
          <t>3850/001</t>
        </is>
      </c>
      <c r="E1306" s="3" t="inlineStr">
        <is>
          <t>Insurance - Santam</t>
        </is>
      </c>
      <c r="F1306" s="3" t="n">
        <v>1194.15</v>
      </c>
      <c r="G1306" s="3" t="n">
        <v>4707.16</v>
      </c>
    </row>
    <row r="1307">
      <c r="A1307" s="3" t="inlineStr">
        <is>
          <t>Cape Projects Construction (Pty) Ltd</t>
        </is>
      </c>
      <c r="B1307" s="4" t="n">
        <v>44742</v>
      </c>
      <c r="C1307" s="3" t="inlineStr">
        <is>
          <t>Expenses</t>
        </is>
      </c>
      <c r="D1307" s="3" t="inlineStr">
        <is>
          <t>3850/002</t>
        </is>
      </c>
      <c r="E1307" s="3" t="inlineStr">
        <is>
          <t>Insurance - RBS</t>
        </is>
      </c>
      <c r="F1307" s="3" t="n">
        <v>237.57</v>
      </c>
      <c r="G1307" s="3" t="n">
        <v>950.28</v>
      </c>
    </row>
    <row r="1308">
      <c r="A1308" s="3" t="inlineStr">
        <is>
          <t>Heron Fields (Pty) Ltd</t>
        </is>
      </c>
      <c r="B1308" s="4" t="n">
        <v>44742</v>
      </c>
      <c r="C1308" s="3" t="inlineStr">
        <is>
          <t>Expenses</t>
        </is>
      </c>
      <c r="D1308" s="3" t="inlineStr">
        <is>
          <t>3900/000</t>
        </is>
      </c>
      <c r="E1308" s="3" t="inlineStr">
        <is>
          <t>Interest Paid</t>
        </is>
      </c>
      <c r="F1308" s="3" t="n">
        <v>158.56</v>
      </c>
      <c r="G1308" s="3" t="n">
        <v>213.2</v>
      </c>
    </row>
    <row r="1309">
      <c r="A1309" s="3" t="inlineStr">
        <is>
          <t>Heron Fields (Pty) Ltd</t>
        </is>
      </c>
      <c r="B1309" s="4" t="n">
        <v>44742</v>
      </c>
      <c r="C1309" s="3" t="inlineStr">
        <is>
          <t>Expenses</t>
        </is>
      </c>
      <c r="D1309" s="3" t="inlineStr">
        <is>
          <t>4100/001</t>
        </is>
      </c>
      <c r="E1309" s="3" t="inlineStr">
        <is>
          <t>Momentum Admin Fee</t>
        </is>
      </c>
      <c r="F1309" s="3" t="n">
        <v>73214.48</v>
      </c>
      <c r="G1309" s="3" t="n">
        <v>143664.27</v>
      </c>
    </row>
    <row r="1310">
      <c r="A1310" s="3" t="inlineStr">
        <is>
          <t>Cape Projects Construction (Pty) Ltd</t>
        </is>
      </c>
      <c r="B1310" s="4" t="n">
        <v>44742</v>
      </c>
      <c r="C1310" s="3" t="inlineStr">
        <is>
          <t>Expenses</t>
        </is>
      </c>
      <c r="D1310" s="3" t="inlineStr">
        <is>
          <t>4150/030</t>
        </is>
      </c>
      <c r="E1310" s="3" t="inlineStr">
        <is>
          <t>Motor Vehicle - Insurance _AND_ Licence</t>
        </is>
      </c>
      <c r="F1310" s="3" t="n">
        <v>0</v>
      </c>
      <c r="G1310" s="3" t="n">
        <v>1200</v>
      </c>
    </row>
    <row r="1311">
      <c r="A1311" s="3" t="inlineStr">
        <is>
          <t>Cape Projects Construction (Pty) Ltd</t>
        </is>
      </c>
      <c r="B1311" s="4" t="n">
        <v>44742</v>
      </c>
      <c r="C1311" s="3" t="inlineStr">
        <is>
          <t>Expenses</t>
        </is>
      </c>
      <c r="D1311" s="3" t="inlineStr">
        <is>
          <t>4200/000</t>
        </is>
      </c>
      <c r="E1311" s="3" t="inlineStr">
        <is>
          <t>Printing _AND_ Stationery</t>
        </is>
      </c>
      <c r="F1311" s="3" t="n">
        <v>927.52</v>
      </c>
      <c r="G1311" s="3" t="n">
        <v>5589.68</v>
      </c>
    </row>
    <row r="1312">
      <c r="A1312" s="3" t="inlineStr">
        <is>
          <t>Cape Projects Construction (Pty) Ltd</t>
        </is>
      </c>
      <c r="B1312" s="4" t="n">
        <v>44742</v>
      </c>
      <c r="C1312" s="3" t="inlineStr">
        <is>
          <t>Expenses</t>
        </is>
      </c>
      <c r="D1312" s="3" t="inlineStr">
        <is>
          <t>4201/000</t>
        </is>
      </c>
      <c r="E1312" s="3" t="inlineStr">
        <is>
          <t>Printing - Printer rental</t>
        </is>
      </c>
      <c r="F1312" s="3" t="n">
        <v>1232.46</v>
      </c>
      <c r="G1312" s="3" t="n">
        <v>3074.89</v>
      </c>
    </row>
    <row r="1313">
      <c r="A1313" s="3" t="inlineStr">
        <is>
          <t>Cape Projects Construction (Pty) Ltd</t>
        </is>
      </c>
      <c r="B1313" s="4" t="n">
        <v>44742</v>
      </c>
      <c r="C1313" s="3" t="inlineStr">
        <is>
          <t>Expenses</t>
        </is>
      </c>
      <c r="D1313" s="3" t="inlineStr">
        <is>
          <t>4300/000</t>
        </is>
      </c>
      <c r="E1313" s="3" t="inlineStr">
        <is>
          <t>Rent Paid</t>
        </is>
      </c>
      <c r="F1313" s="3" t="n">
        <v>28087.5</v>
      </c>
      <c r="G1313" s="3" t="n">
        <v>112350</v>
      </c>
    </row>
    <row r="1314">
      <c r="A1314" s="3" t="inlineStr">
        <is>
          <t>Cape Projects Construction (Pty) Ltd</t>
        </is>
      </c>
      <c r="B1314" s="4" t="n">
        <v>44742</v>
      </c>
      <c r="C1314" s="3" t="inlineStr">
        <is>
          <t>Expenses</t>
        </is>
      </c>
      <c r="D1314" s="3" t="inlineStr">
        <is>
          <t>4310/000</t>
        </is>
      </c>
      <c r="E1314" s="3" t="inlineStr">
        <is>
          <t>Rates</t>
        </is>
      </c>
      <c r="F1314" s="3" t="n">
        <v>843.6</v>
      </c>
      <c r="G1314" s="3" t="n">
        <v>3374.4</v>
      </c>
    </row>
    <row r="1315">
      <c r="A1315" s="3" t="inlineStr">
        <is>
          <t>Heron Fields (Pty) Ltd</t>
        </is>
      </c>
      <c r="B1315" s="4" t="n">
        <v>44742</v>
      </c>
      <c r="C1315" s="3" t="inlineStr">
        <is>
          <t>Expenses</t>
        </is>
      </c>
      <c r="D1315" s="3" t="inlineStr">
        <is>
          <t>4310/000</t>
        </is>
      </c>
      <c r="E1315" s="3" t="inlineStr">
        <is>
          <t>Rates - Heron</t>
        </is>
      </c>
      <c r="F1315" s="3" t="n">
        <v>3067.87</v>
      </c>
      <c r="G1315" s="3" t="n">
        <v>12578.26</v>
      </c>
    </row>
    <row r="1316">
      <c r="A1316" s="3" t="inlineStr">
        <is>
          <t>Cape Projects Construction (Pty) Ltd</t>
        </is>
      </c>
      <c r="B1316" s="4" t="n">
        <v>44742</v>
      </c>
      <c r="C1316" s="3" t="inlineStr">
        <is>
          <t>Expenses</t>
        </is>
      </c>
      <c r="D1316" s="3" t="inlineStr">
        <is>
          <t>4350/000</t>
        </is>
      </c>
      <c r="E1316" s="3" t="inlineStr">
        <is>
          <t>Repairs _AND_ Maintenance</t>
        </is>
      </c>
      <c r="F1316" s="3" t="n">
        <v>2250</v>
      </c>
      <c r="G1316" s="3" t="n">
        <v>2700</v>
      </c>
    </row>
    <row r="1317">
      <c r="A1317" s="3" t="inlineStr">
        <is>
          <t>Cape Projects Construction (Pty) Ltd</t>
        </is>
      </c>
      <c r="B1317" s="4" t="n">
        <v>44742</v>
      </c>
      <c r="C1317" s="3" t="inlineStr">
        <is>
          <t>Expenses</t>
        </is>
      </c>
      <c r="D1317" s="3" t="inlineStr">
        <is>
          <t>4400/000</t>
        </is>
      </c>
      <c r="E1317" s="3" t="inlineStr">
        <is>
          <t>Salaries _AND_ Wages</t>
        </is>
      </c>
      <c r="F1317" s="3" t="n">
        <v>162299.9</v>
      </c>
      <c r="G1317" s="3" t="n">
        <v>851056.84</v>
      </c>
    </row>
    <row r="1318">
      <c r="A1318" s="3" t="inlineStr">
        <is>
          <t>Cape Projects Construction (Pty) Ltd</t>
        </is>
      </c>
      <c r="B1318" s="4" t="n">
        <v>44742</v>
      </c>
      <c r="C1318" s="3" t="inlineStr">
        <is>
          <t>Expenses</t>
        </is>
      </c>
      <c r="D1318" s="3" t="inlineStr">
        <is>
          <t>4403/000</t>
        </is>
      </c>
      <c r="E1318" s="3" t="inlineStr">
        <is>
          <t>Security</t>
        </is>
      </c>
      <c r="F1318" s="3" t="n">
        <v>164.35</v>
      </c>
      <c r="G1318" s="3" t="n">
        <v>493.05</v>
      </c>
    </row>
    <row r="1319">
      <c r="A1319" s="3" t="inlineStr">
        <is>
          <t>Cape Projects Construction (Pty) Ltd</t>
        </is>
      </c>
      <c r="B1319" s="4" t="n">
        <v>44742</v>
      </c>
      <c r="C1319" s="3" t="inlineStr">
        <is>
          <t>Expenses</t>
        </is>
      </c>
      <c r="D1319" s="3" t="inlineStr">
        <is>
          <t>4420/000</t>
        </is>
      </c>
      <c r="E1319" s="3" t="inlineStr">
        <is>
          <t>Small Assets</t>
        </is>
      </c>
      <c r="F1319" s="3" t="n">
        <v>638.96</v>
      </c>
      <c r="G1319" s="3" t="n">
        <v>1536.96</v>
      </c>
    </row>
    <row r="1320">
      <c r="A1320" s="3" t="inlineStr">
        <is>
          <t>Heron Fields (Pty) Ltd</t>
        </is>
      </c>
      <c r="B1320" s="4" t="n">
        <v>44742</v>
      </c>
      <c r="C1320" s="3" t="inlineStr">
        <is>
          <t>Expenses</t>
        </is>
      </c>
      <c r="D1320" s="3" t="inlineStr">
        <is>
          <t>4420/001</t>
        </is>
      </c>
      <c r="E1320" s="3" t="inlineStr">
        <is>
          <t>Security - ADT</t>
        </is>
      </c>
      <c r="F1320" s="3" t="n">
        <v>1723.38</v>
      </c>
      <c r="G1320" s="3" t="n">
        <v>2613.94</v>
      </c>
    </row>
    <row r="1321">
      <c r="A1321" s="3" t="inlineStr">
        <is>
          <t>Cape Projects Construction (Pty) Ltd</t>
        </is>
      </c>
      <c r="B1321" s="4" t="n">
        <v>44742</v>
      </c>
      <c r="C1321" s="3" t="inlineStr">
        <is>
          <t>Expenses</t>
        </is>
      </c>
      <c r="D1321" s="3" t="inlineStr">
        <is>
          <t>4450/000</t>
        </is>
      </c>
      <c r="E1321" s="3" t="inlineStr">
        <is>
          <t>Staff Training</t>
        </is>
      </c>
      <c r="F1321" s="3" t="n">
        <v>0</v>
      </c>
      <c r="G1321" s="3" t="n">
        <v>6800</v>
      </c>
    </row>
    <row r="1322">
      <c r="A1322" s="3" t="inlineStr">
        <is>
          <t>Cape Projects Construction (Pty) Ltd</t>
        </is>
      </c>
      <c r="B1322" s="4" t="n">
        <v>44742</v>
      </c>
      <c r="C1322" s="3" t="inlineStr">
        <is>
          <t>Expenses</t>
        </is>
      </c>
      <c r="D1322" s="3" t="inlineStr">
        <is>
          <t>4500/000</t>
        </is>
      </c>
      <c r="E1322" s="3" t="inlineStr">
        <is>
          <t>Staff Welfare _AND_ Refreshmts</t>
        </is>
      </c>
      <c r="F1322" s="3" t="n">
        <v>0</v>
      </c>
      <c r="G1322" s="3" t="n">
        <v>2674.5</v>
      </c>
    </row>
    <row r="1323">
      <c r="A1323" s="3" t="inlineStr">
        <is>
          <t>Cape Projects Construction (Pty) Ltd</t>
        </is>
      </c>
      <c r="B1323" s="4" t="n">
        <v>44742</v>
      </c>
      <c r="C1323" s="3" t="inlineStr">
        <is>
          <t>Expenses</t>
        </is>
      </c>
      <c r="D1323" s="3" t="inlineStr">
        <is>
          <t>4550/000</t>
        </is>
      </c>
      <c r="E1323" s="3" t="inlineStr">
        <is>
          <t>Subscriptions / Licenses</t>
        </is>
      </c>
      <c r="F1323" s="3" t="n">
        <v>526.3200000000001</v>
      </c>
      <c r="G1323" s="3" t="n">
        <v>526.3200000000001</v>
      </c>
    </row>
    <row r="1324">
      <c r="A1324" s="3" t="inlineStr">
        <is>
          <t>Cape Projects Construction (Pty) Ltd</t>
        </is>
      </c>
      <c r="B1324" s="4" t="n">
        <v>44742</v>
      </c>
      <c r="C1324" s="3" t="inlineStr">
        <is>
          <t>Expenses</t>
        </is>
      </c>
      <c r="D1324" s="3" t="inlineStr">
        <is>
          <t>4550/001</t>
        </is>
      </c>
      <c r="E1324" s="3" t="inlineStr">
        <is>
          <t>Subscriptions &amp; Licenses - Sage payroll</t>
        </is>
      </c>
      <c r="F1324" s="3" t="n">
        <v>491</v>
      </c>
      <c r="G1324" s="3" t="n">
        <v>1964</v>
      </c>
    </row>
    <row r="1325">
      <c r="A1325" s="3" t="inlineStr">
        <is>
          <t>Cape Projects Construction (Pty) Ltd</t>
        </is>
      </c>
      <c r="B1325" s="4" t="n">
        <v>44742</v>
      </c>
      <c r="C1325" s="3" t="inlineStr">
        <is>
          <t>Expenses</t>
        </is>
      </c>
      <c r="D1325" s="3" t="inlineStr">
        <is>
          <t>4550/003</t>
        </is>
      </c>
      <c r="E1325" s="3" t="inlineStr">
        <is>
          <t>Subscriptions &amp; Licenses - Xero</t>
        </is>
      </c>
      <c r="F1325" s="3" t="n">
        <v>600</v>
      </c>
      <c r="G1325" s="3" t="n">
        <v>2400</v>
      </c>
    </row>
    <row r="1326">
      <c r="A1326" s="3" t="inlineStr">
        <is>
          <t>Cape Projects Construction (Pty) Ltd</t>
        </is>
      </c>
      <c r="B1326" s="4" t="n">
        <v>44742</v>
      </c>
      <c r="C1326" s="3" t="inlineStr">
        <is>
          <t>Expenses</t>
        </is>
      </c>
      <c r="D1326" s="3" t="inlineStr">
        <is>
          <t>4550/004</t>
        </is>
      </c>
      <c r="E1326" s="3" t="inlineStr">
        <is>
          <t>Subscriptions - Smartsheet</t>
        </is>
      </c>
      <c r="F1326" s="3" t="n">
        <v>363</v>
      </c>
      <c r="G1326" s="3" t="n">
        <v>1452</v>
      </c>
    </row>
    <row r="1327">
      <c r="A1327" s="3" t="inlineStr">
        <is>
          <t>Cape Projects Construction (Pty) Ltd</t>
        </is>
      </c>
      <c r="B1327" s="4" t="n">
        <v>44742</v>
      </c>
      <c r="C1327" s="3" t="inlineStr">
        <is>
          <t>Expenses</t>
        </is>
      </c>
      <c r="D1327" s="3" t="inlineStr">
        <is>
          <t>4550/006</t>
        </is>
      </c>
      <c r="E1327" s="3" t="inlineStr">
        <is>
          <t>Subscription - Candy software</t>
        </is>
      </c>
      <c r="F1327" s="3" t="n">
        <v>1640</v>
      </c>
      <c r="G1327" s="3" t="n">
        <v>8845</v>
      </c>
    </row>
    <row r="1328">
      <c r="A1328" s="3" t="inlineStr">
        <is>
          <t>Heron Fields (Pty) Ltd</t>
        </is>
      </c>
      <c r="B1328" s="4" t="n">
        <v>44742</v>
      </c>
      <c r="C1328" s="3" t="inlineStr">
        <is>
          <t>Expenses</t>
        </is>
      </c>
      <c r="D1328" s="3" t="inlineStr">
        <is>
          <t>4550/100</t>
        </is>
      </c>
      <c r="E1328" s="3" t="inlineStr">
        <is>
          <t>Subscriptions - Xero</t>
        </is>
      </c>
      <c r="F1328" s="3" t="n">
        <v>600</v>
      </c>
      <c r="G1328" s="3" t="n">
        <v>2400</v>
      </c>
    </row>
    <row r="1329">
      <c r="A1329" s="3" t="inlineStr">
        <is>
          <t>Heron View (Pty) Ltd</t>
        </is>
      </c>
      <c r="B1329" s="4" t="n">
        <v>44742</v>
      </c>
      <c r="C1329" s="3" t="inlineStr">
        <is>
          <t>Expenses</t>
        </is>
      </c>
      <c r="D1329" s="3" t="inlineStr">
        <is>
          <t>4550/100</t>
        </is>
      </c>
      <c r="E1329" s="3" t="inlineStr">
        <is>
          <t>Subscriptions - Xero</t>
        </is>
      </c>
      <c r="F1329" s="3" t="n">
        <v>600</v>
      </c>
      <c r="G1329" s="3" t="n">
        <v>2400</v>
      </c>
    </row>
    <row r="1330">
      <c r="A1330" s="3" t="inlineStr">
        <is>
          <t>Cape Projects Construction (Pty) Ltd</t>
        </is>
      </c>
      <c r="B1330" s="4" t="n">
        <v>44742</v>
      </c>
      <c r="C1330" s="3" t="inlineStr">
        <is>
          <t>Expenses</t>
        </is>
      </c>
      <c r="D1330" s="3" t="inlineStr">
        <is>
          <t>4560</t>
        </is>
      </c>
      <c r="E1330" s="3" t="inlineStr">
        <is>
          <t>Secretarial fees - CIPC</t>
        </is>
      </c>
      <c r="F1330" s="3" t="n">
        <v>2500</v>
      </c>
      <c r="G1330" s="3" t="n">
        <v>2500</v>
      </c>
    </row>
    <row r="1331">
      <c r="A1331" s="3" t="inlineStr">
        <is>
          <t>Cape Projects Construction (Pty) Ltd</t>
        </is>
      </c>
      <c r="B1331" s="4" t="n">
        <v>44742</v>
      </c>
      <c r="C1331" s="3" t="inlineStr">
        <is>
          <t>Expenses</t>
        </is>
      </c>
      <c r="D1331" s="3" t="inlineStr">
        <is>
          <t>4700/000</t>
        </is>
      </c>
      <c r="E1331" s="3" t="inlineStr">
        <is>
          <t>PAYE Contributions</t>
        </is>
      </c>
      <c r="F1331" s="3" t="n">
        <v>21588.6</v>
      </c>
      <c r="G1331" s="3" t="n">
        <v>149943.44</v>
      </c>
    </row>
    <row r="1332">
      <c r="A1332" s="3" t="inlineStr">
        <is>
          <t>Cape Projects Construction (Pty) Ltd</t>
        </is>
      </c>
      <c r="B1332" s="4" t="n">
        <v>44742</v>
      </c>
      <c r="C1332" s="3" t="inlineStr">
        <is>
          <t>Expenses</t>
        </is>
      </c>
      <c r="D1332" s="3" t="inlineStr">
        <is>
          <t>4720/000</t>
        </is>
      </c>
      <c r="E1332" s="3" t="inlineStr">
        <is>
          <t>SDL Contributions</t>
        </is>
      </c>
      <c r="F1332" s="3" t="n">
        <v>1747.83</v>
      </c>
      <c r="G1332" s="3" t="n">
        <v>9539.26</v>
      </c>
    </row>
    <row r="1333">
      <c r="A1333" s="3" t="inlineStr">
        <is>
          <t>Cape Projects Construction (Pty) Ltd</t>
        </is>
      </c>
      <c r="B1333" s="4" t="n">
        <v>44742</v>
      </c>
      <c r="C1333" s="3" t="inlineStr">
        <is>
          <t>Expenses</t>
        </is>
      </c>
      <c r="D1333" s="3" t="inlineStr">
        <is>
          <t>4730/000</t>
        </is>
      </c>
      <c r="E1333" s="3" t="inlineStr">
        <is>
          <t>UIF Company Contributions</t>
        </is>
      </c>
      <c r="F1333" s="3" t="n">
        <v>1446.19</v>
      </c>
      <c r="G1333" s="3" t="n">
        <v>6355.62</v>
      </c>
    </row>
    <row r="1334">
      <c r="A1334" s="3" t="inlineStr">
        <is>
          <t>Cape Projects Construction (Pty) Ltd</t>
        </is>
      </c>
      <c r="B1334" s="4" t="n">
        <v>44742</v>
      </c>
      <c r="C1334" s="3" t="inlineStr">
        <is>
          <t>Expenses</t>
        </is>
      </c>
      <c r="D1334" s="3" t="inlineStr">
        <is>
          <t>4731/000</t>
        </is>
      </c>
      <c r="E1334" s="3" t="inlineStr">
        <is>
          <t>UIF Employee Contribution</t>
        </is>
      </c>
      <c r="F1334" s="3" t="n">
        <v>1446.19</v>
      </c>
      <c r="G1334" s="3" t="n">
        <v>6355.62</v>
      </c>
    </row>
    <row r="1335">
      <c r="A1335" s="3" t="inlineStr">
        <is>
          <t>Cape Projects Construction (Pty) Ltd</t>
        </is>
      </c>
      <c r="B1335" s="4" t="n">
        <v>44742</v>
      </c>
      <c r="C1335" s="3" t="inlineStr">
        <is>
          <t>Expenses</t>
        </is>
      </c>
      <c r="D1335" s="3" t="inlineStr">
        <is>
          <t>4740/000</t>
        </is>
      </c>
      <c r="E1335" s="3" t="inlineStr">
        <is>
          <t>BIBC Company Contribution</t>
        </is>
      </c>
      <c r="F1335" s="3" t="n">
        <v>3717.96</v>
      </c>
      <c r="G1335" s="3" t="n">
        <v>6591.31</v>
      </c>
    </row>
    <row r="1336">
      <c r="A1336" s="3" t="inlineStr">
        <is>
          <t>Cape Projects Construction (Pty) Ltd</t>
        </is>
      </c>
      <c r="B1336" s="4" t="n">
        <v>44742</v>
      </c>
      <c r="C1336" s="3" t="inlineStr">
        <is>
          <t>Expenses</t>
        </is>
      </c>
      <c r="D1336" s="3" t="inlineStr">
        <is>
          <t>4741/000</t>
        </is>
      </c>
      <c r="E1336" s="3" t="inlineStr">
        <is>
          <t>BIBC Employee Contribution</t>
        </is>
      </c>
      <c r="F1336" s="3" t="n">
        <v>3717.96</v>
      </c>
      <c r="G1336" s="3" t="n">
        <v>6413.31</v>
      </c>
    </row>
    <row r="1337">
      <c r="A1337" s="3" t="inlineStr">
        <is>
          <t>Heron Fields (Pty) Ltd</t>
        </is>
      </c>
      <c r="B1337" s="4" t="n">
        <v>44742</v>
      </c>
      <c r="C1337" s="3" t="inlineStr">
        <is>
          <t>Equity</t>
        </is>
      </c>
      <c r="D1337" s="3" t="inlineStr">
        <is>
          <t>5100-000</t>
        </is>
      </c>
      <c r="E1337" s="3" t="inlineStr">
        <is>
          <t>Share Capital</t>
        </is>
      </c>
      <c r="F1337" s="3" t="n">
        <v>0</v>
      </c>
      <c r="G1337" s="3" t="n">
        <v>-100</v>
      </c>
    </row>
    <row r="1338">
      <c r="A1338" s="3" t="inlineStr">
        <is>
          <t>Cape Projects Construction (Pty) Ltd</t>
        </is>
      </c>
      <c r="B1338" s="4" t="n">
        <v>44742</v>
      </c>
      <c r="C1338" s="3" t="inlineStr">
        <is>
          <t>Equity</t>
        </is>
      </c>
      <c r="D1338" s="3" t="inlineStr">
        <is>
          <t>5100/000</t>
        </is>
      </c>
      <c r="E1338" s="3" t="inlineStr">
        <is>
          <t>Share Capital / Members Contribution</t>
        </is>
      </c>
      <c r="F1338" s="3" t="n">
        <v>0</v>
      </c>
      <c r="G1338" s="3" t="n">
        <v>-120</v>
      </c>
    </row>
    <row r="1339">
      <c r="A1339" s="3" t="inlineStr">
        <is>
          <t>Cape Projects Construction (Pty) Ltd</t>
        </is>
      </c>
      <c r="B1339" s="4" t="n">
        <v>44742</v>
      </c>
      <c r="C1339" s="3" t="inlineStr">
        <is>
          <t>Equity</t>
        </is>
      </c>
      <c r="D1339" s="3" t="inlineStr">
        <is>
          <t>5200/000</t>
        </is>
      </c>
      <c r="E1339" s="3" t="inlineStr">
        <is>
          <t>Retained Earnings / Loss</t>
        </is>
      </c>
      <c r="F1339" s="3" t="n">
        <v>0</v>
      </c>
      <c r="G1339" s="3" t="n">
        <v>247347.05</v>
      </c>
    </row>
    <row r="1340">
      <c r="A1340" s="3" t="inlineStr">
        <is>
          <t>Heron Fields (Pty) Ltd</t>
        </is>
      </c>
      <c r="B1340" s="4" t="n">
        <v>44742</v>
      </c>
      <c r="C1340" s="3" t="inlineStr">
        <is>
          <t>Equity</t>
        </is>
      </c>
      <c r="D1340" s="3" t="inlineStr">
        <is>
          <t>5200/000</t>
        </is>
      </c>
      <c r="E1340" s="3" t="inlineStr">
        <is>
          <t>Retained Earnings / Loss</t>
        </is>
      </c>
      <c r="F1340" s="3" t="n">
        <v>0</v>
      </c>
      <c r="G1340" s="3" t="n">
        <v>-17080353.05</v>
      </c>
    </row>
    <row r="1341">
      <c r="A1341" s="3" t="inlineStr">
        <is>
          <t>Heron Fields (Pty) Ltd</t>
        </is>
      </c>
      <c r="B1341" s="4" t="n">
        <v>44742</v>
      </c>
      <c r="C1341" s="3" t="inlineStr">
        <is>
          <t>Assets</t>
        </is>
      </c>
      <c r="D1341" s="3" t="inlineStr">
        <is>
          <t>5300/001</t>
        </is>
      </c>
      <c r="E1341" s="3" t="inlineStr">
        <is>
          <t>Revaluation of Land stock</t>
        </is>
      </c>
      <c r="F1341" s="3" t="n">
        <v>0</v>
      </c>
      <c r="G1341" s="3" t="n">
        <v>17562360.85</v>
      </c>
    </row>
    <row r="1342">
      <c r="A1342" s="3" t="inlineStr">
        <is>
          <t>Cape Projects Construction (Pty) Ltd</t>
        </is>
      </c>
      <c r="B1342" s="4" t="n">
        <v>44742</v>
      </c>
      <c r="C1342" s="3" t="inlineStr">
        <is>
          <t>Assets</t>
        </is>
      </c>
      <c r="D1342" s="3" t="inlineStr">
        <is>
          <t>5400/150</t>
        </is>
      </c>
      <c r="E1342" s="3" t="inlineStr">
        <is>
          <t>Loan - Quinate</t>
        </is>
      </c>
      <c r="F1342" s="3" t="n">
        <v>0</v>
      </c>
      <c r="G1342" s="3" t="n">
        <v>2850000</v>
      </c>
    </row>
    <row r="1343">
      <c r="A1343" s="3" t="inlineStr">
        <is>
          <t>Cape Projects Construction (Pty) Ltd</t>
        </is>
      </c>
      <c r="B1343" s="4" t="n">
        <v>44742</v>
      </c>
      <c r="C1343" s="3" t="inlineStr">
        <is>
          <t>Assets</t>
        </is>
      </c>
      <c r="D1343" s="3" t="inlineStr">
        <is>
          <t>5400/450</t>
        </is>
      </c>
      <c r="E1343" s="3" t="inlineStr">
        <is>
          <t>Loan - Opportunity Investment</t>
        </is>
      </c>
      <c r="F1343" s="3" t="n">
        <v>313000</v>
      </c>
      <c r="G1343" s="3" t="n">
        <v>-10000</v>
      </c>
    </row>
    <row r="1344">
      <c r="A1344" s="3" t="inlineStr">
        <is>
          <t>Cape Projects Construction (Pty) Ltd</t>
        </is>
      </c>
      <c r="B1344" s="4" t="n">
        <v>44742</v>
      </c>
      <c r="C1344" s="3" t="inlineStr">
        <is>
          <t>Assets</t>
        </is>
      </c>
      <c r="D1344" s="3" t="inlineStr">
        <is>
          <t>5400/550</t>
        </is>
      </c>
      <c r="E1344" s="3" t="inlineStr">
        <is>
          <t>Loan - Trademark</t>
        </is>
      </c>
      <c r="F1344" s="3" t="n">
        <v>600</v>
      </c>
      <c r="G1344" s="3" t="n">
        <v>600</v>
      </c>
    </row>
    <row r="1345">
      <c r="A1345" s="3" t="inlineStr">
        <is>
          <t>Cape Projects Construction (Pty) Ltd</t>
        </is>
      </c>
      <c r="B1345" s="4" t="n">
        <v>44742</v>
      </c>
      <c r="C1345" s="3" t="inlineStr">
        <is>
          <t>Assets</t>
        </is>
      </c>
      <c r="D1345" s="3" t="inlineStr">
        <is>
          <t>5400/600</t>
        </is>
      </c>
      <c r="E1345" s="3" t="inlineStr">
        <is>
          <t>Loan - Heron Projects</t>
        </is>
      </c>
      <c r="F1345" s="3" t="n">
        <v>551000</v>
      </c>
      <c r="G1345" s="3" t="n">
        <v>-3160000</v>
      </c>
    </row>
    <row r="1346">
      <c r="A1346" s="3" t="inlineStr">
        <is>
          <t>Cape Projects Construction (Pty) Ltd</t>
        </is>
      </c>
      <c r="B1346" s="4" t="n">
        <v>44742</v>
      </c>
      <c r="C1346" s="3" t="inlineStr">
        <is>
          <t>Assets</t>
        </is>
      </c>
      <c r="D1346" s="3" t="inlineStr">
        <is>
          <t>5400/650</t>
        </is>
      </c>
      <c r="E1346" s="3" t="inlineStr">
        <is>
          <t>Loan - Noble Shield</t>
        </is>
      </c>
      <c r="F1346" s="3" t="n">
        <v>600</v>
      </c>
      <c r="G1346" s="3" t="n">
        <v>600</v>
      </c>
    </row>
    <row r="1347">
      <c r="A1347" s="3" t="inlineStr">
        <is>
          <t>Cape Projects Construction (Pty) Ltd</t>
        </is>
      </c>
      <c r="B1347" s="4" t="n">
        <v>44742</v>
      </c>
      <c r="C1347" s="3" t="inlineStr">
        <is>
          <t>Assets</t>
        </is>
      </c>
      <c r="D1347" s="3" t="inlineStr">
        <is>
          <t>5400/750</t>
        </is>
      </c>
      <c r="E1347" s="3" t="inlineStr">
        <is>
          <t>Loan - Endulini</t>
        </is>
      </c>
      <c r="F1347" s="3" t="n">
        <v>162675.54</v>
      </c>
      <c r="G1347" s="3" t="n">
        <v>0</v>
      </c>
    </row>
    <row r="1348">
      <c r="A1348" s="3" t="inlineStr">
        <is>
          <t>Cape Projects Construction (Pty) Ltd</t>
        </is>
      </c>
      <c r="B1348" s="4" t="n">
        <v>44742</v>
      </c>
      <c r="C1348" s="3" t="inlineStr">
        <is>
          <t>Assets</t>
        </is>
      </c>
      <c r="D1348" s="3" t="inlineStr">
        <is>
          <t>5400/800</t>
        </is>
      </c>
      <c r="E1348" s="3" t="inlineStr">
        <is>
          <t>Loan - Opportunity Management Holdings</t>
        </is>
      </c>
      <c r="F1348" s="3" t="n">
        <v>50000</v>
      </c>
      <c r="G1348" s="3" t="n">
        <v>0</v>
      </c>
    </row>
    <row r="1349">
      <c r="A1349" s="3" t="inlineStr">
        <is>
          <t>Heron View (Pty) Ltd</t>
        </is>
      </c>
      <c r="B1349" s="4" t="n">
        <v>44742</v>
      </c>
      <c r="C1349" s="3" t="inlineStr">
        <is>
          <t>Liabilities</t>
        </is>
      </c>
      <c r="D1349" s="3" t="inlineStr">
        <is>
          <t>5500/001</t>
        </is>
      </c>
      <c r="E1349" s="3" t="inlineStr">
        <is>
          <t>Loan - Heron Fields</t>
        </is>
      </c>
      <c r="F1349" s="3" t="n">
        <v>-1420041.22</v>
      </c>
      <c r="G1349" s="3" t="n">
        <v>-1430761.22</v>
      </c>
    </row>
    <row r="1350">
      <c r="A1350" s="3" t="inlineStr">
        <is>
          <t>Heron Fields (Pty) Ltd</t>
        </is>
      </c>
      <c r="B1350" s="4" t="n">
        <v>44742</v>
      </c>
      <c r="C1350" s="3" t="inlineStr">
        <is>
          <t>Liabilities</t>
        </is>
      </c>
      <c r="D1350" s="3" t="inlineStr">
        <is>
          <t>5500/010</t>
        </is>
      </c>
      <c r="E1350" s="3" t="inlineStr">
        <is>
          <t>Loan - Quinate</t>
        </is>
      </c>
      <c r="F1350" s="3" t="n">
        <v>-420000</v>
      </c>
      <c r="G1350" s="3" t="n">
        <v>-420000</v>
      </c>
    </row>
    <row r="1351">
      <c r="A1351" s="3" t="inlineStr">
        <is>
          <t>Heron Fields (Pty) Ltd</t>
        </is>
      </c>
      <c r="B1351" s="4" t="n">
        <v>44742</v>
      </c>
      <c r="C1351" s="3" t="inlineStr">
        <is>
          <t>Liabilities</t>
        </is>
      </c>
      <c r="D1351" s="3" t="inlineStr">
        <is>
          <t>5500/020</t>
        </is>
      </c>
      <c r="E1351" s="3" t="inlineStr">
        <is>
          <t>Loan - Cape Projects Construction</t>
        </is>
      </c>
      <c r="F1351" s="3" t="n">
        <v>-551000</v>
      </c>
      <c r="G1351" s="3" t="n">
        <v>3160000</v>
      </c>
    </row>
    <row r="1352">
      <c r="A1352" s="3" t="inlineStr">
        <is>
          <t>Heron Fields (Pty) Ltd</t>
        </is>
      </c>
      <c r="B1352" s="4" t="n">
        <v>44742</v>
      </c>
      <c r="C1352" s="3" t="inlineStr">
        <is>
          <t>Liabilities</t>
        </is>
      </c>
      <c r="D1352" s="3" t="inlineStr">
        <is>
          <t>5500/030</t>
        </is>
      </c>
      <c r="E1352" s="3" t="inlineStr">
        <is>
          <t>Loan - Opportunity Global Investments</t>
        </is>
      </c>
      <c r="F1352" s="3" t="n">
        <v>-127000</v>
      </c>
      <c r="G1352" s="3" t="n">
        <v>-127000</v>
      </c>
    </row>
    <row r="1353">
      <c r="A1353" s="3" t="inlineStr">
        <is>
          <t>Heron Fields (Pty) Ltd</t>
        </is>
      </c>
      <c r="B1353" s="4" t="n">
        <v>44742</v>
      </c>
      <c r="C1353" s="3" t="inlineStr">
        <is>
          <t>Liabilities</t>
        </is>
      </c>
      <c r="D1353" s="3" t="inlineStr">
        <is>
          <t>5500/040</t>
        </is>
      </c>
      <c r="E1353" s="3" t="inlineStr">
        <is>
          <t>Loan - Trademark</t>
        </is>
      </c>
      <c r="F1353" s="3" t="n">
        <v>-45000</v>
      </c>
      <c r="G1353" s="3" t="n">
        <v>-45000</v>
      </c>
    </row>
    <row r="1354">
      <c r="A1354" s="3" t="inlineStr">
        <is>
          <t>Heron Fields (Pty) Ltd</t>
        </is>
      </c>
      <c r="B1354" s="4" t="n">
        <v>44742</v>
      </c>
      <c r="C1354" s="3" t="inlineStr">
        <is>
          <t>Liabilities</t>
        </is>
      </c>
      <c r="D1354" s="3" t="inlineStr">
        <is>
          <t>5500/050</t>
        </is>
      </c>
      <c r="E1354" s="3" t="inlineStr">
        <is>
          <t>Loan - Heron View</t>
        </is>
      </c>
      <c r="F1354" s="3" t="n">
        <v>1420041.22</v>
      </c>
      <c r="G1354" s="3" t="n">
        <v>1430761.22</v>
      </c>
    </row>
    <row r="1355">
      <c r="A1355" s="3" t="inlineStr">
        <is>
          <t>Heron Fields (Pty) Ltd</t>
        </is>
      </c>
      <c r="B1355" s="4" t="n">
        <v>44742</v>
      </c>
      <c r="C1355" s="3" t="inlineStr">
        <is>
          <t>Liabilities</t>
        </is>
      </c>
      <c r="D1355" s="3" t="inlineStr">
        <is>
          <t>5500/060</t>
        </is>
      </c>
      <c r="E1355" s="3" t="inlineStr">
        <is>
          <t>Loan - Opportunity Management Holdings</t>
        </is>
      </c>
      <c r="F1355" s="3" t="n">
        <v>-127000</v>
      </c>
      <c r="G1355" s="3" t="n">
        <v>-127000</v>
      </c>
    </row>
    <row r="1356">
      <c r="A1356" s="3" t="inlineStr">
        <is>
          <t>Heron Fields (Pty) Ltd</t>
        </is>
      </c>
      <c r="B1356" s="4" t="n">
        <v>44742</v>
      </c>
      <c r="C1356" s="3" t="inlineStr">
        <is>
          <t>Liabilities</t>
        </is>
      </c>
      <c r="D1356" s="3" t="inlineStr">
        <is>
          <t>5500/070</t>
        </is>
      </c>
      <c r="E1356" s="3" t="inlineStr">
        <is>
          <t>Loan - Noble Shield</t>
        </is>
      </c>
      <c r="F1356" s="3" t="n">
        <v>-11000</v>
      </c>
      <c r="G1356" s="3" t="n">
        <v>-11000</v>
      </c>
    </row>
    <row r="1357">
      <c r="A1357" s="3" t="inlineStr">
        <is>
          <t>Cape Projects Construction (Pty) Ltd</t>
        </is>
      </c>
      <c r="B1357" s="4" t="n">
        <v>44742</v>
      </c>
      <c r="C1357" s="3" t="inlineStr">
        <is>
          <t>Liabilities</t>
        </is>
      </c>
      <c r="D1357" s="3" t="inlineStr">
        <is>
          <t>5600/100</t>
        </is>
      </c>
      <c r="E1357" s="3" t="inlineStr">
        <is>
          <t>Motor Vehical Car Repaymts - Toyota</t>
        </is>
      </c>
      <c r="F1357" s="3" t="n">
        <v>5201.27</v>
      </c>
      <c r="G1357" s="3" t="n">
        <v>20792.94</v>
      </c>
    </row>
    <row r="1358">
      <c r="A1358" s="3" t="inlineStr">
        <is>
          <t>Cape Projects Construction (Pty) Ltd</t>
        </is>
      </c>
      <c r="B1358" s="4" t="n">
        <v>44742</v>
      </c>
      <c r="C1358" s="3" t="inlineStr">
        <is>
          <t>Liabilities</t>
        </is>
      </c>
      <c r="D1358" s="3" t="inlineStr">
        <is>
          <t>5600/200</t>
        </is>
      </c>
      <c r="E1358" s="3" t="inlineStr">
        <is>
          <t>Motor Vehicle Car Repayments - Toyota Shortterm</t>
        </is>
      </c>
      <c r="F1358" s="3" t="n">
        <v>0</v>
      </c>
      <c r="G1358" s="3" t="n">
        <v>-58920.1</v>
      </c>
    </row>
    <row r="1359">
      <c r="A1359" s="3" t="inlineStr">
        <is>
          <t>Cape Projects Construction (Pty) Ltd</t>
        </is>
      </c>
      <c r="B1359" s="4" t="n">
        <v>44742</v>
      </c>
      <c r="C1359" s="3" t="inlineStr">
        <is>
          <t>Assets</t>
        </is>
      </c>
      <c r="D1359" s="3" t="inlineStr">
        <is>
          <t>6200/010</t>
        </is>
      </c>
      <c r="E1359" s="3" t="inlineStr">
        <is>
          <t>Motor Vehicles - @ Cost</t>
        </is>
      </c>
      <c r="F1359" s="3" t="n">
        <v>0</v>
      </c>
      <c r="G1359" s="3" t="n">
        <v>216064.1</v>
      </c>
    </row>
    <row r="1360">
      <c r="A1360" s="3" t="inlineStr">
        <is>
          <t>Cape Projects Construction (Pty) Ltd</t>
        </is>
      </c>
      <c r="B1360" s="4" t="n">
        <v>44742</v>
      </c>
      <c r="C1360" s="3" t="inlineStr">
        <is>
          <t>Assets</t>
        </is>
      </c>
      <c r="D1360" s="3" t="inlineStr">
        <is>
          <t>6200/020</t>
        </is>
      </c>
      <c r="E1360" s="3" t="inlineStr">
        <is>
          <t>Motor Vehicles - Accum Depre</t>
        </is>
      </c>
      <c r="F1360" s="3" t="n">
        <v>0</v>
      </c>
      <c r="G1360" s="3" t="n">
        <v>-176453</v>
      </c>
    </row>
    <row r="1361">
      <c r="A1361" s="3" t="inlineStr">
        <is>
          <t>Cape Projects Construction (Pty) Ltd</t>
        </is>
      </c>
      <c r="B1361" s="4" t="n">
        <v>44742</v>
      </c>
      <c r="C1361" s="3" t="inlineStr">
        <is>
          <t>Assets</t>
        </is>
      </c>
      <c r="D1361" s="3" t="inlineStr">
        <is>
          <t>6250/010</t>
        </is>
      </c>
      <c r="E1361" s="3" t="inlineStr">
        <is>
          <t>Computer Equipment - @ Cost</t>
        </is>
      </c>
      <c r="F1361" s="3" t="n">
        <v>0</v>
      </c>
      <c r="G1361" s="3" t="n">
        <v>83494.91</v>
      </c>
    </row>
    <row r="1362">
      <c r="A1362" s="3" t="inlineStr">
        <is>
          <t>Cape Projects Construction (Pty) Ltd</t>
        </is>
      </c>
      <c r="B1362" s="4" t="n">
        <v>44742</v>
      </c>
      <c r="C1362" s="3" t="inlineStr">
        <is>
          <t>Assets</t>
        </is>
      </c>
      <c r="D1362" s="3" t="inlineStr">
        <is>
          <t>6250/020</t>
        </is>
      </c>
      <c r="E1362" s="3" t="inlineStr">
        <is>
          <t>Computer Equipment - Accum Depre</t>
        </is>
      </c>
      <c r="F1362" s="3" t="n">
        <v>-1926.8</v>
      </c>
      <c r="G1362" s="3" t="n">
        <v>-25869.09</v>
      </c>
    </row>
    <row r="1363">
      <c r="A1363" s="3" t="inlineStr">
        <is>
          <t>Cape Projects Construction (Pty) Ltd</t>
        </is>
      </c>
      <c r="B1363" s="4" t="n">
        <v>44742</v>
      </c>
      <c r="C1363" s="3" t="inlineStr">
        <is>
          <t>Assets</t>
        </is>
      </c>
      <c r="D1363" s="3" t="inlineStr">
        <is>
          <t>6350/010</t>
        </is>
      </c>
      <c r="E1363" s="3" t="inlineStr">
        <is>
          <t>Furniture _AND_ Fittings - @ Cost</t>
        </is>
      </c>
      <c r="F1363" s="3" t="n">
        <v>0</v>
      </c>
      <c r="G1363" s="3" t="n">
        <v>29281.39</v>
      </c>
    </row>
    <row r="1364">
      <c r="A1364" s="3" t="inlineStr">
        <is>
          <t>Cape Projects Construction (Pty) Ltd</t>
        </is>
      </c>
      <c r="B1364" s="4" t="n">
        <v>44742</v>
      </c>
      <c r="C1364" s="3" t="inlineStr">
        <is>
          <t>Assets</t>
        </is>
      </c>
      <c r="D1364" s="3" t="inlineStr">
        <is>
          <t>6350/020</t>
        </is>
      </c>
      <c r="E1364" s="3" t="inlineStr">
        <is>
          <t>Furniture _AND_ Fittings - Accum Depre</t>
        </is>
      </c>
      <c r="F1364" s="3" t="n">
        <v>-427.2</v>
      </c>
      <c r="G1364" s="3" t="n">
        <v>-2115.51</v>
      </c>
    </row>
    <row r="1365">
      <c r="A1365" s="3" t="inlineStr">
        <is>
          <t>Cape Projects Construction (Pty) Ltd</t>
        </is>
      </c>
      <c r="B1365" s="4" t="n">
        <v>44742</v>
      </c>
      <c r="C1365" s="3" t="inlineStr">
        <is>
          <t>Assets</t>
        </is>
      </c>
      <c r="D1365" s="3" t="inlineStr">
        <is>
          <t>6600/010</t>
        </is>
      </c>
      <c r="E1365" s="3" t="inlineStr">
        <is>
          <t>Generator Fixed Asset - @ Cost</t>
        </is>
      </c>
      <c r="F1365" s="3" t="n">
        <v>0</v>
      </c>
      <c r="G1365" s="3" t="n">
        <v>11600</v>
      </c>
    </row>
    <row r="1366">
      <c r="A1366" s="3" t="inlineStr">
        <is>
          <t>Cape Projects Construction (Pty) Ltd</t>
        </is>
      </c>
      <c r="B1366" s="4" t="n">
        <v>44742</v>
      </c>
      <c r="C1366" s="3" t="inlineStr">
        <is>
          <t>Assets</t>
        </is>
      </c>
      <c r="D1366" s="3" t="inlineStr">
        <is>
          <t>6600/020</t>
        </is>
      </c>
      <c r="E1366" s="3" t="inlineStr">
        <is>
          <t>Generator Fixed Asset - Accum Depre</t>
        </is>
      </c>
      <c r="F1366" s="3" t="n">
        <v>-193.33</v>
      </c>
      <c r="G1366" s="3" t="n">
        <v>-1578.89</v>
      </c>
    </row>
    <row r="1367">
      <c r="A1367" s="3" t="inlineStr">
        <is>
          <t>Heron Fields (Pty) Ltd</t>
        </is>
      </c>
      <c r="B1367" s="4" t="n">
        <v>44742</v>
      </c>
      <c r="C1367" s="3" t="inlineStr">
        <is>
          <t>Assets</t>
        </is>
      </c>
      <c r="D1367" s="3" t="inlineStr">
        <is>
          <t>7610/395</t>
        </is>
      </c>
      <c r="E1367" s="3" t="inlineStr">
        <is>
          <t>HF CIP NHBRC</t>
        </is>
      </c>
      <c r="F1367" s="3" t="n">
        <v>0</v>
      </c>
      <c r="G1367" s="3" t="n">
        <v>874505.75</v>
      </c>
    </row>
    <row r="1368">
      <c r="A1368" s="3" t="inlineStr">
        <is>
          <t>Heron Fields (Pty) Ltd</t>
        </is>
      </c>
      <c r="B1368" s="4" t="n">
        <v>44742</v>
      </c>
      <c r="C1368" s="3" t="inlineStr">
        <is>
          <t>Assets</t>
        </is>
      </c>
      <c r="D1368" s="3" t="inlineStr">
        <is>
          <t>7620/100</t>
        </is>
      </c>
      <c r="E1368" s="3" t="inlineStr">
        <is>
          <t>Heron View Land</t>
        </is>
      </c>
      <c r="F1368" s="3" t="n">
        <v>0</v>
      </c>
      <c r="G1368" s="3" t="n">
        <v>26200000</v>
      </c>
    </row>
    <row r="1369">
      <c r="A1369" s="3" t="inlineStr">
        <is>
          <t>Heron Fields (Pty) Ltd</t>
        </is>
      </c>
      <c r="B1369" s="4" t="n">
        <v>44742</v>
      </c>
      <c r="C1369" s="3" t="inlineStr">
        <is>
          <t>Assets</t>
        </is>
      </c>
      <c r="D1369" s="3" t="inlineStr">
        <is>
          <t>7620/101</t>
        </is>
      </c>
      <c r="E1369" s="3" t="inlineStr">
        <is>
          <t>HF CIP Bond Registration Fee</t>
        </is>
      </c>
      <c r="F1369" s="3" t="n">
        <v>0</v>
      </c>
      <c r="G1369" s="3" t="n">
        <v>68427</v>
      </c>
    </row>
    <row r="1370">
      <c r="A1370" s="3" t="inlineStr">
        <is>
          <t>Heron Fields (Pty) Ltd</t>
        </is>
      </c>
      <c r="B1370" s="4" t="n">
        <v>44742</v>
      </c>
      <c r="C1370" s="3" t="inlineStr">
        <is>
          <t>Assets</t>
        </is>
      </c>
      <c r="D1370" s="3" t="inlineStr">
        <is>
          <t>7620/102</t>
        </is>
      </c>
      <c r="E1370" s="3" t="inlineStr">
        <is>
          <t>HF CIP Transfer Fee</t>
        </is>
      </c>
      <c r="F1370" s="3" t="n">
        <v>0</v>
      </c>
      <c r="G1370" s="3" t="n">
        <v>103812</v>
      </c>
    </row>
    <row r="1371">
      <c r="A1371" s="3" t="inlineStr">
        <is>
          <t>Heron Fields (Pty) Ltd</t>
        </is>
      </c>
      <c r="B1371" s="4" t="n">
        <v>44742</v>
      </c>
      <c r="C1371" s="3" t="inlineStr">
        <is>
          <t>Assets</t>
        </is>
      </c>
      <c r="D1371" s="3" t="inlineStr">
        <is>
          <t>7620/220</t>
        </is>
      </c>
      <c r="E1371" s="3" t="inlineStr">
        <is>
          <t>HF CIP Architectural Designs</t>
        </is>
      </c>
      <c r="F1371" s="3" t="n">
        <v>0</v>
      </c>
      <c r="G1371" s="3" t="n">
        <v>150780</v>
      </c>
    </row>
    <row r="1372">
      <c r="A1372" s="3" t="inlineStr">
        <is>
          <t>Heron Fields (Pty) Ltd</t>
        </is>
      </c>
      <c r="B1372" s="4" t="n">
        <v>44742</v>
      </c>
      <c r="C1372" s="3" t="inlineStr">
        <is>
          <t>Assets</t>
        </is>
      </c>
      <c r="D1372" s="3" t="inlineStr">
        <is>
          <t>7620/230</t>
        </is>
      </c>
      <c r="E1372" s="3" t="inlineStr">
        <is>
          <t>HF CIP Construction Management</t>
        </is>
      </c>
      <c r="F1372" s="3" t="n">
        <v>11000</v>
      </c>
      <c r="G1372" s="3" t="n">
        <v>49000</v>
      </c>
    </row>
    <row r="1373">
      <c r="A1373" s="3" t="inlineStr">
        <is>
          <t>Heron Fields (Pty) Ltd</t>
        </is>
      </c>
      <c r="B1373" s="4" t="n">
        <v>44742</v>
      </c>
      <c r="C1373" s="3" t="inlineStr">
        <is>
          <t>Assets</t>
        </is>
      </c>
      <c r="D1373" s="3" t="inlineStr">
        <is>
          <t>7620/240</t>
        </is>
      </c>
      <c r="E1373" s="3" t="inlineStr">
        <is>
          <t>HF CIP Civil Engineering</t>
        </is>
      </c>
      <c r="F1373" s="3" t="n">
        <v>425220</v>
      </c>
      <c r="G1373" s="3" t="n">
        <v>6188594.8</v>
      </c>
    </row>
    <row r="1374">
      <c r="A1374" s="3" t="inlineStr">
        <is>
          <t>Heron Fields (Pty) Ltd</t>
        </is>
      </c>
      <c r="B1374" s="4" t="n">
        <v>44742</v>
      </c>
      <c r="C1374" s="3" t="inlineStr">
        <is>
          <t>Assets</t>
        </is>
      </c>
      <c r="D1374" s="3" t="inlineStr">
        <is>
          <t>7620/245</t>
        </is>
      </c>
      <c r="E1374" s="3" t="inlineStr">
        <is>
          <t>HF CIP Development fee</t>
        </is>
      </c>
      <c r="F1374" s="3" t="n">
        <v>0</v>
      </c>
      <c r="G1374" s="3" t="n">
        <v>13807.78</v>
      </c>
    </row>
    <row r="1375">
      <c r="A1375" s="3" t="inlineStr">
        <is>
          <t>Heron Fields (Pty) Ltd</t>
        </is>
      </c>
      <c r="B1375" s="4" t="n">
        <v>44742</v>
      </c>
      <c r="C1375" s="3" t="inlineStr">
        <is>
          <t>Assets</t>
        </is>
      </c>
      <c r="D1375" s="3" t="inlineStr">
        <is>
          <t>7620/250</t>
        </is>
      </c>
      <c r="E1375" s="3" t="inlineStr">
        <is>
          <t>HF CIP Land Surveyor</t>
        </is>
      </c>
      <c r="F1375" s="3" t="n">
        <v>0</v>
      </c>
      <c r="G1375" s="3" t="n">
        <v>44026.09</v>
      </c>
    </row>
    <row r="1376">
      <c r="A1376" s="3" t="inlineStr">
        <is>
          <t>Heron Fields (Pty) Ltd</t>
        </is>
      </c>
      <c r="B1376" s="4" t="n">
        <v>44742</v>
      </c>
      <c r="C1376" s="3" t="inlineStr">
        <is>
          <t>Assets</t>
        </is>
      </c>
      <c r="D1376" s="3" t="inlineStr">
        <is>
          <t>7620/255</t>
        </is>
      </c>
      <c r="E1376" s="3" t="inlineStr">
        <is>
          <t>HF CIP Landscaping</t>
        </is>
      </c>
      <c r="F1376" s="3" t="n">
        <v>0</v>
      </c>
      <c r="G1376" s="3" t="n">
        <v>7500</v>
      </c>
    </row>
    <row r="1377">
      <c r="A1377" s="3" t="inlineStr">
        <is>
          <t>Heron Fields (Pty) Ltd</t>
        </is>
      </c>
      <c r="B1377" s="4" t="n">
        <v>44742</v>
      </c>
      <c r="C1377" s="3" t="inlineStr">
        <is>
          <t>Assets</t>
        </is>
      </c>
      <c r="D1377" s="3" t="inlineStr">
        <is>
          <t>7620/260</t>
        </is>
      </c>
      <c r="E1377" s="3" t="inlineStr">
        <is>
          <t>HF CIP Mechanical Engineers</t>
        </is>
      </c>
      <c r="F1377" s="3" t="n">
        <v>0</v>
      </c>
      <c r="G1377" s="3" t="n">
        <v>67400</v>
      </c>
    </row>
    <row r="1378">
      <c r="A1378" s="3" t="inlineStr">
        <is>
          <t>Heron Fields (Pty) Ltd</t>
        </is>
      </c>
      <c r="B1378" s="4" t="n">
        <v>44742</v>
      </c>
      <c r="C1378" s="3" t="inlineStr">
        <is>
          <t>Assets</t>
        </is>
      </c>
      <c r="D1378" s="3" t="inlineStr">
        <is>
          <t>7620/265</t>
        </is>
      </c>
      <c r="E1378" s="3" t="inlineStr">
        <is>
          <t>HF CIP Health &amp; Safety</t>
        </is>
      </c>
      <c r="F1378" s="3" t="n">
        <v>1400</v>
      </c>
      <c r="G1378" s="3" t="n">
        <v>12200</v>
      </c>
    </row>
    <row r="1379">
      <c r="A1379" s="3" t="inlineStr">
        <is>
          <t>Heron Fields (Pty) Ltd</t>
        </is>
      </c>
      <c r="B1379" s="4" t="n">
        <v>44742</v>
      </c>
      <c r="C1379" s="3" t="inlineStr">
        <is>
          <t>Assets</t>
        </is>
      </c>
      <c r="D1379" s="3" t="inlineStr">
        <is>
          <t>7620/270</t>
        </is>
      </c>
      <c r="E1379" s="3" t="inlineStr">
        <is>
          <t>HF CIP Geotechnical</t>
        </is>
      </c>
      <c r="F1379" s="3" t="n">
        <v>0</v>
      </c>
      <c r="G1379" s="3" t="n">
        <v>15175</v>
      </c>
    </row>
    <row r="1380">
      <c r="A1380" s="3" t="inlineStr">
        <is>
          <t>Heron Fields (Pty) Ltd</t>
        </is>
      </c>
      <c r="B1380" s="4" t="n">
        <v>44742</v>
      </c>
      <c r="C1380" s="3" t="inlineStr">
        <is>
          <t>Assets</t>
        </is>
      </c>
      <c r="D1380" s="3" t="inlineStr">
        <is>
          <t>7620/275</t>
        </is>
      </c>
      <c r="E1380" s="3" t="inlineStr">
        <is>
          <t>HF CIP Retaining Wall</t>
        </is>
      </c>
      <c r="F1380" s="3" t="n">
        <v>0</v>
      </c>
      <c r="G1380" s="3" t="n">
        <v>570856.08</v>
      </c>
    </row>
    <row r="1381">
      <c r="A1381" s="3" t="inlineStr">
        <is>
          <t>Heron Fields (Pty) Ltd</t>
        </is>
      </c>
      <c r="B1381" s="4" t="n">
        <v>44742</v>
      </c>
      <c r="C1381" s="3" t="inlineStr">
        <is>
          <t>Assets</t>
        </is>
      </c>
      <c r="D1381" s="3" t="inlineStr">
        <is>
          <t>7620/280</t>
        </is>
      </c>
      <c r="E1381" s="3" t="inlineStr">
        <is>
          <t>HF CIP Site Establishment</t>
        </is>
      </c>
      <c r="F1381" s="3" t="n">
        <v>5855130.14</v>
      </c>
      <c r="G1381" s="3" t="n">
        <v>13540373.53</v>
      </c>
    </row>
    <row r="1382">
      <c r="A1382" s="3" t="inlineStr">
        <is>
          <t>Heron Fields (Pty) Ltd</t>
        </is>
      </c>
      <c r="B1382" s="4" t="n">
        <v>44742</v>
      </c>
      <c r="C1382" s="3" t="inlineStr">
        <is>
          <t>Assets</t>
        </is>
      </c>
      <c r="D1382" s="3" t="inlineStr">
        <is>
          <t>7620/285</t>
        </is>
      </c>
      <c r="E1382" s="3" t="inlineStr">
        <is>
          <t>HF CIP Structuring Fee - Invest</t>
        </is>
      </c>
      <c r="F1382" s="3" t="n">
        <v>0</v>
      </c>
      <c r="G1382" s="3" t="n">
        <v>2376904.99</v>
      </c>
    </row>
    <row r="1383">
      <c r="A1383" s="3" t="inlineStr">
        <is>
          <t>Heron Fields (Pty) Ltd</t>
        </is>
      </c>
      <c r="B1383" s="4" t="n">
        <v>44742</v>
      </c>
      <c r="C1383" s="3" t="inlineStr">
        <is>
          <t>Assets</t>
        </is>
      </c>
      <c r="D1383" s="3" t="inlineStr">
        <is>
          <t>7620/287</t>
        </is>
      </c>
      <c r="E1383" s="3" t="inlineStr">
        <is>
          <t>HF CIP Structuring Fee - Development</t>
        </is>
      </c>
      <c r="F1383" s="3" t="n">
        <v>0</v>
      </c>
      <c r="G1383" s="3" t="n">
        <v>782608.0699999999</v>
      </c>
    </row>
    <row r="1384">
      <c r="A1384" s="3" t="inlineStr">
        <is>
          <t>Heron Fields (Pty) Ltd</t>
        </is>
      </c>
      <c r="B1384" s="4" t="n">
        <v>44742</v>
      </c>
      <c r="C1384" s="3" t="inlineStr">
        <is>
          <t>Assets</t>
        </is>
      </c>
      <c r="D1384" s="3" t="inlineStr">
        <is>
          <t>7620/290</t>
        </is>
      </c>
      <c r="E1384" s="3" t="inlineStr">
        <is>
          <t>HF CIP Town Planning</t>
        </is>
      </c>
      <c r="F1384" s="3" t="n">
        <v>34000</v>
      </c>
      <c r="G1384" s="3" t="n">
        <v>163550</v>
      </c>
    </row>
    <row r="1385">
      <c r="A1385" s="3" t="inlineStr">
        <is>
          <t>Heron Fields (Pty) Ltd</t>
        </is>
      </c>
      <c r="B1385" s="4" t="n">
        <v>44742</v>
      </c>
      <c r="C1385" s="3" t="inlineStr">
        <is>
          <t>Assets</t>
        </is>
      </c>
      <c r="D1385" s="3" t="inlineStr">
        <is>
          <t>7620/295</t>
        </is>
      </c>
      <c r="E1385" s="3" t="inlineStr">
        <is>
          <t>HF CIP Traffic Planning</t>
        </is>
      </c>
      <c r="F1385" s="3" t="n">
        <v>0</v>
      </c>
      <c r="G1385" s="3" t="n">
        <v>45000</v>
      </c>
    </row>
    <row r="1386">
      <c r="A1386" s="3" t="inlineStr">
        <is>
          <t>Heron Fields (Pty) Ltd</t>
        </is>
      </c>
      <c r="B1386" s="4" t="n">
        <v>44742</v>
      </c>
      <c r="C1386" s="3" t="inlineStr">
        <is>
          <t>Assets</t>
        </is>
      </c>
      <c r="D1386" s="3" t="inlineStr">
        <is>
          <t>7620/600</t>
        </is>
      </c>
      <c r="E1386" s="3" t="inlineStr">
        <is>
          <t>HF CIP Eco work</t>
        </is>
      </c>
      <c r="F1386" s="3" t="n">
        <v>6000</v>
      </c>
      <c r="G1386" s="3" t="n">
        <v>83000</v>
      </c>
    </row>
    <row r="1387">
      <c r="A1387" s="3" t="inlineStr">
        <is>
          <t>Heron Fields (Pty) Ltd</t>
        </is>
      </c>
      <c r="B1387" s="4" t="n">
        <v>44742</v>
      </c>
      <c r="C1387" s="3" t="inlineStr">
        <is>
          <t>Assets</t>
        </is>
      </c>
      <c r="D1387" s="3" t="inlineStr">
        <is>
          <t>7620/630</t>
        </is>
      </c>
      <c r="E1387" s="3" t="inlineStr">
        <is>
          <t>HF CIP CoCT development contribution</t>
        </is>
      </c>
      <c r="F1387" s="3" t="n">
        <v>223707.3</v>
      </c>
      <c r="G1387" s="3" t="n">
        <v>973679.71</v>
      </c>
    </row>
    <row r="1388">
      <c r="A1388" s="3" t="inlineStr">
        <is>
          <t>Heron View (Pty) Ltd</t>
        </is>
      </c>
      <c r="B1388" s="4" t="n">
        <v>44742</v>
      </c>
      <c r="C1388" s="3" t="inlineStr">
        <is>
          <t>Assets</t>
        </is>
      </c>
      <c r="D1388" s="3" t="inlineStr">
        <is>
          <t>7620/630</t>
        </is>
      </c>
      <c r="E1388" s="3" t="inlineStr">
        <is>
          <t>Heron CIP - CoCT development contribution</t>
        </is>
      </c>
      <c r="F1388" s="3" t="n">
        <v>1233261.93</v>
      </c>
      <c r="G1388" s="3" t="n">
        <v>1233261.93</v>
      </c>
    </row>
    <row r="1389">
      <c r="A1389" s="3" t="inlineStr">
        <is>
          <t>Heron Fields (Pty) Ltd</t>
        </is>
      </c>
      <c r="B1389" s="4" t="n">
        <v>44742</v>
      </c>
      <c r="C1389" s="3" t="inlineStr">
        <is>
          <t>Assets</t>
        </is>
      </c>
      <c r="D1389" s="3" t="inlineStr">
        <is>
          <t>7620/640</t>
        </is>
      </c>
      <c r="E1389" s="3" t="inlineStr">
        <is>
          <t>HF CIP Project costs</t>
        </is>
      </c>
      <c r="F1389" s="3" t="n">
        <v>0</v>
      </c>
      <c r="G1389" s="3" t="n">
        <v>622274.51</v>
      </c>
    </row>
    <row r="1390">
      <c r="A1390" s="3" t="inlineStr">
        <is>
          <t>Heron Fields (Pty) Ltd</t>
        </is>
      </c>
      <c r="B1390" s="4" t="n">
        <v>44742</v>
      </c>
      <c r="C1390" s="3" t="inlineStr">
        <is>
          <t>Assets</t>
        </is>
      </c>
      <c r="D1390" s="3" t="inlineStr">
        <is>
          <t>7620/650</t>
        </is>
      </c>
      <c r="E1390" s="3" t="inlineStr">
        <is>
          <t>HF CIP Electrical</t>
        </is>
      </c>
      <c r="F1390" s="3" t="n">
        <v>475734.17</v>
      </c>
      <c r="G1390" s="3" t="n">
        <v>475734.17</v>
      </c>
    </row>
    <row r="1391">
      <c r="A1391" s="3" t="inlineStr">
        <is>
          <t>Heron View (Pty) Ltd</t>
        </is>
      </c>
      <c r="B1391" s="4" t="n">
        <v>44742</v>
      </c>
      <c r="C1391" s="3" t="inlineStr">
        <is>
          <t>Assets</t>
        </is>
      </c>
      <c r="D1391" s="3" t="inlineStr">
        <is>
          <t>7620/660</t>
        </is>
      </c>
      <c r="E1391" s="3" t="inlineStr">
        <is>
          <t>HV CIP Health &amp; Safety</t>
        </is>
      </c>
      <c r="F1391" s="3" t="n">
        <v>1100</v>
      </c>
      <c r="G1391" s="3" t="n">
        <v>1100</v>
      </c>
    </row>
    <row r="1392">
      <c r="A1392" s="3" t="inlineStr">
        <is>
          <t>Cape Projects Construction (Pty) Ltd</t>
        </is>
      </c>
      <c r="B1392" s="4" t="n">
        <v>44742</v>
      </c>
      <c r="C1392" s="3" t="inlineStr">
        <is>
          <t>Assets</t>
        </is>
      </c>
      <c r="D1392" s="3" t="inlineStr">
        <is>
          <t>7800/000</t>
        </is>
      </c>
      <c r="E1392" s="3" t="inlineStr">
        <is>
          <t>Deposits paid</t>
        </is>
      </c>
      <c r="F1392" s="3" t="n">
        <v>0</v>
      </c>
      <c r="G1392" s="3" t="n">
        <v>6875.45</v>
      </c>
    </row>
    <row r="1393">
      <c r="A1393" s="3" t="inlineStr">
        <is>
          <t>Cape Projects Construction (Pty) Ltd</t>
        </is>
      </c>
      <c r="B1393" s="4" t="n">
        <v>44742</v>
      </c>
      <c r="C1393" s="3" t="inlineStr">
        <is>
          <t>Assets</t>
        </is>
      </c>
      <c r="D1393" s="3" t="inlineStr">
        <is>
          <t>8000/000</t>
        </is>
      </c>
      <c r="E1393" s="3" t="inlineStr">
        <is>
          <t>Customer Control Account</t>
        </is>
      </c>
      <c r="F1393" s="3" t="n">
        <v>11920629.86</v>
      </c>
      <c r="G1393" s="3" t="n">
        <v>19575423.98</v>
      </c>
    </row>
    <row r="1394">
      <c r="A1394" s="3" t="inlineStr">
        <is>
          <t>Cape Projects Construction (Pty) Ltd</t>
        </is>
      </c>
      <c r="B1394" s="4" t="n">
        <v>44742</v>
      </c>
      <c r="C1394" s="3" t="inlineStr">
        <is>
          <t>Assets</t>
        </is>
      </c>
      <c r="D1394" s="3" t="inlineStr">
        <is>
          <t>8200/010</t>
        </is>
      </c>
      <c r="E1394" s="3" t="inlineStr">
        <is>
          <t>Prepayments / Prepaid Expenses</t>
        </is>
      </c>
      <c r="F1394" s="3" t="n">
        <v>-5586.53</v>
      </c>
      <c r="G1394" s="3" t="n">
        <v>27342.04</v>
      </c>
    </row>
    <row r="1395">
      <c r="A1395" s="3" t="inlineStr">
        <is>
          <t>Heron Fields (Pty) Ltd</t>
        </is>
      </c>
      <c r="B1395" s="4" t="n">
        <v>44742</v>
      </c>
      <c r="C1395" s="3" t="inlineStr">
        <is>
          <t>Assets</t>
        </is>
      </c>
      <c r="D1395" s="3" t="inlineStr">
        <is>
          <t>8400/000</t>
        </is>
      </c>
      <c r="E1395" s="3" t="inlineStr">
        <is>
          <t>RMB - 62882379087</t>
        </is>
      </c>
      <c r="F1395" s="3" t="n">
        <v>3796064.73</v>
      </c>
      <c r="G1395" s="3" t="n">
        <v>5185547.3</v>
      </c>
    </row>
    <row r="1396">
      <c r="A1396" s="3" t="inlineStr">
        <is>
          <t>Cape Projects Construction (Pty) Ltd</t>
        </is>
      </c>
      <c r="B1396" s="4" t="n">
        <v>44742</v>
      </c>
      <c r="C1396" s="3" t="inlineStr">
        <is>
          <t>Assets</t>
        </is>
      </c>
      <c r="D1396" s="3" t="inlineStr">
        <is>
          <t>8400/000</t>
        </is>
      </c>
      <c r="E1396" s="3" t="inlineStr">
        <is>
          <t>RMB 62275138470</t>
        </is>
      </c>
      <c r="F1396" s="3" t="n">
        <v>-31615.39</v>
      </c>
      <c r="G1396" s="3" t="n">
        <v>16101.64</v>
      </c>
    </row>
    <row r="1397">
      <c r="A1397" s="3" t="inlineStr">
        <is>
          <t>Cape Projects Construction (Pty) Ltd</t>
        </is>
      </c>
      <c r="B1397" s="4" t="n">
        <v>44742</v>
      </c>
      <c r="C1397" s="3" t="inlineStr">
        <is>
          <t>Assets</t>
        </is>
      </c>
      <c r="D1397" s="3" t="inlineStr">
        <is>
          <t>8420/000</t>
        </is>
      </c>
      <c r="E1397" s="3" t="inlineStr">
        <is>
          <t>Momentum Priv Acc RU502230981</t>
        </is>
      </c>
      <c r="F1397" s="3" t="n">
        <v>2.15</v>
      </c>
      <c r="G1397" s="3" t="n">
        <v>517.9299999999999</v>
      </c>
    </row>
    <row r="1398">
      <c r="A1398" s="3" t="inlineStr">
        <is>
          <t>Heron Fields (Pty) Ltd</t>
        </is>
      </c>
      <c r="B1398" s="4" t="n">
        <v>44742</v>
      </c>
      <c r="C1398" s="3" t="inlineStr">
        <is>
          <t>Assets</t>
        </is>
      </c>
      <c r="D1398" s="3" t="inlineStr">
        <is>
          <t>8430/000</t>
        </is>
      </c>
      <c r="E1398" s="3" t="inlineStr">
        <is>
          <t>Momentum Private Account RU502230151</t>
        </is>
      </c>
      <c r="F1398" s="3" t="n">
        <v>2.92</v>
      </c>
      <c r="G1398" s="3" t="n">
        <v>796.2</v>
      </c>
    </row>
    <row r="1399">
      <c r="A1399" s="3" t="inlineStr">
        <is>
          <t>Heron Fields (Pty) Ltd</t>
        </is>
      </c>
      <c r="B1399" s="4" t="n">
        <v>44742</v>
      </c>
      <c r="C1399" s="3" t="inlineStr">
        <is>
          <t>Assets</t>
        </is>
      </c>
      <c r="D1399" s="3" t="inlineStr">
        <is>
          <t>8440/000</t>
        </is>
      </c>
      <c r="E1399" s="3" t="inlineStr">
        <is>
          <t>Momentum Investors Account RU502229930</t>
        </is>
      </c>
      <c r="F1399" s="3" t="n">
        <v>1659015.12</v>
      </c>
      <c r="G1399" s="3" t="n">
        <v>10022097.75</v>
      </c>
    </row>
    <row r="1400">
      <c r="A1400" s="3" t="inlineStr">
        <is>
          <t>Heron Fields (Pty) Ltd</t>
        </is>
      </c>
      <c r="B1400" s="4" t="n">
        <v>44742</v>
      </c>
      <c r="C1400" s="3" t="inlineStr">
        <is>
          <t>Assets</t>
        </is>
      </c>
      <c r="D1400" s="3" t="inlineStr">
        <is>
          <t>8500/000</t>
        </is>
      </c>
      <c r="E1400" s="3" t="inlineStr">
        <is>
          <t>Laas and Scholtz - Funds in transit</t>
        </is>
      </c>
      <c r="F1400" s="3" t="n">
        <v>500000</v>
      </c>
      <c r="G1400" s="3" t="n">
        <v>500000</v>
      </c>
    </row>
    <row r="1401">
      <c r="A1401" s="3" t="inlineStr">
        <is>
          <t>Cape Projects Construction (Pty) Ltd</t>
        </is>
      </c>
      <c r="B1401" s="4" t="n">
        <v>44742</v>
      </c>
      <c r="C1401" s="3" t="inlineStr">
        <is>
          <t>Liabilities</t>
        </is>
      </c>
      <c r="D1401" s="3" t="inlineStr">
        <is>
          <t>860</t>
        </is>
      </c>
      <c r="E1401" s="3" t="inlineStr">
        <is>
          <t>Rounding</t>
        </is>
      </c>
      <c r="F1401" s="3" t="n">
        <v>-0.01</v>
      </c>
      <c r="G1401" s="3" t="n">
        <v>-0.04</v>
      </c>
    </row>
    <row r="1402">
      <c r="A1402" s="3" t="inlineStr">
        <is>
          <t>Heron Fields (Pty) Ltd</t>
        </is>
      </c>
      <c r="B1402" s="4" t="n">
        <v>44742</v>
      </c>
      <c r="C1402" s="3" t="inlineStr">
        <is>
          <t>Liabilities</t>
        </is>
      </c>
      <c r="D1402" s="3" t="inlineStr">
        <is>
          <t>860</t>
        </is>
      </c>
      <c r="E1402" s="3" t="inlineStr">
        <is>
          <t>Rounding</t>
        </is>
      </c>
      <c r="F1402" s="3" t="n">
        <v>-0.01</v>
      </c>
      <c r="G1402" s="3" t="n">
        <v>0</v>
      </c>
    </row>
    <row r="1403">
      <c r="A1403" s="3" t="inlineStr">
        <is>
          <t>Cape Projects Construction (Pty) Ltd</t>
        </is>
      </c>
      <c r="B1403" s="4" t="n">
        <v>44742</v>
      </c>
      <c r="C1403" s="3" t="inlineStr">
        <is>
          <t>Liabilities</t>
        </is>
      </c>
      <c r="D1403" s="3" t="inlineStr">
        <is>
          <t>9000/000</t>
        </is>
      </c>
      <c r="E1403" s="3" t="inlineStr">
        <is>
          <t>Supplier Control Account</t>
        </is>
      </c>
      <c r="F1403" s="3" t="n">
        <v>246690.54</v>
      </c>
      <c r="G1403" s="3" t="n">
        <v>-5033705.7</v>
      </c>
    </row>
    <row r="1404">
      <c r="A1404" s="3" t="inlineStr">
        <is>
          <t>Heron Fields (Pty) Ltd</t>
        </is>
      </c>
      <c r="B1404" s="4" t="n">
        <v>44742</v>
      </c>
      <c r="C1404" s="3" t="inlineStr">
        <is>
          <t>Liabilities</t>
        </is>
      </c>
      <c r="D1404" s="3" t="inlineStr">
        <is>
          <t>9000/000</t>
        </is>
      </c>
      <c r="E1404" s="3" t="inlineStr">
        <is>
          <t>Supplier Control Account</t>
        </is>
      </c>
      <c r="F1404" s="3" t="n">
        <v>-14434834.46</v>
      </c>
      <c r="G1404" s="3" t="n">
        <v>-76416498.09999999</v>
      </c>
    </row>
    <row r="1405">
      <c r="A1405" s="3" t="inlineStr">
        <is>
          <t>Heron View (Pty) Ltd</t>
        </is>
      </c>
      <c r="B1405" s="4" t="n">
        <v>44742</v>
      </c>
      <c r="C1405" s="3" t="inlineStr">
        <is>
          <t>Liabilities</t>
        </is>
      </c>
      <c r="D1405" s="3" t="inlineStr">
        <is>
          <t>9000/000</t>
        </is>
      </c>
      <c r="E1405" s="3" t="inlineStr">
        <is>
          <t>Supplier Control Account</t>
        </is>
      </c>
      <c r="F1405" s="3" t="n">
        <v>0</v>
      </c>
      <c r="G1405" s="3" t="n">
        <v>8650</v>
      </c>
    </row>
    <row r="1406">
      <c r="A1406" s="3" t="inlineStr">
        <is>
          <t>Cape Projects Construction (Pty) Ltd</t>
        </is>
      </c>
      <c r="B1406" s="4" t="n">
        <v>44742</v>
      </c>
      <c r="C1406" s="3" t="inlineStr">
        <is>
          <t>Liabilities</t>
        </is>
      </c>
      <c r="D1406" s="3" t="inlineStr">
        <is>
          <t>9200/000</t>
        </is>
      </c>
      <c r="E1406" s="3" t="inlineStr">
        <is>
          <t>Sundry Suppliers</t>
        </is>
      </c>
      <c r="F1406" s="3" t="n">
        <v>0</v>
      </c>
      <c r="G1406" s="3" t="n">
        <v>1186.13</v>
      </c>
    </row>
    <row r="1407">
      <c r="A1407" s="3" t="inlineStr">
        <is>
          <t>Cape Projects Construction (Pty) Ltd</t>
        </is>
      </c>
      <c r="B1407" s="4" t="n">
        <v>44742</v>
      </c>
      <c r="C1407" s="3" t="inlineStr">
        <is>
          <t>Liabilities</t>
        </is>
      </c>
      <c r="D1407" s="3" t="inlineStr">
        <is>
          <t>9250/010</t>
        </is>
      </c>
      <c r="E1407" s="3" t="inlineStr">
        <is>
          <t>SALARY CONTROL</t>
        </is>
      </c>
      <c r="F1407" s="3" t="n">
        <v>0.01</v>
      </c>
      <c r="G1407" s="3" t="n">
        <v>20758.55</v>
      </c>
    </row>
    <row r="1408">
      <c r="A1408" s="3" t="inlineStr">
        <is>
          <t>Cape Projects Construction (Pty) Ltd</t>
        </is>
      </c>
      <c r="B1408" s="4" t="n">
        <v>44742</v>
      </c>
      <c r="C1408" s="3" t="inlineStr">
        <is>
          <t>Liabilities</t>
        </is>
      </c>
      <c r="D1408" s="3" t="inlineStr">
        <is>
          <t>9250/020</t>
        </is>
      </c>
      <c r="E1408" s="3" t="inlineStr">
        <is>
          <t>PAYE, UIF AND SDL CONTROL</t>
        </is>
      </c>
      <c r="F1408" s="3" t="n">
        <v>16118.55</v>
      </c>
      <c r="G1408" s="3" t="n">
        <v>-24518.26</v>
      </c>
    </row>
    <row r="1409">
      <c r="A1409" s="3" t="inlineStr">
        <is>
          <t>Cape Projects Construction (Pty) Ltd</t>
        </is>
      </c>
      <c r="B1409" s="4" t="n">
        <v>44742</v>
      </c>
      <c r="C1409" s="3" t="inlineStr">
        <is>
          <t>Liabilities</t>
        </is>
      </c>
      <c r="D1409" s="3" t="inlineStr">
        <is>
          <t>9250/030</t>
        </is>
      </c>
      <c r="E1409" s="3" t="inlineStr">
        <is>
          <t>BIBC CONTROL</t>
        </is>
      </c>
      <c r="F1409" s="3" t="n">
        <v>-7435.92</v>
      </c>
      <c r="G1409" s="3" t="n">
        <v>-13413.74</v>
      </c>
    </row>
    <row r="1410">
      <c r="A1410" s="3" t="inlineStr">
        <is>
          <t>Cape Projects Construction (Pty) Ltd</t>
        </is>
      </c>
      <c r="B1410" s="4" t="n">
        <v>44742</v>
      </c>
      <c r="C1410" s="3" t="inlineStr">
        <is>
          <t>Liabilities</t>
        </is>
      </c>
      <c r="D1410" s="3" t="inlineStr">
        <is>
          <t>9500/000</t>
        </is>
      </c>
      <c r="E1410" s="3" t="inlineStr">
        <is>
          <t>VAT Control Account</t>
        </is>
      </c>
      <c r="F1410" s="3" t="n">
        <v>-1865385.49</v>
      </c>
      <c r="G1410" s="3" t="n">
        <v>-3186907.21</v>
      </c>
    </row>
    <row r="1411">
      <c r="A1411" s="3" t="inlineStr">
        <is>
          <t>Heron Fields (Pty) Ltd</t>
        </is>
      </c>
      <c r="B1411" s="4" t="n">
        <v>44742</v>
      </c>
      <c r="C1411" s="3" t="inlineStr">
        <is>
          <t>Liabilities</t>
        </is>
      </c>
      <c r="D1411" s="3" t="inlineStr">
        <is>
          <t>9500/000</t>
        </is>
      </c>
      <c r="E1411" s="3" t="inlineStr">
        <is>
          <t>Vat / Tax Control Account</t>
        </is>
      </c>
      <c r="F1411" s="3" t="n">
        <v>1093178.94</v>
      </c>
      <c r="G1411" s="3" t="n">
        <v>2311440.44</v>
      </c>
    </row>
    <row r="1412">
      <c r="A1412" s="3" t="inlineStr">
        <is>
          <t>Heron View (Pty) Ltd</t>
        </is>
      </c>
      <c r="B1412" s="4" t="n">
        <v>44742</v>
      </c>
      <c r="C1412" s="3" t="inlineStr">
        <is>
          <t>Liabilities</t>
        </is>
      </c>
      <c r="D1412" s="3" t="inlineStr">
        <is>
          <t>9500/000</t>
        </is>
      </c>
      <c r="E1412" s="3" t="inlineStr">
        <is>
          <t>Vat / Tax Control Account</t>
        </is>
      </c>
      <c r="F1412" s="3" t="n">
        <v>185079.29</v>
      </c>
      <c r="G1412" s="3" t="n">
        <v>185349.29</v>
      </c>
    </row>
    <row r="1413">
      <c r="A1413" s="3" t="inlineStr">
        <is>
          <t>Cape Projects Construction (Pty) Ltd</t>
        </is>
      </c>
      <c r="B1413" s="4" t="n">
        <v>44742</v>
      </c>
      <c r="C1413" s="3" t="inlineStr">
        <is>
          <t>Liabilities</t>
        </is>
      </c>
      <c r="D1413" s="3" t="inlineStr">
        <is>
          <t>9990/000</t>
        </is>
      </c>
      <c r="E1413" s="3" t="inlineStr">
        <is>
          <t>Opening Balance / Suspense Account</t>
        </is>
      </c>
      <c r="F1413" s="3" t="n">
        <v>0</v>
      </c>
      <c r="G1413" s="3" t="n">
        <v>80</v>
      </c>
    </row>
    <row r="1414">
      <c r="A1414" s="3" t="inlineStr">
        <is>
          <t>Cape Projects Construction (Pty) Ltd</t>
        </is>
      </c>
      <c r="B1414" s="4" t="n">
        <v>44742</v>
      </c>
      <c r="C1414" s="3" t="inlineStr">
        <is>
          <t>Liabilities</t>
        </is>
      </c>
      <c r="D1414" s="3" t="inlineStr">
        <is>
          <t>B/S</t>
        </is>
      </c>
      <c r="E1414" s="3" t="inlineStr">
        <is>
          <t>Taxation Payable</t>
        </is>
      </c>
      <c r="F1414" s="3" t="n">
        <v>0</v>
      </c>
      <c r="G1414" s="3" t="n">
        <v>1869.8</v>
      </c>
    </row>
    <row r="1415">
      <c r="A1415" s="3" t="inlineStr">
        <is>
          <t>Cape Projects Construction (Pty) Ltd</t>
        </is>
      </c>
      <c r="B1415" s="4" t="n">
        <v>44742</v>
      </c>
      <c r="C1415" s="3" t="inlineStr">
        <is>
          <t>Liabilities</t>
        </is>
      </c>
      <c r="D1415" s="3" t="inlineStr">
        <is>
          <t>TEMP/ACC</t>
        </is>
      </c>
      <c r="E1415" s="3" t="inlineStr">
        <is>
          <t>Conversion Account</t>
        </is>
      </c>
      <c r="F1415" s="3" t="n">
        <v>0</v>
      </c>
      <c r="G1415" s="3" t="n">
        <v>-254.99</v>
      </c>
    </row>
    <row r="1416">
      <c r="A1416" s="3" t="inlineStr">
        <is>
          <t>Cape Projects Construction (Pty) Ltd</t>
        </is>
      </c>
      <c r="B1416" s="4" t="n">
        <v>44773</v>
      </c>
      <c r="C1416" s="3" t="inlineStr">
        <is>
          <t>Revenue</t>
        </is>
      </c>
      <c r="D1416" s="3" t="inlineStr">
        <is>
          <t>1040/100</t>
        </is>
      </c>
      <c r="E1416" s="3" t="inlineStr">
        <is>
          <t>Fees - Construction - Heron</t>
        </is>
      </c>
      <c r="F1416" s="3" t="n">
        <v>-6000215.88</v>
      </c>
      <c r="G1416" s="3" t="n">
        <v>-17183903.2</v>
      </c>
    </row>
    <row r="1417">
      <c r="A1417" s="3" t="inlineStr">
        <is>
          <t>Cape Projects Construction (Pty) Ltd</t>
        </is>
      </c>
      <c r="B1417" s="4" t="n">
        <v>44773</v>
      </c>
      <c r="C1417" s="3" t="inlineStr">
        <is>
          <t>Revenue</t>
        </is>
      </c>
      <c r="D1417" s="3" t="inlineStr">
        <is>
          <t>1050/030</t>
        </is>
      </c>
      <c r="E1417" s="3" t="inlineStr">
        <is>
          <t>Fees - Construction - Endulini</t>
        </is>
      </c>
      <c r="F1417" s="3" t="n">
        <v>10393543.48</v>
      </c>
      <c r="G1417" s="3" t="n">
        <v>-12058898.93</v>
      </c>
    </row>
    <row r="1418">
      <c r="A1418" s="3" t="inlineStr">
        <is>
          <t>Cape Projects Construction (Pty) Ltd</t>
        </is>
      </c>
      <c r="B1418" s="4" t="n">
        <v>44773</v>
      </c>
      <c r="C1418" s="3" t="inlineStr">
        <is>
          <t>Revenue</t>
        </is>
      </c>
      <c r="D1418" s="3" t="inlineStr">
        <is>
          <t>1051/100</t>
        </is>
      </c>
      <c r="E1418" s="3" t="inlineStr">
        <is>
          <t>Fees - Construction - Heron Fields</t>
        </is>
      </c>
      <c r="F1418" s="3" t="n">
        <v>0</v>
      </c>
      <c r="G1418" s="3" t="n">
        <v>-1782369.8</v>
      </c>
    </row>
    <row r="1419">
      <c r="A1419" s="3" t="inlineStr">
        <is>
          <t>Cape Projects Construction (Pty) Ltd</t>
        </is>
      </c>
      <c r="B1419" s="4" t="n">
        <v>44773</v>
      </c>
      <c r="C1419" s="3" t="inlineStr">
        <is>
          <t>Revenue</t>
        </is>
      </c>
      <c r="D1419" s="3" t="inlineStr">
        <is>
          <t>1051/200</t>
        </is>
      </c>
      <c r="E1419" s="3" t="inlineStr">
        <is>
          <t>Fees - Construction - Heron Fields P&amp;G</t>
        </is>
      </c>
      <c r="F1419" s="3" t="n">
        <v>1616.91</v>
      </c>
      <c r="G1419" s="3" t="n">
        <v>1616.91</v>
      </c>
    </row>
    <row r="1420">
      <c r="A1420" s="3" t="inlineStr">
        <is>
          <t>Cape Projects Construction (Pty) Ltd</t>
        </is>
      </c>
      <c r="B1420" s="4" t="n">
        <v>44773</v>
      </c>
      <c r="C1420" s="3" t="inlineStr">
        <is>
          <t>Revenue</t>
        </is>
      </c>
      <c r="D1420" s="3" t="inlineStr">
        <is>
          <t>1060/000</t>
        </is>
      </c>
      <c r="E1420" s="3" t="inlineStr">
        <is>
          <t>Insurance recovery</t>
        </is>
      </c>
      <c r="F1420" s="3" t="n">
        <v>0</v>
      </c>
      <c r="G1420" s="3" t="n">
        <v>-2839.7</v>
      </c>
    </row>
    <row r="1421">
      <c r="A1421" s="3" t="inlineStr">
        <is>
          <t>Cape Projects Construction (Pty) Ltd</t>
        </is>
      </c>
      <c r="B1421" s="4" t="n">
        <v>44773</v>
      </c>
      <c r="C1421" s="3" t="inlineStr">
        <is>
          <t>Revenue</t>
        </is>
      </c>
      <c r="D1421" s="3" t="inlineStr">
        <is>
          <t>1070/000</t>
        </is>
      </c>
      <c r="E1421" s="3" t="inlineStr">
        <is>
          <t>Rent - CT Office</t>
        </is>
      </c>
      <c r="F1421" s="3" t="n">
        <v>-3490.94</v>
      </c>
      <c r="G1421" s="3" t="n">
        <v>-17454.7</v>
      </c>
    </row>
    <row r="1422">
      <c r="A1422" s="3" t="inlineStr">
        <is>
          <t>Heron Fields (Pty) Ltd</t>
        </is>
      </c>
      <c r="B1422" s="4" t="n">
        <v>44773</v>
      </c>
      <c r="C1422" s="3" t="inlineStr">
        <is>
          <t>Expenses</t>
        </is>
      </c>
      <c r="D1422" s="3" t="inlineStr">
        <is>
          <t>2000/030</t>
        </is>
      </c>
      <c r="E1422" s="3" t="inlineStr">
        <is>
          <t>COS - Commission Heron Fields investors</t>
        </is>
      </c>
      <c r="F1422" s="3" t="n">
        <v>0</v>
      </c>
      <c r="G1422" s="3" t="n">
        <v>86956.52</v>
      </c>
    </row>
    <row r="1423">
      <c r="A1423" s="3" t="inlineStr">
        <is>
          <t>Cape Projects Construction (Pty) Ltd</t>
        </is>
      </c>
      <c r="B1423" s="4" t="n">
        <v>44773</v>
      </c>
      <c r="C1423" s="3" t="inlineStr">
        <is>
          <t>Expenses</t>
        </is>
      </c>
      <c r="D1423" s="3" t="inlineStr">
        <is>
          <t>2005/200</t>
        </is>
      </c>
      <c r="E1423" s="3" t="inlineStr">
        <is>
          <t>COS - External Works</t>
        </is>
      </c>
      <c r="F1423" s="3" t="n">
        <v>0</v>
      </c>
      <c r="G1423" s="3" t="n">
        <v>957.28</v>
      </c>
    </row>
    <row r="1424">
      <c r="A1424" s="3" t="inlineStr">
        <is>
          <t>Cape Projects Construction (Pty) Ltd</t>
        </is>
      </c>
      <c r="B1424" s="4" t="n">
        <v>44773</v>
      </c>
      <c r="C1424" s="3" t="inlineStr">
        <is>
          <t>Expenses</t>
        </is>
      </c>
      <c r="D1424" s="3" t="inlineStr">
        <is>
          <t>2006/000</t>
        </is>
      </c>
      <c r="E1424" s="3" t="inlineStr">
        <is>
          <t>COS - Endulini Construction</t>
        </is>
      </c>
      <c r="F1424" s="3" t="n">
        <v>2144043.98</v>
      </c>
      <c r="G1424" s="3" t="n">
        <v>13716960.56</v>
      </c>
    </row>
    <row r="1425">
      <c r="A1425" s="3" t="inlineStr">
        <is>
          <t>Cape Projects Construction (Pty) Ltd</t>
        </is>
      </c>
      <c r="B1425" s="4" t="n">
        <v>44773</v>
      </c>
      <c r="C1425" s="3" t="inlineStr">
        <is>
          <t>Expenses</t>
        </is>
      </c>
      <c r="D1425" s="3" t="inlineStr">
        <is>
          <t>2006/100</t>
        </is>
      </c>
      <c r="E1425" s="3" t="inlineStr">
        <is>
          <t>COS - Endulini P and G</t>
        </is>
      </c>
      <c r="F1425" s="3" t="n">
        <v>151471.52</v>
      </c>
      <c r="G1425" s="3" t="n">
        <v>730720.11</v>
      </c>
    </row>
    <row r="1426">
      <c r="A1426" s="3" t="inlineStr">
        <is>
          <t>Cape Projects Construction (Pty) Ltd</t>
        </is>
      </c>
      <c r="B1426" s="4" t="n">
        <v>44773</v>
      </c>
      <c r="C1426" s="3" t="inlineStr">
        <is>
          <t>Expenses</t>
        </is>
      </c>
      <c r="D1426" s="3" t="inlineStr">
        <is>
          <t>2006/200</t>
        </is>
      </c>
      <c r="E1426" s="3" t="inlineStr">
        <is>
          <t>COS - Insurance</t>
        </is>
      </c>
      <c r="F1426" s="3" t="n">
        <v>5586.53</v>
      </c>
      <c r="G1426" s="3" t="n">
        <v>26572.93</v>
      </c>
    </row>
    <row r="1427">
      <c r="A1427" s="3" t="inlineStr">
        <is>
          <t>Cape Projects Construction (Pty) Ltd</t>
        </is>
      </c>
      <c r="B1427" s="4" t="n">
        <v>44773</v>
      </c>
      <c r="C1427" s="3" t="inlineStr">
        <is>
          <t>Expenses</t>
        </is>
      </c>
      <c r="D1427" s="3" t="inlineStr">
        <is>
          <t>2006/300</t>
        </is>
      </c>
      <c r="E1427" s="3" t="inlineStr">
        <is>
          <t>COS - Endulini - Printing &amp; Stationary</t>
        </is>
      </c>
      <c r="F1427" s="3" t="n">
        <v>0</v>
      </c>
      <c r="G1427" s="3" t="n">
        <v>269.65</v>
      </c>
    </row>
    <row r="1428">
      <c r="A1428" s="3" t="inlineStr">
        <is>
          <t>Cape Projects Construction (Pty) Ltd</t>
        </is>
      </c>
      <c r="B1428" s="4" t="n">
        <v>44773</v>
      </c>
      <c r="C1428" s="3" t="inlineStr">
        <is>
          <t>Expenses</t>
        </is>
      </c>
      <c r="D1428" s="3" t="inlineStr">
        <is>
          <t>2006/350</t>
        </is>
      </c>
      <c r="E1428" s="3" t="inlineStr">
        <is>
          <t>COS - Endulini - Security</t>
        </is>
      </c>
      <c r="F1428" s="3" t="n">
        <v>0</v>
      </c>
      <c r="G1428" s="3" t="n">
        <v>11000</v>
      </c>
    </row>
    <row r="1429">
      <c r="A1429" s="3" t="inlineStr">
        <is>
          <t>Cape Projects Construction (Pty) Ltd</t>
        </is>
      </c>
      <c r="B1429" s="4" t="n">
        <v>44773</v>
      </c>
      <c r="C1429" s="3" t="inlineStr">
        <is>
          <t>Expenses</t>
        </is>
      </c>
      <c r="D1429" s="3" t="inlineStr">
        <is>
          <t>2006/400</t>
        </is>
      </c>
      <c r="E1429" s="3" t="inlineStr">
        <is>
          <t>COS - Endulini - Health &amp; Safety</t>
        </is>
      </c>
      <c r="F1429" s="3" t="n">
        <v>4000</v>
      </c>
      <c r="G1429" s="3" t="n">
        <v>20000</v>
      </c>
    </row>
    <row r="1430">
      <c r="A1430" s="3" t="inlineStr">
        <is>
          <t>Cape Projects Construction (Pty) Ltd</t>
        </is>
      </c>
      <c r="B1430" s="4" t="n">
        <v>44773</v>
      </c>
      <c r="C1430" s="3" t="inlineStr">
        <is>
          <t>Expenses</t>
        </is>
      </c>
      <c r="D1430" s="3" t="inlineStr">
        <is>
          <t>2006/700</t>
        </is>
      </c>
      <c r="E1430" s="3" t="inlineStr">
        <is>
          <t>COS - Endulini - Fuel</t>
        </is>
      </c>
      <c r="F1430" s="3" t="n">
        <v>0</v>
      </c>
      <c r="G1430" s="3" t="n">
        <v>2473.65</v>
      </c>
    </row>
    <row r="1431">
      <c r="A1431" s="3" t="inlineStr">
        <is>
          <t>Cape Projects Construction (Pty) Ltd</t>
        </is>
      </c>
      <c r="B1431" s="4" t="n">
        <v>44773</v>
      </c>
      <c r="C1431" s="3" t="inlineStr">
        <is>
          <t>Expenses</t>
        </is>
      </c>
      <c r="D1431" s="3" t="inlineStr">
        <is>
          <t>2006/800</t>
        </is>
      </c>
      <c r="E1431" s="3" t="inlineStr">
        <is>
          <t>COS - Endulini - Telephone &amp; Internet</t>
        </is>
      </c>
      <c r="F1431" s="3" t="n">
        <v>0</v>
      </c>
      <c r="G1431" s="3" t="n">
        <v>937.39</v>
      </c>
    </row>
    <row r="1432">
      <c r="A1432" s="3" t="inlineStr">
        <is>
          <t>Cape Projects Construction (Pty) Ltd</t>
        </is>
      </c>
      <c r="B1432" s="4" t="n">
        <v>44773</v>
      </c>
      <c r="C1432" s="3" t="inlineStr">
        <is>
          <t>Expenses</t>
        </is>
      </c>
      <c r="D1432" s="3" t="inlineStr">
        <is>
          <t>2007/000</t>
        </is>
      </c>
      <c r="E1432" s="3" t="inlineStr">
        <is>
          <t>COS - Repairs &amp; Maintenance - SW Southwark</t>
        </is>
      </c>
      <c r="F1432" s="3" t="n">
        <v>0</v>
      </c>
      <c r="G1432" s="3" t="n">
        <v>2418.26</v>
      </c>
    </row>
    <row r="1433">
      <c r="A1433" s="3" t="inlineStr">
        <is>
          <t>Cape Projects Construction (Pty) Ltd</t>
        </is>
      </c>
      <c r="B1433" s="4" t="n">
        <v>44773</v>
      </c>
      <c r="C1433" s="3" t="inlineStr">
        <is>
          <t>Expenses</t>
        </is>
      </c>
      <c r="D1433" s="3" t="inlineStr">
        <is>
          <t>2011/300</t>
        </is>
      </c>
      <c r="E1433" s="3" t="inlineStr">
        <is>
          <t>COS - Heron Fields - Printing &amp; Stationary</t>
        </is>
      </c>
      <c r="F1433" s="3" t="n">
        <v>0</v>
      </c>
      <c r="G1433" s="3" t="n">
        <v>2952.7</v>
      </c>
    </row>
    <row r="1434">
      <c r="A1434" s="3" t="inlineStr">
        <is>
          <t>Cape Projects Construction (Pty) Ltd</t>
        </is>
      </c>
      <c r="B1434" s="4" t="n">
        <v>44773</v>
      </c>
      <c r="C1434" s="3" t="inlineStr">
        <is>
          <t>Expenses</t>
        </is>
      </c>
      <c r="D1434" s="3" t="inlineStr">
        <is>
          <t>2011/500</t>
        </is>
      </c>
      <c r="E1434" s="3" t="inlineStr">
        <is>
          <t>COS - Heron Fields - Construction</t>
        </is>
      </c>
      <c r="F1434" s="3" t="n">
        <v>3666477.2</v>
      </c>
      <c r="G1434" s="3" t="n">
        <v>12687055.56</v>
      </c>
    </row>
    <row r="1435">
      <c r="A1435" s="3" t="inlineStr">
        <is>
          <t>Cape Projects Construction (Pty) Ltd</t>
        </is>
      </c>
      <c r="B1435" s="4" t="n">
        <v>44773</v>
      </c>
      <c r="C1435" s="3" t="inlineStr">
        <is>
          <t>Expenses</t>
        </is>
      </c>
      <c r="D1435" s="3" t="inlineStr">
        <is>
          <t>2011/600</t>
        </is>
      </c>
      <c r="E1435" s="3" t="inlineStr">
        <is>
          <t>COS - Heron Fields - P &amp; G</t>
        </is>
      </c>
      <c r="F1435" s="3" t="n">
        <v>355948.88</v>
      </c>
      <c r="G1435" s="3" t="n">
        <v>1200516.05</v>
      </c>
    </row>
    <row r="1436">
      <c r="A1436" s="3" t="inlineStr">
        <is>
          <t>Cape Projects Construction (Pty) Ltd</t>
        </is>
      </c>
      <c r="B1436" s="4" t="n">
        <v>44773</v>
      </c>
      <c r="C1436" s="3" t="inlineStr">
        <is>
          <t>Expenses</t>
        </is>
      </c>
      <c r="D1436" s="3" t="inlineStr">
        <is>
          <t>2011/700</t>
        </is>
      </c>
      <c r="E1436" s="3" t="inlineStr">
        <is>
          <t>COS - Heron Fields - Health &amp; Safety</t>
        </is>
      </c>
      <c r="F1436" s="3" t="n">
        <v>4000</v>
      </c>
      <c r="G1436" s="3" t="n">
        <v>22286.3</v>
      </c>
    </row>
    <row r="1437">
      <c r="A1437" s="3" t="inlineStr">
        <is>
          <t>Cape Projects Construction (Pty) Ltd</t>
        </is>
      </c>
      <c r="B1437" s="4" t="n">
        <v>44773</v>
      </c>
      <c r="C1437" s="3" t="inlineStr">
        <is>
          <t>Expenses</t>
        </is>
      </c>
      <c r="D1437" s="3" t="inlineStr">
        <is>
          <t>2011/900</t>
        </is>
      </c>
      <c r="E1437" s="3" t="inlineStr">
        <is>
          <t>COS - Heron - Internet</t>
        </is>
      </c>
      <c r="F1437" s="3" t="n">
        <v>607.83</v>
      </c>
      <c r="G1437" s="3" t="n">
        <v>2846.47</v>
      </c>
    </row>
    <row r="1438">
      <c r="A1438" s="3" t="inlineStr">
        <is>
          <t>Cape Projects Construction (Pty) Ltd</t>
        </is>
      </c>
      <c r="B1438" s="4" t="n">
        <v>44773</v>
      </c>
      <c r="C1438" s="3" t="inlineStr">
        <is>
          <t>Expenses</t>
        </is>
      </c>
      <c r="D1438" s="3" t="inlineStr">
        <is>
          <t>2011/950</t>
        </is>
      </c>
      <c r="E1438" s="3" t="inlineStr">
        <is>
          <t>COS - Heron Fields - Security</t>
        </is>
      </c>
      <c r="F1438" s="3" t="n">
        <v>11000</v>
      </c>
      <c r="G1438" s="3" t="n">
        <v>20565.22</v>
      </c>
    </row>
    <row r="1439">
      <c r="A1439" s="3" t="inlineStr">
        <is>
          <t>Cape Projects Construction (Pty) Ltd</t>
        </is>
      </c>
      <c r="B1439" s="4" t="n">
        <v>44773</v>
      </c>
      <c r="C1439" s="3" t="inlineStr">
        <is>
          <t>Expenses</t>
        </is>
      </c>
      <c r="D1439" s="3" t="inlineStr">
        <is>
          <t>2012/003</t>
        </is>
      </c>
      <c r="E1439" s="3" t="inlineStr">
        <is>
          <t>COS - Heron View - P&amp;G</t>
        </is>
      </c>
      <c r="F1439" s="3" t="n">
        <v>5914.78</v>
      </c>
      <c r="G1439" s="3" t="n">
        <v>5914.78</v>
      </c>
    </row>
    <row r="1440">
      <c r="A1440" s="3" t="inlineStr">
        <is>
          <t>Cape Projects Construction (Pty) Ltd</t>
        </is>
      </c>
      <c r="B1440" s="4" t="n">
        <v>44773</v>
      </c>
      <c r="C1440" s="3" t="inlineStr">
        <is>
          <t>Revenue</t>
        </is>
      </c>
      <c r="D1440" s="3" t="inlineStr">
        <is>
          <t>2750/000</t>
        </is>
      </c>
      <c r="E1440" s="3" t="inlineStr">
        <is>
          <t>Interest Received - FNB</t>
        </is>
      </c>
      <c r="F1440" s="3" t="n">
        <v>-79.29000000000001</v>
      </c>
      <c r="G1440" s="3" t="n">
        <v>-82.78</v>
      </c>
    </row>
    <row r="1441">
      <c r="A1441" s="3" t="inlineStr">
        <is>
          <t>Cape Projects Construction (Pty) Ltd</t>
        </is>
      </c>
      <c r="B1441" s="4" t="n">
        <v>44773</v>
      </c>
      <c r="C1441" s="3" t="inlineStr">
        <is>
          <t>Revenue</t>
        </is>
      </c>
      <c r="D1441" s="3" t="inlineStr">
        <is>
          <t>2751/001</t>
        </is>
      </c>
      <c r="E1441" s="3" t="inlineStr">
        <is>
          <t>Interest received - Momentum</t>
        </is>
      </c>
      <c r="F1441" s="3" t="n">
        <v>-2.28</v>
      </c>
      <c r="G1441" s="3" t="n">
        <v>-10.57</v>
      </c>
    </row>
    <row r="1442">
      <c r="A1442" s="3" t="inlineStr">
        <is>
          <t>Heron Fields (Pty) Ltd</t>
        </is>
      </c>
      <c r="B1442" s="4" t="n">
        <v>44773</v>
      </c>
      <c r="C1442" s="3" t="inlineStr">
        <is>
          <t>Revenue</t>
        </is>
      </c>
      <c r="D1442" s="3" t="inlineStr">
        <is>
          <t>2755/001</t>
        </is>
      </c>
      <c r="E1442" s="3" t="inlineStr">
        <is>
          <t>Interest Received - Momentum</t>
        </is>
      </c>
      <c r="F1442" s="3" t="n">
        <v>-50001.11</v>
      </c>
      <c r="G1442" s="3" t="n">
        <v>-171136.22</v>
      </c>
    </row>
    <row r="1443">
      <c r="A1443" s="3" t="inlineStr">
        <is>
          <t>Cape Projects Construction (Pty) Ltd</t>
        </is>
      </c>
      <c r="B1443" s="4" t="n">
        <v>44773</v>
      </c>
      <c r="C1443" s="3" t="inlineStr">
        <is>
          <t>Expenses</t>
        </is>
      </c>
      <c r="D1443" s="3" t="inlineStr">
        <is>
          <t>3002/000</t>
        </is>
      </c>
      <c r="E1443" s="3" t="inlineStr">
        <is>
          <t>Accounting Fees - Audit</t>
        </is>
      </c>
      <c r="F1443" s="3" t="n">
        <v>0</v>
      </c>
      <c r="G1443" s="3" t="n">
        <v>10600</v>
      </c>
    </row>
    <row r="1444">
      <c r="A1444" s="3" t="inlineStr">
        <is>
          <t>Cape Projects Construction (Pty) Ltd</t>
        </is>
      </c>
      <c r="B1444" s="4" t="n">
        <v>44773</v>
      </c>
      <c r="C1444" s="3" t="inlineStr">
        <is>
          <t>Expenses</t>
        </is>
      </c>
      <c r="D1444" s="3" t="inlineStr">
        <is>
          <t>3020/100</t>
        </is>
      </c>
      <c r="E1444" s="3" t="inlineStr">
        <is>
          <t>Admin - Subcontractors</t>
        </is>
      </c>
      <c r="F1444" s="3" t="n">
        <v>0</v>
      </c>
      <c r="G1444" s="3" t="n">
        <v>14139.13</v>
      </c>
    </row>
    <row r="1445">
      <c r="A1445" s="3" t="inlineStr">
        <is>
          <t>Cape Projects Construction (Pty) Ltd</t>
        </is>
      </c>
      <c r="B1445" s="4" t="n">
        <v>44773</v>
      </c>
      <c r="C1445" s="3" t="inlineStr">
        <is>
          <t>Expenses</t>
        </is>
      </c>
      <c r="D1445" s="3" t="inlineStr">
        <is>
          <t>3050/000</t>
        </is>
      </c>
      <c r="E1445" s="3" t="inlineStr">
        <is>
          <t>Advertising _AND_ Promotions</t>
        </is>
      </c>
      <c r="F1445" s="3" t="n">
        <v>0</v>
      </c>
      <c r="G1445" s="3" t="n">
        <v>687.5</v>
      </c>
    </row>
    <row r="1446">
      <c r="A1446" s="3" t="inlineStr">
        <is>
          <t>Heron Fields (Pty) Ltd</t>
        </is>
      </c>
      <c r="B1446" s="4" t="n">
        <v>44773</v>
      </c>
      <c r="C1446" s="3" t="inlineStr">
        <is>
          <t>Expenses</t>
        </is>
      </c>
      <c r="D1446" s="3" t="inlineStr">
        <is>
          <t>3050/000</t>
        </is>
      </c>
      <c r="E1446" s="3" t="inlineStr">
        <is>
          <t>Advertising _AND_ Promotions</t>
        </is>
      </c>
      <c r="F1446" s="3" t="n">
        <v>0</v>
      </c>
      <c r="G1446" s="3" t="n">
        <v>63407.86</v>
      </c>
    </row>
    <row r="1447">
      <c r="A1447" s="3" t="inlineStr">
        <is>
          <t>Heron Fields (Pty) Ltd</t>
        </is>
      </c>
      <c r="B1447" s="4" t="n">
        <v>44773</v>
      </c>
      <c r="C1447" s="3" t="inlineStr">
        <is>
          <t>Expenses</t>
        </is>
      </c>
      <c r="D1447" s="3" t="inlineStr">
        <is>
          <t>3050/100</t>
        </is>
      </c>
      <c r="E1447" s="3" t="inlineStr">
        <is>
          <t>Advertising - Property24</t>
        </is>
      </c>
      <c r="F1447" s="3" t="n">
        <v>11556</v>
      </c>
      <c r="G1447" s="3" t="n">
        <v>57780</v>
      </c>
    </row>
    <row r="1448">
      <c r="A1448" s="3" t="inlineStr">
        <is>
          <t>Cape Projects Construction (Pty) Ltd</t>
        </is>
      </c>
      <c r="B1448" s="4" t="n">
        <v>44773</v>
      </c>
      <c r="C1448" s="3" t="inlineStr">
        <is>
          <t>Expenses</t>
        </is>
      </c>
      <c r="D1448" s="3" t="inlineStr">
        <is>
          <t>3050/450</t>
        </is>
      </c>
      <c r="E1448" s="3" t="inlineStr">
        <is>
          <t>Advertising - Other</t>
        </is>
      </c>
      <c r="F1448" s="3" t="n">
        <v>0</v>
      </c>
      <c r="G1448" s="3" t="n">
        <v>137.5</v>
      </c>
    </row>
    <row r="1449">
      <c r="A1449" s="3" t="inlineStr">
        <is>
          <t>Cape Projects Construction (Pty) Ltd</t>
        </is>
      </c>
      <c r="B1449" s="4" t="n">
        <v>44773</v>
      </c>
      <c r="C1449" s="3" t="inlineStr">
        <is>
          <t>Expenses</t>
        </is>
      </c>
      <c r="D1449" s="3" t="inlineStr">
        <is>
          <t>3200/000</t>
        </is>
      </c>
      <c r="E1449" s="3" t="inlineStr">
        <is>
          <t>Bank Charges</t>
        </is>
      </c>
      <c r="F1449" s="3" t="n">
        <v>2943.31</v>
      </c>
      <c r="G1449" s="3" t="n">
        <v>14901.67</v>
      </c>
    </row>
    <row r="1450">
      <c r="A1450" s="3" t="inlineStr">
        <is>
          <t>Heron Fields (Pty) Ltd</t>
        </is>
      </c>
      <c r="B1450" s="4" t="n">
        <v>44773</v>
      </c>
      <c r="C1450" s="3" t="inlineStr">
        <is>
          <t>Expenses</t>
        </is>
      </c>
      <c r="D1450" s="3" t="inlineStr">
        <is>
          <t>3200/000</t>
        </is>
      </c>
      <c r="E1450" s="3" t="inlineStr">
        <is>
          <t>Bank Charges</t>
        </is>
      </c>
      <c r="F1450" s="3" t="n">
        <v>1218.08</v>
      </c>
      <c r="G1450" s="3" t="n">
        <v>3917.75</v>
      </c>
    </row>
    <row r="1451">
      <c r="A1451" s="3" t="inlineStr">
        <is>
          <t>Cape Projects Construction (Pty) Ltd</t>
        </is>
      </c>
      <c r="B1451" s="4" t="n">
        <v>44773</v>
      </c>
      <c r="C1451" s="3" t="inlineStr">
        <is>
          <t>Expenses</t>
        </is>
      </c>
      <c r="D1451" s="3" t="inlineStr">
        <is>
          <t>3250/000</t>
        </is>
      </c>
      <c r="E1451" s="3" t="inlineStr">
        <is>
          <t>Cleaning</t>
        </is>
      </c>
      <c r="F1451" s="3" t="n">
        <v>0</v>
      </c>
      <c r="G1451" s="3" t="n">
        <v>1986.89</v>
      </c>
    </row>
    <row r="1452">
      <c r="A1452" s="3" t="inlineStr">
        <is>
          <t>Cape Projects Construction (Pty) Ltd</t>
        </is>
      </c>
      <c r="B1452" s="4" t="n">
        <v>44773</v>
      </c>
      <c r="C1452" s="3" t="inlineStr">
        <is>
          <t>Expenses</t>
        </is>
      </c>
      <c r="D1452" s="3" t="inlineStr">
        <is>
          <t>3256/000</t>
        </is>
      </c>
      <c r="E1452" s="3" t="inlineStr">
        <is>
          <t>Cell Phone - Nick Morgan</t>
        </is>
      </c>
      <c r="F1452" s="3" t="n">
        <v>656.62</v>
      </c>
      <c r="G1452" s="3" t="n">
        <v>3260.47</v>
      </c>
    </row>
    <row r="1453">
      <c r="A1453" s="3" t="inlineStr">
        <is>
          <t>Cape Projects Construction (Pty) Ltd</t>
        </is>
      </c>
      <c r="B1453" s="4" t="n">
        <v>44773</v>
      </c>
      <c r="C1453" s="3" t="inlineStr">
        <is>
          <t>Expenses</t>
        </is>
      </c>
      <c r="D1453" s="3" t="inlineStr">
        <is>
          <t>3300/000</t>
        </is>
      </c>
      <c r="E1453" s="3" t="inlineStr">
        <is>
          <t>Computer Expenses</t>
        </is>
      </c>
      <c r="F1453" s="3" t="n">
        <v>0</v>
      </c>
      <c r="G1453" s="3" t="n">
        <v>1308.69</v>
      </c>
    </row>
    <row r="1454">
      <c r="A1454" s="3" t="inlineStr">
        <is>
          <t>Cape Projects Construction (Pty) Ltd</t>
        </is>
      </c>
      <c r="B1454" s="4" t="n">
        <v>44773</v>
      </c>
      <c r="C1454" s="3" t="inlineStr">
        <is>
          <t>Expenses</t>
        </is>
      </c>
      <c r="D1454" s="3" t="inlineStr">
        <is>
          <t>3300/100</t>
        </is>
      </c>
      <c r="E1454" s="3" t="inlineStr">
        <is>
          <t>Computer Exp - IT, Internet/Hosting Fee</t>
        </is>
      </c>
      <c r="F1454" s="3" t="n">
        <v>396</v>
      </c>
      <c r="G1454" s="3" t="n">
        <v>18779</v>
      </c>
    </row>
    <row r="1455">
      <c r="A1455" s="3" t="inlineStr">
        <is>
          <t>Heron Fields (Pty) Ltd</t>
        </is>
      </c>
      <c r="B1455" s="4" t="n">
        <v>44773</v>
      </c>
      <c r="C1455" s="3" t="inlineStr">
        <is>
          <t>Expenses</t>
        </is>
      </c>
      <c r="D1455" s="3" t="inlineStr">
        <is>
          <t>3350/100</t>
        </is>
      </c>
      <c r="E1455" s="3" t="inlineStr">
        <is>
          <t>Consulting Fees - Admin and Finance</t>
        </is>
      </c>
      <c r="F1455" s="3" t="n">
        <v>86425</v>
      </c>
      <c r="G1455" s="3" t="n">
        <v>405690.68</v>
      </c>
    </row>
    <row r="1456">
      <c r="A1456" s="3" t="inlineStr">
        <is>
          <t>Cape Projects Construction (Pty) Ltd</t>
        </is>
      </c>
      <c r="B1456" s="4" t="n">
        <v>44773</v>
      </c>
      <c r="C1456" s="3" t="inlineStr">
        <is>
          <t>Expenses</t>
        </is>
      </c>
      <c r="D1456" s="3" t="inlineStr">
        <is>
          <t>3350/100</t>
        </is>
      </c>
      <c r="E1456" s="3" t="inlineStr">
        <is>
          <t>Consulting fees - Herbert du Plessis</t>
        </is>
      </c>
      <c r="F1456" s="3" t="n">
        <v>36000</v>
      </c>
      <c r="G1456" s="3" t="n">
        <v>180000</v>
      </c>
    </row>
    <row r="1457">
      <c r="A1457" s="3" t="inlineStr">
        <is>
          <t>Cape Projects Construction (Pty) Ltd</t>
        </is>
      </c>
      <c r="B1457" s="4" t="n">
        <v>44773</v>
      </c>
      <c r="C1457" s="3" t="inlineStr">
        <is>
          <t>Expenses</t>
        </is>
      </c>
      <c r="D1457" s="3" t="inlineStr">
        <is>
          <t>3350/300</t>
        </is>
      </c>
      <c r="E1457" s="3" t="inlineStr">
        <is>
          <t>Consulting Fees - Admin and Finance</t>
        </is>
      </c>
      <c r="F1457" s="3" t="n">
        <v>132650</v>
      </c>
      <c r="G1457" s="3" t="n">
        <v>612371.87</v>
      </c>
    </row>
    <row r="1458">
      <c r="A1458" s="3" t="inlineStr">
        <is>
          <t>Heron Fields (Pty) Ltd</t>
        </is>
      </c>
      <c r="B1458" s="4" t="n">
        <v>44773</v>
      </c>
      <c r="C1458" s="3" t="inlineStr">
        <is>
          <t>Expenses</t>
        </is>
      </c>
      <c r="D1458" s="3" t="inlineStr">
        <is>
          <t>3351/000</t>
        </is>
      </c>
      <c r="E1458" s="3" t="inlineStr">
        <is>
          <t>Consulting fees - Trustee</t>
        </is>
      </c>
      <c r="F1458" s="3" t="n">
        <v>4000</v>
      </c>
      <c r="G1458" s="3" t="n">
        <v>36000</v>
      </c>
    </row>
    <row r="1459">
      <c r="A1459" s="3" t="inlineStr">
        <is>
          <t>Cape Projects Construction (Pty) Ltd</t>
        </is>
      </c>
      <c r="B1459" s="4" t="n">
        <v>44773</v>
      </c>
      <c r="C1459" s="3" t="inlineStr">
        <is>
          <t>Expenses</t>
        </is>
      </c>
      <c r="D1459" s="3" t="inlineStr">
        <is>
          <t>3400/000</t>
        </is>
      </c>
      <c r="E1459" s="3" t="inlineStr">
        <is>
          <t>Courier _AND_ Postage</t>
        </is>
      </c>
      <c r="F1459" s="3" t="n">
        <v>0</v>
      </c>
      <c r="G1459" s="3" t="n">
        <v>160.87</v>
      </c>
    </row>
    <row r="1460">
      <c r="A1460" s="3" t="inlineStr">
        <is>
          <t>Cape Projects Construction (Pty) Ltd</t>
        </is>
      </c>
      <c r="B1460" s="4" t="n">
        <v>44773</v>
      </c>
      <c r="C1460" s="3" t="inlineStr">
        <is>
          <t>Expenses</t>
        </is>
      </c>
      <c r="D1460" s="3" t="inlineStr">
        <is>
          <t>3450/001</t>
        </is>
      </c>
      <c r="E1460" s="3" t="inlineStr">
        <is>
          <t>Depreciation - Computer Equipment</t>
        </is>
      </c>
      <c r="F1460" s="3" t="n">
        <v>1926.81</v>
      </c>
      <c r="G1460" s="3" t="n">
        <v>8654.809999999999</v>
      </c>
    </row>
    <row r="1461">
      <c r="A1461" s="3" t="inlineStr">
        <is>
          <t>Cape Projects Construction (Pty) Ltd</t>
        </is>
      </c>
      <c r="B1461" s="4" t="n">
        <v>44773</v>
      </c>
      <c r="C1461" s="3" t="inlineStr">
        <is>
          <t>Expenses</t>
        </is>
      </c>
      <c r="D1461" s="3" t="inlineStr">
        <is>
          <t>3450/002</t>
        </is>
      </c>
      <c r="E1461" s="3" t="inlineStr">
        <is>
          <t>Depreciation - Generator Fixed Asset</t>
        </is>
      </c>
      <c r="F1461" s="3" t="n">
        <v>193.34</v>
      </c>
      <c r="G1461" s="3" t="n">
        <v>966.67</v>
      </c>
    </row>
    <row r="1462">
      <c r="A1462" s="3" t="inlineStr">
        <is>
          <t>Cape Projects Construction (Pty) Ltd</t>
        </is>
      </c>
      <c r="B1462" s="4" t="n">
        <v>44773</v>
      </c>
      <c r="C1462" s="3" t="inlineStr">
        <is>
          <t>Expenses</t>
        </is>
      </c>
      <c r="D1462" s="3" t="inlineStr">
        <is>
          <t>3450/003</t>
        </is>
      </c>
      <c r="E1462" s="3" t="inlineStr">
        <is>
          <t>Depreciation - Motor vehicle</t>
        </is>
      </c>
      <c r="F1462" s="3" t="n">
        <v>39610.1</v>
      </c>
      <c r="G1462" s="3" t="n">
        <v>39610.1</v>
      </c>
    </row>
    <row r="1463">
      <c r="A1463" s="3" t="inlineStr">
        <is>
          <t>Cape Projects Construction (Pty) Ltd</t>
        </is>
      </c>
      <c r="B1463" s="4" t="n">
        <v>44773</v>
      </c>
      <c r="C1463" s="3" t="inlineStr">
        <is>
          <t>Expenses</t>
        </is>
      </c>
      <c r="D1463" s="3" t="inlineStr">
        <is>
          <t>3450/030</t>
        </is>
      </c>
      <c r="E1463" s="3" t="inlineStr">
        <is>
          <t>Depreciation - Furniture and Fittings</t>
        </is>
      </c>
      <c r="F1463" s="3" t="n">
        <v>427.21</v>
      </c>
      <c r="G1463" s="3" t="n">
        <v>2136.03</v>
      </c>
    </row>
    <row r="1464">
      <c r="A1464" s="3" t="inlineStr">
        <is>
          <t>Heron Fields (Pty) Ltd</t>
        </is>
      </c>
      <c r="B1464" s="4" t="n">
        <v>44773</v>
      </c>
      <c r="C1464" s="3" t="inlineStr">
        <is>
          <t>Expenses</t>
        </is>
      </c>
      <c r="D1464" s="3" t="inlineStr">
        <is>
          <t>3650/000</t>
        </is>
      </c>
      <c r="E1464" s="3" t="inlineStr">
        <is>
          <t>CoCT - Electricity</t>
        </is>
      </c>
      <c r="F1464" s="3" t="n">
        <v>3534.69</v>
      </c>
      <c r="G1464" s="3" t="n">
        <v>13256.94</v>
      </c>
    </row>
    <row r="1465">
      <c r="A1465" s="3" t="inlineStr">
        <is>
          <t>Cape Projects Construction (Pty) Ltd</t>
        </is>
      </c>
      <c r="B1465" s="4" t="n">
        <v>44773</v>
      </c>
      <c r="C1465" s="3" t="inlineStr">
        <is>
          <t>Expenses</t>
        </is>
      </c>
      <c r="D1465" s="3" t="inlineStr">
        <is>
          <t>3650/000</t>
        </is>
      </c>
      <c r="E1465" s="3" t="inlineStr">
        <is>
          <t>Electricity _AND_ Water</t>
        </is>
      </c>
      <c r="F1465" s="3" t="n">
        <v>5172.63</v>
      </c>
      <c r="G1465" s="3" t="n">
        <v>22918.86</v>
      </c>
    </row>
    <row r="1466">
      <c r="A1466" s="3" t="inlineStr">
        <is>
          <t>Heron Fields (Pty) Ltd</t>
        </is>
      </c>
      <c r="B1466" s="4" t="n">
        <v>44773</v>
      </c>
      <c r="C1466" s="3" t="inlineStr">
        <is>
          <t>Expenses</t>
        </is>
      </c>
      <c r="D1466" s="3" t="inlineStr">
        <is>
          <t>3660/000</t>
        </is>
      </c>
      <c r="E1466" s="3" t="inlineStr">
        <is>
          <t>CoCT - Water</t>
        </is>
      </c>
      <c r="F1466" s="3" t="n">
        <v>4380.79</v>
      </c>
      <c r="G1466" s="3" t="n">
        <v>28508.16</v>
      </c>
    </row>
    <row r="1467">
      <c r="A1467" s="3" t="inlineStr">
        <is>
          <t>Cape Projects Construction (Pty) Ltd</t>
        </is>
      </c>
      <c r="B1467" s="4" t="n">
        <v>44773</v>
      </c>
      <c r="C1467" s="3" t="inlineStr">
        <is>
          <t>Expenses</t>
        </is>
      </c>
      <c r="D1467" s="3" t="inlineStr">
        <is>
          <t>3700/000</t>
        </is>
      </c>
      <c r="E1467" s="3" t="inlineStr">
        <is>
          <t>Entertainment Expenses</t>
        </is>
      </c>
      <c r="F1467" s="3" t="n">
        <v>0</v>
      </c>
      <c r="G1467" s="3" t="n">
        <v>1801.52</v>
      </c>
    </row>
    <row r="1468">
      <c r="A1468" s="3" t="inlineStr">
        <is>
          <t>Cape Projects Construction (Pty) Ltd</t>
        </is>
      </c>
      <c r="B1468" s="4" t="n">
        <v>44773</v>
      </c>
      <c r="C1468" s="3" t="inlineStr">
        <is>
          <t>Expenses</t>
        </is>
      </c>
      <c r="D1468" s="3" t="inlineStr">
        <is>
          <t>3850/001</t>
        </is>
      </c>
      <c r="E1468" s="3" t="inlineStr">
        <is>
          <t>Insurance - Santam</t>
        </is>
      </c>
      <c r="F1468" s="3" t="n">
        <v>1194.15</v>
      </c>
      <c r="G1468" s="3" t="n">
        <v>5901.31</v>
      </c>
    </row>
    <row r="1469">
      <c r="A1469" s="3" t="inlineStr">
        <is>
          <t>Cape Projects Construction (Pty) Ltd</t>
        </is>
      </c>
      <c r="B1469" s="4" t="n">
        <v>44773</v>
      </c>
      <c r="C1469" s="3" t="inlineStr">
        <is>
          <t>Expenses</t>
        </is>
      </c>
      <c r="D1469" s="3" t="inlineStr">
        <is>
          <t>3850/002</t>
        </is>
      </c>
      <c r="E1469" s="3" t="inlineStr">
        <is>
          <t>Insurance - RBS</t>
        </is>
      </c>
      <c r="F1469" s="3" t="n">
        <v>237.57</v>
      </c>
      <c r="G1469" s="3" t="n">
        <v>1187.85</v>
      </c>
    </row>
    <row r="1470">
      <c r="A1470" s="3" t="inlineStr">
        <is>
          <t>Heron Fields (Pty) Ltd</t>
        </is>
      </c>
      <c r="B1470" s="4" t="n">
        <v>44773</v>
      </c>
      <c r="C1470" s="3" t="inlineStr">
        <is>
          <t>Expenses</t>
        </is>
      </c>
      <c r="D1470" s="3" t="inlineStr">
        <is>
          <t>3900/000</t>
        </is>
      </c>
      <c r="E1470" s="3" t="inlineStr">
        <is>
          <t>Interest Paid</t>
        </is>
      </c>
      <c r="F1470" s="3" t="n">
        <v>11.22</v>
      </c>
      <c r="G1470" s="3" t="n">
        <v>224.42</v>
      </c>
    </row>
    <row r="1471">
      <c r="A1471" s="3" t="inlineStr">
        <is>
          <t>Heron Fields (Pty) Ltd</t>
        </is>
      </c>
      <c r="B1471" s="4" t="n">
        <v>44773</v>
      </c>
      <c r="C1471" s="3" t="inlineStr">
        <is>
          <t>Expenses</t>
        </is>
      </c>
      <c r="D1471" s="3" t="inlineStr">
        <is>
          <t>4100/001</t>
        </is>
      </c>
      <c r="E1471" s="3" t="inlineStr">
        <is>
          <t>Momentum Admin Fee</t>
        </is>
      </c>
      <c r="F1471" s="3" t="n">
        <v>52251.97</v>
      </c>
      <c r="G1471" s="3" t="n">
        <v>195916.24</v>
      </c>
    </row>
    <row r="1472">
      <c r="A1472" s="3" t="inlineStr">
        <is>
          <t>Cape Projects Construction (Pty) Ltd</t>
        </is>
      </c>
      <c r="B1472" s="4" t="n">
        <v>44773</v>
      </c>
      <c r="C1472" s="3" t="inlineStr">
        <is>
          <t>Expenses</t>
        </is>
      </c>
      <c r="D1472" s="3" t="inlineStr">
        <is>
          <t>4150/030</t>
        </is>
      </c>
      <c r="E1472" s="3" t="inlineStr">
        <is>
          <t>Motor Vehicle - Insurance _AND_ Licence</t>
        </is>
      </c>
      <c r="F1472" s="3" t="n">
        <v>0</v>
      </c>
      <c r="G1472" s="3" t="n">
        <v>1200</v>
      </c>
    </row>
    <row r="1473">
      <c r="A1473" s="3" t="inlineStr">
        <is>
          <t>Cape Projects Construction (Pty) Ltd</t>
        </is>
      </c>
      <c r="B1473" s="4" t="n">
        <v>44773</v>
      </c>
      <c r="C1473" s="3" t="inlineStr">
        <is>
          <t>Expenses</t>
        </is>
      </c>
      <c r="D1473" s="3" t="inlineStr">
        <is>
          <t>4200/000</t>
        </is>
      </c>
      <c r="E1473" s="3" t="inlineStr">
        <is>
          <t>Printing _AND_ Stationery</t>
        </is>
      </c>
      <c r="F1473" s="3" t="n">
        <v>1174.09</v>
      </c>
      <c r="G1473" s="3" t="n">
        <v>6763.77</v>
      </c>
    </row>
    <row r="1474">
      <c r="A1474" s="3" t="inlineStr">
        <is>
          <t>Cape Projects Construction (Pty) Ltd</t>
        </is>
      </c>
      <c r="B1474" s="4" t="n">
        <v>44773</v>
      </c>
      <c r="C1474" s="3" t="inlineStr">
        <is>
          <t>Expenses</t>
        </is>
      </c>
      <c r="D1474" s="3" t="inlineStr">
        <is>
          <t>4201/000</t>
        </is>
      </c>
      <c r="E1474" s="3" t="inlineStr">
        <is>
          <t>Printing - Printer rental</t>
        </is>
      </c>
      <c r="F1474" s="3" t="n">
        <v>620.28</v>
      </c>
      <c r="G1474" s="3" t="n">
        <v>3695.17</v>
      </c>
    </row>
    <row r="1475">
      <c r="A1475" s="3" t="inlineStr">
        <is>
          <t>Cape Projects Construction (Pty) Ltd</t>
        </is>
      </c>
      <c r="B1475" s="4" t="n">
        <v>44773</v>
      </c>
      <c r="C1475" s="3" t="inlineStr">
        <is>
          <t>Expenses</t>
        </is>
      </c>
      <c r="D1475" s="3" t="inlineStr">
        <is>
          <t>4300/000</t>
        </is>
      </c>
      <c r="E1475" s="3" t="inlineStr">
        <is>
          <t>Rent Paid</t>
        </is>
      </c>
      <c r="F1475" s="3" t="n">
        <v>28087.5</v>
      </c>
      <c r="G1475" s="3" t="n">
        <v>140437.5</v>
      </c>
    </row>
    <row r="1476">
      <c r="A1476" s="3" t="inlineStr">
        <is>
          <t>Cape Projects Construction (Pty) Ltd</t>
        </is>
      </c>
      <c r="B1476" s="4" t="n">
        <v>44773</v>
      </c>
      <c r="C1476" s="3" t="inlineStr">
        <is>
          <t>Expenses</t>
        </is>
      </c>
      <c r="D1476" s="3" t="inlineStr">
        <is>
          <t>4310/000</t>
        </is>
      </c>
      <c r="E1476" s="3" t="inlineStr">
        <is>
          <t>Rates</t>
        </is>
      </c>
      <c r="F1476" s="3" t="n">
        <v>843.6</v>
      </c>
      <c r="G1476" s="3" t="n">
        <v>4218</v>
      </c>
    </row>
    <row r="1477">
      <c r="A1477" s="3" t="inlineStr">
        <is>
          <t>Heron Fields (Pty) Ltd</t>
        </is>
      </c>
      <c r="B1477" s="4" t="n">
        <v>44773</v>
      </c>
      <c r="C1477" s="3" t="inlineStr">
        <is>
          <t>Expenses</t>
        </is>
      </c>
      <c r="D1477" s="3" t="inlineStr">
        <is>
          <t>4310/000</t>
        </is>
      </c>
      <c r="E1477" s="3" t="inlineStr">
        <is>
          <t>Rates - Heron</t>
        </is>
      </c>
      <c r="F1477" s="3" t="n">
        <v>3114.7</v>
      </c>
      <c r="G1477" s="3" t="n">
        <v>15692.96</v>
      </c>
    </row>
    <row r="1478">
      <c r="A1478" s="3" t="inlineStr">
        <is>
          <t>Cape Projects Construction (Pty) Ltd</t>
        </is>
      </c>
      <c r="B1478" s="4" t="n">
        <v>44773</v>
      </c>
      <c r="C1478" s="3" t="inlineStr">
        <is>
          <t>Expenses</t>
        </is>
      </c>
      <c r="D1478" s="3" t="inlineStr">
        <is>
          <t>4350/000</t>
        </is>
      </c>
      <c r="E1478" s="3" t="inlineStr">
        <is>
          <t>Repairs _AND_ Maintenance</t>
        </is>
      </c>
      <c r="F1478" s="3" t="n">
        <v>871.72</v>
      </c>
      <c r="G1478" s="3" t="n">
        <v>3571.72</v>
      </c>
    </row>
    <row r="1479">
      <c r="A1479" s="3" t="inlineStr">
        <is>
          <t>Cape Projects Construction (Pty) Ltd</t>
        </is>
      </c>
      <c r="B1479" s="4" t="n">
        <v>44773</v>
      </c>
      <c r="C1479" s="3" t="inlineStr">
        <is>
          <t>Expenses</t>
        </is>
      </c>
      <c r="D1479" s="3" t="inlineStr">
        <is>
          <t>4400/000</t>
        </is>
      </c>
      <c r="E1479" s="3" t="inlineStr">
        <is>
          <t>Salaries _AND_ Wages</t>
        </is>
      </c>
      <c r="F1479" s="3" t="n">
        <v>226304.8</v>
      </c>
      <c r="G1479" s="3" t="n">
        <v>1077361.64</v>
      </c>
    </row>
    <row r="1480">
      <c r="A1480" s="3" t="inlineStr">
        <is>
          <t>Cape Projects Construction (Pty) Ltd</t>
        </is>
      </c>
      <c r="B1480" s="4" t="n">
        <v>44773</v>
      </c>
      <c r="C1480" s="3" t="inlineStr">
        <is>
          <t>Expenses</t>
        </is>
      </c>
      <c r="D1480" s="3" t="inlineStr">
        <is>
          <t>4402</t>
        </is>
      </c>
      <c r="E1480" s="3" t="inlineStr">
        <is>
          <t>Salaries &amp; Wages - WCA</t>
        </is>
      </c>
      <c r="F1480" s="3" t="n">
        <v>3746.27</v>
      </c>
      <c r="G1480" s="3" t="n">
        <v>3746.27</v>
      </c>
    </row>
    <row r="1481">
      <c r="A1481" s="3" t="inlineStr">
        <is>
          <t>Cape Projects Construction (Pty) Ltd</t>
        </is>
      </c>
      <c r="B1481" s="4" t="n">
        <v>44773</v>
      </c>
      <c r="C1481" s="3" t="inlineStr">
        <is>
          <t>Expenses</t>
        </is>
      </c>
      <c r="D1481" s="3" t="inlineStr">
        <is>
          <t>4403/000</t>
        </is>
      </c>
      <c r="E1481" s="3" t="inlineStr">
        <is>
          <t>Security</t>
        </is>
      </c>
      <c r="F1481" s="3" t="n">
        <v>164.35</v>
      </c>
      <c r="G1481" s="3" t="n">
        <v>657.4</v>
      </c>
    </row>
    <row r="1482">
      <c r="A1482" s="3" t="inlineStr">
        <is>
          <t>Cape Projects Construction (Pty) Ltd</t>
        </is>
      </c>
      <c r="B1482" s="4" t="n">
        <v>44773</v>
      </c>
      <c r="C1482" s="3" t="inlineStr">
        <is>
          <t>Expenses</t>
        </is>
      </c>
      <c r="D1482" s="3" t="inlineStr">
        <is>
          <t>4420/000</t>
        </is>
      </c>
      <c r="E1482" s="3" t="inlineStr">
        <is>
          <t>Small Assets</t>
        </is>
      </c>
      <c r="F1482" s="3" t="n">
        <v>0</v>
      </c>
      <c r="G1482" s="3" t="n">
        <v>1536.96</v>
      </c>
    </row>
    <row r="1483">
      <c r="A1483" s="3" t="inlineStr">
        <is>
          <t>Heron Fields (Pty) Ltd</t>
        </is>
      </c>
      <c r="B1483" s="4" t="n">
        <v>44773</v>
      </c>
      <c r="C1483" s="3" t="inlineStr">
        <is>
          <t>Expenses</t>
        </is>
      </c>
      <c r="D1483" s="3" t="inlineStr">
        <is>
          <t>4420/001</t>
        </is>
      </c>
      <c r="E1483" s="3" t="inlineStr">
        <is>
          <t>Security - ADT</t>
        </is>
      </c>
      <c r="F1483" s="3" t="n">
        <v>328.38</v>
      </c>
      <c r="G1483" s="3" t="n">
        <v>2942.32</v>
      </c>
    </row>
    <row r="1484">
      <c r="A1484" s="3" t="inlineStr">
        <is>
          <t>Cape Projects Construction (Pty) Ltd</t>
        </is>
      </c>
      <c r="B1484" s="4" t="n">
        <v>44773</v>
      </c>
      <c r="C1484" s="3" t="inlineStr">
        <is>
          <t>Expenses</t>
        </is>
      </c>
      <c r="D1484" s="3" t="inlineStr">
        <is>
          <t>4450/000</t>
        </is>
      </c>
      <c r="E1484" s="3" t="inlineStr">
        <is>
          <t>Staff Training</t>
        </is>
      </c>
      <c r="F1484" s="3" t="n">
        <v>0</v>
      </c>
      <c r="G1484" s="3" t="n">
        <v>6800</v>
      </c>
    </row>
    <row r="1485">
      <c r="A1485" s="3" t="inlineStr">
        <is>
          <t>Cape Projects Construction (Pty) Ltd</t>
        </is>
      </c>
      <c r="B1485" s="4" t="n">
        <v>44773</v>
      </c>
      <c r="C1485" s="3" t="inlineStr">
        <is>
          <t>Expenses</t>
        </is>
      </c>
      <c r="D1485" s="3" t="inlineStr">
        <is>
          <t>4500/000</t>
        </is>
      </c>
      <c r="E1485" s="3" t="inlineStr">
        <is>
          <t>Staff Welfare _AND_ Refreshmts</t>
        </is>
      </c>
      <c r="F1485" s="3" t="n">
        <v>0</v>
      </c>
      <c r="G1485" s="3" t="n">
        <v>2674.5</v>
      </c>
    </row>
    <row r="1486">
      <c r="A1486" s="3" t="inlineStr">
        <is>
          <t>Cape Projects Construction (Pty) Ltd</t>
        </is>
      </c>
      <c r="B1486" s="4" t="n">
        <v>44773</v>
      </c>
      <c r="C1486" s="3" t="inlineStr">
        <is>
          <t>Expenses</t>
        </is>
      </c>
      <c r="D1486" s="3" t="inlineStr">
        <is>
          <t>4550/000</t>
        </is>
      </c>
      <c r="E1486" s="3" t="inlineStr">
        <is>
          <t>Subscriptions / Licenses</t>
        </is>
      </c>
      <c r="F1486" s="3" t="n">
        <v>0</v>
      </c>
      <c r="G1486" s="3" t="n">
        <v>526.3200000000001</v>
      </c>
    </row>
    <row r="1487">
      <c r="A1487" s="3" t="inlineStr">
        <is>
          <t>Cape Projects Construction (Pty) Ltd</t>
        </is>
      </c>
      <c r="B1487" s="4" t="n">
        <v>44773</v>
      </c>
      <c r="C1487" s="3" t="inlineStr">
        <is>
          <t>Expenses</t>
        </is>
      </c>
      <c r="D1487" s="3" t="inlineStr">
        <is>
          <t>4550/001</t>
        </is>
      </c>
      <c r="E1487" s="3" t="inlineStr">
        <is>
          <t>Subscriptions &amp; Licenses - Sage payroll</t>
        </is>
      </c>
      <c r="F1487" s="3" t="n">
        <v>686</v>
      </c>
      <c r="G1487" s="3" t="n">
        <v>2650</v>
      </c>
    </row>
    <row r="1488">
      <c r="A1488" s="3" t="inlineStr">
        <is>
          <t>Cape Projects Construction (Pty) Ltd</t>
        </is>
      </c>
      <c r="B1488" s="4" t="n">
        <v>44773</v>
      </c>
      <c r="C1488" s="3" t="inlineStr">
        <is>
          <t>Expenses</t>
        </is>
      </c>
      <c r="D1488" s="3" t="inlineStr">
        <is>
          <t>4550/003</t>
        </is>
      </c>
      <c r="E1488" s="3" t="inlineStr">
        <is>
          <t>Subscriptions &amp; Licenses - Xero</t>
        </is>
      </c>
      <c r="F1488" s="3" t="n">
        <v>600</v>
      </c>
      <c r="G1488" s="3" t="n">
        <v>3000</v>
      </c>
    </row>
    <row r="1489">
      <c r="A1489" s="3" t="inlineStr">
        <is>
          <t>Cape Projects Construction (Pty) Ltd</t>
        </is>
      </c>
      <c r="B1489" s="4" t="n">
        <v>44773</v>
      </c>
      <c r="C1489" s="3" t="inlineStr">
        <is>
          <t>Expenses</t>
        </is>
      </c>
      <c r="D1489" s="3" t="inlineStr">
        <is>
          <t>4550/004</t>
        </is>
      </c>
      <c r="E1489" s="3" t="inlineStr">
        <is>
          <t>Subscriptions - Smartsheet</t>
        </is>
      </c>
      <c r="F1489" s="3" t="n">
        <v>363</v>
      </c>
      <c r="G1489" s="3" t="n">
        <v>1815</v>
      </c>
    </row>
    <row r="1490">
      <c r="A1490" s="3" t="inlineStr">
        <is>
          <t>Cape Projects Construction (Pty) Ltd</t>
        </is>
      </c>
      <c r="B1490" s="4" t="n">
        <v>44773</v>
      </c>
      <c r="C1490" s="3" t="inlineStr">
        <is>
          <t>Expenses</t>
        </is>
      </c>
      <c r="D1490" s="3" t="inlineStr">
        <is>
          <t>4550/006</t>
        </is>
      </c>
      <c r="E1490" s="3" t="inlineStr">
        <is>
          <t>Subscription - Candy software</t>
        </is>
      </c>
      <c r="F1490" s="3" t="n">
        <v>1640</v>
      </c>
      <c r="G1490" s="3" t="n">
        <v>10485</v>
      </c>
    </row>
    <row r="1491">
      <c r="A1491" s="3" t="inlineStr">
        <is>
          <t>Heron Fields (Pty) Ltd</t>
        </is>
      </c>
      <c r="B1491" s="4" t="n">
        <v>44773</v>
      </c>
      <c r="C1491" s="3" t="inlineStr">
        <is>
          <t>Expenses</t>
        </is>
      </c>
      <c r="D1491" s="3" t="inlineStr">
        <is>
          <t>4550/100</t>
        </is>
      </c>
      <c r="E1491" s="3" t="inlineStr">
        <is>
          <t>Subscriptions - Xero</t>
        </is>
      </c>
      <c r="F1491" s="3" t="n">
        <v>600</v>
      </c>
      <c r="G1491" s="3" t="n">
        <v>3000</v>
      </c>
    </row>
    <row r="1492">
      <c r="A1492" s="3" t="inlineStr">
        <is>
          <t>Heron View (Pty) Ltd</t>
        </is>
      </c>
      <c r="B1492" s="4" t="n">
        <v>44773</v>
      </c>
      <c r="C1492" s="3" t="inlineStr">
        <is>
          <t>Expenses</t>
        </is>
      </c>
      <c r="D1492" s="3" t="inlineStr">
        <is>
          <t>4550/100</t>
        </is>
      </c>
      <c r="E1492" s="3" t="inlineStr">
        <is>
          <t>Subscriptions - Xero</t>
        </is>
      </c>
      <c r="F1492" s="3" t="n">
        <v>600</v>
      </c>
      <c r="G1492" s="3" t="n">
        <v>3000</v>
      </c>
    </row>
    <row r="1493">
      <c r="A1493" s="3" t="inlineStr">
        <is>
          <t>Cape Projects Construction (Pty) Ltd</t>
        </is>
      </c>
      <c r="B1493" s="4" t="n">
        <v>44773</v>
      </c>
      <c r="C1493" s="3" t="inlineStr">
        <is>
          <t>Expenses</t>
        </is>
      </c>
      <c r="D1493" s="3" t="inlineStr">
        <is>
          <t>4560</t>
        </is>
      </c>
      <c r="E1493" s="3" t="inlineStr">
        <is>
          <t>Secretarial fees - CIPC</t>
        </is>
      </c>
      <c r="F1493" s="3" t="n">
        <v>0</v>
      </c>
      <c r="G1493" s="3" t="n">
        <v>2500</v>
      </c>
    </row>
    <row r="1494">
      <c r="A1494" s="3" t="inlineStr">
        <is>
          <t>Cape Projects Construction (Pty) Ltd</t>
        </is>
      </c>
      <c r="B1494" s="4" t="n">
        <v>44773</v>
      </c>
      <c r="C1494" s="3" t="inlineStr">
        <is>
          <t>Expenses</t>
        </is>
      </c>
      <c r="D1494" s="3" t="inlineStr">
        <is>
          <t>4700/000</t>
        </is>
      </c>
      <c r="E1494" s="3" t="inlineStr">
        <is>
          <t>PAYE Contributions</t>
        </is>
      </c>
      <c r="F1494" s="3" t="n">
        <v>29871.62</v>
      </c>
      <c r="G1494" s="3" t="n">
        <v>179815.06</v>
      </c>
    </row>
    <row r="1495">
      <c r="A1495" s="3" t="inlineStr">
        <is>
          <t>Cape Projects Construction (Pty) Ltd</t>
        </is>
      </c>
      <c r="B1495" s="4" t="n">
        <v>44773</v>
      </c>
      <c r="C1495" s="3" t="inlineStr">
        <is>
          <t>Expenses</t>
        </is>
      </c>
      <c r="D1495" s="3" t="inlineStr">
        <is>
          <t>4720/000</t>
        </is>
      </c>
      <c r="E1495" s="3" t="inlineStr">
        <is>
          <t>SDL Contributions</t>
        </is>
      </c>
      <c r="F1495" s="3" t="n">
        <v>2475.61</v>
      </c>
      <c r="G1495" s="3" t="n">
        <v>12014.87</v>
      </c>
    </row>
    <row r="1496">
      <c r="A1496" s="3" t="inlineStr">
        <is>
          <t>Cape Projects Construction (Pty) Ltd</t>
        </is>
      </c>
      <c r="B1496" s="4" t="n">
        <v>44773</v>
      </c>
      <c r="C1496" s="3" t="inlineStr">
        <is>
          <t>Expenses</t>
        </is>
      </c>
      <c r="D1496" s="3" t="inlineStr">
        <is>
          <t>4730/000</t>
        </is>
      </c>
      <c r="E1496" s="3" t="inlineStr">
        <is>
          <t>UIF Company Contributions</t>
        </is>
      </c>
      <c r="F1496" s="3" t="n">
        <v>1968.41</v>
      </c>
      <c r="G1496" s="3" t="n">
        <v>8324.030000000001</v>
      </c>
    </row>
    <row r="1497">
      <c r="A1497" s="3" t="inlineStr">
        <is>
          <t>Cape Projects Construction (Pty) Ltd</t>
        </is>
      </c>
      <c r="B1497" s="4" t="n">
        <v>44773</v>
      </c>
      <c r="C1497" s="3" t="inlineStr">
        <is>
          <t>Expenses</t>
        </is>
      </c>
      <c r="D1497" s="3" t="inlineStr">
        <is>
          <t>4731/000</t>
        </is>
      </c>
      <c r="E1497" s="3" t="inlineStr">
        <is>
          <t>UIF Employee Contribution</t>
        </is>
      </c>
      <c r="F1497" s="3" t="n">
        <v>1968.41</v>
      </c>
      <c r="G1497" s="3" t="n">
        <v>8324.030000000001</v>
      </c>
    </row>
    <row r="1498">
      <c r="A1498" s="3" t="inlineStr">
        <is>
          <t>Cape Projects Construction (Pty) Ltd</t>
        </is>
      </c>
      <c r="B1498" s="4" t="n">
        <v>44773</v>
      </c>
      <c r="C1498" s="3" t="inlineStr">
        <is>
          <t>Expenses</t>
        </is>
      </c>
      <c r="D1498" s="3" t="inlineStr">
        <is>
          <t>4740/000</t>
        </is>
      </c>
      <c r="E1498" s="3" t="inlineStr">
        <is>
          <t>BIBC Company Contribution</t>
        </is>
      </c>
      <c r="F1498" s="3" t="n">
        <v>9644.5</v>
      </c>
      <c r="G1498" s="3" t="n">
        <v>16235.81</v>
      </c>
    </row>
    <row r="1499">
      <c r="A1499" s="3" t="inlineStr">
        <is>
          <t>Cape Projects Construction (Pty) Ltd</t>
        </is>
      </c>
      <c r="B1499" s="4" t="n">
        <v>44773</v>
      </c>
      <c r="C1499" s="3" t="inlineStr">
        <is>
          <t>Expenses</t>
        </is>
      </c>
      <c r="D1499" s="3" t="inlineStr">
        <is>
          <t>4741/000</t>
        </is>
      </c>
      <c r="E1499" s="3" t="inlineStr">
        <is>
          <t>BIBC Employee Contribution</t>
        </is>
      </c>
      <c r="F1499" s="3" t="n">
        <v>3347.72</v>
      </c>
      <c r="G1499" s="3" t="n">
        <v>9761.030000000001</v>
      </c>
    </row>
    <row r="1500">
      <c r="A1500" s="3" t="inlineStr">
        <is>
          <t>Heron Fields (Pty) Ltd</t>
        </is>
      </c>
      <c r="B1500" s="4" t="n">
        <v>44773</v>
      </c>
      <c r="C1500" s="3" t="inlineStr">
        <is>
          <t>Equity</t>
        </is>
      </c>
      <c r="D1500" s="3" t="inlineStr">
        <is>
          <t>5100-000</t>
        </is>
      </c>
      <c r="E1500" s="3" t="inlineStr">
        <is>
          <t>Share Capital</t>
        </is>
      </c>
      <c r="F1500" s="3" t="n">
        <v>0</v>
      </c>
      <c r="G1500" s="3" t="n">
        <v>-100</v>
      </c>
    </row>
    <row r="1501">
      <c r="A1501" s="3" t="inlineStr">
        <is>
          <t>Cape Projects Construction (Pty) Ltd</t>
        </is>
      </c>
      <c r="B1501" s="4" t="n">
        <v>44773</v>
      </c>
      <c r="C1501" s="3" t="inlineStr">
        <is>
          <t>Equity</t>
        </is>
      </c>
      <c r="D1501" s="3" t="inlineStr">
        <is>
          <t>5100/000</t>
        </is>
      </c>
      <c r="E1501" s="3" t="inlineStr">
        <is>
          <t>Share Capital / Members Contribution</t>
        </is>
      </c>
      <c r="F1501" s="3" t="n">
        <v>0</v>
      </c>
      <c r="G1501" s="3" t="n">
        <v>-120</v>
      </c>
    </row>
    <row r="1502">
      <c r="A1502" s="3" t="inlineStr">
        <is>
          <t>Cape Projects Construction (Pty) Ltd</t>
        </is>
      </c>
      <c r="B1502" s="4" t="n">
        <v>44773</v>
      </c>
      <c r="C1502" s="3" t="inlineStr">
        <is>
          <t>Equity</t>
        </is>
      </c>
      <c r="D1502" s="3" t="inlineStr">
        <is>
          <t>5200/000</t>
        </is>
      </c>
      <c r="E1502" s="3" t="inlineStr">
        <is>
          <t>Retained Earnings / Loss</t>
        </is>
      </c>
      <c r="F1502" s="3" t="n">
        <v>0</v>
      </c>
      <c r="G1502" s="3" t="n">
        <v>247347.05</v>
      </c>
    </row>
    <row r="1503">
      <c r="A1503" s="3" t="inlineStr">
        <is>
          <t>Heron Fields (Pty) Ltd</t>
        </is>
      </c>
      <c r="B1503" s="4" t="n">
        <v>44773</v>
      </c>
      <c r="C1503" s="3" t="inlineStr">
        <is>
          <t>Equity</t>
        </is>
      </c>
      <c r="D1503" s="3" t="inlineStr">
        <is>
          <t>5200/000</t>
        </is>
      </c>
      <c r="E1503" s="3" t="inlineStr">
        <is>
          <t>Retained Earnings / Loss</t>
        </is>
      </c>
      <c r="F1503" s="3" t="n">
        <v>0</v>
      </c>
      <c r="G1503" s="3" t="n">
        <v>-17080353.05</v>
      </c>
    </row>
    <row r="1504">
      <c r="A1504" s="3" t="inlineStr">
        <is>
          <t>Heron Fields (Pty) Ltd</t>
        </is>
      </c>
      <c r="B1504" s="4" t="n">
        <v>44773</v>
      </c>
      <c r="C1504" s="3" t="inlineStr">
        <is>
          <t>Assets</t>
        </is>
      </c>
      <c r="D1504" s="3" t="inlineStr">
        <is>
          <t>5300/001</t>
        </is>
      </c>
      <c r="E1504" s="3" t="inlineStr">
        <is>
          <t>Revaluation of Land stock</t>
        </is>
      </c>
      <c r="F1504" s="3" t="n">
        <v>0</v>
      </c>
      <c r="G1504" s="3" t="n">
        <v>17562360.85</v>
      </c>
    </row>
    <row r="1505">
      <c r="A1505" s="3" t="inlineStr">
        <is>
          <t>Cape Projects Construction (Pty) Ltd</t>
        </is>
      </c>
      <c r="B1505" s="4" t="n">
        <v>44773</v>
      </c>
      <c r="C1505" s="3" t="inlineStr">
        <is>
          <t>Assets</t>
        </is>
      </c>
      <c r="D1505" s="3" t="inlineStr">
        <is>
          <t>5400/150</t>
        </is>
      </c>
      <c r="E1505" s="3" t="inlineStr">
        <is>
          <t>Loan - Quinate</t>
        </is>
      </c>
      <c r="F1505" s="3" t="n">
        <v>200000</v>
      </c>
      <c r="G1505" s="3" t="n">
        <v>3050000</v>
      </c>
    </row>
    <row r="1506">
      <c r="A1506" s="3" t="inlineStr">
        <is>
          <t>Cape Projects Construction (Pty) Ltd</t>
        </is>
      </c>
      <c r="B1506" s="4" t="n">
        <v>44773</v>
      </c>
      <c r="C1506" s="3" t="inlineStr">
        <is>
          <t>Assets</t>
        </is>
      </c>
      <c r="D1506" s="3" t="inlineStr">
        <is>
          <t>5400/450</t>
        </is>
      </c>
      <c r="E1506" s="3" t="inlineStr">
        <is>
          <t>Loan - Opportunity Investment</t>
        </is>
      </c>
      <c r="F1506" s="3" t="n">
        <v>75000</v>
      </c>
      <c r="G1506" s="3" t="n">
        <v>65000</v>
      </c>
    </row>
    <row r="1507">
      <c r="A1507" s="3" t="inlineStr">
        <is>
          <t>Cape Projects Construction (Pty) Ltd</t>
        </is>
      </c>
      <c r="B1507" s="4" t="n">
        <v>44773</v>
      </c>
      <c r="C1507" s="3" t="inlineStr">
        <is>
          <t>Assets</t>
        </is>
      </c>
      <c r="D1507" s="3" t="inlineStr">
        <is>
          <t>5400/550</t>
        </is>
      </c>
      <c r="E1507" s="3" t="inlineStr">
        <is>
          <t>Loan - Trademark</t>
        </is>
      </c>
      <c r="F1507" s="3" t="n">
        <v>0</v>
      </c>
      <c r="G1507" s="3" t="n">
        <v>600</v>
      </c>
    </row>
    <row r="1508">
      <c r="A1508" s="3" t="inlineStr">
        <is>
          <t>Cape Projects Construction (Pty) Ltd</t>
        </is>
      </c>
      <c r="B1508" s="4" t="n">
        <v>44773</v>
      </c>
      <c r="C1508" s="3" t="inlineStr">
        <is>
          <t>Assets</t>
        </is>
      </c>
      <c r="D1508" s="3" t="inlineStr">
        <is>
          <t>5400/600</t>
        </is>
      </c>
      <c r="E1508" s="3" t="inlineStr">
        <is>
          <t>Loan - Heron Projects</t>
        </is>
      </c>
      <c r="F1508" s="3" t="n">
        <v>-321000</v>
      </c>
      <c r="G1508" s="3" t="n">
        <v>-3481000</v>
      </c>
    </row>
    <row r="1509">
      <c r="A1509" s="3" t="inlineStr">
        <is>
          <t>Cape Projects Construction (Pty) Ltd</t>
        </is>
      </c>
      <c r="B1509" s="4" t="n">
        <v>44773</v>
      </c>
      <c r="C1509" s="3" t="inlineStr">
        <is>
          <t>Assets</t>
        </is>
      </c>
      <c r="D1509" s="3" t="inlineStr">
        <is>
          <t>5400/650</t>
        </is>
      </c>
      <c r="E1509" s="3" t="inlineStr">
        <is>
          <t>Loan - Noble Shield</t>
        </is>
      </c>
      <c r="F1509" s="3" t="n">
        <v>0</v>
      </c>
      <c r="G1509" s="3" t="n">
        <v>600</v>
      </c>
    </row>
    <row r="1510">
      <c r="A1510" s="3" t="inlineStr">
        <is>
          <t>Cape Projects Construction (Pty) Ltd</t>
        </is>
      </c>
      <c r="B1510" s="4" t="n">
        <v>44773</v>
      </c>
      <c r="C1510" s="3" t="inlineStr">
        <is>
          <t>Assets</t>
        </is>
      </c>
      <c r="D1510" s="3" t="inlineStr">
        <is>
          <t>5400/750</t>
        </is>
      </c>
      <c r="E1510" s="3" t="inlineStr">
        <is>
          <t>Loan - Endulini</t>
        </is>
      </c>
      <c r="F1510" s="3" t="n">
        <v>210000</v>
      </c>
      <c r="G1510" s="3" t="n">
        <v>210000</v>
      </c>
    </row>
    <row r="1511">
      <c r="A1511" s="3" t="inlineStr">
        <is>
          <t>Cape Projects Construction (Pty) Ltd</t>
        </is>
      </c>
      <c r="B1511" s="4" t="n">
        <v>44773</v>
      </c>
      <c r="C1511" s="3" t="inlineStr">
        <is>
          <t>Assets</t>
        </is>
      </c>
      <c r="D1511" s="3" t="inlineStr">
        <is>
          <t>5400/800</t>
        </is>
      </c>
      <c r="E1511" s="3" t="inlineStr">
        <is>
          <t>Loan - Opportunity Management Holdings</t>
        </is>
      </c>
      <c r="F1511" s="3" t="n">
        <v>-115000</v>
      </c>
      <c r="G1511" s="3" t="n">
        <v>-115000</v>
      </c>
    </row>
    <row r="1512">
      <c r="A1512" s="3" t="inlineStr">
        <is>
          <t>Heron View (Pty) Ltd</t>
        </is>
      </c>
      <c r="B1512" s="4" t="n">
        <v>44773</v>
      </c>
      <c r="C1512" s="3" t="inlineStr">
        <is>
          <t>Liabilities</t>
        </is>
      </c>
      <c r="D1512" s="3" t="inlineStr">
        <is>
          <t>5500/001</t>
        </is>
      </c>
      <c r="E1512" s="3" t="inlineStr">
        <is>
          <t>Loan - Heron Fields</t>
        </is>
      </c>
      <c r="F1512" s="3" t="n">
        <v>-690</v>
      </c>
      <c r="G1512" s="3" t="n">
        <v>-1431451.22</v>
      </c>
    </row>
    <row r="1513">
      <c r="A1513" s="3" t="inlineStr">
        <is>
          <t>Heron Fields (Pty) Ltd</t>
        </is>
      </c>
      <c r="B1513" s="4" t="n">
        <v>44773</v>
      </c>
      <c r="C1513" s="3" t="inlineStr">
        <is>
          <t>Liabilities</t>
        </is>
      </c>
      <c r="D1513" s="3" t="inlineStr">
        <is>
          <t>5500/010</t>
        </is>
      </c>
      <c r="E1513" s="3" t="inlineStr">
        <is>
          <t>Loan - Quinate</t>
        </is>
      </c>
      <c r="F1513" s="3" t="n">
        <v>420000</v>
      </c>
      <c r="G1513" s="3" t="n">
        <v>0</v>
      </c>
    </row>
    <row r="1514">
      <c r="A1514" s="3" t="inlineStr">
        <is>
          <t>Heron Fields (Pty) Ltd</t>
        </is>
      </c>
      <c r="B1514" s="4" t="n">
        <v>44773</v>
      </c>
      <c r="C1514" s="3" t="inlineStr">
        <is>
          <t>Liabilities</t>
        </is>
      </c>
      <c r="D1514" s="3" t="inlineStr">
        <is>
          <t>5500/020</t>
        </is>
      </c>
      <c r="E1514" s="3" t="inlineStr">
        <is>
          <t>Loan - Cape Projects Construction</t>
        </is>
      </c>
      <c r="F1514" s="3" t="n">
        <v>321000</v>
      </c>
      <c r="G1514" s="3" t="n">
        <v>3481000</v>
      </c>
    </row>
    <row r="1515">
      <c r="A1515" s="3" t="inlineStr">
        <is>
          <t>Heron Fields (Pty) Ltd</t>
        </is>
      </c>
      <c r="B1515" s="4" t="n">
        <v>44773</v>
      </c>
      <c r="C1515" s="3" t="inlineStr">
        <is>
          <t>Liabilities</t>
        </is>
      </c>
      <c r="D1515" s="3" t="inlineStr">
        <is>
          <t>5500/030</t>
        </is>
      </c>
      <c r="E1515" s="3" t="inlineStr">
        <is>
          <t>Loan - Opportunity Global Investments</t>
        </is>
      </c>
      <c r="F1515" s="3" t="n">
        <v>127000</v>
      </c>
      <c r="G1515" s="3" t="n">
        <v>0</v>
      </c>
    </row>
    <row r="1516">
      <c r="A1516" s="3" t="inlineStr">
        <is>
          <t>Heron Fields (Pty) Ltd</t>
        </is>
      </c>
      <c r="B1516" s="4" t="n">
        <v>44773</v>
      </c>
      <c r="C1516" s="3" t="inlineStr">
        <is>
          <t>Liabilities</t>
        </is>
      </c>
      <c r="D1516" s="3" t="inlineStr">
        <is>
          <t>5500/040</t>
        </is>
      </c>
      <c r="E1516" s="3" t="inlineStr">
        <is>
          <t>Loan - Trademark</t>
        </is>
      </c>
      <c r="F1516" s="3" t="n">
        <v>45000</v>
      </c>
      <c r="G1516" s="3" t="n">
        <v>0</v>
      </c>
    </row>
    <row r="1517">
      <c r="A1517" s="3" t="inlineStr">
        <is>
          <t>Heron Fields (Pty) Ltd</t>
        </is>
      </c>
      <c r="B1517" s="4" t="n">
        <v>44773</v>
      </c>
      <c r="C1517" s="3" t="inlineStr">
        <is>
          <t>Liabilities</t>
        </is>
      </c>
      <c r="D1517" s="3" t="inlineStr">
        <is>
          <t>5500/050</t>
        </is>
      </c>
      <c r="E1517" s="3" t="inlineStr">
        <is>
          <t>Loan - Heron View</t>
        </is>
      </c>
      <c r="F1517" s="3" t="n">
        <v>690</v>
      </c>
      <c r="G1517" s="3" t="n">
        <v>1431451.22</v>
      </c>
    </row>
    <row r="1518">
      <c r="A1518" s="3" t="inlineStr">
        <is>
          <t>Heron Fields (Pty) Ltd</t>
        </is>
      </c>
      <c r="B1518" s="4" t="n">
        <v>44773</v>
      </c>
      <c r="C1518" s="3" t="inlineStr">
        <is>
          <t>Liabilities</t>
        </is>
      </c>
      <c r="D1518" s="3" t="inlineStr">
        <is>
          <t>5500/060</t>
        </is>
      </c>
      <c r="E1518" s="3" t="inlineStr">
        <is>
          <t>Loan - Opportunity Management Holdings</t>
        </is>
      </c>
      <c r="F1518" s="3" t="n">
        <v>127000</v>
      </c>
      <c r="G1518" s="3" t="n">
        <v>0</v>
      </c>
    </row>
    <row r="1519">
      <c r="A1519" s="3" t="inlineStr">
        <is>
          <t>Heron Fields (Pty) Ltd</t>
        </is>
      </c>
      <c r="B1519" s="4" t="n">
        <v>44773</v>
      </c>
      <c r="C1519" s="3" t="inlineStr">
        <is>
          <t>Liabilities</t>
        </is>
      </c>
      <c r="D1519" s="3" t="inlineStr">
        <is>
          <t>5500/070</t>
        </is>
      </c>
      <c r="E1519" s="3" t="inlineStr">
        <is>
          <t>Loan - Noble Shield</t>
        </is>
      </c>
      <c r="F1519" s="3" t="n">
        <v>11000</v>
      </c>
      <c r="G1519" s="3" t="n">
        <v>0</v>
      </c>
    </row>
    <row r="1520">
      <c r="A1520" s="3" t="inlineStr">
        <is>
          <t>Cape Projects Construction (Pty) Ltd</t>
        </is>
      </c>
      <c r="B1520" s="4" t="n">
        <v>44773</v>
      </c>
      <c r="C1520" s="3" t="inlineStr">
        <is>
          <t>Liabilities</t>
        </is>
      </c>
      <c r="D1520" s="3" t="inlineStr">
        <is>
          <t>5600/100</t>
        </is>
      </c>
      <c r="E1520" s="3" t="inlineStr">
        <is>
          <t>Motor Vehical Car Repaymts - Toyota</t>
        </is>
      </c>
      <c r="F1520" s="3" t="n">
        <v>5211.74</v>
      </c>
      <c r="G1520" s="3" t="n">
        <v>26004.68</v>
      </c>
    </row>
    <row r="1521">
      <c r="A1521" s="3" t="inlineStr">
        <is>
          <t>Cape Projects Construction (Pty) Ltd</t>
        </is>
      </c>
      <c r="B1521" s="4" t="n">
        <v>44773</v>
      </c>
      <c r="C1521" s="3" t="inlineStr">
        <is>
          <t>Liabilities</t>
        </is>
      </c>
      <c r="D1521" s="3" t="inlineStr">
        <is>
          <t>5600/200</t>
        </is>
      </c>
      <c r="E1521" s="3" t="inlineStr">
        <is>
          <t>Motor Vehicle Car Repayments - Toyota Shortterm</t>
        </is>
      </c>
      <c r="F1521" s="3" t="n">
        <v>0</v>
      </c>
      <c r="G1521" s="3" t="n">
        <v>-58920.1</v>
      </c>
    </row>
    <row r="1522">
      <c r="A1522" s="3" t="inlineStr">
        <is>
          <t>Cape Projects Construction (Pty) Ltd</t>
        </is>
      </c>
      <c r="B1522" s="4" t="n">
        <v>44773</v>
      </c>
      <c r="C1522" s="3" t="inlineStr">
        <is>
          <t>Assets</t>
        </is>
      </c>
      <c r="D1522" s="3" t="inlineStr">
        <is>
          <t>6200/010</t>
        </is>
      </c>
      <c r="E1522" s="3" t="inlineStr">
        <is>
          <t>Motor Vehicles - @ Cost</t>
        </is>
      </c>
      <c r="F1522" s="3" t="n">
        <v>0</v>
      </c>
      <c r="G1522" s="3" t="n">
        <v>216064.1</v>
      </c>
    </row>
    <row r="1523">
      <c r="A1523" s="3" t="inlineStr">
        <is>
          <t>Cape Projects Construction (Pty) Ltd</t>
        </is>
      </c>
      <c r="B1523" s="4" t="n">
        <v>44773</v>
      </c>
      <c r="C1523" s="3" t="inlineStr">
        <is>
          <t>Assets</t>
        </is>
      </c>
      <c r="D1523" s="3" t="inlineStr">
        <is>
          <t>6200/020</t>
        </is>
      </c>
      <c r="E1523" s="3" t="inlineStr">
        <is>
          <t>Motor Vehicles - Accum Depre</t>
        </is>
      </c>
      <c r="F1523" s="3" t="n">
        <v>-39610.1</v>
      </c>
      <c r="G1523" s="3" t="n">
        <v>-216063.1</v>
      </c>
    </row>
    <row r="1524">
      <c r="A1524" s="3" t="inlineStr">
        <is>
          <t>Cape Projects Construction (Pty) Ltd</t>
        </is>
      </c>
      <c r="B1524" s="4" t="n">
        <v>44773</v>
      </c>
      <c r="C1524" s="3" t="inlineStr">
        <is>
          <t>Assets</t>
        </is>
      </c>
      <c r="D1524" s="3" t="inlineStr">
        <is>
          <t>6250/010</t>
        </is>
      </c>
      <c r="E1524" s="3" t="inlineStr">
        <is>
          <t>Computer Equipment - @ Cost</t>
        </is>
      </c>
      <c r="F1524" s="3" t="n">
        <v>0</v>
      </c>
      <c r="G1524" s="3" t="n">
        <v>83494.91</v>
      </c>
    </row>
    <row r="1525">
      <c r="A1525" s="3" t="inlineStr">
        <is>
          <t>Cape Projects Construction (Pty) Ltd</t>
        </is>
      </c>
      <c r="B1525" s="4" t="n">
        <v>44773</v>
      </c>
      <c r="C1525" s="3" t="inlineStr">
        <is>
          <t>Assets</t>
        </is>
      </c>
      <c r="D1525" s="3" t="inlineStr">
        <is>
          <t>6250/020</t>
        </is>
      </c>
      <c r="E1525" s="3" t="inlineStr">
        <is>
          <t>Computer Equipment - Accum Depre</t>
        </is>
      </c>
      <c r="F1525" s="3" t="n">
        <v>-1926.81</v>
      </c>
      <c r="G1525" s="3" t="n">
        <v>-27795.9</v>
      </c>
    </row>
    <row r="1526">
      <c r="A1526" s="3" t="inlineStr">
        <is>
          <t>Cape Projects Construction (Pty) Ltd</t>
        </is>
      </c>
      <c r="B1526" s="4" t="n">
        <v>44773</v>
      </c>
      <c r="C1526" s="3" t="inlineStr">
        <is>
          <t>Assets</t>
        </is>
      </c>
      <c r="D1526" s="3" t="inlineStr">
        <is>
          <t>6350/010</t>
        </is>
      </c>
      <c r="E1526" s="3" t="inlineStr">
        <is>
          <t>Furniture _AND_ Fittings - @ Cost</t>
        </is>
      </c>
      <c r="F1526" s="3" t="n">
        <v>0</v>
      </c>
      <c r="G1526" s="3" t="n">
        <v>29281.39</v>
      </c>
    </row>
    <row r="1527">
      <c r="A1527" s="3" t="inlineStr">
        <is>
          <t>Cape Projects Construction (Pty) Ltd</t>
        </is>
      </c>
      <c r="B1527" s="4" t="n">
        <v>44773</v>
      </c>
      <c r="C1527" s="3" t="inlineStr">
        <is>
          <t>Assets</t>
        </is>
      </c>
      <c r="D1527" s="3" t="inlineStr">
        <is>
          <t>6350/020</t>
        </is>
      </c>
      <c r="E1527" s="3" t="inlineStr">
        <is>
          <t>Furniture _AND_ Fittings - Accum Depre</t>
        </is>
      </c>
      <c r="F1527" s="3" t="n">
        <v>-427.21</v>
      </c>
      <c r="G1527" s="3" t="n">
        <v>-2542.72</v>
      </c>
    </row>
    <row r="1528">
      <c r="A1528" s="3" t="inlineStr">
        <is>
          <t>Cape Projects Construction (Pty) Ltd</t>
        </is>
      </c>
      <c r="B1528" s="4" t="n">
        <v>44773</v>
      </c>
      <c r="C1528" s="3" t="inlineStr">
        <is>
          <t>Assets</t>
        </is>
      </c>
      <c r="D1528" s="3" t="inlineStr">
        <is>
          <t>6600/010</t>
        </is>
      </c>
      <c r="E1528" s="3" t="inlineStr">
        <is>
          <t>Generator Fixed Asset - @ Cost</t>
        </is>
      </c>
      <c r="F1528" s="3" t="n">
        <v>0</v>
      </c>
      <c r="G1528" s="3" t="n">
        <v>11600</v>
      </c>
    </row>
    <row r="1529">
      <c r="A1529" s="3" t="inlineStr">
        <is>
          <t>Cape Projects Construction (Pty) Ltd</t>
        </is>
      </c>
      <c r="B1529" s="4" t="n">
        <v>44773</v>
      </c>
      <c r="C1529" s="3" t="inlineStr">
        <is>
          <t>Assets</t>
        </is>
      </c>
      <c r="D1529" s="3" t="inlineStr">
        <is>
          <t>6600/020</t>
        </is>
      </c>
      <c r="E1529" s="3" t="inlineStr">
        <is>
          <t>Generator Fixed Asset - Accum Depre</t>
        </is>
      </c>
      <c r="F1529" s="3" t="n">
        <v>-193.34</v>
      </c>
      <c r="G1529" s="3" t="n">
        <v>-1772.23</v>
      </c>
    </row>
    <row r="1530">
      <c r="A1530" s="3" t="inlineStr">
        <is>
          <t>Heron Fields (Pty) Ltd</t>
        </is>
      </c>
      <c r="B1530" s="4" t="n">
        <v>44773</v>
      </c>
      <c r="C1530" s="3" t="inlineStr">
        <is>
          <t>Assets</t>
        </is>
      </c>
      <c r="D1530" s="3" t="inlineStr">
        <is>
          <t>7610/395</t>
        </is>
      </c>
      <c r="E1530" s="3" t="inlineStr">
        <is>
          <t>HF CIP NHBRC</t>
        </is>
      </c>
      <c r="F1530" s="3" t="n">
        <v>0</v>
      </c>
      <c r="G1530" s="3" t="n">
        <v>874505.75</v>
      </c>
    </row>
    <row r="1531">
      <c r="A1531" s="3" t="inlineStr">
        <is>
          <t>Heron Fields (Pty) Ltd</t>
        </is>
      </c>
      <c r="B1531" s="4" t="n">
        <v>44773</v>
      </c>
      <c r="C1531" s="3" t="inlineStr">
        <is>
          <t>Assets</t>
        </is>
      </c>
      <c r="D1531" s="3" t="inlineStr">
        <is>
          <t>7620/100</t>
        </is>
      </c>
      <c r="E1531" s="3" t="inlineStr">
        <is>
          <t>Heron View Land</t>
        </is>
      </c>
      <c r="F1531" s="3" t="n">
        <v>0</v>
      </c>
      <c r="G1531" s="3" t="n">
        <v>26200000</v>
      </c>
    </row>
    <row r="1532">
      <c r="A1532" s="3" t="inlineStr">
        <is>
          <t>Heron Fields (Pty) Ltd</t>
        </is>
      </c>
      <c r="B1532" s="4" t="n">
        <v>44773</v>
      </c>
      <c r="C1532" s="3" t="inlineStr">
        <is>
          <t>Assets</t>
        </is>
      </c>
      <c r="D1532" s="3" t="inlineStr">
        <is>
          <t>7620/101</t>
        </is>
      </c>
      <c r="E1532" s="3" t="inlineStr">
        <is>
          <t>HF CIP Bond Registration Fee</t>
        </is>
      </c>
      <c r="F1532" s="3" t="n">
        <v>0</v>
      </c>
      <c r="G1532" s="3" t="n">
        <v>68427</v>
      </c>
    </row>
    <row r="1533">
      <c r="A1533" s="3" t="inlineStr">
        <is>
          <t>Heron Fields (Pty) Ltd</t>
        </is>
      </c>
      <c r="B1533" s="4" t="n">
        <v>44773</v>
      </c>
      <c r="C1533" s="3" t="inlineStr">
        <is>
          <t>Assets</t>
        </is>
      </c>
      <c r="D1533" s="3" t="inlineStr">
        <is>
          <t>7620/102</t>
        </is>
      </c>
      <c r="E1533" s="3" t="inlineStr">
        <is>
          <t>HF CIP Transfer Fee</t>
        </is>
      </c>
      <c r="F1533" s="3" t="n">
        <v>0</v>
      </c>
      <c r="G1533" s="3" t="n">
        <v>103812</v>
      </c>
    </row>
    <row r="1534">
      <c r="A1534" s="3" t="inlineStr">
        <is>
          <t>Heron Fields (Pty) Ltd</t>
        </is>
      </c>
      <c r="B1534" s="4" t="n">
        <v>44773</v>
      </c>
      <c r="C1534" s="3" t="inlineStr">
        <is>
          <t>Assets</t>
        </is>
      </c>
      <c r="D1534" s="3" t="inlineStr">
        <is>
          <t>7620/220</t>
        </is>
      </c>
      <c r="E1534" s="3" t="inlineStr">
        <is>
          <t>HF CIP Architectural Designs</t>
        </is>
      </c>
      <c r="F1534" s="3" t="n">
        <v>0</v>
      </c>
      <c r="G1534" s="3" t="n">
        <v>150780</v>
      </c>
    </row>
    <row r="1535">
      <c r="A1535" s="3" t="inlineStr">
        <is>
          <t>Heron Fields (Pty) Ltd</t>
        </is>
      </c>
      <c r="B1535" s="4" t="n">
        <v>44773</v>
      </c>
      <c r="C1535" s="3" t="inlineStr">
        <is>
          <t>Assets</t>
        </is>
      </c>
      <c r="D1535" s="3" t="inlineStr">
        <is>
          <t>7620/230</t>
        </is>
      </c>
      <c r="E1535" s="3" t="inlineStr">
        <is>
          <t>HF CIP Construction Management</t>
        </is>
      </c>
      <c r="F1535" s="3" t="n">
        <v>11000</v>
      </c>
      <c r="G1535" s="3" t="n">
        <v>60000</v>
      </c>
    </row>
    <row r="1536">
      <c r="A1536" s="3" t="inlineStr">
        <is>
          <t>Heron Fields (Pty) Ltd</t>
        </is>
      </c>
      <c r="B1536" s="4" t="n">
        <v>44773</v>
      </c>
      <c r="C1536" s="3" t="inlineStr">
        <is>
          <t>Assets</t>
        </is>
      </c>
      <c r="D1536" s="3" t="inlineStr">
        <is>
          <t>7620/240</t>
        </is>
      </c>
      <c r="E1536" s="3" t="inlineStr">
        <is>
          <t>HF CIP Civil Engineering</t>
        </is>
      </c>
      <c r="F1536" s="3" t="n">
        <v>452354</v>
      </c>
      <c r="G1536" s="3" t="n">
        <v>6640948.8</v>
      </c>
    </row>
    <row r="1537">
      <c r="A1537" s="3" t="inlineStr">
        <is>
          <t>Heron Fields (Pty) Ltd</t>
        </is>
      </c>
      <c r="B1537" s="4" t="n">
        <v>44773</v>
      </c>
      <c r="C1537" s="3" t="inlineStr">
        <is>
          <t>Assets</t>
        </is>
      </c>
      <c r="D1537" s="3" t="inlineStr">
        <is>
          <t>7620/245</t>
        </is>
      </c>
      <c r="E1537" s="3" t="inlineStr">
        <is>
          <t>HF CIP Development fee</t>
        </is>
      </c>
      <c r="F1537" s="3" t="n">
        <v>0</v>
      </c>
      <c r="G1537" s="3" t="n">
        <v>13807.78</v>
      </c>
    </row>
    <row r="1538">
      <c r="A1538" s="3" t="inlineStr">
        <is>
          <t>Heron Fields (Pty) Ltd</t>
        </is>
      </c>
      <c r="B1538" s="4" t="n">
        <v>44773</v>
      </c>
      <c r="C1538" s="3" t="inlineStr">
        <is>
          <t>Assets</t>
        </is>
      </c>
      <c r="D1538" s="3" t="inlineStr">
        <is>
          <t>7620/250</t>
        </is>
      </c>
      <c r="E1538" s="3" t="inlineStr">
        <is>
          <t>HF CIP Land Surveyor</t>
        </is>
      </c>
      <c r="F1538" s="3" t="n">
        <v>0</v>
      </c>
      <c r="G1538" s="3" t="n">
        <v>44026.09</v>
      </c>
    </row>
    <row r="1539">
      <c r="A1539" s="3" t="inlineStr">
        <is>
          <t>Heron Fields (Pty) Ltd</t>
        </is>
      </c>
      <c r="B1539" s="4" t="n">
        <v>44773</v>
      </c>
      <c r="C1539" s="3" t="inlineStr">
        <is>
          <t>Assets</t>
        </is>
      </c>
      <c r="D1539" s="3" t="inlineStr">
        <is>
          <t>7620/255</t>
        </is>
      </c>
      <c r="E1539" s="3" t="inlineStr">
        <is>
          <t>HF CIP Landscaping</t>
        </is>
      </c>
      <c r="F1539" s="3" t="n">
        <v>0</v>
      </c>
      <c r="G1539" s="3" t="n">
        <v>7500</v>
      </c>
    </row>
    <row r="1540">
      <c r="A1540" s="3" t="inlineStr">
        <is>
          <t>Heron Fields (Pty) Ltd</t>
        </is>
      </c>
      <c r="B1540" s="4" t="n">
        <v>44773</v>
      </c>
      <c r="C1540" s="3" t="inlineStr">
        <is>
          <t>Assets</t>
        </is>
      </c>
      <c r="D1540" s="3" t="inlineStr">
        <is>
          <t>7620/260</t>
        </is>
      </c>
      <c r="E1540" s="3" t="inlineStr">
        <is>
          <t>HF CIP Mechanical Engineers</t>
        </is>
      </c>
      <c r="F1540" s="3" t="n">
        <v>0</v>
      </c>
      <c r="G1540" s="3" t="n">
        <v>67400</v>
      </c>
    </row>
    <row r="1541">
      <c r="A1541" s="3" t="inlineStr">
        <is>
          <t>Heron Fields (Pty) Ltd</t>
        </is>
      </c>
      <c r="B1541" s="4" t="n">
        <v>44773</v>
      </c>
      <c r="C1541" s="3" t="inlineStr">
        <is>
          <t>Assets</t>
        </is>
      </c>
      <c r="D1541" s="3" t="inlineStr">
        <is>
          <t>7620/265</t>
        </is>
      </c>
      <c r="E1541" s="3" t="inlineStr">
        <is>
          <t>HF CIP Health &amp; Safety</t>
        </is>
      </c>
      <c r="F1541" s="3" t="n">
        <v>1400</v>
      </c>
      <c r="G1541" s="3" t="n">
        <v>13600</v>
      </c>
    </row>
    <row r="1542">
      <c r="A1542" s="3" t="inlineStr">
        <is>
          <t>Heron Fields (Pty) Ltd</t>
        </is>
      </c>
      <c r="B1542" s="4" t="n">
        <v>44773</v>
      </c>
      <c r="C1542" s="3" t="inlineStr">
        <is>
          <t>Assets</t>
        </is>
      </c>
      <c r="D1542" s="3" t="inlineStr">
        <is>
          <t>7620/270</t>
        </is>
      </c>
      <c r="E1542" s="3" t="inlineStr">
        <is>
          <t>HF CIP Geotechnical</t>
        </is>
      </c>
      <c r="F1542" s="3" t="n">
        <v>0</v>
      </c>
      <c r="G1542" s="3" t="n">
        <v>15175</v>
      </c>
    </row>
    <row r="1543">
      <c r="A1543" s="3" t="inlineStr">
        <is>
          <t>Heron Fields (Pty) Ltd</t>
        </is>
      </c>
      <c r="B1543" s="4" t="n">
        <v>44773</v>
      </c>
      <c r="C1543" s="3" t="inlineStr">
        <is>
          <t>Assets</t>
        </is>
      </c>
      <c r="D1543" s="3" t="inlineStr">
        <is>
          <t>7620/275</t>
        </is>
      </c>
      <c r="E1543" s="3" t="inlineStr">
        <is>
          <t>HF CIP Retaining Wall</t>
        </is>
      </c>
      <c r="F1543" s="3" t="n">
        <v>0</v>
      </c>
      <c r="G1543" s="3" t="n">
        <v>570856.08</v>
      </c>
    </row>
    <row r="1544">
      <c r="A1544" s="3" t="inlineStr">
        <is>
          <t>Heron Fields (Pty) Ltd</t>
        </is>
      </c>
      <c r="B1544" s="4" t="n">
        <v>44773</v>
      </c>
      <c r="C1544" s="3" t="inlineStr">
        <is>
          <t>Assets</t>
        </is>
      </c>
      <c r="D1544" s="3" t="inlineStr">
        <is>
          <t>7620/280</t>
        </is>
      </c>
      <c r="E1544" s="3" t="inlineStr">
        <is>
          <t>HF CIP Site Establishment</t>
        </is>
      </c>
      <c r="F1544" s="3" t="n">
        <v>6000215.88</v>
      </c>
      <c r="G1544" s="3" t="n">
        <v>19540589.41</v>
      </c>
    </row>
    <row r="1545">
      <c r="A1545" s="3" t="inlineStr">
        <is>
          <t>Heron Fields (Pty) Ltd</t>
        </is>
      </c>
      <c r="B1545" s="4" t="n">
        <v>44773</v>
      </c>
      <c r="C1545" s="3" t="inlineStr">
        <is>
          <t>Assets</t>
        </is>
      </c>
      <c r="D1545" s="3" t="inlineStr">
        <is>
          <t>7620/285</t>
        </is>
      </c>
      <c r="E1545" s="3" t="inlineStr">
        <is>
          <t>HF CIP Structuring Fee - Invest</t>
        </is>
      </c>
      <c r="F1545" s="3" t="n">
        <v>256521.74</v>
      </c>
      <c r="G1545" s="3" t="n">
        <v>2633426.73</v>
      </c>
    </row>
    <row r="1546">
      <c r="A1546" s="3" t="inlineStr">
        <is>
          <t>Heron Fields (Pty) Ltd</t>
        </is>
      </c>
      <c r="B1546" s="4" t="n">
        <v>44773</v>
      </c>
      <c r="C1546" s="3" t="inlineStr">
        <is>
          <t>Assets</t>
        </is>
      </c>
      <c r="D1546" s="3" t="inlineStr">
        <is>
          <t>7620/287</t>
        </is>
      </c>
      <c r="E1546" s="3" t="inlineStr">
        <is>
          <t>HF CIP Structuring Fee - Development</t>
        </is>
      </c>
      <c r="F1546" s="3" t="n">
        <v>0</v>
      </c>
      <c r="G1546" s="3" t="n">
        <v>782608.0699999999</v>
      </c>
    </row>
    <row r="1547">
      <c r="A1547" s="3" t="inlineStr">
        <is>
          <t>Heron Fields (Pty) Ltd</t>
        </is>
      </c>
      <c r="B1547" s="4" t="n">
        <v>44773</v>
      </c>
      <c r="C1547" s="3" t="inlineStr">
        <is>
          <t>Assets</t>
        </is>
      </c>
      <c r="D1547" s="3" t="inlineStr">
        <is>
          <t>7620/290</t>
        </is>
      </c>
      <c r="E1547" s="3" t="inlineStr">
        <is>
          <t>HF CIP Town Planning</t>
        </is>
      </c>
      <c r="F1547" s="3" t="n">
        <v>0</v>
      </c>
      <c r="G1547" s="3" t="n">
        <v>163550</v>
      </c>
    </row>
    <row r="1548">
      <c r="A1548" s="3" t="inlineStr">
        <is>
          <t>Heron Fields (Pty) Ltd</t>
        </is>
      </c>
      <c r="B1548" s="4" t="n">
        <v>44773</v>
      </c>
      <c r="C1548" s="3" t="inlineStr">
        <is>
          <t>Assets</t>
        </is>
      </c>
      <c r="D1548" s="3" t="inlineStr">
        <is>
          <t>7620/295</t>
        </is>
      </c>
      <c r="E1548" s="3" t="inlineStr">
        <is>
          <t>HF CIP Traffic Planning</t>
        </is>
      </c>
      <c r="F1548" s="3" t="n">
        <v>0</v>
      </c>
      <c r="G1548" s="3" t="n">
        <v>45000</v>
      </c>
    </row>
    <row r="1549">
      <c r="A1549" s="3" t="inlineStr">
        <is>
          <t>Heron Fields (Pty) Ltd</t>
        </is>
      </c>
      <c r="B1549" s="4" t="n">
        <v>44773</v>
      </c>
      <c r="C1549" s="3" t="inlineStr">
        <is>
          <t>Assets</t>
        </is>
      </c>
      <c r="D1549" s="3" t="inlineStr">
        <is>
          <t>7620/600</t>
        </is>
      </c>
      <c r="E1549" s="3" t="inlineStr">
        <is>
          <t>HF CIP Eco work</t>
        </is>
      </c>
      <c r="F1549" s="3" t="n">
        <v>6000</v>
      </c>
      <c r="G1549" s="3" t="n">
        <v>89000</v>
      </c>
    </row>
    <row r="1550">
      <c r="A1550" s="3" t="inlineStr">
        <is>
          <t>Heron Fields (Pty) Ltd</t>
        </is>
      </c>
      <c r="B1550" s="4" t="n">
        <v>44773</v>
      </c>
      <c r="C1550" s="3" t="inlineStr">
        <is>
          <t>Assets</t>
        </is>
      </c>
      <c r="D1550" s="3" t="inlineStr">
        <is>
          <t>7620/630</t>
        </is>
      </c>
      <c r="E1550" s="3" t="inlineStr">
        <is>
          <t>HF CIP CoCT development contribution</t>
        </is>
      </c>
      <c r="F1550" s="3" t="n">
        <v>28086.78</v>
      </c>
      <c r="G1550" s="3" t="n">
        <v>1001766.49</v>
      </c>
    </row>
    <row r="1551">
      <c r="A1551" s="3" t="inlineStr">
        <is>
          <t>Heron View (Pty) Ltd</t>
        </is>
      </c>
      <c r="B1551" s="4" t="n">
        <v>44773</v>
      </c>
      <c r="C1551" s="3" t="inlineStr">
        <is>
          <t>Assets</t>
        </is>
      </c>
      <c r="D1551" s="3" t="inlineStr">
        <is>
          <t>7620/630</t>
        </is>
      </c>
      <c r="E1551" s="3" t="inlineStr">
        <is>
          <t>Heron CIP - CoCT development contribution</t>
        </is>
      </c>
      <c r="F1551" s="3" t="n">
        <v>0</v>
      </c>
      <c r="G1551" s="3" t="n">
        <v>1233261.93</v>
      </c>
    </row>
    <row r="1552">
      <c r="A1552" s="3" t="inlineStr">
        <is>
          <t>Heron Fields (Pty) Ltd</t>
        </is>
      </c>
      <c r="B1552" s="4" t="n">
        <v>44773</v>
      </c>
      <c r="C1552" s="3" t="inlineStr">
        <is>
          <t>Assets</t>
        </is>
      </c>
      <c r="D1552" s="3" t="inlineStr">
        <is>
          <t>7620/640</t>
        </is>
      </c>
      <c r="E1552" s="3" t="inlineStr">
        <is>
          <t>HF CIP Project costs</t>
        </is>
      </c>
      <c r="F1552" s="3" t="n">
        <v>0</v>
      </c>
      <c r="G1552" s="3" t="n">
        <v>622274.51</v>
      </c>
    </row>
    <row r="1553">
      <c r="A1553" s="3" t="inlineStr">
        <is>
          <t>Heron Fields (Pty) Ltd</t>
        </is>
      </c>
      <c r="B1553" s="4" t="n">
        <v>44773</v>
      </c>
      <c r="C1553" s="3" t="inlineStr">
        <is>
          <t>Assets</t>
        </is>
      </c>
      <c r="D1553" s="3" t="inlineStr">
        <is>
          <t>7620/650</t>
        </is>
      </c>
      <c r="E1553" s="3" t="inlineStr">
        <is>
          <t>HF CIP Electrical</t>
        </is>
      </c>
      <c r="F1553" s="3" t="n">
        <v>222074.07</v>
      </c>
      <c r="G1553" s="3" t="n">
        <v>697808.24</v>
      </c>
    </row>
    <row r="1554">
      <c r="A1554" s="3" t="inlineStr">
        <is>
          <t>Heron View (Pty) Ltd</t>
        </is>
      </c>
      <c r="B1554" s="4" t="n">
        <v>44773</v>
      </c>
      <c r="C1554" s="3" t="inlineStr">
        <is>
          <t>Assets</t>
        </is>
      </c>
      <c r="D1554" s="3" t="inlineStr">
        <is>
          <t>7620/660</t>
        </is>
      </c>
      <c r="E1554" s="3" t="inlineStr">
        <is>
          <t>HV CIP Health &amp; Safety</t>
        </is>
      </c>
      <c r="F1554" s="3" t="n">
        <v>7400</v>
      </c>
      <c r="G1554" s="3" t="n">
        <v>8500</v>
      </c>
    </row>
    <row r="1555">
      <c r="A1555" s="3" t="inlineStr">
        <is>
          <t>Heron Fields (Pty) Ltd</t>
        </is>
      </c>
      <c r="B1555" s="4" t="n">
        <v>44773</v>
      </c>
      <c r="C1555" s="3" t="inlineStr">
        <is>
          <t>Assets</t>
        </is>
      </c>
      <c r="D1555" s="3" t="inlineStr">
        <is>
          <t>7620/700</t>
        </is>
      </c>
      <c r="E1555" s="3" t="inlineStr">
        <is>
          <t>HF CIP - P&amp;G recoveries - Endulini&amp;Heron Fields/View</t>
        </is>
      </c>
      <c r="F1555" s="3" t="n">
        <v>3023829.42</v>
      </c>
      <c r="G1555" s="3" t="n">
        <v>3023829.42</v>
      </c>
    </row>
    <row r="1556">
      <c r="A1556" s="3" t="inlineStr">
        <is>
          <t>Cape Projects Construction (Pty) Ltd</t>
        </is>
      </c>
      <c r="B1556" s="4" t="n">
        <v>44773</v>
      </c>
      <c r="C1556" s="3" t="inlineStr">
        <is>
          <t>Assets</t>
        </is>
      </c>
      <c r="D1556" s="3" t="inlineStr">
        <is>
          <t>7800/000</t>
        </is>
      </c>
      <c r="E1556" s="3" t="inlineStr">
        <is>
          <t>Deposits paid</t>
        </is>
      </c>
      <c r="F1556" s="3" t="n">
        <v>0</v>
      </c>
      <c r="G1556" s="3" t="n">
        <v>6875.45</v>
      </c>
    </row>
    <row r="1557">
      <c r="A1557" s="3" t="inlineStr">
        <is>
          <t>Cape Projects Construction (Pty) Ltd</t>
        </is>
      </c>
      <c r="B1557" s="4" t="n">
        <v>44773</v>
      </c>
      <c r="C1557" s="3" t="inlineStr">
        <is>
          <t>Assets</t>
        </is>
      </c>
      <c r="D1557" s="3" t="inlineStr">
        <is>
          <t>8000/000</t>
        </is>
      </c>
      <c r="E1557" s="3" t="inlineStr">
        <is>
          <t>Customer Control Account</t>
        </is>
      </c>
      <c r="F1557" s="3" t="n">
        <v>-14232326.73</v>
      </c>
      <c r="G1557" s="3" t="n">
        <v>5343097.25</v>
      </c>
    </row>
    <row r="1558">
      <c r="A1558" s="3" t="inlineStr">
        <is>
          <t>Cape Projects Construction (Pty) Ltd</t>
        </is>
      </c>
      <c r="B1558" s="4" t="n">
        <v>44773</v>
      </c>
      <c r="C1558" s="3" t="inlineStr">
        <is>
          <t>Assets</t>
        </is>
      </c>
      <c r="D1558" s="3" t="inlineStr">
        <is>
          <t>8200/010</t>
        </is>
      </c>
      <c r="E1558" s="3" t="inlineStr">
        <is>
          <t>Prepayments / Prepaid Expenses</t>
        </is>
      </c>
      <c r="F1558" s="3" t="n">
        <v>-5586.53</v>
      </c>
      <c r="G1558" s="3" t="n">
        <v>21755.51</v>
      </c>
    </row>
    <row r="1559">
      <c r="A1559" s="3" t="inlineStr">
        <is>
          <t>Heron Fields (Pty) Ltd</t>
        </is>
      </c>
      <c r="B1559" s="4" t="n">
        <v>44773</v>
      </c>
      <c r="C1559" s="3" t="inlineStr">
        <is>
          <t>Assets</t>
        </is>
      </c>
      <c r="D1559" s="3" t="inlineStr">
        <is>
          <t>8400/000</t>
        </is>
      </c>
      <c r="E1559" s="3" t="inlineStr">
        <is>
          <t>RMB - 62882379087</t>
        </is>
      </c>
      <c r="F1559" s="3" t="n">
        <v>-5169262.11</v>
      </c>
      <c r="G1559" s="3" t="n">
        <v>16285.19</v>
      </c>
    </row>
    <row r="1560">
      <c r="A1560" s="3" t="inlineStr">
        <is>
          <t>Cape Projects Construction (Pty) Ltd</t>
        </is>
      </c>
      <c r="B1560" s="4" t="n">
        <v>44773</v>
      </c>
      <c r="C1560" s="3" t="inlineStr">
        <is>
          <t>Assets</t>
        </is>
      </c>
      <c r="D1560" s="3" t="inlineStr">
        <is>
          <t>8400/000</t>
        </is>
      </c>
      <c r="E1560" s="3" t="inlineStr">
        <is>
          <t>RMB 62275138470</t>
        </is>
      </c>
      <c r="F1560" s="3" t="n">
        <v>104808.67</v>
      </c>
      <c r="G1560" s="3" t="n">
        <v>120910.31</v>
      </c>
    </row>
    <row r="1561">
      <c r="A1561" s="3" t="inlineStr">
        <is>
          <t>Cape Projects Construction (Pty) Ltd</t>
        </is>
      </c>
      <c r="B1561" s="4" t="n">
        <v>44773</v>
      </c>
      <c r="C1561" s="3" t="inlineStr">
        <is>
          <t>Assets</t>
        </is>
      </c>
      <c r="D1561" s="3" t="inlineStr">
        <is>
          <t>8420/000</t>
        </is>
      </c>
      <c r="E1561" s="3" t="inlineStr">
        <is>
          <t>Momentum Priv Acc RU502230981</t>
        </is>
      </c>
      <c r="F1561" s="3" t="n">
        <v>2.28</v>
      </c>
      <c r="G1561" s="3" t="n">
        <v>520.21</v>
      </c>
    </row>
    <row r="1562">
      <c r="A1562" s="3" t="inlineStr">
        <is>
          <t>Heron Fields (Pty) Ltd</t>
        </is>
      </c>
      <c r="B1562" s="4" t="n">
        <v>44773</v>
      </c>
      <c r="C1562" s="3" t="inlineStr">
        <is>
          <t>Assets</t>
        </is>
      </c>
      <c r="D1562" s="3" t="inlineStr">
        <is>
          <t>8430/000</t>
        </is>
      </c>
      <c r="E1562" s="3" t="inlineStr">
        <is>
          <t>Momentum Private Account RU502230151</t>
        </is>
      </c>
      <c r="F1562" s="3" t="n">
        <v>3.12</v>
      </c>
      <c r="G1562" s="3" t="n">
        <v>799.3200000000001</v>
      </c>
    </row>
    <row r="1563">
      <c r="A1563" s="3" t="inlineStr">
        <is>
          <t>Heron Fields (Pty) Ltd</t>
        </is>
      </c>
      <c r="B1563" s="4" t="n">
        <v>44773</v>
      </c>
      <c r="C1563" s="3" t="inlineStr">
        <is>
          <t>Assets</t>
        </is>
      </c>
      <c r="D1563" s="3" t="inlineStr">
        <is>
          <t>8440/000</t>
        </is>
      </c>
      <c r="E1563" s="3" t="inlineStr">
        <is>
          <t>Momentum Investors Account RU502229930</t>
        </is>
      </c>
      <c r="F1563" s="3" t="n">
        <v>2702937.81</v>
      </c>
      <c r="G1563" s="3" t="n">
        <v>12725035.56</v>
      </c>
    </row>
    <row r="1564">
      <c r="A1564" s="3" t="inlineStr">
        <is>
          <t>Heron Fields (Pty) Ltd</t>
        </is>
      </c>
      <c r="B1564" s="4" t="n">
        <v>44773</v>
      </c>
      <c r="C1564" s="3" t="inlineStr">
        <is>
          <t>Assets</t>
        </is>
      </c>
      <c r="D1564" s="3" t="inlineStr">
        <is>
          <t>8500/000</t>
        </is>
      </c>
      <c r="E1564" s="3" t="inlineStr">
        <is>
          <t>Laas and Scholtz - Funds in transit</t>
        </is>
      </c>
      <c r="F1564" s="3" t="n">
        <v>-500000</v>
      </c>
      <c r="G1564" s="3" t="n">
        <v>0</v>
      </c>
    </row>
    <row r="1565">
      <c r="A1565" s="3" t="inlineStr">
        <is>
          <t>Cape Projects Construction (Pty) Ltd</t>
        </is>
      </c>
      <c r="B1565" s="4" t="n">
        <v>44773</v>
      </c>
      <c r="C1565" s="3" t="inlineStr">
        <is>
          <t>Liabilities</t>
        </is>
      </c>
      <c r="D1565" s="3" t="inlineStr">
        <is>
          <t>860</t>
        </is>
      </c>
      <c r="E1565" s="3" t="inlineStr">
        <is>
          <t>Rounding</t>
        </is>
      </c>
      <c r="F1565" s="3" t="n">
        <v>0</v>
      </c>
      <c r="G1565" s="3" t="n">
        <v>-0.04</v>
      </c>
    </row>
    <row r="1566">
      <c r="A1566" s="3" t="inlineStr">
        <is>
          <t>Cape Projects Construction (Pty) Ltd</t>
        </is>
      </c>
      <c r="B1566" s="4" t="n">
        <v>44773</v>
      </c>
      <c r="C1566" s="3" t="inlineStr">
        <is>
          <t>Liabilities</t>
        </is>
      </c>
      <c r="D1566" s="3" t="inlineStr">
        <is>
          <t>9000/000</t>
        </is>
      </c>
      <c r="E1566" s="3" t="inlineStr">
        <is>
          <t>Supplier Control Account</t>
        </is>
      </c>
      <c r="F1566" s="3" t="n">
        <v>1427893.15</v>
      </c>
      <c r="G1566" s="3" t="n">
        <v>-3605812.55</v>
      </c>
    </row>
    <row r="1567">
      <c r="A1567" s="3" t="inlineStr">
        <is>
          <t>Heron Fields (Pty) Ltd</t>
        </is>
      </c>
      <c r="B1567" s="4" t="n">
        <v>44773</v>
      </c>
      <c r="C1567" s="3" t="inlineStr">
        <is>
          <t>Liabilities</t>
        </is>
      </c>
      <c r="D1567" s="3" t="inlineStr">
        <is>
          <t>9000/000</t>
        </is>
      </c>
      <c r="E1567" s="3" t="inlineStr">
        <is>
          <t>Supplier Control Account</t>
        </is>
      </c>
      <c r="F1567" s="3" t="n">
        <v>-9726676.970000001</v>
      </c>
      <c r="G1567" s="3" t="n">
        <v>-86143175.06999999</v>
      </c>
    </row>
    <row r="1568">
      <c r="A1568" s="3" t="inlineStr">
        <is>
          <t>Heron View (Pty) Ltd</t>
        </is>
      </c>
      <c r="B1568" s="4" t="n">
        <v>44773</v>
      </c>
      <c r="C1568" s="3" t="inlineStr">
        <is>
          <t>Liabilities</t>
        </is>
      </c>
      <c r="D1568" s="3" t="inlineStr">
        <is>
          <t>9000/000</t>
        </is>
      </c>
      <c r="E1568" s="3" t="inlineStr">
        <is>
          <t>Supplier Control Account</t>
        </is>
      </c>
      <c r="F1568" s="3" t="n">
        <v>-7400</v>
      </c>
      <c r="G1568" s="3" t="n">
        <v>1250</v>
      </c>
    </row>
    <row r="1569">
      <c r="A1569" s="3" t="inlineStr">
        <is>
          <t>Cape Projects Construction (Pty) Ltd</t>
        </is>
      </c>
      <c r="B1569" s="4" t="n">
        <v>44773</v>
      </c>
      <c r="C1569" s="3" t="inlineStr">
        <is>
          <t>Liabilities</t>
        </is>
      </c>
      <c r="D1569" s="3" t="inlineStr">
        <is>
          <t>9200/000</t>
        </is>
      </c>
      <c r="E1569" s="3" t="inlineStr">
        <is>
          <t>Sundry Suppliers</t>
        </is>
      </c>
      <c r="F1569" s="3" t="n">
        <v>0</v>
      </c>
      <c r="G1569" s="3" t="n">
        <v>1186.13</v>
      </c>
    </row>
    <row r="1570">
      <c r="A1570" s="3" t="inlineStr">
        <is>
          <t>Cape Projects Construction (Pty) Ltd</t>
        </is>
      </c>
      <c r="B1570" s="4" t="n">
        <v>44773</v>
      </c>
      <c r="C1570" s="3" t="inlineStr">
        <is>
          <t>Liabilities</t>
        </is>
      </c>
      <c r="D1570" s="3" t="inlineStr">
        <is>
          <t>9250/010</t>
        </is>
      </c>
      <c r="E1570" s="3" t="inlineStr">
        <is>
          <t>SALARY CONTROL</t>
        </is>
      </c>
      <c r="F1570" s="3" t="n">
        <v>0</v>
      </c>
      <c r="G1570" s="3" t="n">
        <v>20758.55</v>
      </c>
    </row>
    <row r="1571">
      <c r="A1571" s="3" t="inlineStr">
        <is>
          <t>Cape Projects Construction (Pty) Ltd</t>
        </is>
      </c>
      <c r="B1571" s="4" t="n">
        <v>44773</v>
      </c>
      <c r="C1571" s="3" t="inlineStr">
        <is>
          <t>Liabilities</t>
        </is>
      </c>
      <c r="D1571" s="3" t="inlineStr">
        <is>
          <t>9250/020</t>
        </is>
      </c>
      <c r="E1571" s="3" t="inlineStr">
        <is>
          <t>PAYE, UIF AND SDL CONTROL</t>
        </is>
      </c>
      <c r="F1571" s="3" t="n">
        <v>11600.01</v>
      </c>
      <c r="G1571" s="3" t="n">
        <v>-12918.25</v>
      </c>
    </row>
    <row r="1572">
      <c r="A1572" s="3" t="inlineStr">
        <is>
          <t>Cape Projects Construction (Pty) Ltd</t>
        </is>
      </c>
      <c r="B1572" s="4" t="n">
        <v>44773</v>
      </c>
      <c r="C1572" s="3" t="inlineStr">
        <is>
          <t>Liabilities</t>
        </is>
      </c>
      <c r="D1572" s="3" t="inlineStr">
        <is>
          <t>9250/030</t>
        </is>
      </c>
      <c r="E1572" s="3" t="inlineStr">
        <is>
          <t>BIBC CONTROL</t>
        </is>
      </c>
      <c r="F1572" s="3" t="n">
        <v>-12992.22</v>
      </c>
      <c r="G1572" s="3" t="n">
        <v>-26405.96</v>
      </c>
    </row>
    <row r="1573">
      <c r="A1573" s="3" t="inlineStr">
        <is>
          <t>Cape Projects Construction (Pty) Ltd</t>
        </is>
      </c>
      <c r="B1573" s="4" t="n">
        <v>44773</v>
      </c>
      <c r="C1573" s="3" t="inlineStr">
        <is>
          <t>Liabilities</t>
        </is>
      </c>
      <c r="D1573" s="3" t="inlineStr">
        <is>
          <t>9500/000</t>
        </is>
      </c>
      <c r="E1573" s="3" t="inlineStr">
        <is>
          <t>VAT Control Account</t>
        </is>
      </c>
      <c r="F1573" s="3" t="n">
        <v>1418338.75</v>
      </c>
      <c r="G1573" s="3" t="n">
        <v>-1768568.46</v>
      </c>
    </row>
    <row r="1574">
      <c r="A1574" s="3" t="inlineStr">
        <is>
          <t>Heron Fields (Pty) Ltd</t>
        </is>
      </c>
      <c r="B1574" s="4" t="n">
        <v>44773</v>
      </c>
      <c r="C1574" s="3" t="inlineStr">
        <is>
          <t>Liabilities</t>
        </is>
      </c>
      <c r="D1574" s="3" t="inlineStr">
        <is>
          <t>9500/000</t>
        </is>
      </c>
      <c r="E1574" s="3" t="inlineStr">
        <is>
          <t>Vat / Tax Control Account</t>
        </is>
      </c>
      <c r="F1574" s="3" t="n">
        <v>1522406.54</v>
      </c>
      <c r="G1574" s="3" t="n">
        <v>3833846.98</v>
      </c>
    </row>
    <row r="1575">
      <c r="A1575" s="3" t="inlineStr">
        <is>
          <t>Heron View (Pty) Ltd</t>
        </is>
      </c>
      <c r="B1575" s="4" t="n">
        <v>44773</v>
      </c>
      <c r="C1575" s="3" t="inlineStr">
        <is>
          <t>Liabilities</t>
        </is>
      </c>
      <c r="D1575" s="3" t="inlineStr">
        <is>
          <t>9500/000</t>
        </is>
      </c>
      <c r="E1575" s="3" t="inlineStr">
        <is>
          <t>Vat / Tax Control Account</t>
        </is>
      </c>
      <c r="F1575" s="3" t="n">
        <v>90</v>
      </c>
      <c r="G1575" s="3" t="n">
        <v>185439.29</v>
      </c>
    </row>
    <row r="1576">
      <c r="A1576" s="3" t="inlineStr">
        <is>
          <t>Cape Projects Construction (Pty) Ltd</t>
        </is>
      </c>
      <c r="B1576" s="4" t="n">
        <v>44773</v>
      </c>
      <c r="C1576" s="3" t="inlineStr">
        <is>
          <t>Liabilities</t>
        </is>
      </c>
      <c r="D1576" s="3" t="inlineStr">
        <is>
          <t>9990/000</t>
        </is>
      </c>
      <c r="E1576" s="3" t="inlineStr">
        <is>
          <t>Opening Balance / Suspense Account</t>
        </is>
      </c>
      <c r="F1576" s="3" t="n">
        <v>0</v>
      </c>
      <c r="G1576" s="3" t="n">
        <v>80</v>
      </c>
    </row>
    <row r="1577">
      <c r="A1577" s="3" t="inlineStr">
        <is>
          <t>Cape Projects Construction (Pty) Ltd</t>
        </is>
      </c>
      <c r="B1577" s="4" t="n">
        <v>44773</v>
      </c>
      <c r="C1577" s="3" t="inlineStr">
        <is>
          <t>Liabilities</t>
        </is>
      </c>
      <c r="D1577" s="3" t="inlineStr">
        <is>
          <t>B/S</t>
        </is>
      </c>
      <c r="E1577" s="3" t="inlineStr">
        <is>
          <t>Taxation Payable</t>
        </is>
      </c>
      <c r="F1577" s="3" t="n">
        <v>0</v>
      </c>
      <c r="G1577" s="3" t="n">
        <v>1869.8</v>
      </c>
    </row>
    <row r="1578">
      <c r="A1578" s="3" t="inlineStr">
        <is>
          <t>Cape Projects Construction (Pty) Ltd</t>
        </is>
      </c>
      <c r="B1578" s="4" t="n">
        <v>44773</v>
      </c>
      <c r="C1578" s="3" t="inlineStr">
        <is>
          <t>Liabilities</t>
        </is>
      </c>
      <c r="D1578" s="3" t="inlineStr">
        <is>
          <t>TEMP/ACC</t>
        </is>
      </c>
      <c r="E1578" s="3" t="inlineStr">
        <is>
          <t>Conversion Account</t>
        </is>
      </c>
      <c r="F1578" s="3" t="n">
        <v>0</v>
      </c>
      <c r="G1578" s="3" t="n">
        <v>-254.99</v>
      </c>
    </row>
    <row r="1579">
      <c r="A1579" s="3" t="inlineStr">
        <is>
          <t>Cape Projects Construction (Pty) Ltd</t>
        </is>
      </c>
      <c r="B1579" s="4" t="n">
        <v>44804</v>
      </c>
      <c r="C1579" s="3" t="inlineStr">
        <is>
          <t>Revenue</t>
        </is>
      </c>
      <c r="D1579" s="3" t="inlineStr">
        <is>
          <t>1040/100</t>
        </is>
      </c>
      <c r="E1579" s="3" t="inlineStr">
        <is>
          <t>Fees - Construction - Heron</t>
        </is>
      </c>
      <c r="F1579" s="3" t="n">
        <v>-7577926.33</v>
      </c>
      <c r="G1579" s="3" t="n">
        <v>-24761829.53</v>
      </c>
    </row>
    <row r="1580">
      <c r="A1580" s="3" t="inlineStr">
        <is>
          <t>Cape Projects Construction (Pty) Ltd</t>
        </is>
      </c>
      <c r="B1580" s="4" t="n">
        <v>44804</v>
      </c>
      <c r="C1580" s="3" t="inlineStr">
        <is>
          <t>Revenue</t>
        </is>
      </c>
      <c r="D1580" s="3" t="inlineStr">
        <is>
          <t>1050/030</t>
        </is>
      </c>
      <c r="E1580" s="3" t="inlineStr">
        <is>
          <t>Fees - Construction - Endulini</t>
        </is>
      </c>
      <c r="F1580" s="3" t="n">
        <v>12260.87</v>
      </c>
      <c r="G1580" s="3" t="n">
        <v>-12046638.06</v>
      </c>
    </row>
    <row r="1581">
      <c r="A1581" s="3" t="inlineStr">
        <is>
          <t>Cape Projects Construction (Pty) Ltd</t>
        </is>
      </c>
      <c r="B1581" s="4" t="n">
        <v>44804</v>
      </c>
      <c r="C1581" s="3" t="inlineStr">
        <is>
          <t>Revenue</t>
        </is>
      </c>
      <c r="D1581" s="3" t="inlineStr">
        <is>
          <t>1051/100</t>
        </is>
      </c>
      <c r="E1581" s="3" t="inlineStr">
        <is>
          <t>Fees - Construction - Heron Fields</t>
        </is>
      </c>
      <c r="F1581" s="3" t="n">
        <v>0</v>
      </c>
      <c r="G1581" s="3" t="n">
        <v>-1782369.8</v>
      </c>
    </row>
    <row r="1582">
      <c r="A1582" s="3" t="inlineStr">
        <is>
          <t>Cape Projects Construction (Pty) Ltd</t>
        </is>
      </c>
      <c r="B1582" s="4" t="n">
        <v>44804</v>
      </c>
      <c r="C1582" s="3" t="inlineStr">
        <is>
          <t>Revenue</t>
        </is>
      </c>
      <c r="D1582" s="3" t="inlineStr">
        <is>
          <t>1051/200</t>
        </is>
      </c>
      <c r="E1582" s="3" t="inlineStr">
        <is>
          <t>Fees - Construction - Heron Fields P&amp;G</t>
        </is>
      </c>
      <c r="F1582" s="3" t="n">
        <v>0</v>
      </c>
      <c r="G1582" s="3" t="n">
        <v>1616.91</v>
      </c>
    </row>
    <row r="1583">
      <c r="A1583" s="3" t="inlineStr">
        <is>
          <t>Cape Projects Construction (Pty) Ltd</t>
        </is>
      </c>
      <c r="B1583" s="4" t="n">
        <v>44804</v>
      </c>
      <c r="C1583" s="3" t="inlineStr">
        <is>
          <t>Revenue</t>
        </is>
      </c>
      <c r="D1583" s="3" t="inlineStr">
        <is>
          <t>1060/000</t>
        </is>
      </c>
      <c r="E1583" s="3" t="inlineStr">
        <is>
          <t>Insurance recovery</t>
        </is>
      </c>
      <c r="F1583" s="3" t="n">
        <v>0</v>
      </c>
      <c r="G1583" s="3" t="n">
        <v>-2839.7</v>
      </c>
    </row>
    <row r="1584">
      <c r="A1584" s="3" t="inlineStr">
        <is>
          <t>Cape Projects Construction (Pty) Ltd</t>
        </is>
      </c>
      <c r="B1584" s="4" t="n">
        <v>44804</v>
      </c>
      <c r="C1584" s="3" t="inlineStr">
        <is>
          <t>Revenue</t>
        </is>
      </c>
      <c r="D1584" s="3" t="inlineStr">
        <is>
          <t>1070/000</t>
        </is>
      </c>
      <c r="E1584" s="3" t="inlineStr">
        <is>
          <t>Rent - CT Office</t>
        </is>
      </c>
      <c r="F1584" s="3" t="n">
        <v>-3490.94</v>
      </c>
      <c r="G1584" s="3" t="n">
        <v>-20945.64</v>
      </c>
    </row>
    <row r="1585">
      <c r="A1585" s="3" t="inlineStr">
        <is>
          <t>Heron Fields (Pty) Ltd</t>
        </is>
      </c>
      <c r="B1585" s="4" t="n">
        <v>44804</v>
      </c>
      <c r="C1585" s="3" t="inlineStr">
        <is>
          <t>Expenses</t>
        </is>
      </c>
      <c r="D1585" s="3" t="inlineStr">
        <is>
          <t>2000/030</t>
        </is>
      </c>
      <c r="E1585" s="3" t="inlineStr">
        <is>
          <t>COS - Commission Heron Fields investors</t>
        </is>
      </c>
      <c r="F1585" s="3" t="n">
        <v>0</v>
      </c>
      <c r="G1585" s="3" t="n">
        <v>86956.52</v>
      </c>
    </row>
    <row r="1586">
      <c r="A1586" s="3" t="inlineStr">
        <is>
          <t>Heron Fields (Pty) Ltd</t>
        </is>
      </c>
      <c r="B1586" s="4" t="n">
        <v>44804</v>
      </c>
      <c r="C1586" s="3" t="inlineStr">
        <is>
          <t>Expenses</t>
        </is>
      </c>
      <c r="D1586" s="3" t="inlineStr">
        <is>
          <t>2000/040</t>
        </is>
      </c>
      <c r="E1586" s="3" t="inlineStr">
        <is>
          <t>COS - Legal Fees</t>
        </is>
      </c>
      <c r="F1586" s="3" t="n">
        <v>20693</v>
      </c>
      <c r="G1586" s="3" t="n">
        <v>20693</v>
      </c>
    </row>
    <row r="1587">
      <c r="A1587" s="3" t="inlineStr">
        <is>
          <t>Cape Projects Construction (Pty) Ltd</t>
        </is>
      </c>
      <c r="B1587" s="4" t="n">
        <v>44804</v>
      </c>
      <c r="C1587" s="3" t="inlineStr">
        <is>
          <t>Expenses</t>
        </is>
      </c>
      <c r="D1587" s="3" t="inlineStr">
        <is>
          <t>2005/200</t>
        </is>
      </c>
      <c r="E1587" s="3" t="inlineStr">
        <is>
          <t>COS - External Works</t>
        </is>
      </c>
      <c r="F1587" s="3" t="n">
        <v>0</v>
      </c>
      <c r="G1587" s="3" t="n">
        <v>957.28</v>
      </c>
    </row>
    <row r="1588">
      <c r="A1588" s="3" t="inlineStr">
        <is>
          <t>Cape Projects Construction (Pty) Ltd</t>
        </is>
      </c>
      <c r="B1588" s="4" t="n">
        <v>44804</v>
      </c>
      <c r="C1588" s="3" t="inlineStr">
        <is>
          <t>Expenses</t>
        </is>
      </c>
      <c r="D1588" s="3" t="inlineStr">
        <is>
          <t>2006/000</t>
        </is>
      </c>
      <c r="E1588" s="3" t="inlineStr">
        <is>
          <t>COS - Endulini Construction</t>
        </is>
      </c>
      <c r="F1588" s="3" t="n">
        <v>2141181.43</v>
      </c>
      <c r="G1588" s="3" t="n">
        <v>15858141.99</v>
      </c>
    </row>
    <row r="1589">
      <c r="A1589" s="3" t="inlineStr">
        <is>
          <t>Cape Projects Construction (Pty) Ltd</t>
        </is>
      </c>
      <c r="B1589" s="4" t="n">
        <v>44804</v>
      </c>
      <c r="C1589" s="3" t="inlineStr">
        <is>
          <t>Expenses</t>
        </is>
      </c>
      <c r="D1589" s="3" t="inlineStr">
        <is>
          <t>2006/100</t>
        </is>
      </c>
      <c r="E1589" s="3" t="inlineStr">
        <is>
          <t>COS - Endulini P and G</t>
        </is>
      </c>
      <c r="F1589" s="3" t="n">
        <v>106945.95</v>
      </c>
      <c r="G1589" s="3" t="n">
        <v>837666.0600000001</v>
      </c>
    </row>
    <row r="1590">
      <c r="A1590" s="3" t="inlineStr">
        <is>
          <t>Cape Projects Construction (Pty) Ltd</t>
        </is>
      </c>
      <c r="B1590" s="4" t="n">
        <v>44804</v>
      </c>
      <c r="C1590" s="3" t="inlineStr">
        <is>
          <t>Expenses</t>
        </is>
      </c>
      <c r="D1590" s="3" t="inlineStr">
        <is>
          <t>2006/200</t>
        </is>
      </c>
      <c r="E1590" s="3" t="inlineStr">
        <is>
          <t>COS - Insurance</t>
        </is>
      </c>
      <c r="F1590" s="3" t="n">
        <v>2719.44</v>
      </c>
      <c r="G1590" s="3" t="n">
        <v>29292.37</v>
      </c>
    </row>
    <row r="1591">
      <c r="A1591" s="3" t="inlineStr">
        <is>
          <t>Cape Projects Construction (Pty) Ltd</t>
        </is>
      </c>
      <c r="B1591" s="4" t="n">
        <v>44804</v>
      </c>
      <c r="C1591" s="3" t="inlineStr">
        <is>
          <t>Expenses</t>
        </is>
      </c>
      <c r="D1591" s="3" t="inlineStr">
        <is>
          <t>2006/300</t>
        </is>
      </c>
      <c r="E1591" s="3" t="inlineStr">
        <is>
          <t>COS - Endulini - Printing &amp; Stationary</t>
        </is>
      </c>
      <c r="F1591" s="3" t="n">
        <v>0</v>
      </c>
      <c r="G1591" s="3" t="n">
        <v>269.65</v>
      </c>
    </row>
    <row r="1592">
      <c r="A1592" s="3" t="inlineStr">
        <is>
          <t>Cape Projects Construction (Pty) Ltd</t>
        </is>
      </c>
      <c r="B1592" s="4" t="n">
        <v>44804</v>
      </c>
      <c r="C1592" s="3" t="inlineStr">
        <is>
          <t>Expenses</t>
        </is>
      </c>
      <c r="D1592" s="3" t="inlineStr">
        <is>
          <t>2006/350</t>
        </is>
      </c>
      <c r="E1592" s="3" t="inlineStr">
        <is>
          <t>COS - Endulini - Security</t>
        </is>
      </c>
      <c r="F1592" s="3" t="n">
        <v>0</v>
      </c>
      <c r="G1592" s="3" t="n">
        <v>11000</v>
      </c>
    </row>
    <row r="1593">
      <c r="A1593" s="3" t="inlineStr">
        <is>
          <t>Cape Projects Construction (Pty) Ltd</t>
        </is>
      </c>
      <c r="B1593" s="4" t="n">
        <v>44804</v>
      </c>
      <c r="C1593" s="3" t="inlineStr">
        <is>
          <t>Expenses</t>
        </is>
      </c>
      <c r="D1593" s="3" t="inlineStr">
        <is>
          <t>2006/400</t>
        </is>
      </c>
      <c r="E1593" s="3" t="inlineStr">
        <is>
          <t>COS - Endulini - Health &amp; Safety</t>
        </is>
      </c>
      <c r="F1593" s="3" t="n">
        <v>0</v>
      </c>
      <c r="G1593" s="3" t="n">
        <v>20000</v>
      </c>
    </row>
    <row r="1594">
      <c r="A1594" s="3" t="inlineStr">
        <is>
          <t>Cape Projects Construction (Pty) Ltd</t>
        </is>
      </c>
      <c r="B1594" s="4" t="n">
        <v>44804</v>
      </c>
      <c r="C1594" s="3" t="inlineStr">
        <is>
          <t>Expenses</t>
        </is>
      </c>
      <c r="D1594" s="3" t="inlineStr">
        <is>
          <t>2006/700</t>
        </is>
      </c>
      <c r="E1594" s="3" t="inlineStr">
        <is>
          <t>COS - Endulini - Fuel</t>
        </is>
      </c>
      <c r="F1594" s="3" t="n">
        <v>0</v>
      </c>
      <c r="G1594" s="3" t="n">
        <v>2473.65</v>
      </c>
    </row>
    <row r="1595">
      <c r="A1595" s="3" t="inlineStr">
        <is>
          <t>Cape Projects Construction (Pty) Ltd</t>
        </is>
      </c>
      <c r="B1595" s="4" t="n">
        <v>44804</v>
      </c>
      <c r="C1595" s="3" t="inlineStr">
        <is>
          <t>Expenses</t>
        </is>
      </c>
      <c r="D1595" s="3" t="inlineStr">
        <is>
          <t>2006/800</t>
        </is>
      </c>
      <c r="E1595" s="3" t="inlineStr">
        <is>
          <t>COS - Endulini - Telephone &amp; Internet</t>
        </is>
      </c>
      <c r="F1595" s="3" t="n">
        <v>0</v>
      </c>
      <c r="G1595" s="3" t="n">
        <v>937.39</v>
      </c>
    </row>
    <row r="1596">
      <c r="A1596" s="3" t="inlineStr">
        <is>
          <t>Cape Projects Construction (Pty) Ltd</t>
        </is>
      </c>
      <c r="B1596" s="4" t="n">
        <v>44804</v>
      </c>
      <c r="C1596" s="3" t="inlineStr">
        <is>
          <t>Expenses</t>
        </is>
      </c>
      <c r="D1596" s="3" t="inlineStr">
        <is>
          <t>2007/000</t>
        </is>
      </c>
      <c r="E1596" s="3" t="inlineStr">
        <is>
          <t>COS - Repairs &amp; Maintenance - SW Southwark</t>
        </is>
      </c>
      <c r="F1596" s="3" t="n">
        <v>1539.13</v>
      </c>
      <c r="G1596" s="3" t="n">
        <v>3957.39</v>
      </c>
    </row>
    <row r="1597">
      <c r="A1597" s="3" t="inlineStr">
        <is>
          <t>Cape Projects Construction (Pty) Ltd</t>
        </is>
      </c>
      <c r="B1597" s="4" t="n">
        <v>44804</v>
      </c>
      <c r="C1597" s="3" t="inlineStr">
        <is>
          <t>Expenses</t>
        </is>
      </c>
      <c r="D1597" s="3" t="inlineStr">
        <is>
          <t>2011/300</t>
        </is>
      </c>
      <c r="E1597" s="3" t="inlineStr">
        <is>
          <t>COS - Heron Fields - Printing &amp; Stationary</t>
        </is>
      </c>
      <c r="F1597" s="3" t="n">
        <v>0</v>
      </c>
      <c r="G1597" s="3" t="n">
        <v>2952.7</v>
      </c>
    </row>
    <row r="1598">
      <c r="A1598" s="3" t="inlineStr">
        <is>
          <t>Cape Projects Construction (Pty) Ltd</t>
        </is>
      </c>
      <c r="B1598" s="4" t="n">
        <v>44804</v>
      </c>
      <c r="C1598" s="3" t="inlineStr">
        <is>
          <t>Expenses</t>
        </is>
      </c>
      <c r="D1598" s="3" t="inlineStr">
        <is>
          <t>2011/500</t>
        </is>
      </c>
      <c r="E1598" s="3" t="inlineStr">
        <is>
          <t>COS - Heron Fields - Construction</t>
        </is>
      </c>
      <c r="F1598" s="3" t="n">
        <v>4430835.97</v>
      </c>
      <c r="G1598" s="3" t="n">
        <v>17117891.53</v>
      </c>
    </row>
    <row r="1599">
      <c r="A1599" s="3" t="inlineStr">
        <is>
          <t>Cape Projects Construction (Pty) Ltd</t>
        </is>
      </c>
      <c r="B1599" s="4" t="n">
        <v>44804</v>
      </c>
      <c r="C1599" s="3" t="inlineStr">
        <is>
          <t>Expenses</t>
        </is>
      </c>
      <c r="D1599" s="3" t="inlineStr">
        <is>
          <t>2011/600</t>
        </is>
      </c>
      <c r="E1599" s="3" t="inlineStr">
        <is>
          <t>COS - Heron Fields - P &amp; G</t>
        </is>
      </c>
      <c r="F1599" s="3" t="n">
        <v>195931.27</v>
      </c>
      <c r="G1599" s="3" t="n">
        <v>1396447.32</v>
      </c>
    </row>
    <row r="1600">
      <c r="A1600" s="3" t="inlineStr">
        <is>
          <t>Cape Projects Construction (Pty) Ltd</t>
        </is>
      </c>
      <c r="B1600" s="4" t="n">
        <v>44804</v>
      </c>
      <c r="C1600" s="3" t="inlineStr">
        <is>
          <t>Expenses</t>
        </is>
      </c>
      <c r="D1600" s="3" t="inlineStr">
        <is>
          <t>2011/700</t>
        </is>
      </c>
      <c r="E1600" s="3" t="inlineStr">
        <is>
          <t>COS - Heron Fields - Health &amp; Safety</t>
        </is>
      </c>
      <c r="F1600" s="3" t="n">
        <v>0</v>
      </c>
      <c r="G1600" s="3" t="n">
        <v>22286.3</v>
      </c>
    </row>
    <row r="1601">
      <c r="A1601" s="3" t="inlineStr">
        <is>
          <t>Cape Projects Construction (Pty) Ltd</t>
        </is>
      </c>
      <c r="B1601" s="4" t="n">
        <v>44804</v>
      </c>
      <c r="C1601" s="3" t="inlineStr">
        <is>
          <t>Expenses</t>
        </is>
      </c>
      <c r="D1601" s="3" t="inlineStr">
        <is>
          <t>2011/900</t>
        </is>
      </c>
      <c r="E1601" s="3" t="inlineStr">
        <is>
          <t>COS - Heron - Internet</t>
        </is>
      </c>
      <c r="F1601" s="3" t="n">
        <v>607.83</v>
      </c>
      <c r="G1601" s="3" t="n">
        <v>3454.3</v>
      </c>
    </row>
    <row r="1602">
      <c r="A1602" s="3" t="inlineStr">
        <is>
          <t>Cape Projects Construction (Pty) Ltd</t>
        </is>
      </c>
      <c r="B1602" s="4" t="n">
        <v>44804</v>
      </c>
      <c r="C1602" s="3" t="inlineStr">
        <is>
          <t>Expenses</t>
        </is>
      </c>
      <c r="D1602" s="3" t="inlineStr">
        <is>
          <t>2011/950</t>
        </is>
      </c>
      <c r="E1602" s="3" t="inlineStr">
        <is>
          <t>COS - Heron Fields - Security</t>
        </is>
      </c>
      <c r="F1602" s="3" t="n">
        <v>0</v>
      </c>
      <c r="G1602" s="3" t="n">
        <v>20565.22</v>
      </c>
    </row>
    <row r="1603">
      <c r="A1603" s="3" t="inlineStr">
        <is>
          <t>Cape Projects Construction (Pty) Ltd</t>
        </is>
      </c>
      <c r="B1603" s="4" t="n">
        <v>44804</v>
      </c>
      <c r="C1603" s="3" t="inlineStr">
        <is>
          <t>Expenses</t>
        </is>
      </c>
      <c r="D1603" s="3" t="inlineStr">
        <is>
          <t>2012/003</t>
        </is>
      </c>
      <c r="E1603" s="3" t="inlineStr">
        <is>
          <t>COS - Heron View - P&amp;G</t>
        </is>
      </c>
      <c r="F1603" s="3" t="n">
        <v>13772.72</v>
      </c>
      <c r="G1603" s="3" t="n">
        <v>19687.5</v>
      </c>
    </row>
    <row r="1604">
      <c r="A1604" s="3" t="inlineStr">
        <is>
          <t>Cape Projects Construction (Pty) Ltd</t>
        </is>
      </c>
      <c r="B1604" s="4" t="n">
        <v>44804</v>
      </c>
      <c r="C1604" s="3" t="inlineStr">
        <is>
          <t>Revenue</t>
        </is>
      </c>
      <c r="D1604" s="3" t="inlineStr">
        <is>
          <t>2750/000</t>
        </is>
      </c>
      <c r="E1604" s="3" t="inlineStr">
        <is>
          <t>Interest Received - FNB</t>
        </is>
      </c>
      <c r="F1604" s="3" t="n">
        <v>-107.93</v>
      </c>
      <c r="G1604" s="3" t="n">
        <v>-190.71</v>
      </c>
    </row>
    <row r="1605">
      <c r="A1605" s="3" t="inlineStr">
        <is>
          <t>Cape Projects Construction (Pty) Ltd</t>
        </is>
      </c>
      <c r="B1605" s="4" t="n">
        <v>44804</v>
      </c>
      <c r="C1605" s="3" t="inlineStr">
        <is>
          <t>Revenue</t>
        </is>
      </c>
      <c r="D1605" s="3" t="inlineStr">
        <is>
          <t>2751/001</t>
        </is>
      </c>
      <c r="E1605" s="3" t="inlineStr">
        <is>
          <t>Interest received - Momentum</t>
        </is>
      </c>
      <c r="F1605" s="3" t="n">
        <v>-2.39</v>
      </c>
      <c r="G1605" s="3" t="n">
        <v>-12.96</v>
      </c>
    </row>
    <row r="1606">
      <c r="A1606" s="3" t="inlineStr">
        <is>
          <t>Heron Fields (Pty) Ltd</t>
        </is>
      </c>
      <c r="B1606" s="4" t="n">
        <v>44804</v>
      </c>
      <c r="C1606" s="3" t="inlineStr">
        <is>
          <t>Revenue</t>
        </is>
      </c>
      <c r="D1606" s="3" t="inlineStr">
        <is>
          <t>2755/001</t>
        </is>
      </c>
      <c r="E1606" s="3" t="inlineStr">
        <is>
          <t>Interest Received - Momentum</t>
        </is>
      </c>
      <c r="F1606" s="3" t="n">
        <v>-49013.7</v>
      </c>
      <c r="G1606" s="3" t="n">
        <v>-220149.92</v>
      </c>
    </row>
    <row r="1607">
      <c r="A1607" s="3" t="inlineStr">
        <is>
          <t>Cape Projects Construction (Pty) Ltd</t>
        </is>
      </c>
      <c r="B1607" s="4" t="n">
        <v>44804</v>
      </c>
      <c r="C1607" s="3" t="inlineStr">
        <is>
          <t>Expenses</t>
        </is>
      </c>
      <c r="D1607" s="3" t="inlineStr">
        <is>
          <t>3002/000</t>
        </is>
      </c>
      <c r="E1607" s="3" t="inlineStr">
        <is>
          <t>Accounting Fees - Audit</t>
        </is>
      </c>
      <c r="F1607" s="3" t="n">
        <v>0</v>
      </c>
      <c r="G1607" s="3" t="n">
        <v>10600</v>
      </c>
    </row>
    <row r="1608">
      <c r="A1608" s="3" t="inlineStr">
        <is>
          <t>Cape Projects Construction (Pty) Ltd</t>
        </is>
      </c>
      <c r="B1608" s="4" t="n">
        <v>44804</v>
      </c>
      <c r="C1608" s="3" t="inlineStr">
        <is>
          <t>Expenses</t>
        </is>
      </c>
      <c r="D1608" s="3" t="inlineStr">
        <is>
          <t>3020/100</t>
        </is>
      </c>
      <c r="E1608" s="3" t="inlineStr">
        <is>
          <t>Admin - Subcontractors</t>
        </is>
      </c>
      <c r="F1608" s="3" t="n">
        <v>0</v>
      </c>
      <c r="G1608" s="3" t="n">
        <v>14139.13</v>
      </c>
    </row>
    <row r="1609">
      <c r="A1609" s="3" t="inlineStr">
        <is>
          <t>Cape Projects Construction (Pty) Ltd</t>
        </is>
      </c>
      <c r="B1609" s="4" t="n">
        <v>44804</v>
      </c>
      <c r="C1609" s="3" t="inlineStr">
        <is>
          <t>Expenses</t>
        </is>
      </c>
      <c r="D1609" s="3" t="inlineStr">
        <is>
          <t>3050/000</t>
        </is>
      </c>
      <c r="E1609" s="3" t="inlineStr">
        <is>
          <t>Advertising _AND_ Promotions</t>
        </is>
      </c>
      <c r="F1609" s="3" t="n">
        <v>0</v>
      </c>
      <c r="G1609" s="3" t="n">
        <v>687.5</v>
      </c>
    </row>
    <row r="1610">
      <c r="A1610" s="3" t="inlineStr">
        <is>
          <t>Heron Fields (Pty) Ltd</t>
        </is>
      </c>
      <c r="B1610" s="4" t="n">
        <v>44804</v>
      </c>
      <c r="C1610" s="3" t="inlineStr">
        <is>
          <t>Expenses</t>
        </is>
      </c>
      <c r="D1610" s="3" t="inlineStr">
        <is>
          <t>3050/000</t>
        </is>
      </c>
      <c r="E1610" s="3" t="inlineStr">
        <is>
          <t>Advertising _AND_ Promotions</t>
        </is>
      </c>
      <c r="F1610" s="3" t="n">
        <v>31550</v>
      </c>
      <c r="G1610" s="3" t="n">
        <v>94957.86</v>
      </c>
    </row>
    <row r="1611">
      <c r="A1611" s="3" t="inlineStr">
        <is>
          <t>Heron Fields (Pty) Ltd</t>
        </is>
      </c>
      <c r="B1611" s="4" t="n">
        <v>44804</v>
      </c>
      <c r="C1611" s="3" t="inlineStr">
        <is>
          <t>Expenses</t>
        </is>
      </c>
      <c r="D1611" s="3" t="inlineStr">
        <is>
          <t>3050/100</t>
        </is>
      </c>
      <c r="E1611" s="3" t="inlineStr">
        <is>
          <t>Advertising - Property24</t>
        </is>
      </c>
      <c r="F1611" s="3" t="n">
        <v>11556</v>
      </c>
      <c r="G1611" s="3" t="n">
        <v>69336</v>
      </c>
    </row>
    <row r="1612">
      <c r="A1612" s="3" t="inlineStr">
        <is>
          <t>Cape Projects Construction (Pty) Ltd</t>
        </is>
      </c>
      <c r="B1612" s="4" t="n">
        <v>44804</v>
      </c>
      <c r="C1612" s="3" t="inlineStr">
        <is>
          <t>Expenses</t>
        </is>
      </c>
      <c r="D1612" s="3" t="inlineStr">
        <is>
          <t>3050/450</t>
        </is>
      </c>
      <c r="E1612" s="3" t="inlineStr">
        <is>
          <t>Advertising - Other</t>
        </is>
      </c>
      <c r="F1612" s="3" t="n">
        <v>0</v>
      </c>
      <c r="G1612" s="3" t="n">
        <v>137.5</v>
      </c>
    </row>
    <row r="1613">
      <c r="A1613" s="3" t="inlineStr">
        <is>
          <t>Cape Projects Construction (Pty) Ltd</t>
        </is>
      </c>
      <c r="B1613" s="4" t="n">
        <v>44804</v>
      </c>
      <c r="C1613" s="3" t="inlineStr">
        <is>
          <t>Expenses</t>
        </is>
      </c>
      <c r="D1613" s="3" t="inlineStr">
        <is>
          <t>3200/000</t>
        </is>
      </c>
      <c r="E1613" s="3" t="inlineStr">
        <is>
          <t>Bank Charges</t>
        </is>
      </c>
      <c r="F1613" s="3" t="n">
        <v>2660.91</v>
      </c>
      <c r="G1613" s="3" t="n">
        <v>17562.58</v>
      </c>
    </row>
    <row r="1614">
      <c r="A1614" s="3" t="inlineStr">
        <is>
          <t>Heron Fields (Pty) Ltd</t>
        </is>
      </c>
      <c r="B1614" s="4" t="n">
        <v>44804</v>
      </c>
      <c r="C1614" s="3" t="inlineStr">
        <is>
          <t>Expenses</t>
        </is>
      </c>
      <c r="D1614" s="3" t="inlineStr">
        <is>
          <t>3200/000</t>
        </is>
      </c>
      <c r="E1614" s="3" t="inlineStr">
        <is>
          <t>Bank Charges</t>
        </is>
      </c>
      <c r="F1614" s="3" t="n">
        <v>832.4299999999999</v>
      </c>
      <c r="G1614" s="3" t="n">
        <v>4750.18</v>
      </c>
    </row>
    <row r="1615">
      <c r="A1615" s="3" t="inlineStr">
        <is>
          <t>Cape Projects Construction (Pty) Ltd</t>
        </is>
      </c>
      <c r="B1615" s="4" t="n">
        <v>44804</v>
      </c>
      <c r="C1615" s="3" t="inlineStr">
        <is>
          <t>Expenses</t>
        </is>
      </c>
      <c r="D1615" s="3" t="inlineStr">
        <is>
          <t>3250/000</t>
        </is>
      </c>
      <c r="E1615" s="3" t="inlineStr">
        <is>
          <t>Cleaning</t>
        </is>
      </c>
      <c r="F1615" s="3" t="n">
        <v>0</v>
      </c>
      <c r="G1615" s="3" t="n">
        <v>1986.89</v>
      </c>
    </row>
    <row r="1616">
      <c r="A1616" s="3" t="inlineStr">
        <is>
          <t>Cape Projects Construction (Pty) Ltd</t>
        </is>
      </c>
      <c r="B1616" s="4" t="n">
        <v>44804</v>
      </c>
      <c r="C1616" s="3" t="inlineStr">
        <is>
          <t>Expenses</t>
        </is>
      </c>
      <c r="D1616" s="3" t="inlineStr">
        <is>
          <t>3256/000</t>
        </is>
      </c>
      <c r="E1616" s="3" t="inlineStr">
        <is>
          <t>Cell Phone - Nick Morgan</t>
        </is>
      </c>
      <c r="F1616" s="3" t="n">
        <v>662.7</v>
      </c>
      <c r="G1616" s="3" t="n">
        <v>3923.17</v>
      </c>
    </row>
    <row r="1617">
      <c r="A1617" s="3" t="inlineStr">
        <is>
          <t>Cape Projects Construction (Pty) Ltd</t>
        </is>
      </c>
      <c r="B1617" s="4" t="n">
        <v>44804</v>
      </c>
      <c r="C1617" s="3" t="inlineStr">
        <is>
          <t>Expenses</t>
        </is>
      </c>
      <c r="D1617" s="3" t="inlineStr">
        <is>
          <t>3300/000</t>
        </is>
      </c>
      <c r="E1617" s="3" t="inlineStr">
        <is>
          <t>Computer Expenses</t>
        </is>
      </c>
      <c r="F1617" s="3" t="n">
        <v>550</v>
      </c>
      <c r="G1617" s="3" t="n">
        <v>1858.69</v>
      </c>
    </row>
    <row r="1618">
      <c r="A1618" s="3" t="inlineStr">
        <is>
          <t>Cape Projects Construction (Pty) Ltd</t>
        </is>
      </c>
      <c r="B1618" s="4" t="n">
        <v>44804</v>
      </c>
      <c r="C1618" s="3" t="inlineStr">
        <is>
          <t>Expenses</t>
        </is>
      </c>
      <c r="D1618" s="3" t="inlineStr">
        <is>
          <t>3300/100</t>
        </is>
      </c>
      <c r="E1618" s="3" t="inlineStr">
        <is>
          <t>Computer Exp - IT, Internet/Hosting Fee</t>
        </is>
      </c>
      <c r="F1618" s="3" t="n">
        <v>6930</v>
      </c>
      <c r="G1618" s="3" t="n">
        <v>25709</v>
      </c>
    </row>
    <row r="1619">
      <c r="A1619" s="3" t="inlineStr">
        <is>
          <t>Heron Fields (Pty) Ltd</t>
        </is>
      </c>
      <c r="B1619" s="4" t="n">
        <v>44804</v>
      </c>
      <c r="C1619" s="3" t="inlineStr">
        <is>
          <t>Expenses</t>
        </is>
      </c>
      <c r="D1619" s="3" t="inlineStr">
        <is>
          <t>3350/100</t>
        </is>
      </c>
      <c r="E1619" s="3" t="inlineStr">
        <is>
          <t>Consulting Fees - Admin and Finance</t>
        </is>
      </c>
      <c r="F1619" s="3" t="n">
        <v>83750</v>
      </c>
      <c r="G1619" s="3" t="n">
        <v>489440.68</v>
      </c>
    </row>
    <row r="1620">
      <c r="A1620" s="3" t="inlineStr">
        <is>
          <t>Cape Projects Construction (Pty) Ltd</t>
        </is>
      </c>
      <c r="B1620" s="4" t="n">
        <v>44804</v>
      </c>
      <c r="C1620" s="3" t="inlineStr">
        <is>
          <t>Expenses</t>
        </is>
      </c>
      <c r="D1620" s="3" t="inlineStr">
        <is>
          <t>3350/100</t>
        </is>
      </c>
      <c r="E1620" s="3" t="inlineStr">
        <is>
          <t>Consulting fees - Herbert du Plessis</t>
        </is>
      </c>
      <c r="F1620" s="3" t="n">
        <v>36000</v>
      </c>
      <c r="G1620" s="3" t="n">
        <v>216000</v>
      </c>
    </row>
    <row r="1621">
      <c r="A1621" s="3" t="inlineStr">
        <is>
          <t>Cape Projects Construction (Pty) Ltd</t>
        </is>
      </c>
      <c r="B1621" s="4" t="n">
        <v>44804</v>
      </c>
      <c r="C1621" s="3" t="inlineStr">
        <is>
          <t>Expenses</t>
        </is>
      </c>
      <c r="D1621" s="3" t="inlineStr">
        <is>
          <t>3350/300</t>
        </is>
      </c>
      <c r="E1621" s="3" t="inlineStr">
        <is>
          <t>Consulting Fees - Admin and Finance</t>
        </is>
      </c>
      <c r="F1621" s="3" t="n">
        <v>128150</v>
      </c>
      <c r="G1621" s="3" t="n">
        <v>740521.87</v>
      </c>
    </row>
    <row r="1622">
      <c r="A1622" s="3" t="inlineStr">
        <is>
          <t>Heron Fields (Pty) Ltd</t>
        </is>
      </c>
      <c r="B1622" s="4" t="n">
        <v>44804</v>
      </c>
      <c r="C1622" s="3" t="inlineStr">
        <is>
          <t>Expenses</t>
        </is>
      </c>
      <c r="D1622" s="3" t="inlineStr">
        <is>
          <t>3351/000</t>
        </is>
      </c>
      <c r="E1622" s="3" t="inlineStr">
        <is>
          <t>Consulting fees - Trustee</t>
        </is>
      </c>
      <c r="F1622" s="3" t="n">
        <v>4000</v>
      </c>
      <c r="G1622" s="3" t="n">
        <v>40000</v>
      </c>
    </row>
    <row r="1623">
      <c r="A1623" s="3" t="inlineStr">
        <is>
          <t>Cape Projects Construction (Pty) Ltd</t>
        </is>
      </c>
      <c r="B1623" s="4" t="n">
        <v>44804</v>
      </c>
      <c r="C1623" s="3" t="inlineStr">
        <is>
          <t>Expenses</t>
        </is>
      </c>
      <c r="D1623" s="3" t="inlineStr">
        <is>
          <t>3400/000</t>
        </is>
      </c>
      <c r="E1623" s="3" t="inlineStr">
        <is>
          <t>Courier _AND_ Postage</t>
        </is>
      </c>
      <c r="F1623" s="3" t="n">
        <v>0</v>
      </c>
      <c r="G1623" s="3" t="n">
        <v>160.87</v>
      </c>
    </row>
    <row r="1624">
      <c r="A1624" s="3" t="inlineStr">
        <is>
          <t>Cape Projects Construction (Pty) Ltd</t>
        </is>
      </c>
      <c r="B1624" s="4" t="n">
        <v>44804</v>
      </c>
      <c r="C1624" s="3" t="inlineStr">
        <is>
          <t>Expenses</t>
        </is>
      </c>
      <c r="D1624" s="3" t="inlineStr">
        <is>
          <t>3450/001</t>
        </is>
      </c>
      <c r="E1624" s="3" t="inlineStr">
        <is>
          <t>Depreciation - Computer Equipment</t>
        </is>
      </c>
      <c r="F1624" s="3" t="n">
        <v>2132.06</v>
      </c>
      <c r="G1624" s="3" t="n">
        <v>10786.87</v>
      </c>
    </row>
    <row r="1625">
      <c r="A1625" s="3" t="inlineStr">
        <is>
          <t>Cape Projects Construction (Pty) Ltd</t>
        </is>
      </c>
      <c r="B1625" s="4" t="n">
        <v>44804</v>
      </c>
      <c r="C1625" s="3" t="inlineStr">
        <is>
          <t>Expenses</t>
        </is>
      </c>
      <c r="D1625" s="3" t="inlineStr">
        <is>
          <t>3450/002</t>
        </is>
      </c>
      <c r="E1625" s="3" t="inlineStr">
        <is>
          <t>Depreciation - Generator Fixed Asset</t>
        </is>
      </c>
      <c r="F1625" s="3" t="n">
        <v>193.33</v>
      </c>
      <c r="G1625" s="3" t="n">
        <v>1160</v>
      </c>
    </row>
    <row r="1626">
      <c r="A1626" s="3" t="inlineStr">
        <is>
          <t>Cape Projects Construction (Pty) Ltd</t>
        </is>
      </c>
      <c r="B1626" s="4" t="n">
        <v>44804</v>
      </c>
      <c r="C1626" s="3" t="inlineStr">
        <is>
          <t>Expenses</t>
        </is>
      </c>
      <c r="D1626" s="3" t="inlineStr">
        <is>
          <t>3450/003</t>
        </is>
      </c>
      <c r="E1626" s="3" t="inlineStr">
        <is>
          <t>Depreciation - Motor vehicle</t>
        </is>
      </c>
      <c r="F1626" s="3" t="n">
        <v>0</v>
      </c>
      <c r="G1626" s="3" t="n">
        <v>39610.1</v>
      </c>
    </row>
    <row r="1627">
      <c r="A1627" s="3" t="inlineStr">
        <is>
          <t>Cape Projects Construction (Pty) Ltd</t>
        </is>
      </c>
      <c r="B1627" s="4" t="n">
        <v>44804</v>
      </c>
      <c r="C1627" s="3" t="inlineStr">
        <is>
          <t>Expenses</t>
        </is>
      </c>
      <c r="D1627" s="3" t="inlineStr">
        <is>
          <t>3450/030</t>
        </is>
      </c>
      <c r="E1627" s="3" t="inlineStr">
        <is>
          <t>Depreciation - Furniture and Fittings</t>
        </is>
      </c>
      <c r="F1627" s="3" t="n">
        <v>427.2</v>
      </c>
      <c r="G1627" s="3" t="n">
        <v>2563.23</v>
      </c>
    </row>
    <row r="1628">
      <c r="A1628" s="3" t="inlineStr">
        <is>
          <t>Heron Fields (Pty) Ltd</t>
        </is>
      </c>
      <c r="B1628" s="4" t="n">
        <v>44804</v>
      </c>
      <c r="C1628" s="3" t="inlineStr">
        <is>
          <t>Expenses</t>
        </is>
      </c>
      <c r="D1628" s="3" t="inlineStr">
        <is>
          <t>3650/000</t>
        </is>
      </c>
      <c r="E1628" s="3" t="inlineStr">
        <is>
          <t>CoCT - Electricity</t>
        </is>
      </c>
      <c r="F1628" s="3" t="n">
        <v>4119.96</v>
      </c>
      <c r="G1628" s="3" t="n">
        <v>17376.9</v>
      </c>
    </row>
    <row r="1629">
      <c r="A1629" s="3" t="inlineStr">
        <is>
          <t>Cape Projects Construction (Pty) Ltd</t>
        </is>
      </c>
      <c r="B1629" s="4" t="n">
        <v>44804</v>
      </c>
      <c r="C1629" s="3" t="inlineStr">
        <is>
          <t>Expenses</t>
        </is>
      </c>
      <c r="D1629" s="3" t="inlineStr">
        <is>
          <t>3650/000</t>
        </is>
      </c>
      <c r="E1629" s="3" t="inlineStr">
        <is>
          <t>Electricity _AND_ Water</t>
        </is>
      </c>
      <c r="F1629" s="3" t="n">
        <v>5391.92</v>
      </c>
      <c r="G1629" s="3" t="n">
        <v>28310.78</v>
      </c>
    </row>
    <row r="1630">
      <c r="A1630" s="3" t="inlineStr">
        <is>
          <t>Heron Fields (Pty) Ltd</t>
        </is>
      </c>
      <c r="B1630" s="4" t="n">
        <v>44804</v>
      </c>
      <c r="C1630" s="3" t="inlineStr">
        <is>
          <t>Expenses</t>
        </is>
      </c>
      <c r="D1630" s="3" t="inlineStr">
        <is>
          <t>3660/000</t>
        </is>
      </c>
      <c r="E1630" s="3" t="inlineStr">
        <is>
          <t>CoCT - Water</t>
        </is>
      </c>
      <c r="F1630" s="3" t="n">
        <v>4775.06</v>
      </c>
      <c r="G1630" s="3" t="n">
        <v>33283.22</v>
      </c>
    </row>
    <row r="1631">
      <c r="A1631" s="3" t="inlineStr">
        <is>
          <t>Cape Projects Construction (Pty) Ltd</t>
        </is>
      </c>
      <c r="B1631" s="4" t="n">
        <v>44804</v>
      </c>
      <c r="C1631" s="3" t="inlineStr">
        <is>
          <t>Expenses</t>
        </is>
      </c>
      <c r="D1631" s="3" t="inlineStr">
        <is>
          <t>3700/000</t>
        </is>
      </c>
      <c r="E1631" s="3" t="inlineStr">
        <is>
          <t>Entertainment Expenses</t>
        </is>
      </c>
      <c r="F1631" s="3" t="n">
        <v>5850</v>
      </c>
      <c r="G1631" s="3" t="n">
        <v>7651.52</v>
      </c>
    </row>
    <row r="1632">
      <c r="A1632" s="3" t="inlineStr">
        <is>
          <t>Cape Projects Construction (Pty) Ltd</t>
        </is>
      </c>
      <c r="B1632" s="4" t="n">
        <v>44804</v>
      </c>
      <c r="C1632" s="3" t="inlineStr">
        <is>
          <t>Expenses</t>
        </is>
      </c>
      <c r="D1632" s="3" t="inlineStr">
        <is>
          <t>3850/001</t>
        </is>
      </c>
      <c r="E1632" s="3" t="inlineStr">
        <is>
          <t>Insurance - Santam</t>
        </is>
      </c>
      <c r="F1632" s="3" t="n">
        <v>1194.15</v>
      </c>
      <c r="G1632" s="3" t="n">
        <v>7095.46</v>
      </c>
    </row>
    <row r="1633">
      <c r="A1633" s="3" t="inlineStr">
        <is>
          <t>Cape Projects Construction (Pty) Ltd</t>
        </is>
      </c>
      <c r="B1633" s="4" t="n">
        <v>44804</v>
      </c>
      <c r="C1633" s="3" t="inlineStr">
        <is>
          <t>Expenses</t>
        </is>
      </c>
      <c r="D1633" s="3" t="inlineStr">
        <is>
          <t>3850/002</t>
        </is>
      </c>
      <c r="E1633" s="3" t="inlineStr">
        <is>
          <t>Insurance - RBS</t>
        </is>
      </c>
      <c r="F1633" s="3" t="n">
        <v>237.57</v>
      </c>
      <c r="G1633" s="3" t="n">
        <v>1425.42</v>
      </c>
    </row>
    <row r="1634">
      <c r="A1634" s="3" t="inlineStr">
        <is>
          <t>Heron Fields (Pty) Ltd</t>
        </is>
      </c>
      <c r="B1634" s="4" t="n">
        <v>44804</v>
      </c>
      <c r="C1634" s="3" t="inlineStr">
        <is>
          <t>Expenses</t>
        </is>
      </c>
      <c r="D1634" s="3" t="inlineStr">
        <is>
          <t>3900/000</t>
        </is>
      </c>
      <c r="E1634" s="3" t="inlineStr">
        <is>
          <t>Interest Paid</t>
        </is>
      </c>
      <c r="F1634" s="3" t="n">
        <v>92.64</v>
      </c>
      <c r="G1634" s="3" t="n">
        <v>317.06</v>
      </c>
    </row>
    <row r="1635">
      <c r="A1635" s="3" t="inlineStr">
        <is>
          <t>Heron Fields (Pty) Ltd</t>
        </is>
      </c>
      <c r="B1635" s="4" t="n">
        <v>44804</v>
      </c>
      <c r="C1635" s="3" t="inlineStr">
        <is>
          <t>Expenses</t>
        </is>
      </c>
      <c r="D1635" s="3" t="inlineStr">
        <is>
          <t>4100/001</t>
        </is>
      </c>
      <c r="E1635" s="3" t="inlineStr">
        <is>
          <t>Momentum Admin Fee</t>
        </is>
      </c>
      <c r="F1635" s="3" t="n">
        <v>30848.71</v>
      </c>
      <c r="G1635" s="3" t="n">
        <v>226764.95</v>
      </c>
    </row>
    <row r="1636">
      <c r="A1636" s="3" t="inlineStr">
        <is>
          <t>Cape Projects Construction (Pty) Ltd</t>
        </is>
      </c>
      <c r="B1636" s="4" t="n">
        <v>44804</v>
      </c>
      <c r="C1636" s="3" t="inlineStr">
        <is>
          <t>Expenses</t>
        </is>
      </c>
      <c r="D1636" s="3" t="inlineStr">
        <is>
          <t>4150/020</t>
        </is>
      </c>
      <c r="E1636" s="3" t="inlineStr">
        <is>
          <t>Motor Vehicle - Repairs _AND_ Maint.</t>
        </is>
      </c>
      <c r="F1636" s="3" t="n">
        <v>4033.01</v>
      </c>
      <c r="G1636" s="3" t="n">
        <v>4033.01</v>
      </c>
    </row>
    <row r="1637">
      <c r="A1637" s="3" t="inlineStr">
        <is>
          <t>Cape Projects Construction (Pty) Ltd</t>
        </is>
      </c>
      <c r="B1637" s="4" t="n">
        <v>44804</v>
      </c>
      <c r="C1637" s="3" t="inlineStr">
        <is>
          <t>Expenses</t>
        </is>
      </c>
      <c r="D1637" s="3" t="inlineStr">
        <is>
          <t>4150/030</t>
        </is>
      </c>
      <c r="E1637" s="3" t="inlineStr">
        <is>
          <t>Motor Vehicle - Insurance _AND_ Licence</t>
        </is>
      </c>
      <c r="F1637" s="3" t="n">
        <v>0</v>
      </c>
      <c r="G1637" s="3" t="n">
        <v>1200</v>
      </c>
    </row>
    <row r="1638">
      <c r="A1638" s="3" t="inlineStr">
        <is>
          <t>Cape Projects Construction (Pty) Ltd</t>
        </is>
      </c>
      <c r="B1638" s="4" t="n">
        <v>44804</v>
      </c>
      <c r="C1638" s="3" t="inlineStr">
        <is>
          <t>Expenses</t>
        </is>
      </c>
      <c r="D1638" s="3" t="inlineStr">
        <is>
          <t>4200/000</t>
        </is>
      </c>
      <c r="E1638" s="3" t="inlineStr">
        <is>
          <t>Printing _AND_ Stationery</t>
        </is>
      </c>
      <c r="F1638" s="3" t="n">
        <v>1009.43</v>
      </c>
      <c r="G1638" s="3" t="n">
        <v>7773.2</v>
      </c>
    </row>
    <row r="1639">
      <c r="A1639" s="3" t="inlineStr">
        <is>
          <t>Cape Projects Construction (Pty) Ltd</t>
        </is>
      </c>
      <c r="B1639" s="4" t="n">
        <v>44804</v>
      </c>
      <c r="C1639" s="3" t="inlineStr">
        <is>
          <t>Expenses</t>
        </is>
      </c>
      <c r="D1639" s="3" t="inlineStr">
        <is>
          <t>4201/000</t>
        </is>
      </c>
      <c r="E1639" s="3" t="inlineStr">
        <is>
          <t>Printing - Printer rental</t>
        </is>
      </c>
      <c r="F1639" s="3" t="n">
        <v>620.28</v>
      </c>
      <c r="G1639" s="3" t="n">
        <v>4315.45</v>
      </c>
    </row>
    <row r="1640">
      <c r="A1640" s="3" t="inlineStr">
        <is>
          <t>Cape Projects Construction (Pty) Ltd</t>
        </is>
      </c>
      <c r="B1640" s="4" t="n">
        <v>44804</v>
      </c>
      <c r="C1640" s="3" t="inlineStr">
        <is>
          <t>Expenses</t>
        </is>
      </c>
      <c r="D1640" s="3" t="inlineStr">
        <is>
          <t>4300/000</t>
        </is>
      </c>
      <c r="E1640" s="3" t="inlineStr">
        <is>
          <t>Rent Paid</t>
        </is>
      </c>
      <c r="F1640" s="3" t="n">
        <v>28087.5</v>
      </c>
      <c r="G1640" s="3" t="n">
        <v>168525</v>
      </c>
    </row>
    <row r="1641">
      <c r="A1641" s="3" t="inlineStr">
        <is>
          <t>Cape Projects Construction (Pty) Ltd</t>
        </is>
      </c>
      <c r="B1641" s="4" t="n">
        <v>44804</v>
      </c>
      <c r="C1641" s="3" t="inlineStr">
        <is>
          <t>Expenses</t>
        </is>
      </c>
      <c r="D1641" s="3" t="inlineStr">
        <is>
          <t>4310/000</t>
        </is>
      </c>
      <c r="E1641" s="3" t="inlineStr">
        <is>
          <t>Rates</t>
        </is>
      </c>
      <c r="F1641" s="3" t="n">
        <v>843.6</v>
      </c>
      <c r="G1641" s="3" t="n">
        <v>5061.6</v>
      </c>
    </row>
    <row r="1642">
      <c r="A1642" s="3" t="inlineStr">
        <is>
          <t>Heron Fields (Pty) Ltd</t>
        </is>
      </c>
      <c r="B1642" s="4" t="n">
        <v>44804</v>
      </c>
      <c r="C1642" s="3" t="inlineStr">
        <is>
          <t>Expenses</t>
        </is>
      </c>
      <c r="D1642" s="3" t="inlineStr">
        <is>
          <t>4310/000</t>
        </is>
      </c>
      <c r="E1642" s="3" t="inlineStr">
        <is>
          <t>Rates - Heron</t>
        </is>
      </c>
      <c r="F1642" s="3" t="n">
        <v>3442.8</v>
      </c>
      <c r="G1642" s="3" t="n">
        <v>19135.76</v>
      </c>
    </row>
    <row r="1643">
      <c r="A1643" s="3" t="inlineStr">
        <is>
          <t>Cape Projects Construction (Pty) Ltd</t>
        </is>
      </c>
      <c r="B1643" s="4" t="n">
        <v>44804</v>
      </c>
      <c r="C1643" s="3" t="inlineStr">
        <is>
          <t>Expenses</t>
        </is>
      </c>
      <c r="D1643" s="3" t="inlineStr">
        <is>
          <t>4350/000</t>
        </is>
      </c>
      <c r="E1643" s="3" t="inlineStr">
        <is>
          <t>Repairs _AND_ Maintenance</t>
        </is>
      </c>
      <c r="F1643" s="3" t="n">
        <v>-0.01</v>
      </c>
      <c r="G1643" s="3" t="n">
        <v>3571.71</v>
      </c>
    </row>
    <row r="1644">
      <c r="A1644" s="3" t="inlineStr">
        <is>
          <t>Cape Projects Construction (Pty) Ltd</t>
        </is>
      </c>
      <c r="B1644" s="4" t="n">
        <v>44804</v>
      </c>
      <c r="C1644" s="3" t="inlineStr">
        <is>
          <t>Expenses</t>
        </is>
      </c>
      <c r="D1644" s="3" t="inlineStr">
        <is>
          <t>4400/000</t>
        </is>
      </c>
      <c r="E1644" s="3" t="inlineStr">
        <is>
          <t>Salaries _AND_ Wages</t>
        </is>
      </c>
      <c r="F1644" s="3" t="n">
        <v>231881.26</v>
      </c>
      <c r="G1644" s="3" t="n">
        <v>1309242.9</v>
      </c>
    </row>
    <row r="1645">
      <c r="A1645" s="3" t="inlineStr">
        <is>
          <t>Cape Projects Construction (Pty) Ltd</t>
        </is>
      </c>
      <c r="B1645" s="4" t="n">
        <v>44804</v>
      </c>
      <c r="C1645" s="3" t="inlineStr">
        <is>
          <t>Expenses</t>
        </is>
      </c>
      <c r="D1645" s="3" t="inlineStr">
        <is>
          <t>4402</t>
        </is>
      </c>
      <c r="E1645" s="3" t="inlineStr">
        <is>
          <t>Salaries &amp; Wages - WCA</t>
        </is>
      </c>
      <c r="F1645" s="3" t="n">
        <v>0</v>
      </c>
      <c r="G1645" s="3" t="n">
        <v>3746.27</v>
      </c>
    </row>
    <row r="1646">
      <c r="A1646" s="3" t="inlineStr">
        <is>
          <t>Cape Projects Construction (Pty) Ltd</t>
        </is>
      </c>
      <c r="B1646" s="4" t="n">
        <v>44804</v>
      </c>
      <c r="C1646" s="3" t="inlineStr">
        <is>
          <t>Expenses</t>
        </is>
      </c>
      <c r="D1646" s="3" t="inlineStr">
        <is>
          <t>4403/000</t>
        </is>
      </c>
      <c r="E1646" s="3" t="inlineStr">
        <is>
          <t>Security</t>
        </is>
      </c>
      <c r="F1646" s="3" t="n">
        <v>164.35</v>
      </c>
      <c r="G1646" s="3" t="n">
        <v>821.75</v>
      </c>
    </row>
    <row r="1647">
      <c r="A1647" s="3" t="inlineStr">
        <is>
          <t>Cape Projects Construction (Pty) Ltd</t>
        </is>
      </c>
      <c r="B1647" s="4" t="n">
        <v>44804</v>
      </c>
      <c r="C1647" s="3" t="inlineStr">
        <is>
          <t>Expenses</t>
        </is>
      </c>
      <c r="D1647" s="3" t="inlineStr">
        <is>
          <t>4420/000</t>
        </is>
      </c>
      <c r="E1647" s="3" t="inlineStr">
        <is>
          <t>Small Assets</t>
        </is>
      </c>
      <c r="F1647" s="3" t="n">
        <v>0</v>
      </c>
      <c r="G1647" s="3" t="n">
        <v>1536.96</v>
      </c>
    </row>
    <row r="1648">
      <c r="A1648" s="3" t="inlineStr">
        <is>
          <t>Heron Fields (Pty) Ltd</t>
        </is>
      </c>
      <c r="B1648" s="4" t="n">
        <v>44804</v>
      </c>
      <c r="C1648" s="3" t="inlineStr">
        <is>
          <t>Expenses</t>
        </is>
      </c>
      <c r="D1648" s="3" t="inlineStr">
        <is>
          <t>4420/001</t>
        </is>
      </c>
      <c r="E1648" s="3" t="inlineStr">
        <is>
          <t>Security - ADT</t>
        </is>
      </c>
      <c r="F1648" s="3" t="n">
        <v>328.38</v>
      </c>
      <c r="G1648" s="3" t="n">
        <v>3270.7</v>
      </c>
    </row>
    <row r="1649">
      <c r="A1649" s="3" t="inlineStr">
        <is>
          <t>Cape Projects Construction (Pty) Ltd</t>
        </is>
      </c>
      <c r="B1649" s="4" t="n">
        <v>44804</v>
      </c>
      <c r="C1649" s="3" t="inlineStr">
        <is>
          <t>Expenses</t>
        </is>
      </c>
      <c r="D1649" s="3" t="inlineStr">
        <is>
          <t>4450/000</t>
        </is>
      </c>
      <c r="E1649" s="3" t="inlineStr">
        <is>
          <t>Staff Training</t>
        </is>
      </c>
      <c r="F1649" s="3" t="n">
        <v>0</v>
      </c>
      <c r="G1649" s="3" t="n">
        <v>6800</v>
      </c>
    </row>
    <row r="1650">
      <c r="A1650" s="3" t="inlineStr">
        <is>
          <t>Cape Projects Construction (Pty) Ltd</t>
        </is>
      </c>
      <c r="B1650" s="4" t="n">
        <v>44804</v>
      </c>
      <c r="C1650" s="3" t="inlineStr">
        <is>
          <t>Expenses</t>
        </is>
      </c>
      <c r="D1650" s="3" t="inlineStr">
        <is>
          <t>4500/000</t>
        </is>
      </c>
      <c r="E1650" s="3" t="inlineStr">
        <is>
          <t>Staff Welfare _AND_ Refreshmts</t>
        </is>
      </c>
      <c r="F1650" s="3" t="n">
        <v>844.6</v>
      </c>
      <c r="G1650" s="3" t="n">
        <v>3519.1</v>
      </c>
    </row>
    <row r="1651">
      <c r="A1651" s="3" t="inlineStr">
        <is>
          <t>Cape Projects Construction (Pty) Ltd</t>
        </is>
      </c>
      <c r="B1651" s="4" t="n">
        <v>44804</v>
      </c>
      <c r="C1651" s="3" t="inlineStr">
        <is>
          <t>Expenses</t>
        </is>
      </c>
      <c r="D1651" s="3" t="inlineStr">
        <is>
          <t>4550/000</t>
        </is>
      </c>
      <c r="E1651" s="3" t="inlineStr">
        <is>
          <t>Subscriptions / Licenses</t>
        </is>
      </c>
      <c r="F1651" s="3" t="n">
        <v>0</v>
      </c>
      <c r="G1651" s="3" t="n">
        <v>526.3200000000001</v>
      </c>
    </row>
    <row r="1652">
      <c r="A1652" s="3" t="inlineStr">
        <is>
          <t>Cape Projects Construction (Pty) Ltd</t>
        </is>
      </c>
      <c r="B1652" s="4" t="n">
        <v>44804</v>
      </c>
      <c r="C1652" s="3" t="inlineStr">
        <is>
          <t>Expenses</t>
        </is>
      </c>
      <c r="D1652" s="3" t="inlineStr">
        <is>
          <t>4550/001</t>
        </is>
      </c>
      <c r="E1652" s="3" t="inlineStr">
        <is>
          <t>Subscriptions &amp; Licenses - Sage payroll</t>
        </is>
      </c>
      <c r="F1652" s="3" t="n">
        <v>686</v>
      </c>
      <c r="G1652" s="3" t="n">
        <v>3336</v>
      </c>
    </row>
    <row r="1653">
      <c r="A1653" s="3" t="inlineStr">
        <is>
          <t>Cape Projects Construction (Pty) Ltd</t>
        </is>
      </c>
      <c r="B1653" s="4" t="n">
        <v>44804</v>
      </c>
      <c r="C1653" s="3" t="inlineStr">
        <is>
          <t>Expenses</t>
        </is>
      </c>
      <c r="D1653" s="3" t="inlineStr">
        <is>
          <t>4550/003</t>
        </is>
      </c>
      <c r="E1653" s="3" t="inlineStr">
        <is>
          <t>Subscriptions &amp; Licenses - Xero</t>
        </is>
      </c>
      <c r="F1653" s="3" t="n">
        <v>600</v>
      </c>
      <c r="G1653" s="3" t="n">
        <v>3600</v>
      </c>
    </row>
    <row r="1654">
      <c r="A1654" s="3" t="inlineStr">
        <is>
          <t>Cape Projects Construction (Pty) Ltd</t>
        </is>
      </c>
      <c r="B1654" s="4" t="n">
        <v>44804</v>
      </c>
      <c r="C1654" s="3" t="inlineStr">
        <is>
          <t>Expenses</t>
        </is>
      </c>
      <c r="D1654" s="3" t="inlineStr">
        <is>
          <t>4550/004</t>
        </is>
      </c>
      <c r="E1654" s="3" t="inlineStr">
        <is>
          <t>Subscriptions - Smartsheet</t>
        </is>
      </c>
      <c r="F1654" s="3" t="n">
        <v>535.6</v>
      </c>
      <c r="G1654" s="3" t="n">
        <v>2350.6</v>
      </c>
    </row>
    <row r="1655">
      <c r="A1655" s="3" t="inlineStr">
        <is>
          <t>Cape Projects Construction (Pty) Ltd</t>
        </is>
      </c>
      <c r="B1655" s="4" t="n">
        <v>44804</v>
      </c>
      <c r="C1655" s="3" t="inlineStr">
        <is>
          <t>Expenses</t>
        </is>
      </c>
      <c r="D1655" s="3" t="inlineStr">
        <is>
          <t>4550/006</t>
        </is>
      </c>
      <c r="E1655" s="3" t="inlineStr">
        <is>
          <t>Subscription - Candy software</t>
        </is>
      </c>
      <c r="F1655" s="3" t="n">
        <v>1640</v>
      </c>
      <c r="G1655" s="3" t="n">
        <v>12125</v>
      </c>
    </row>
    <row r="1656">
      <c r="A1656" s="3" t="inlineStr">
        <is>
          <t>Heron Fields (Pty) Ltd</t>
        </is>
      </c>
      <c r="B1656" s="4" t="n">
        <v>44804</v>
      </c>
      <c r="C1656" s="3" t="inlineStr">
        <is>
          <t>Expenses</t>
        </is>
      </c>
      <c r="D1656" s="3" t="inlineStr">
        <is>
          <t>4550/100</t>
        </is>
      </c>
      <c r="E1656" s="3" t="inlineStr">
        <is>
          <t>Subscriptions - Xero</t>
        </is>
      </c>
      <c r="F1656" s="3" t="n">
        <v>600</v>
      </c>
      <c r="G1656" s="3" t="n">
        <v>3600</v>
      </c>
    </row>
    <row r="1657">
      <c r="A1657" s="3" t="inlineStr">
        <is>
          <t>Heron View (Pty) Ltd</t>
        </is>
      </c>
      <c r="B1657" s="4" t="n">
        <v>44804</v>
      </c>
      <c r="C1657" s="3" t="inlineStr">
        <is>
          <t>Expenses</t>
        </is>
      </c>
      <c r="D1657" s="3" t="inlineStr">
        <is>
          <t>4550/100</t>
        </is>
      </c>
      <c r="E1657" s="3" t="inlineStr">
        <is>
          <t>Subscriptions - Xero</t>
        </is>
      </c>
      <c r="F1657" s="3" t="n">
        <v>4200</v>
      </c>
      <c r="G1657" s="3" t="n">
        <v>7200</v>
      </c>
    </row>
    <row r="1658">
      <c r="A1658" s="3" t="inlineStr">
        <is>
          <t>Cape Projects Construction (Pty) Ltd</t>
        </is>
      </c>
      <c r="B1658" s="4" t="n">
        <v>44804</v>
      </c>
      <c r="C1658" s="3" t="inlineStr">
        <is>
          <t>Expenses</t>
        </is>
      </c>
      <c r="D1658" s="3" t="inlineStr">
        <is>
          <t>4560</t>
        </is>
      </c>
      <c r="E1658" s="3" t="inlineStr">
        <is>
          <t>Secretarial fees - CIPC</t>
        </is>
      </c>
      <c r="F1658" s="3" t="n">
        <v>0</v>
      </c>
      <c r="G1658" s="3" t="n">
        <v>2500</v>
      </c>
    </row>
    <row r="1659">
      <c r="A1659" s="3" t="inlineStr">
        <is>
          <t>Cape Projects Construction (Pty) Ltd</t>
        </is>
      </c>
      <c r="B1659" s="4" t="n">
        <v>44804</v>
      </c>
      <c r="C1659" s="3" t="inlineStr">
        <is>
          <t>Expenses</t>
        </is>
      </c>
      <c r="D1659" s="3" t="inlineStr">
        <is>
          <t>4650/010</t>
        </is>
      </c>
      <c r="E1659" s="3" t="inlineStr">
        <is>
          <t>Travel - Local</t>
        </is>
      </c>
      <c r="F1659" s="3" t="n">
        <v>13.04</v>
      </c>
      <c r="G1659" s="3" t="n">
        <v>13.04</v>
      </c>
    </row>
    <row r="1660">
      <c r="A1660" s="3" t="inlineStr">
        <is>
          <t>Cape Projects Construction (Pty) Ltd</t>
        </is>
      </c>
      <c r="B1660" s="4" t="n">
        <v>44804</v>
      </c>
      <c r="C1660" s="3" t="inlineStr">
        <is>
          <t>Expenses</t>
        </is>
      </c>
      <c r="D1660" s="3" t="inlineStr">
        <is>
          <t>4700/000</t>
        </is>
      </c>
      <c r="E1660" s="3" t="inlineStr">
        <is>
          <t>PAYE Contributions</t>
        </is>
      </c>
      <c r="F1660" s="3" t="n">
        <v>30579.19</v>
      </c>
      <c r="G1660" s="3" t="n">
        <v>210394.25</v>
      </c>
    </row>
    <row r="1661">
      <c r="A1661" s="3" t="inlineStr">
        <is>
          <t>Cape Projects Construction (Pty) Ltd</t>
        </is>
      </c>
      <c r="B1661" s="4" t="n">
        <v>44804</v>
      </c>
      <c r="C1661" s="3" t="inlineStr">
        <is>
          <t>Expenses</t>
        </is>
      </c>
      <c r="D1661" s="3" t="inlineStr">
        <is>
          <t>4720/000</t>
        </is>
      </c>
      <c r="E1661" s="3" t="inlineStr">
        <is>
          <t>SDL Contributions</t>
        </is>
      </c>
      <c r="F1661" s="3" t="n">
        <v>2538.58</v>
      </c>
      <c r="G1661" s="3" t="n">
        <v>14553.45</v>
      </c>
    </row>
    <row r="1662">
      <c r="A1662" s="3" t="inlineStr">
        <is>
          <t>Cape Projects Construction (Pty) Ltd</t>
        </is>
      </c>
      <c r="B1662" s="4" t="n">
        <v>44804</v>
      </c>
      <c r="C1662" s="3" t="inlineStr">
        <is>
          <t>Expenses</t>
        </is>
      </c>
      <c r="D1662" s="3" t="inlineStr">
        <is>
          <t>4730/000</t>
        </is>
      </c>
      <c r="E1662" s="3" t="inlineStr">
        <is>
          <t>UIF Company Contributions</t>
        </is>
      </c>
      <c r="F1662" s="3" t="n">
        <v>1987.03</v>
      </c>
      <c r="G1662" s="3" t="n">
        <v>10311.06</v>
      </c>
    </row>
    <row r="1663">
      <c r="A1663" s="3" t="inlineStr">
        <is>
          <t>Cape Projects Construction (Pty) Ltd</t>
        </is>
      </c>
      <c r="B1663" s="4" t="n">
        <v>44804</v>
      </c>
      <c r="C1663" s="3" t="inlineStr">
        <is>
          <t>Expenses</t>
        </is>
      </c>
      <c r="D1663" s="3" t="inlineStr">
        <is>
          <t>4731/000</t>
        </is>
      </c>
      <c r="E1663" s="3" t="inlineStr">
        <is>
          <t>UIF Employee Contribution</t>
        </is>
      </c>
      <c r="F1663" s="3" t="n">
        <v>1987.03</v>
      </c>
      <c r="G1663" s="3" t="n">
        <v>10311.06</v>
      </c>
    </row>
    <row r="1664">
      <c r="A1664" s="3" t="inlineStr">
        <is>
          <t>Cape Projects Construction (Pty) Ltd</t>
        </is>
      </c>
      <c r="B1664" s="4" t="n">
        <v>44804</v>
      </c>
      <c r="C1664" s="3" t="inlineStr">
        <is>
          <t>Expenses</t>
        </is>
      </c>
      <c r="D1664" s="3" t="inlineStr">
        <is>
          <t>4740/000</t>
        </is>
      </c>
      <c r="E1664" s="3" t="inlineStr">
        <is>
          <t>BIBC Company Contribution</t>
        </is>
      </c>
      <c r="F1664" s="3" t="n">
        <v>9644.5</v>
      </c>
      <c r="G1664" s="3" t="n">
        <v>25880.31</v>
      </c>
    </row>
    <row r="1665">
      <c r="A1665" s="3" t="inlineStr">
        <is>
          <t>Cape Projects Construction (Pty) Ltd</t>
        </is>
      </c>
      <c r="B1665" s="4" t="n">
        <v>44804</v>
      </c>
      <c r="C1665" s="3" t="inlineStr">
        <is>
          <t>Expenses</t>
        </is>
      </c>
      <c r="D1665" s="3" t="inlineStr">
        <is>
          <t>4741/000</t>
        </is>
      </c>
      <c r="E1665" s="3" t="inlineStr">
        <is>
          <t>BIBC Employee Contribution</t>
        </is>
      </c>
      <c r="F1665" s="3" t="n">
        <v>3344.31</v>
      </c>
      <c r="G1665" s="3" t="n">
        <v>13105.34</v>
      </c>
    </row>
    <row r="1666">
      <c r="A1666" s="3" t="inlineStr">
        <is>
          <t>Heron Fields (Pty) Ltd</t>
        </is>
      </c>
      <c r="B1666" s="4" t="n">
        <v>44804</v>
      </c>
      <c r="C1666" s="3" t="inlineStr">
        <is>
          <t>Equity</t>
        </is>
      </c>
      <c r="D1666" s="3" t="inlineStr">
        <is>
          <t>5100-000</t>
        </is>
      </c>
      <c r="E1666" s="3" t="inlineStr">
        <is>
          <t>Share Capital</t>
        </is>
      </c>
      <c r="F1666" s="3" t="n">
        <v>0</v>
      </c>
      <c r="G1666" s="3" t="n">
        <v>-100</v>
      </c>
    </row>
    <row r="1667">
      <c r="A1667" s="3" t="inlineStr">
        <is>
          <t>Cape Projects Construction (Pty) Ltd</t>
        </is>
      </c>
      <c r="B1667" s="4" t="n">
        <v>44804</v>
      </c>
      <c r="C1667" s="3" t="inlineStr">
        <is>
          <t>Equity</t>
        </is>
      </c>
      <c r="D1667" s="3" t="inlineStr">
        <is>
          <t>5100/000</t>
        </is>
      </c>
      <c r="E1667" s="3" t="inlineStr">
        <is>
          <t>Share Capital / Members Contribution</t>
        </is>
      </c>
      <c r="F1667" s="3" t="n">
        <v>0</v>
      </c>
      <c r="G1667" s="3" t="n">
        <v>-120</v>
      </c>
    </row>
    <row r="1668">
      <c r="A1668" s="3" t="inlineStr">
        <is>
          <t>Cape Projects Construction (Pty) Ltd</t>
        </is>
      </c>
      <c r="B1668" s="4" t="n">
        <v>44804</v>
      </c>
      <c r="C1668" s="3" t="inlineStr">
        <is>
          <t>Equity</t>
        </is>
      </c>
      <c r="D1668" s="3" t="inlineStr">
        <is>
          <t>5200/000</t>
        </is>
      </c>
      <c r="E1668" s="3" t="inlineStr">
        <is>
          <t>Retained Earnings / Loss</t>
        </is>
      </c>
      <c r="F1668" s="3" t="n">
        <v>0</v>
      </c>
      <c r="G1668" s="3" t="n">
        <v>247347.05</v>
      </c>
    </row>
    <row r="1669">
      <c r="A1669" s="3" t="inlineStr">
        <is>
          <t>Heron Fields (Pty) Ltd</t>
        </is>
      </c>
      <c r="B1669" s="4" t="n">
        <v>44804</v>
      </c>
      <c r="C1669" s="3" t="inlineStr">
        <is>
          <t>Equity</t>
        </is>
      </c>
      <c r="D1669" s="3" t="inlineStr">
        <is>
          <t>5200/000</t>
        </is>
      </c>
      <c r="E1669" s="3" t="inlineStr">
        <is>
          <t>Retained Earnings / Loss</t>
        </is>
      </c>
      <c r="F1669" s="3" t="n">
        <v>0</v>
      </c>
      <c r="G1669" s="3" t="n">
        <v>-17080353.05</v>
      </c>
    </row>
    <row r="1670">
      <c r="A1670" s="3" t="inlineStr">
        <is>
          <t>Heron Fields (Pty) Ltd</t>
        </is>
      </c>
      <c r="B1670" s="4" t="n">
        <v>44804</v>
      </c>
      <c r="C1670" s="3" t="inlineStr">
        <is>
          <t>Assets</t>
        </is>
      </c>
      <c r="D1670" s="3" t="inlineStr">
        <is>
          <t>5300/001</t>
        </is>
      </c>
      <c r="E1670" s="3" t="inlineStr">
        <is>
          <t>Revaluation of Land stock</t>
        </is>
      </c>
      <c r="F1670" s="3" t="n">
        <v>0</v>
      </c>
      <c r="G1670" s="3" t="n">
        <v>17562360.85</v>
      </c>
    </row>
    <row r="1671">
      <c r="A1671" s="3" t="inlineStr">
        <is>
          <t>Cape Projects Construction (Pty) Ltd</t>
        </is>
      </c>
      <c r="B1671" s="4" t="n">
        <v>44804</v>
      </c>
      <c r="C1671" s="3" t="inlineStr">
        <is>
          <t>Assets</t>
        </is>
      </c>
      <c r="D1671" s="3" t="inlineStr">
        <is>
          <t>5400/150</t>
        </is>
      </c>
      <c r="E1671" s="3" t="inlineStr">
        <is>
          <t>Loan - Quinate</t>
        </is>
      </c>
      <c r="F1671" s="3" t="n">
        <v>0</v>
      </c>
      <c r="G1671" s="3" t="n">
        <v>3050000</v>
      </c>
    </row>
    <row r="1672">
      <c r="A1672" s="3" t="inlineStr">
        <is>
          <t>Cape Projects Construction (Pty) Ltd</t>
        </is>
      </c>
      <c r="B1672" s="4" t="n">
        <v>44804</v>
      </c>
      <c r="C1672" s="3" t="inlineStr">
        <is>
          <t>Assets</t>
        </is>
      </c>
      <c r="D1672" s="3" t="inlineStr">
        <is>
          <t>5400/450</t>
        </is>
      </c>
      <c r="E1672" s="3" t="inlineStr">
        <is>
          <t>Loan - Opportunity Investment</t>
        </is>
      </c>
      <c r="F1672" s="3" t="n">
        <v>-65000</v>
      </c>
      <c r="G1672" s="3" t="n">
        <v>0</v>
      </c>
    </row>
    <row r="1673">
      <c r="A1673" s="3" t="inlineStr">
        <is>
          <t>Cape Projects Construction (Pty) Ltd</t>
        </is>
      </c>
      <c r="B1673" s="4" t="n">
        <v>44804</v>
      </c>
      <c r="C1673" s="3" t="inlineStr">
        <is>
          <t>Assets</t>
        </is>
      </c>
      <c r="D1673" s="3" t="inlineStr">
        <is>
          <t>5400/550</t>
        </is>
      </c>
      <c r="E1673" s="3" t="inlineStr">
        <is>
          <t>Loan - Trademark</t>
        </is>
      </c>
      <c r="F1673" s="3" t="n">
        <v>-600</v>
      </c>
      <c r="G1673" s="3" t="n">
        <v>0</v>
      </c>
    </row>
    <row r="1674">
      <c r="A1674" s="3" t="inlineStr">
        <is>
          <t>Cape Projects Construction (Pty) Ltd</t>
        </is>
      </c>
      <c r="B1674" s="4" t="n">
        <v>44804</v>
      </c>
      <c r="C1674" s="3" t="inlineStr">
        <is>
          <t>Assets</t>
        </is>
      </c>
      <c r="D1674" s="3" t="inlineStr">
        <is>
          <t>5400/600</t>
        </is>
      </c>
      <c r="E1674" s="3" t="inlineStr">
        <is>
          <t>Loan - Heron Projects</t>
        </is>
      </c>
      <c r="F1674" s="3" t="n">
        <v>-465000</v>
      </c>
      <c r="G1674" s="3" t="n">
        <v>-3946000</v>
      </c>
    </row>
    <row r="1675">
      <c r="A1675" s="3" t="inlineStr">
        <is>
          <t>Cape Projects Construction (Pty) Ltd</t>
        </is>
      </c>
      <c r="B1675" s="4" t="n">
        <v>44804</v>
      </c>
      <c r="C1675" s="3" t="inlineStr">
        <is>
          <t>Assets</t>
        </is>
      </c>
      <c r="D1675" s="3" t="inlineStr">
        <is>
          <t>5400/650</t>
        </is>
      </c>
      <c r="E1675" s="3" t="inlineStr">
        <is>
          <t>Loan - Noble Shield</t>
        </is>
      </c>
      <c r="F1675" s="3" t="n">
        <v>-600</v>
      </c>
      <c r="G1675" s="3" t="n">
        <v>0</v>
      </c>
    </row>
    <row r="1676">
      <c r="A1676" s="3" t="inlineStr">
        <is>
          <t>Cape Projects Construction (Pty) Ltd</t>
        </is>
      </c>
      <c r="B1676" s="4" t="n">
        <v>44804</v>
      </c>
      <c r="C1676" s="3" t="inlineStr">
        <is>
          <t>Assets</t>
        </is>
      </c>
      <c r="D1676" s="3" t="inlineStr">
        <is>
          <t>5400/750</t>
        </is>
      </c>
      <c r="E1676" s="3" t="inlineStr">
        <is>
          <t>Loan - Endulini</t>
        </is>
      </c>
      <c r="F1676" s="3" t="n">
        <v>1139000</v>
      </c>
      <c r="G1676" s="3" t="n">
        <v>1349000</v>
      </c>
    </row>
    <row r="1677">
      <c r="A1677" s="3" t="inlineStr">
        <is>
          <t>Cape Projects Construction (Pty) Ltd</t>
        </is>
      </c>
      <c r="B1677" s="4" t="n">
        <v>44804</v>
      </c>
      <c r="C1677" s="3" t="inlineStr">
        <is>
          <t>Assets</t>
        </is>
      </c>
      <c r="D1677" s="3" t="inlineStr">
        <is>
          <t>5400/800</t>
        </is>
      </c>
      <c r="E1677" s="3" t="inlineStr">
        <is>
          <t>Loan - Opportunity Management Holdings</t>
        </is>
      </c>
      <c r="F1677" s="3" t="n">
        <v>115000</v>
      </c>
      <c r="G1677" s="3" t="n">
        <v>0</v>
      </c>
    </row>
    <row r="1678">
      <c r="A1678" s="3" t="inlineStr">
        <is>
          <t>Heron View (Pty) Ltd</t>
        </is>
      </c>
      <c r="B1678" s="4" t="n">
        <v>44804</v>
      </c>
      <c r="C1678" s="3" t="inlineStr">
        <is>
          <t>Liabilities</t>
        </is>
      </c>
      <c r="D1678" s="3" t="inlineStr">
        <is>
          <t>5500/001</t>
        </is>
      </c>
      <c r="E1678" s="3" t="inlineStr">
        <is>
          <t>Loan - Heron Fields</t>
        </is>
      </c>
      <c r="F1678" s="3" t="n">
        <v>-290390</v>
      </c>
      <c r="G1678" s="3" t="n">
        <v>-1721841.22</v>
      </c>
    </row>
    <row r="1679">
      <c r="A1679" s="3" t="inlineStr">
        <is>
          <t>Heron Fields (Pty) Ltd</t>
        </is>
      </c>
      <c r="B1679" s="4" t="n">
        <v>44804</v>
      </c>
      <c r="C1679" s="3" t="inlineStr">
        <is>
          <t>Liabilities</t>
        </is>
      </c>
      <c r="D1679" s="3" t="inlineStr">
        <is>
          <t>5500/020</t>
        </is>
      </c>
      <c r="E1679" s="3" t="inlineStr">
        <is>
          <t>Loan - Cape Projects Construction</t>
        </is>
      </c>
      <c r="F1679" s="3" t="n">
        <v>465000</v>
      </c>
      <c r="G1679" s="3" t="n">
        <v>3946000</v>
      </c>
    </row>
    <row r="1680">
      <c r="A1680" s="3" t="inlineStr">
        <is>
          <t>Heron Fields (Pty) Ltd</t>
        </is>
      </c>
      <c r="B1680" s="4" t="n">
        <v>44804</v>
      </c>
      <c r="C1680" s="3" t="inlineStr">
        <is>
          <t>Liabilities</t>
        </is>
      </c>
      <c r="D1680" s="3" t="inlineStr">
        <is>
          <t>5500/050</t>
        </is>
      </c>
      <c r="E1680" s="3" t="inlineStr">
        <is>
          <t>Loan - Heron View</t>
        </is>
      </c>
      <c r="F1680" s="3" t="n">
        <v>290390</v>
      </c>
      <c r="G1680" s="3" t="n">
        <v>1721841.22</v>
      </c>
    </row>
    <row r="1681">
      <c r="A1681" s="3" t="inlineStr">
        <is>
          <t>Cape Projects Construction (Pty) Ltd</t>
        </is>
      </c>
      <c r="B1681" s="4" t="n">
        <v>44804</v>
      </c>
      <c r="C1681" s="3" t="inlineStr">
        <is>
          <t>Liabilities</t>
        </is>
      </c>
      <c r="D1681" s="3" t="inlineStr">
        <is>
          <t>5600/100</t>
        </is>
      </c>
      <c r="E1681" s="3" t="inlineStr">
        <is>
          <t>Motor Vehical Car Repaymts - Toyota</t>
        </is>
      </c>
      <c r="F1681" s="3" t="n">
        <v>5211.74</v>
      </c>
      <c r="G1681" s="3" t="n">
        <v>31216.42</v>
      </c>
    </row>
    <row r="1682">
      <c r="A1682" s="3" t="inlineStr">
        <is>
          <t>Cape Projects Construction (Pty) Ltd</t>
        </is>
      </c>
      <c r="B1682" s="4" t="n">
        <v>44804</v>
      </c>
      <c r="C1682" s="3" t="inlineStr">
        <is>
          <t>Liabilities</t>
        </is>
      </c>
      <c r="D1682" s="3" t="inlineStr">
        <is>
          <t>5600/200</t>
        </is>
      </c>
      <c r="E1682" s="3" t="inlineStr">
        <is>
          <t>Motor Vehicle Car Repayments - Toyota Shortterm</t>
        </is>
      </c>
      <c r="F1682" s="3" t="n">
        <v>0</v>
      </c>
      <c r="G1682" s="3" t="n">
        <v>-58920.1</v>
      </c>
    </row>
    <row r="1683">
      <c r="A1683" s="3" t="inlineStr">
        <is>
          <t>Cape Projects Construction (Pty) Ltd</t>
        </is>
      </c>
      <c r="B1683" s="4" t="n">
        <v>44804</v>
      </c>
      <c r="C1683" s="3" t="inlineStr">
        <is>
          <t>Assets</t>
        </is>
      </c>
      <c r="D1683" s="3" t="inlineStr">
        <is>
          <t>6200/010</t>
        </is>
      </c>
      <c r="E1683" s="3" t="inlineStr">
        <is>
          <t>Motor Vehicles - @ Cost</t>
        </is>
      </c>
      <c r="F1683" s="3" t="n">
        <v>0</v>
      </c>
      <c r="G1683" s="3" t="n">
        <v>216064.1</v>
      </c>
    </row>
    <row r="1684">
      <c r="A1684" s="3" t="inlineStr">
        <is>
          <t>Cape Projects Construction (Pty) Ltd</t>
        </is>
      </c>
      <c r="B1684" s="4" t="n">
        <v>44804</v>
      </c>
      <c r="C1684" s="3" t="inlineStr">
        <is>
          <t>Assets</t>
        </is>
      </c>
      <c r="D1684" s="3" t="inlineStr">
        <is>
          <t>6200/020</t>
        </is>
      </c>
      <c r="E1684" s="3" t="inlineStr">
        <is>
          <t>Motor Vehicles - Accum Depre</t>
        </is>
      </c>
      <c r="F1684" s="3" t="n">
        <v>0</v>
      </c>
      <c r="G1684" s="3" t="n">
        <v>-216063.1</v>
      </c>
    </row>
    <row r="1685">
      <c r="A1685" s="3" t="inlineStr">
        <is>
          <t>Cape Projects Construction (Pty) Ltd</t>
        </is>
      </c>
      <c r="B1685" s="4" t="n">
        <v>44804</v>
      </c>
      <c r="C1685" s="3" t="inlineStr">
        <is>
          <t>Assets</t>
        </is>
      </c>
      <c r="D1685" s="3" t="inlineStr">
        <is>
          <t>6250/010</t>
        </is>
      </c>
      <c r="E1685" s="3" t="inlineStr">
        <is>
          <t>Computer Equipment - @ Cost</t>
        </is>
      </c>
      <c r="F1685" s="3" t="n">
        <v>8605.219999999999</v>
      </c>
      <c r="G1685" s="3" t="n">
        <v>92100.13</v>
      </c>
    </row>
    <row r="1686">
      <c r="A1686" s="3" t="inlineStr">
        <is>
          <t>Cape Projects Construction (Pty) Ltd</t>
        </is>
      </c>
      <c r="B1686" s="4" t="n">
        <v>44804</v>
      </c>
      <c r="C1686" s="3" t="inlineStr">
        <is>
          <t>Assets</t>
        </is>
      </c>
      <c r="D1686" s="3" t="inlineStr">
        <is>
          <t>6250/020</t>
        </is>
      </c>
      <c r="E1686" s="3" t="inlineStr">
        <is>
          <t>Computer Equipment - Accum Depre</t>
        </is>
      </c>
      <c r="F1686" s="3" t="n">
        <v>-2132.06</v>
      </c>
      <c r="G1686" s="3" t="n">
        <v>-29927.96</v>
      </c>
    </row>
    <row r="1687">
      <c r="A1687" s="3" t="inlineStr">
        <is>
          <t>Cape Projects Construction (Pty) Ltd</t>
        </is>
      </c>
      <c r="B1687" s="4" t="n">
        <v>44804</v>
      </c>
      <c r="C1687" s="3" t="inlineStr">
        <is>
          <t>Assets</t>
        </is>
      </c>
      <c r="D1687" s="3" t="inlineStr">
        <is>
          <t>6350/010</t>
        </is>
      </c>
      <c r="E1687" s="3" t="inlineStr">
        <is>
          <t>Furniture _AND_ Fittings - @ Cost</t>
        </is>
      </c>
      <c r="F1687" s="3" t="n">
        <v>0</v>
      </c>
      <c r="G1687" s="3" t="n">
        <v>29281.39</v>
      </c>
    </row>
    <row r="1688">
      <c r="A1688" s="3" t="inlineStr">
        <is>
          <t>Cape Projects Construction (Pty) Ltd</t>
        </is>
      </c>
      <c r="B1688" s="4" t="n">
        <v>44804</v>
      </c>
      <c r="C1688" s="3" t="inlineStr">
        <is>
          <t>Assets</t>
        </is>
      </c>
      <c r="D1688" s="3" t="inlineStr">
        <is>
          <t>6350/020</t>
        </is>
      </c>
      <c r="E1688" s="3" t="inlineStr">
        <is>
          <t>Furniture _AND_ Fittings - Accum Depre</t>
        </is>
      </c>
      <c r="F1688" s="3" t="n">
        <v>-427.2</v>
      </c>
      <c r="G1688" s="3" t="n">
        <v>-2969.92</v>
      </c>
    </row>
    <row r="1689">
      <c r="A1689" s="3" t="inlineStr">
        <is>
          <t>Cape Projects Construction (Pty) Ltd</t>
        </is>
      </c>
      <c r="B1689" s="4" t="n">
        <v>44804</v>
      </c>
      <c r="C1689" s="3" t="inlineStr">
        <is>
          <t>Assets</t>
        </is>
      </c>
      <c r="D1689" s="3" t="inlineStr">
        <is>
          <t>6600/010</t>
        </is>
      </c>
      <c r="E1689" s="3" t="inlineStr">
        <is>
          <t>Generator Fixed Asset - @ Cost</t>
        </is>
      </c>
      <c r="F1689" s="3" t="n">
        <v>0</v>
      </c>
      <c r="G1689" s="3" t="n">
        <v>11600</v>
      </c>
    </row>
    <row r="1690">
      <c r="A1690" s="3" t="inlineStr">
        <is>
          <t>Cape Projects Construction (Pty) Ltd</t>
        </is>
      </c>
      <c r="B1690" s="4" t="n">
        <v>44804</v>
      </c>
      <c r="C1690" s="3" t="inlineStr">
        <is>
          <t>Assets</t>
        </is>
      </c>
      <c r="D1690" s="3" t="inlineStr">
        <is>
          <t>6600/020</t>
        </is>
      </c>
      <c r="E1690" s="3" t="inlineStr">
        <is>
          <t>Generator Fixed Asset - Accum Depre</t>
        </is>
      </c>
      <c r="F1690" s="3" t="n">
        <v>-193.33</v>
      </c>
      <c r="G1690" s="3" t="n">
        <v>-1965.56</v>
      </c>
    </row>
    <row r="1691">
      <c r="A1691" s="3" t="inlineStr">
        <is>
          <t>Heron Fields (Pty) Ltd</t>
        </is>
      </c>
      <c r="B1691" s="4" t="n">
        <v>44804</v>
      </c>
      <c r="C1691" s="3" t="inlineStr">
        <is>
          <t>Assets</t>
        </is>
      </c>
      <c r="D1691" s="3" t="inlineStr">
        <is>
          <t>7610/395</t>
        </is>
      </c>
      <c r="E1691" s="3" t="inlineStr">
        <is>
          <t>HF CIP NHBRC</t>
        </is>
      </c>
      <c r="F1691" s="3" t="n">
        <v>0</v>
      </c>
      <c r="G1691" s="3" t="n">
        <v>874505.75</v>
      </c>
    </row>
    <row r="1692">
      <c r="A1692" s="3" t="inlineStr">
        <is>
          <t>Heron View (Pty) Ltd</t>
        </is>
      </c>
      <c r="B1692" s="4" t="n">
        <v>44804</v>
      </c>
      <c r="C1692" s="3" t="inlineStr">
        <is>
          <t>Assets</t>
        </is>
      </c>
      <c r="D1692" s="3" t="inlineStr">
        <is>
          <t>7610/395</t>
        </is>
      </c>
      <c r="E1692" s="3" t="inlineStr">
        <is>
          <t>Heron CIP NHBRC</t>
        </is>
      </c>
      <c r="F1692" s="3" t="n">
        <v>284986.5</v>
      </c>
      <c r="G1692" s="3" t="n">
        <v>284986.5</v>
      </c>
    </row>
    <row r="1693">
      <c r="A1693" s="3" t="inlineStr">
        <is>
          <t>Heron Fields (Pty) Ltd</t>
        </is>
      </c>
      <c r="B1693" s="4" t="n">
        <v>44804</v>
      </c>
      <c r="C1693" s="3" t="inlineStr">
        <is>
          <t>Assets</t>
        </is>
      </c>
      <c r="D1693" s="3" t="inlineStr">
        <is>
          <t>7620/100</t>
        </is>
      </c>
      <c r="E1693" s="3" t="inlineStr">
        <is>
          <t>Heron View Land</t>
        </is>
      </c>
      <c r="F1693" s="3" t="n">
        <v>0</v>
      </c>
      <c r="G1693" s="3" t="n">
        <v>26200000</v>
      </c>
    </row>
    <row r="1694">
      <c r="A1694" s="3" t="inlineStr">
        <is>
          <t>Heron Fields (Pty) Ltd</t>
        </is>
      </c>
      <c r="B1694" s="4" t="n">
        <v>44804</v>
      </c>
      <c r="C1694" s="3" t="inlineStr">
        <is>
          <t>Assets</t>
        </is>
      </c>
      <c r="D1694" s="3" t="inlineStr">
        <is>
          <t>7620/101</t>
        </is>
      </c>
      <c r="E1694" s="3" t="inlineStr">
        <is>
          <t>HF CIP Bond Registration Fee</t>
        </is>
      </c>
      <c r="F1694" s="3" t="n">
        <v>0</v>
      </c>
      <c r="G1694" s="3" t="n">
        <v>68427</v>
      </c>
    </row>
    <row r="1695">
      <c r="A1695" s="3" t="inlineStr">
        <is>
          <t>Heron Fields (Pty) Ltd</t>
        </is>
      </c>
      <c r="B1695" s="4" t="n">
        <v>44804</v>
      </c>
      <c r="C1695" s="3" t="inlineStr">
        <is>
          <t>Assets</t>
        </is>
      </c>
      <c r="D1695" s="3" t="inlineStr">
        <is>
          <t>7620/102</t>
        </is>
      </c>
      <c r="E1695" s="3" t="inlineStr">
        <is>
          <t>HF CIP Transfer Fee</t>
        </is>
      </c>
      <c r="F1695" s="3" t="n">
        <v>0</v>
      </c>
      <c r="G1695" s="3" t="n">
        <v>103812</v>
      </c>
    </row>
    <row r="1696">
      <c r="A1696" s="3" t="inlineStr">
        <is>
          <t>Heron Fields (Pty) Ltd</t>
        </is>
      </c>
      <c r="B1696" s="4" t="n">
        <v>44804</v>
      </c>
      <c r="C1696" s="3" t="inlineStr">
        <is>
          <t>Assets</t>
        </is>
      </c>
      <c r="D1696" s="3" t="inlineStr">
        <is>
          <t>7620/220</t>
        </is>
      </c>
      <c r="E1696" s="3" t="inlineStr">
        <is>
          <t>HF CIP Architectural Designs</t>
        </is>
      </c>
      <c r="F1696" s="3" t="n">
        <v>0</v>
      </c>
      <c r="G1696" s="3" t="n">
        <v>150780</v>
      </c>
    </row>
    <row r="1697">
      <c r="A1697" s="3" t="inlineStr">
        <is>
          <t>Heron Fields (Pty) Ltd</t>
        </is>
      </c>
      <c r="B1697" s="4" t="n">
        <v>44804</v>
      </c>
      <c r="C1697" s="3" t="inlineStr">
        <is>
          <t>Assets</t>
        </is>
      </c>
      <c r="D1697" s="3" t="inlineStr">
        <is>
          <t>7620/230</t>
        </is>
      </c>
      <c r="E1697" s="3" t="inlineStr">
        <is>
          <t>HF CIP Construction Management</t>
        </is>
      </c>
      <c r="F1697" s="3" t="n">
        <v>16500</v>
      </c>
      <c r="G1697" s="3" t="n">
        <v>76500</v>
      </c>
    </row>
    <row r="1698">
      <c r="A1698" s="3" t="inlineStr">
        <is>
          <t>Heron Fields (Pty) Ltd</t>
        </is>
      </c>
      <c r="B1698" s="4" t="n">
        <v>44804</v>
      </c>
      <c r="C1698" s="3" t="inlineStr">
        <is>
          <t>Assets</t>
        </is>
      </c>
      <c r="D1698" s="3" t="inlineStr">
        <is>
          <t>7620/240</t>
        </is>
      </c>
      <c r="E1698" s="3" t="inlineStr">
        <is>
          <t>HF CIP Civil Engineering</t>
        </is>
      </c>
      <c r="F1698" s="3" t="n">
        <v>44276</v>
      </c>
      <c r="G1698" s="3" t="n">
        <v>6685224.8</v>
      </c>
    </row>
    <row r="1699">
      <c r="A1699" s="3" t="inlineStr">
        <is>
          <t>Heron Fields (Pty) Ltd</t>
        </is>
      </c>
      <c r="B1699" s="4" t="n">
        <v>44804</v>
      </c>
      <c r="C1699" s="3" t="inlineStr">
        <is>
          <t>Assets</t>
        </is>
      </c>
      <c r="D1699" s="3" t="inlineStr">
        <is>
          <t>7620/245</t>
        </is>
      </c>
      <c r="E1699" s="3" t="inlineStr">
        <is>
          <t>HF CIP Development fee</t>
        </is>
      </c>
      <c r="F1699" s="3" t="n">
        <v>0</v>
      </c>
      <c r="G1699" s="3" t="n">
        <v>13807.78</v>
      </c>
    </row>
    <row r="1700">
      <c r="A1700" s="3" t="inlineStr">
        <is>
          <t>Heron Fields (Pty) Ltd</t>
        </is>
      </c>
      <c r="B1700" s="4" t="n">
        <v>44804</v>
      </c>
      <c r="C1700" s="3" t="inlineStr">
        <is>
          <t>Assets</t>
        </is>
      </c>
      <c r="D1700" s="3" t="inlineStr">
        <is>
          <t>7620/250</t>
        </is>
      </c>
      <c r="E1700" s="3" t="inlineStr">
        <is>
          <t>HF CIP Land Surveyor</t>
        </is>
      </c>
      <c r="F1700" s="3" t="n">
        <v>59620</v>
      </c>
      <c r="G1700" s="3" t="n">
        <v>103646.09</v>
      </c>
    </row>
    <row r="1701">
      <c r="A1701" s="3" t="inlineStr">
        <is>
          <t>Heron Fields (Pty) Ltd</t>
        </is>
      </c>
      <c r="B1701" s="4" t="n">
        <v>44804</v>
      </c>
      <c r="C1701" s="3" t="inlineStr">
        <is>
          <t>Assets</t>
        </is>
      </c>
      <c r="D1701" s="3" t="inlineStr">
        <is>
          <t>7620/255</t>
        </is>
      </c>
      <c r="E1701" s="3" t="inlineStr">
        <is>
          <t>HF CIP Landscaping</t>
        </is>
      </c>
      <c r="F1701" s="3" t="n">
        <v>0</v>
      </c>
      <c r="G1701" s="3" t="n">
        <v>7500</v>
      </c>
    </row>
    <row r="1702">
      <c r="A1702" s="3" t="inlineStr">
        <is>
          <t>Heron Fields (Pty) Ltd</t>
        </is>
      </c>
      <c r="B1702" s="4" t="n">
        <v>44804</v>
      </c>
      <c r="C1702" s="3" t="inlineStr">
        <is>
          <t>Assets</t>
        </is>
      </c>
      <c r="D1702" s="3" t="inlineStr">
        <is>
          <t>7620/260</t>
        </is>
      </c>
      <c r="E1702" s="3" t="inlineStr">
        <is>
          <t>HF CIP Mechanical Engineers</t>
        </is>
      </c>
      <c r="F1702" s="3" t="n">
        <v>0</v>
      </c>
      <c r="G1702" s="3" t="n">
        <v>67400</v>
      </c>
    </row>
    <row r="1703">
      <c r="A1703" s="3" t="inlineStr">
        <is>
          <t>Heron Fields (Pty) Ltd</t>
        </is>
      </c>
      <c r="B1703" s="4" t="n">
        <v>44804</v>
      </c>
      <c r="C1703" s="3" t="inlineStr">
        <is>
          <t>Assets</t>
        </is>
      </c>
      <c r="D1703" s="3" t="inlineStr">
        <is>
          <t>7620/265</t>
        </is>
      </c>
      <c r="E1703" s="3" t="inlineStr">
        <is>
          <t>HF CIP Health &amp; Safety</t>
        </is>
      </c>
      <c r="F1703" s="3" t="n">
        <v>1400</v>
      </c>
      <c r="G1703" s="3" t="n">
        <v>15000</v>
      </c>
    </row>
    <row r="1704">
      <c r="A1704" s="3" t="inlineStr">
        <is>
          <t>Heron Fields (Pty) Ltd</t>
        </is>
      </c>
      <c r="B1704" s="4" t="n">
        <v>44804</v>
      </c>
      <c r="C1704" s="3" t="inlineStr">
        <is>
          <t>Assets</t>
        </is>
      </c>
      <c r="D1704" s="3" t="inlineStr">
        <is>
          <t>7620/270</t>
        </is>
      </c>
      <c r="E1704" s="3" t="inlineStr">
        <is>
          <t>HF CIP Geotechnical</t>
        </is>
      </c>
      <c r="F1704" s="3" t="n">
        <v>0</v>
      </c>
      <c r="G1704" s="3" t="n">
        <v>15175</v>
      </c>
    </row>
    <row r="1705">
      <c r="A1705" s="3" t="inlineStr">
        <is>
          <t>Heron Fields (Pty) Ltd</t>
        </is>
      </c>
      <c r="B1705" s="4" t="n">
        <v>44804</v>
      </c>
      <c r="C1705" s="3" t="inlineStr">
        <is>
          <t>Assets</t>
        </is>
      </c>
      <c r="D1705" s="3" t="inlineStr">
        <is>
          <t>7620/275</t>
        </is>
      </c>
      <c r="E1705" s="3" t="inlineStr">
        <is>
          <t>HF CIP Retaining Wall</t>
        </is>
      </c>
      <c r="F1705" s="3" t="n">
        <v>0</v>
      </c>
      <c r="G1705" s="3" t="n">
        <v>570856.08</v>
      </c>
    </row>
    <row r="1706">
      <c r="A1706" s="3" t="inlineStr">
        <is>
          <t>Heron Fields (Pty) Ltd</t>
        </is>
      </c>
      <c r="B1706" s="4" t="n">
        <v>44804</v>
      </c>
      <c r="C1706" s="3" t="inlineStr">
        <is>
          <t>Assets</t>
        </is>
      </c>
      <c r="D1706" s="3" t="inlineStr">
        <is>
          <t>7620/280</t>
        </is>
      </c>
      <c r="E1706" s="3" t="inlineStr">
        <is>
          <t>HF CIP Site Establishment</t>
        </is>
      </c>
      <c r="F1706" s="3" t="n">
        <v>4932297.09</v>
      </c>
      <c r="G1706" s="3" t="n">
        <v>24472886.5</v>
      </c>
    </row>
    <row r="1707">
      <c r="A1707" s="3" t="inlineStr">
        <is>
          <t>Heron Fields (Pty) Ltd</t>
        </is>
      </c>
      <c r="B1707" s="4" t="n">
        <v>44804</v>
      </c>
      <c r="C1707" s="3" t="inlineStr">
        <is>
          <t>Assets</t>
        </is>
      </c>
      <c r="D1707" s="3" t="inlineStr">
        <is>
          <t>7620/285</t>
        </is>
      </c>
      <c r="E1707" s="3" t="inlineStr">
        <is>
          <t>HF CIP Structuring Fee - Invest</t>
        </is>
      </c>
      <c r="F1707" s="3" t="n">
        <v>382608.7</v>
      </c>
      <c r="G1707" s="3" t="n">
        <v>3016035.43</v>
      </c>
    </row>
    <row r="1708">
      <c r="A1708" s="3" t="inlineStr">
        <is>
          <t>Heron Fields (Pty) Ltd</t>
        </is>
      </c>
      <c r="B1708" s="4" t="n">
        <v>44804</v>
      </c>
      <c r="C1708" s="3" t="inlineStr">
        <is>
          <t>Assets</t>
        </is>
      </c>
      <c r="D1708" s="3" t="inlineStr">
        <is>
          <t>7620/287</t>
        </is>
      </c>
      <c r="E1708" s="3" t="inlineStr">
        <is>
          <t>HF CIP Structuring Fee - Development</t>
        </is>
      </c>
      <c r="F1708" s="3" t="n">
        <v>0</v>
      </c>
      <c r="G1708" s="3" t="n">
        <v>782608.0699999999</v>
      </c>
    </row>
    <row r="1709">
      <c r="A1709" s="3" t="inlineStr">
        <is>
          <t>Heron Fields (Pty) Ltd</t>
        </is>
      </c>
      <c r="B1709" s="4" t="n">
        <v>44804</v>
      </c>
      <c r="C1709" s="3" t="inlineStr">
        <is>
          <t>Assets</t>
        </is>
      </c>
      <c r="D1709" s="3" t="inlineStr">
        <is>
          <t>7620/290</t>
        </is>
      </c>
      <c r="E1709" s="3" t="inlineStr">
        <is>
          <t>HF CIP Town Planning</t>
        </is>
      </c>
      <c r="F1709" s="3" t="n">
        <v>0</v>
      </c>
      <c r="G1709" s="3" t="n">
        <v>163550</v>
      </c>
    </row>
    <row r="1710">
      <c r="A1710" s="3" t="inlineStr">
        <is>
          <t>Heron Fields (Pty) Ltd</t>
        </is>
      </c>
      <c r="B1710" s="4" t="n">
        <v>44804</v>
      </c>
      <c r="C1710" s="3" t="inlineStr">
        <is>
          <t>Assets</t>
        </is>
      </c>
      <c r="D1710" s="3" t="inlineStr">
        <is>
          <t>7620/295</t>
        </is>
      </c>
      <c r="E1710" s="3" t="inlineStr">
        <is>
          <t>HF CIP Traffic Planning</t>
        </is>
      </c>
      <c r="F1710" s="3" t="n">
        <v>0</v>
      </c>
      <c r="G1710" s="3" t="n">
        <v>45000</v>
      </c>
    </row>
    <row r="1711">
      <c r="A1711" s="3" t="inlineStr">
        <is>
          <t>Heron Fields (Pty) Ltd</t>
        </is>
      </c>
      <c r="B1711" s="4" t="n">
        <v>44804</v>
      </c>
      <c r="C1711" s="3" t="inlineStr">
        <is>
          <t>Assets</t>
        </is>
      </c>
      <c r="D1711" s="3" t="inlineStr">
        <is>
          <t>7620/600</t>
        </is>
      </c>
      <c r="E1711" s="3" t="inlineStr">
        <is>
          <t>HF CIP Eco work</t>
        </is>
      </c>
      <c r="F1711" s="3" t="n">
        <v>6000</v>
      </c>
      <c r="G1711" s="3" t="n">
        <v>95000</v>
      </c>
    </row>
    <row r="1712">
      <c r="A1712" s="3" t="inlineStr">
        <is>
          <t>Heron Fields (Pty) Ltd</t>
        </is>
      </c>
      <c r="B1712" s="4" t="n">
        <v>44804</v>
      </c>
      <c r="C1712" s="3" t="inlineStr">
        <is>
          <t>Assets</t>
        </is>
      </c>
      <c r="D1712" s="3" t="inlineStr">
        <is>
          <t>7620/630</t>
        </is>
      </c>
      <c r="E1712" s="3" t="inlineStr">
        <is>
          <t>HF CIP CoCT development contribution</t>
        </is>
      </c>
      <c r="F1712" s="3" t="n">
        <v>18933.05</v>
      </c>
      <c r="G1712" s="3" t="n">
        <v>1020699.54</v>
      </c>
    </row>
    <row r="1713">
      <c r="A1713" s="3" t="inlineStr">
        <is>
          <t>Heron View (Pty) Ltd</t>
        </is>
      </c>
      <c r="B1713" s="4" t="n">
        <v>44804</v>
      </c>
      <c r="C1713" s="3" t="inlineStr">
        <is>
          <t>Assets</t>
        </is>
      </c>
      <c r="D1713" s="3" t="inlineStr">
        <is>
          <t>7620/630</t>
        </is>
      </c>
      <c r="E1713" s="3" t="inlineStr">
        <is>
          <t>Heron CIP - CoCT development contribution</t>
        </is>
      </c>
      <c r="F1713" s="3" t="n">
        <v>0</v>
      </c>
      <c r="G1713" s="3" t="n">
        <v>1233261.93</v>
      </c>
    </row>
    <row r="1714">
      <c r="A1714" s="3" t="inlineStr">
        <is>
          <t>Heron Fields (Pty) Ltd</t>
        </is>
      </c>
      <c r="B1714" s="4" t="n">
        <v>44804</v>
      </c>
      <c r="C1714" s="3" t="inlineStr">
        <is>
          <t>Assets</t>
        </is>
      </c>
      <c r="D1714" s="3" t="inlineStr">
        <is>
          <t>7620/640</t>
        </is>
      </c>
      <c r="E1714" s="3" t="inlineStr">
        <is>
          <t>HF CIP Project costs</t>
        </is>
      </c>
      <c r="F1714" s="3" t="n">
        <v>0</v>
      </c>
      <c r="G1714" s="3" t="n">
        <v>622274.51</v>
      </c>
    </row>
    <row r="1715">
      <c r="A1715" s="3" t="inlineStr">
        <is>
          <t>Heron Fields (Pty) Ltd</t>
        </is>
      </c>
      <c r="B1715" s="4" t="n">
        <v>44804</v>
      </c>
      <c r="C1715" s="3" t="inlineStr">
        <is>
          <t>Assets</t>
        </is>
      </c>
      <c r="D1715" s="3" t="inlineStr">
        <is>
          <t>7620/650</t>
        </is>
      </c>
      <c r="E1715" s="3" t="inlineStr">
        <is>
          <t>HF CIP Electrical</t>
        </is>
      </c>
      <c r="F1715" s="3" t="n">
        <v>240274.17</v>
      </c>
      <c r="G1715" s="3" t="n">
        <v>938082.41</v>
      </c>
    </row>
    <row r="1716">
      <c r="A1716" s="3" t="inlineStr">
        <is>
          <t>Heron View (Pty) Ltd</t>
        </is>
      </c>
      <c r="B1716" s="4" t="n">
        <v>44804</v>
      </c>
      <c r="C1716" s="3" t="inlineStr">
        <is>
          <t>Assets</t>
        </is>
      </c>
      <c r="D1716" s="3" t="inlineStr">
        <is>
          <t>7620/660</t>
        </is>
      </c>
      <c r="E1716" s="3" t="inlineStr">
        <is>
          <t>HV CIP Health &amp; Safety</t>
        </is>
      </c>
      <c r="F1716" s="3" t="n">
        <v>0</v>
      </c>
      <c r="G1716" s="3" t="n">
        <v>8500</v>
      </c>
    </row>
    <row r="1717">
      <c r="A1717" s="3" t="inlineStr">
        <is>
          <t>Heron View (Pty) Ltd</t>
        </is>
      </c>
      <c r="B1717" s="4" t="n">
        <v>44804</v>
      </c>
      <c r="C1717" s="3" t="inlineStr">
        <is>
          <t>Assets</t>
        </is>
      </c>
      <c r="D1717" s="3" t="inlineStr">
        <is>
          <t>7620/670</t>
        </is>
      </c>
      <c r="E1717" s="3" t="inlineStr">
        <is>
          <t>HV CIP - Project costs CPSD</t>
        </is>
      </c>
      <c r="F1717" s="3" t="n">
        <v>250000</v>
      </c>
      <c r="G1717" s="3" t="n">
        <v>250000</v>
      </c>
    </row>
    <row r="1718">
      <c r="A1718" s="3" t="inlineStr">
        <is>
          <t>Heron Fields (Pty) Ltd</t>
        </is>
      </c>
      <c r="B1718" s="4" t="n">
        <v>44804</v>
      </c>
      <c r="C1718" s="3" t="inlineStr">
        <is>
          <t>Assets</t>
        </is>
      </c>
      <c r="D1718" s="3" t="inlineStr">
        <is>
          <t>7620/700</t>
        </is>
      </c>
      <c r="E1718" s="3" t="inlineStr">
        <is>
          <t>HF CIP - P&amp;G recoveries - Endulini&amp;Heron Fields/View</t>
        </is>
      </c>
      <c r="F1718" s="3" t="n">
        <v>0</v>
      </c>
      <c r="G1718" s="3" t="n">
        <v>3023829.42</v>
      </c>
    </row>
    <row r="1719">
      <c r="A1719" s="3" t="inlineStr">
        <is>
          <t>Heron Fields (Pty) Ltd</t>
        </is>
      </c>
      <c r="B1719" s="4" t="n">
        <v>44804</v>
      </c>
      <c r="C1719" s="3" t="inlineStr">
        <is>
          <t>Assets</t>
        </is>
      </c>
      <c r="D1719" s="3" t="inlineStr">
        <is>
          <t>7620/750</t>
        </is>
      </c>
      <c r="E1719" s="3" t="inlineStr">
        <is>
          <t>HF CIP Project costs CPSD</t>
        </is>
      </c>
      <c r="F1719" s="3" t="n">
        <v>850000</v>
      </c>
      <c r="G1719" s="3" t="n">
        <v>850000</v>
      </c>
    </row>
    <row r="1720">
      <c r="A1720" s="3" t="inlineStr">
        <is>
          <t>Cape Projects Construction (Pty) Ltd</t>
        </is>
      </c>
      <c r="B1720" s="4" t="n">
        <v>44804</v>
      </c>
      <c r="C1720" s="3" t="inlineStr">
        <is>
          <t>Assets</t>
        </is>
      </c>
      <c r="D1720" s="3" t="inlineStr">
        <is>
          <t>7800/000</t>
        </is>
      </c>
      <c r="E1720" s="3" t="inlineStr">
        <is>
          <t>Deposits paid</t>
        </is>
      </c>
      <c r="F1720" s="3" t="n">
        <v>0</v>
      </c>
      <c r="G1720" s="3" t="n">
        <v>6875.45</v>
      </c>
    </row>
    <row r="1721">
      <c r="A1721" s="3" t="inlineStr">
        <is>
          <t>Cape Projects Construction (Pty) Ltd</t>
        </is>
      </c>
      <c r="B1721" s="4" t="n">
        <v>44804</v>
      </c>
      <c r="C1721" s="3" t="inlineStr">
        <is>
          <t>Assets</t>
        </is>
      </c>
      <c r="D1721" s="3" t="inlineStr">
        <is>
          <t>8000/000</t>
        </is>
      </c>
      <c r="E1721" s="3" t="inlineStr">
        <is>
          <t>Customer Control Account</t>
        </is>
      </c>
      <c r="F1721" s="3" t="n">
        <v>2993943.68</v>
      </c>
      <c r="G1721" s="3" t="n">
        <v>8337040.93</v>
      </c>
    </row>
    <row r="1722">
      <c r="A1722" s="3" t="inlineStr">
        <is>
          <t>Cape Projects Construction (Pty) Ltd</t>
        </is>
      </c>
      <c r="B1722" s="4" t="n">
        <v>44804</v>
      </c>
      <c r="C1722" s="3" t="inlineStr">
        <is>
          <t>Assets</t>
        </is>
      </c>
      <c r="D1722" s="3" t="inlineStr">
        <is>
          <t>8200/010</t>
        </is>
      </c>
      <c r="E1722" s="3" t="inlineStr">
        <is>
          <t>Prepayments / Prepaid Expenses</t>
        </is>
      </c>
      <c r="F1722" s="3" t="n">
        <v>-2719.44</v>
      </c>
      <c r="G1722" s="3" t="n">
        <v>19036.07</v>
      </c>
    </row>
    <row r="1723">
      <c r="A1723" s="3" t="inlineStr">
        <is>
          <t>Cape Projects Construction (Pty) Ltd</t>
        </is>
      </c>
      <c r="B1723" s="4" t="n">
        <v>44804</v>
      </c>
      <c r="C1723" s="3" t="inlineStr">
        <is>
          <t>Assets</t>
        </is>
      </c>
      <c r="D1723" s="3" t="inlineStr">
        <is>
          <t>8300/000</t>
        </is>
      </c>
      <c r="E1723" s="3" t="inlineStr">
        <is>
          <t>FNB Credit Card 8812 7100 446 6006</t>
        </is>
      </c>
      <c r="F1723" s="3" t="n">
        <v>25</v>
      </c>
      <c r="G1723" s="3" t="n">
        <v>25</v>
      </c>
    </row>
    <row r="1724">
      <c r="A1724" s="3" t="inlineStr">
        <is>
          <t>Heron Fields (Pty) Ltd</t>
        </is>
      </c>
      <c r="B1724" s="4" t="n">
        <v>44804</v>
      </c>
      <c r="C1724" s="3" t="inlineStr">
        <is>
          <t>Assets</t>
        </is>
      </c>
      <c r="D1724" s="3" t="inlineStr">
        <is>
          <t>8400/000</t>
        </is>
      </c>
      <c r="E1724" s="3" t="inlineStr">
        <is>
          <t>RMB - 62882379087</t>
        </is>
      </c>
      <c r="F1724" s="3" t="n">
        <v>1018319</v>
      </c>
      <c r="G1724" s="3" t="n">
        <v>1034604.19</v>
      </c>
    </row>
    <row r="1725">
      <c r="A1725" s="3" t="inlineStr">
        <is>
          <t>Cape Projects Construction (Pty) Ltd</t>
        </is>
      </c>
      <c r="B1725" s="4" t="n">
        <v>44804</v>
      </c>
      <c r="C1725" s="3" t="inlineStr">
        <is>
          <t>Assets</t>
        </is>
      </c>
      <c r="D1725" s="3" t="inlineStr">
        <is>
          <t>8400/000</t>
        </is>
      </c>
      <c r="E1725" s="3" t="inlineStr">
        <is>
          <t>RMB 62275138470</t>
        </is>
      </c>
      <c r="F1725" s="3" t="n">
        <v>828644.26</v>
      </c>
      <c r="G1725" s="3" t="n">
        <v>949554.5699999999</v>
      </c>
    </row>
    <row r="1726">
      <c r="A1726" s="3" t="inlineStr">
        <is>
          <t>Cape Projects Construction (Pty) Ltd</t>
        </is>
      </c>
      <c r="B1726" s="4" t="n">
        <v>44804</v>
      </c>
      <c r="C1726" s="3" t="inlineStr">
        <is>
          <t>Assets</t>
        </is>
      </c>
      <c r="D1726" s="3" t="inlineStr">
        <is>
          <t>8420/000</t>
        </is>
      </c>
      <c r="E1726" s="3" t="inlineStr">
        <is>
          <t>Momentum Priv Acc RU502230981</t>
        </is>
      </c>
      <c r="F1726" s="3" t="n">
        <v>2.39</v>
      </c>
      <c r="G1726" s="3" t="n">
        <v>522.6</v>
      </c>
    </row>
    <row r="1727">
      <c r="A1727" s="3" t="inlineStr">
        <is>
          <t>Heron Fields (Pty) Ltd</t>
        </is>
      </c>
      <c r="B1727" s="4" t="n">
        <v>44804</v>
      </c>
      <c r="C1727" s="3" t="inlineStr">
        <is>
          <t>Assets</t>
        </is>
      </c>
      <c r="D1727" s="3" t="inlineStr">
        <is>
          <t>8430/000</t>
        </is>
      </c>
      <c r="E1727" s="3" t="inlineStr">
        <is>
          <t>Momentum Private Account RU502230151</t>
        </is>
      </c>
      <c r="F1727" s="3" t="n">
        <v>3.3</v>
      </c>
      <c r="G1727" s="3" t="n">
        <v>802.62</v>
      </c>
    </row>
    <row r="1728">
      <c r="A1728" s="3" t="inlineStr">
        <is>
          <t>Heron Fields (Pty) Ltd</t>
        </is>
      </c>
      <c r="B1728" s="4" t="n">
        <v>44804</v>
      </c>
      <c r="C1728" s="3" t="inlineStr">
        <is>
          <t>Assets</t>
        </is>
      </c>
      <c r="D1728" s="3" t="inlineStr">
        <is>
          <t>8440/000</t>
        </is>
      </c>
      <c r="E1728" s="3" t="inlineStr">
        <is>
          <t>Momentum Investors Account RU502229930</t>
        </is>
      </c>
      <c r="F1728" s="3" t="n">
        <v>-1710365.74</v>
      </c>
      <c r="G1728" s="3" t="n">
        <v>11014669.82</v>
      </c>
    </row>
    <row r="1729">
      <c r="A1729" s="3" t="inlineStr">
        <is>
          <t>Cape Projects Construction (Pty) Ltd</t>
        </is>
      </c>
      <c r="B1729" s="4" t="n">
        <v>44804</v>
      </c>
      <c r="C1729" s="3" t="inlineStr">
        <is>
          <t>Liabilities</t>
        </is>
      </c>
      <c r="D1729" s="3" t="inlineStr">
        <is>
          <t>860</t>
        </is>
      </c>
      <c r="E1729" s="3" t="inlineStr">
        <is>
          <t>Rounding</t>
        </is>
      </c>
      <c r="F1729" s="3" t="n">
        <v>0</v>
      </c>
      <c r="G1729" s="3" t="n">
        <v>-0.04</v>
      </c>
    </row>
    <row r="1730">
      <c r="A1730" s="3" t="inlineStr">
        <is>
          <t>Cape Projects Construction (Pty) Ltd</t>
        </is>
      </c>
      <c r="B1730" s="4" t="n">
        <v>44804</v>
      </c>
      <c r="C1730" s="3" t="inlineStr">
        <is>
          <t>Liabilities</t>
        </is>
      </c>
      <c r="D1730" s="3" t="inlineStr">
        <is>
          <t>9000/000</t>
        </is>
      </c>
      <c r="E1730" s="3" t="inlineStr">
        <is>
          <t>Supplier Control Account</t>
        </is>
      </c>
      <c r="F1730" s="3" t="n">
        <v>-4163853.79</v>
      </c>
      <c r="G1730" s="3" t="n">
        <v>-7769666.34</v>
      </c>
    </row>
    <row r="1731">
      <c r="A1731" s="3" t="inlineStr">
        <is>
          <t>Heron Fields (Pty) Ltd</t>
        </is>
      </c>
      <c r="B1731" s="4" t="n">
        <v>44804</v>
      </c>
      <c r="C1731" s="3" t="inlineStr">
        <is>
          <t>Liabilities</t>
        </is>
      </c>
      <c r="D1731" s="3" t="inlineStr">
        <is>
          <t>9000/000</t>
        </is>
      </c>
      <c r="E1731" s="3" t="inlineStr">
        <is>
          <t>Supplier Control Account</t>
        </is>
      </c>
      <c r="F1731" s="3" t="n">
        <v>-5457017.23</v>
      </c>
      <c r="G1731" s="3" t="n">
        <v>-91600192.3</v>
      </c>
    </row>
    <row r="1732">
      <c r="A1732" s="3" t="inlineStr">
        <is>
          <t>Heron View (Pty) Ltd</t>
        </is>
      </c>
      <c r="B1732" s="4" t="n">
        <v>44804</v>
      </c>
      <c r="C1732" s="3" t="inlineStr">
        <is>
          <t>Liabilities</t>
        </is>
      </c>
      <c r="D1732" s="3" t="inlineStr">
        <is>
          <t>9000/000</t>
        </is>
      </c>
      <c r="E1732" s="3" t="inlineStr">
        <is>
          <t>Supplier Control Account</t>
        </is>
      </c>
      <c r="F1732" s="3" t="n">
        <v>-286926.5</v>
      </c>
      <c r="G1732" s="3" t="n">
        <v>-285676.5</v>
      </c>
    </row>
    <row r="1733">
      <c r="A1733" s="3" t="inlineStr">
        <is>
          <t>Cape Projects Construction (Pty) Ltd</t>
        </is>
      </c>
      <c r="B1733" s="4" t="n">
        <v>44804</v>
      </c>
      <c r="C1733" s="3" t="inlineStr">
        <is>
          <t>Liabilities</t>
        </is>
      </c>
      <c r="D1733" s="3" t="inlineStr">
        <is>
          <t>9200/000</t>
        </is>
      </c>
      <c r="E1733" s="3" t="inlineStr">
        <is>
          <t>Sundry Suppliers</t>
        </is>
      </c>
      <c r="F1733" s="3" t="n">
        <v>0</v>
      </c>
      <c r="G1733" s="3" t="n">
        <v>1186.13</v>
      </c>
    </row>
    <row r="1734">
      <c r="A1734" s="3" t="inlineStr">
        <is>
          <t>Cape Projects Construction (Pty) Ltd</t>
        </is>
      </c>
      <c r="B1734" s="4" t="n">
        <v>44804</v>
      </c>
      <c r="C1734" s="3" t="inlineStr">
        <is>
          <t>Liabilities</t>
        </is>
      </c>
      <c r="D1734" s="3" t="inlineStr">
        <is>
          <t>9250/010</t>
        </is>
      </c>
      <c r="E1734" s="3" t="inlineStr">
        <is>
          <t>SALARY CONTROL</t>
        </is>
      </c>
      <c r="F1734" s="3" t="n">
        <v>0</v>
      </c>
      <c r="G1734" s="3" t="n">
        <v>20758.55</v>
      </c>
    </row>
    <row r="1735">
      <c r="A1735" s="3" t="inlineStr">
        <is>
          <t>Cape Projects Construction (Pty) Ltd</t>
        </is>
      </c>
      <c r="B1735" s="4" t="n">
        <v>44804</v>
      </c>
      <c r="C1735" s="3" t="inlineStr">
        <is>
          <t>Liabilities</t>
        </is>
      </c>
      <c r="D1735" s="3" t="inlineStr">
        <is>
          <t>9250/020</t>
        </is>
      </c>
      <c r="E1735" s="3" t="inlineStr">
        <is>
          <t>PAYE, UIF AND SDL CONTROL</t>
        </is>
      </c>
      <c r="F1735" s="3" t="n">
        <v>-807.78</v>
      </c>
      <c r="G1735" s="3" t="n">
        <v>-13726.03</v>
      </c>
    </row>
    <row r="1736">
      <c r="A1736" s="3" t="inlineStr">
        <is>
          <t>Cape Projects Construction (Pty) Ltd</t>
        </is>
      </c>
      <c r="B1736" s="4" t="n">
        <v>44804</v>
      </c>
      <c r="C1736" s="3" t="inlineStr">
        <is>
          <t>Liabilities</t>
        </is>
      </c>
      <c r="D1736" s="3" t="inlineStr">
        <is>
          <t>9250/030</t>
        </is>
      </c>
      <c r="E1736" s="3" t="inlineStr">
        <is>
          <t>BIBC CONTROL</t>
        </is>
      </c>
      <c r="F1736" s="3" t="n">
        <v>-12988.81</v>
      </c>
      <c r="G1736" s="3" t="n">
        <v>-39394.77</v>
      </c>
    </row>
    <row r="1737">
      <c r="A1737" s="3" t="inlineStr">
        <is>
          <t>Cape Projects Construction (Pty) Ltd</t>
        </is>
      </c>
      <c r="B1737" s="4" t="n">
        <v>44804</v>
      </c>
      <c r="C1737" s="3" t="inlineStr">
        <is>
          <t>Liabilities</t>
        </is>
      </c>
      <c r="D1737" s="3" t="inlineStr">
        <is>
          <t>9500/000</t>
        </is>
      </c>
      <c r="E1737" s="3" t="inlineStr">
        <is>
          <t>VAT Control Account</t>
        </is>
      </c>
      <c r="F1737" s="3" t="n">
        <v>-211796.04</v>
      </c>
      <c r="G1737" s="3" t="n">
        <v>-1980364.5</v>
      </c>
    </row>
    <row r="1738">
      <c r="A1738" s="3" t="inlineStr">
        <is>
          <t>Heron Fields (Pty) Ltd</t>
        </is>
      </c>
      <c r="B1738" s="4" t="n">
        <v>44804</v>
      </c>
      <c r="C1738" s="3" t="inlineStr">
        <is>
          <t>Liabilities</t>
        </is>
      </c>
      <c r="D1738" s="3" t="inlineStr">
        <is>
          <t>9500/000</t>
        </is>
      </c>
      <c r="E1738" s="3" t="inlineStr">
        <is>
          <t>Vat / Tax Control Account</t>
        </is>
      </c>
      <c r="F1738" s="3" t="n">
        <v>-1305813.62</v>
      </c>
      <c r="G1738" s="3" t="n">
        <v>2528033.36</v>
      </c>
    </row>
    <row r="1739">
      <c r="A1739" s="3" t="inlineStr">
        <is>
          <t>Heron View (Pty) Ltd</t>
        </is>
      </c>
      <c r="B1739" s="4" t="n">
        <v>44804</v>
      </c>
      <c r="C1739" s="3" t="inlineStr">
        <is>
          <t>Liabilities</t>
        </is>
      </c>
      <c r="D1739" s="3" t="inlineStr">
        <is>
          <t>9500/000</t>
        </is>
      </c>
      <c r="E1739" s="3" t="inlineStr">
        <is>
          <t>Vat / Tax Control Account</t>
        </is>
      </c>
      <c r="F1739" s="3" t="n">
        <v>38130</v>
      </c>
      <c r="G1739" s="3" t="n">
        <v>223569.29</v>
      </c>
    </row>
    <row r="1740">
      <c r="A1740" s="3" t="inlineStr">
        <is>
          <t>Cape Projects Construction (Pty) Ltd</t>
        </is>
      </c>
      <c r="B1740" s="4" t="n">
        <v>44804</v>
      </c>
      <c r="C1740" s="3" t="inlineStr">
        <is>
          <t>Liabilities</t>
        </is>
      </c>
      <c r="D1740" s="3" t="inlineStr">
        <is>
          <t>9990/000</t>
        </is>
      </c>
      <c r="E1740" s="3" t="inlineStr">
        <is>
          <t>Opening Balance / Suspense Account</t>
        </is>
      </c>
      <c r="F1740" s="3" t="n">
        <v>0</v>
      </c>
      <c r="G1740" s="3" t="n">
        <v>80</v>
      </c>
    </row>
    <row r="1741">
      <c r="A1741" s="3" t="inlineStr">
        <is>
          <t>Cape Projects Construction (Pty) Ltd</t>
        </is>
      </c>
      <c r="B1741" s="4" t="n">
        <v>44804</v>
      </c>
      <c r="C1741" s="3" t="inlineStr">
        <is>
          <t>Liabilities</t>
        </is>
      </c>
      <c r="D1741" s="3" t="inlineStr">
        <is>
          <t>B/S</t>
        </is>
      </c>
      <c r="E1741" s="3" t="inlineStr">
        <is>
          <t>Taxation Payable</t>
        </is>
      </c>
      <c r="F1741" s="3" t="n">
        <v>0</v>
      </c>
      <c r="G1741" s="3" t="n">
        <v>1869.8</v>
      </c>
    </row>
    <row r="1742">
      <c r="A1742" s="3" t="inlineStr">
        <is>
          <t>Cape Projects Construction (Pty) Ltd</t>
        </is>
      </c>
      <c r="B1742" s="4" t="n">
        <v>44804</v>
      </c>
      <c r="C1742" s="3" t="inlineStr">
        <is>
          <t>Liabilities</t>
        </is>
      </c>
      <c r="D1742" s="3" t="inlineStr">
        <is>
          <t>TEMP/ACC</t>
        </is>
      </c>
      <c r="E1742" s="3" t="inlineStr">
        <is>
          <t>Conversion Account</t>
        </is>
      </c>
      <c r="F1742" s="3" t="n">
        <v>0</v>
      </c>
      <c r="G1742" s="3" t="n">
        <v>-254.99</v>
      </c>
    </row>
    <row r="1743">
      <c r="A1743" s="3" t="inlineStr">
        <is>
          <t>Cape Projects Construction (Pty) Ltd</t>
        </is>
      </c>
      <c r="B1743" s="4" t="n">
        <v>44834</v>
      </c>
      <c r="C1743" s="3" t="inlineStr">
        <is>
          <t>Revenue</t>
        </is>
      </c>
      <c r="D1743" s="3" t="inlineStr">
        <is>
          <t>1040/100</t>
        </is>
      </c>
      <c r="E1743" s="3" t="inlineStr">
        <is>
          <t>Fees - Construction - Heron</t>
        </is>
      </c>
      <c r="F1743" s="3" t="n">
        <v>-7124921.12</v>
      </c>
      <c r="G1743" s="3" t="n">
        <v>-31886750.65</v>
      </c>
    </row>
    <row r="1744">
      <c r="A1744" s="3" t="inlineStr">
        <is>
          <t>Cape Projects Construction (Pty) Ltd</t>
        </is>
      </c>
      <c r="B1744" s="4" t="n">
        <v>44834</v>
      </c>
      <c r="C1744" s="3" t="inlineStr">
        <is>
          <t>Revenue</t>
        </is>
      </c>
      <c r="D1744" s="3" t="inlineStr">
        <is>
          <t>1050/030</t>
        </is>
      </c>
      <c r="E1744" s="3" t="inlineStr">
        <is>
          <t>Fees - Construction - Endulini</t>
        </is>
      </c>
      <c r="F1744" s="3" t="n">
        <v>0</v>
      </c>
      <c r="G1744" s="3" t="n">
        <v>-12046638.06</v>
      </c>
    </row>
    <row r="1745">
      <c r="A1745" s="3" t="inlineStr">
        <is>
          <t>Cape Projects Construction (Pty) Ltd</t>
        </is>
      </c>
      <c r="B1745" s="4" t="n">
        <v>44834</v>
      </c>
      <c r="C1745" s="3" t="inlineStr">
        <is>
          <t>Revenue</t>
        </is>
      </c>
      <c r="D1745" s="3" t="inlineStr">
        <is>
          <t>1051/100</t>
        </is>
      </c>
      <c r="E1745" s="3" t="inlineStr">
        <is>
          <t>Fees - Construction - Heron Fields</t>
        </is>
      </c>
      <c r="F1745" s="3" t="n">
        <v>0</v>
      </c>
      <c r="G1745" s="3" t="n">
        <v>-1782369.8</v>
      </c>
    </row>
    <row r="1746">
      <c r="A1746" s="3" t="inlineStr">
        <is>
          <t>Cape Projects Construction (Pty) Ltd</t>
        </is>
      </c>
      <c r="B1746" s="4" t="n">
        <v>44834</v>
      </c>
      <c r="C1746" s="3" t="inlineStr">
        <is>
          <t>Revenue</t>
        </is>
      </c>
      <c r="D1746" s="3" t="inlineStr">
        <is>
          <t>1051/200</t>
        </is>
      </c>
      <c r="E1746" s="3" t="inlineStr">
        <is>
          <t>Fees - Construction - Heron Fields P&amp;G</t>
        </is>
      </c>
      <c r="F1746" s="3" t="n">
        <v>0</v>
      </c>
      <c r="G1746" s="3" t="n">
        <v>1616.91</v>
      </c>
    </row>
    <row r="1747">
      <c r="A1747" s="3" t="inlineStr">
        <is>
          <t>Cape Projects Construction (Pty) Ltd</t>
        </is>
      </c>
      <c r="B1747" s="4" t="n">
        <v>44834</v>
      </c>
      <c r="C1747" s="3" t="inlineStr">
        <is>
          <t>Revenue</t>
        </is>
      </c>
      <c r="D1747" s="3" t="inlineStr">
        <is>
          <t>1060/000</t>
        </is>
      </c>
      <c r="E1747" s="3" t="inlineStr">
        <is>
          <t>Insurance recovery</t>
        </is>
      </c>
      <c r="F1747" s="3" t="n">
        <v>0</v>
      </c>
      <c r="G1747" s="3" t="n">
        <v>-2839.7</v>
      </c>
    </row>
    <row r="1748">
      <c r="A1748" s="3" t="inlineStr">
        <is>
          <t>Cape Projects Construction (Pty) Ltd</t>
        </is>
      </c>
      <c r="B1748" s="4" t="n">
        <v>44834</v>
      </c>
      <c r="C1748" s="3" t="inlineStr">
        <is>
          <t>Revenue</t>
        </is>
      </c>
      <c r="D1748" s="3" t="inlineStr">
        <is>
          <t>1070/000</t>
        </is>
      </c>
      <c r="E1748" s="3" t="inlineStr">
        <is>
          <t>Rent - CT Office</t>
        </is>
      </c>
      <c r="F1748" s="3" t="n">
        <v>-3490.94</v>
      </c>
      <c r="G1748" s="3" t="n">
        <v>-24436.58</v>
      </c>
    </row>
    <row r="1749">
      <c r="A1749" s="3" t="inlineStr">
        <is>
          <t>Heron View (Pty) Ltd</t>
        </is>
      </c>
      <c r="B1749" s="4" t="n">
        <v>44834</v>
      </c>
      <c r="C1749" s="3" t="inlineStr">
        <is>
          <t>Expenses</t>
        </is>
      </c>
      <c r="D1749" s="3" t="inlineStr">
        <is>
          <t>2000/010</t>
        </is>
      </c>
      <c r="E1749" s="3" t="inlineStr">
        <is>
          <t>COS - Heron View</t>
        </is>
      </c>
      <c r="F1749" s="3" t="n">
        <v>678.59</v>
      </c>
      <c r="G1749" s="3" t="n">
        <v>678.59</v>
      </c>
    </row>
    <row r="1750">
      <c r="A1750" s="3" t="inlineStr">
        <is>
          <t>Heron Fields (Pty) Ltd</t>
        </is>
      </c>
      <c r="B1750" s="4" t="n">
        <v>44834</v>
      </c>
      <c r="C1750" s="3" t="inlineStr">
        <is>
          <t>Expenses</t>
        </is>
      </c>
      <c r="D1750" s="3" t="inlineStr">
        <is>
          <t>2000/030</t>
        </is>
      </c>
      <c r="E1750" s="3" t="inlineStr">
        <is>
          <t>COS - Commission Heron Fields investors</t>
        </is>
      </c>
      <c r="F1750" s="3" t="n">
        <v>0</v>
      </c>
      <c r="G1750" s="3" t="n">
        <v>86956.52</v>
      </c>
    </row>
    <row r="1751">
      <c r="A1751" s="3" t="inlineStr">
        <is>
          <t>Heron Fields (Pty) Ltd</t>
        </is>
      </c>
      <c r="B1751" s="4" t="n">
        <v>44834</v>
      </c>
      <c r="C1751" s="3" t="inlineStr">
        <is>
          <t>Expenses</t>
        </is>
      </c>
      <c r="D1751" s="3" t="inlineStr">
        <is>
          <t>2000/040</t>
        </is>
      </c>
      <c r="E1751" s="3" t="inlineStr">
        <is>
          <t>COS - Legal Fees</t>
        </is>
      </c>
      <c r="F1751" s="3" t="n">
        <v>0</v>
      </c>
      <c r="G1751" s="3" t="n">
        <v>20693</v>
      </c>
    </row>
    <row r="1752">
      <c r="A1752" s="3" t="inlineStr">
        <is>
          <t>Heron Fields (Pty) Ltd</t>
        </is>
      </c>
      <c r="B1752" s="4" t="n">
        <v>44834</v>
      </c>
      <c r="C1752" s="3" t="inlineStr">
        <is>
          <t>Expenses</t>
        </is>
      </c>
      <c r="D1752" s="3" t="inlineStr">
        <is>
          <t>2000/050</t>
        </is>
      </c>
      <c r="E1752" s="3" t="inlineStr">
        <is>
          <t>COS - Rates clearance</t>
        </is>
      </c>
      <c r="F1752" s="3" t="n">
        <v>9738.91</v>
      </c>
      <c r="G1752" s="3" t="n">
        <v>9738.91</v>
      </c>
    </row>
    <row r="1753">
      <c r="A1753" s="3" t="inlineStr">
        <is>
          <t>Cape Projects Construction (Pty) Ltd</t>
        </is>
      </c>
      <c r="B1753" s="4" t="n">
        <v>44834</v>
      </c>
      <c r="C1753" s="3" t="inlineStr">
        <is>
          <t>Expenses</t>
        </is>
      </c>
      <c r="D1753" s="3" t="inlineStr">
        <is>
          <t>2005/200</t>
        </is>
      </c>
      <c r="E1753" s="3" t="inlineStr">
        <is>
          <t>COS - External Works</t>
        </is>
      </c>
      <c r="F1753" s="3" t="n">
        <v>0</v>
      </c>
      <c r="G1753" s="3" t="n">
        <v>957.28</v>
      </c>
    </row>
    <row r="1754">
      <c r="A1754" s="3" t="inlineStr">
        <is>
          <t>Cape Projects Construction (Pty) Ltd</t>
        </is>
      </c>
      <c r="B1754" s="4" t="n">
        <v>44834</v>
      </c>
      <c r="C1754" s="3" t="inlineStr">
        <is>
          <t>Expenses</t>
        </is>
      </c>
      <c r="D1754" s="3" t="inlineStr">
        <is>
          <t>2006/000</t>
        </is>
      </c>
      <c r="E1754" s="3" t="inlineStr">
        <is>
          <t>COS - Endulini Construction</t>
        </is>
      </c>
      <c r="F1754" s="3" t="n">
        <v>210268.29</v>
      </c>
      <c r="G1754" s="3" t="n">
        <v>16068410.28</v>
      </c>
    </row>
    <row r="1755">
      <c r="A1755" s="3" t="inlineStr">
        <is>
          <t>Cape Projects Construction (Pty) Ltd</t>
        </is>
      </c>
      <c r="B1755" s="4" t="n">
        <v>44834</v>
      </c>
      <c r="C1755" s="3" t="inlineStr">
        <is>
          <t>Expenses</t>
        </is>
      </c>
      <c r="D1755" s="3" t="inlineStr">
        <is>
          <t>2006/100</t>
        </is>
      </c>
      <c r="E1755" s="3" t="inlineStr">
        <is>
          <t>COS - Endulini P and G</t>
        </is>
      </c>
      <c r="F1755" s="3" t="n">
        <v>28359.61</v>
      </c>
      <c r="G1755" s="3" t="n">
        <v>866025.67</v>
      </c>
    </row>
    <row r="1756">
      <c r="A1756" s="3" t="inlineStr">
        <is>
          <t>Cape Projects Construction (Pty) Ltd</t>
        </is>
      </c>
      <c r="B1756" s="4" t="n">
        <v>44834</v>
      </c>
      <c r="C1756" s="3" t="inlineStr">
        <is>
          <t>Expenses</t>
        </is>
      </c>
      <c r="D1756" s="3" t="inlineStr">
        <is>
          <t>2006/200</t>
        </is>
      </c>
      <c r="E1756" s="3" t="inlineStr">
        <is>
          <t>COS - Insurance</t>
        </is>
      </c>
      <c r="F1756" s="3" t="n">
        <v>2719.44</v>
      </c>
      <c r="G1756" s="3" t="n">
        <v>32011.81</v>
      </c>
    </row>
    <row r="1757">
      <c r="A1757" s="3" t="inlineStr">
        <is>
          <t>Cape Projects Construction (Pty) Ltd</t>
        </is>
      </c>
      <c r="B1757" s="4" t="n">
        <v>44834</v>
      </c>
      <c r="C1757" s="3" t="inlineStr">
        <is>
          <t>Expenses</t>
        </is>
      </c>
      <c r="D1757" s="3" t="inlineStr">
        <is>
          <t>2006/300</t>
        </is>
      </c>
      <c r="E1757" s="3" t="inlineStr">
        <is>
          <t>COS - Endulini - Printing &amp; Stationary</t>
        </is>
      </c>
      <c r="F1757" s="3" t="n">
        <v>0</v>
      </c>
      <c r="G1757" s="3" t="n">
        <v>269.65</v>
      </c>
    </row>
    <row r="1758">
      <c r="A1758" s="3" t="inlineStr">
        <is>
          <t>Cape Projects Construction (Pty) Ltd</t>
        </is>
      </c>
      <c r="B1758" s="4" t="n">
        <v>44834</v>
      </c>
      <c r="C1758" s="3" t="inlineStr">
        <is>
          <t>Expenses</t>
        </is>
      </c>
      <c r="D1758" s="3" t="inlineStr">
        <is>
          <t>2006/350</t>
        </is>
      </c>
      <c r="E1758" s="3" t="inlineStr">
        <is>
          <t>COS - Endulini - Security</t>
        </is>
      </c>
      <c r="F1758" s="3" t="n">
        <v>0</v>
      </c>
      <c r="G1758" s="3" t="n">
        <v>11000</v>
      </c>
    </row>
    <row r="1759">
      <c r="A1759" s="3" t="inlineStr">
        <is>
          <t>Cape Projects Construction (Pty) Ltd</t>
        </is>
      </c>
      <c r="B1759" s="4" t="n">
        <v>44834</v>
      </c>
      <c r="C1759" s="3" t="inlineStr">
        <is>
          <t>Expenses</t>
        </is>
      </c>
      <c r="D1759" s="3" t="inlineStr">
        <is>
          <t>2006/400</t>
        </is>
      </c>
      <c r="E1759" s="3" t="inlineStr">
        <is>
          <t>COS - Endulini - Health &amp; Safety</t>
        </is>
      </c>
      <c r="F1759" s="3" t="n">
        <v>-400</v>
      </c>
      <c r="G1759" s="3" t="n">
        <v>19600</v>
      </c>
    </row>
    <row r="1760">
      <c r="A1760" s="3" t="inlineStr">
        <is>
          <t>Cape Projects Construction (Pty) Ltd</t>
        </is>
      </c>
      <c r="B1760" s="4" t="n">
        <v>44834</v>
      </c>
      <c r="C1760" s="3" t="inlineStr">
        <is>
          <t>Expenses</t>
        </is>
      </c>
      <c r="D1760" s="3" t="inlineStr">
        <is>
          <t>2006/700</t>
        </is>
      </c>
      <c r="E1760" s="3" t="inlineStr">
        <is>
          <t>COS - Endulini - Fuel</t>
        </is>
      </c>
      <c r="F1760" s="3" t="n">
        <v>0</v>
      </c>
      <c r="G1760" s="3" t="n">
        <v>2473.65</v>
      </c>
    </row>
    <row r="1761">
      <c r="A1761" s="3" t="inlineStr">
        <is>
          <t>Cape Projects Construction (Pty) Ltd</t>
        </is>
      </c>
      <c r="B1761" s="4" t="n">
        <v>44834</v>
      </c>
      <c r="C1761" s="3" t="inlineStr">
        <is>
          <t>Expenses</t>
        </is>
      </c>
      <c r="D1761" s="3" t="inlineStr">
        <is>
          <t>2006/800</t>
        </is>
      </c>
      <c r="E1761" s="3" t="inlineStr">
        <is>
          <t>COS - Endulini - Telephone &amp; Internet</t>
        </is>
      </c>
      <c r="F1761" s="3" t="n">
        <v>0</v>
      </c>
      <c r="G1761" s="3" t="n">
        <v>937.39</v>
      </c>
    </row>
    <row r="1762">
      <c r="A1762" s="3" t="inlineStr">
        <is>
          <t>Cape Projects Construction (Pty) Ltd</t>
        </is>
      </c>
      <c r="B1762" s="4" t="n">
        <v>44834</v>
      </c>
      <c r="C1762" s="3" t="inlineStr">
        <is>
          <t>Expenses</t>
        </is>
      </c>
      <c r="D1762" s="3" t="inlineStr">
        <is>
          <t>2007/000</t>
        </is>
      </c>
      <c r="E1762" s="3" t="inlineStr">
        <is>
          <t>COS - Repairs &amp; Maintenance - SW Southwark</t>
        </is>
      </c>
      <c r="F1762" s="3" t="n">
        <v>704.35</v>
      </c>
      <c r="G1762" s="3" t="n">
        <v>4661.74</v>
      </c>
    </row>
    <row r="1763">
      <c r="A1763" s="3" t="inlineStr">
        <is>
          <t>Cape Projects Construction (Pty) Ltd</t>
        </is>
      </c>
      <c r="B1763" s="4" t="n">
        <v>44834</v>
      </c>
      <c r="C1763" s="3" t="inlineStr">
        <is>
          <t>Expenses</t>
        </is>
      </c>
      <c r="D1763" s="3" t="inlineStr">
        <is>
          <t>2011/300</t>
        </is>
      </c>
      <c r="E1763" s="3" t="inlineStr">
        <is>
          <t>COS - Heron Fields - Printing &amp; Stationary</t>
        </is>
      </c>
      <c r="F1763" s="3" t="n">
        <v>0</v>
      </c>
      <c r="G1763" s="3" t="n">
        <v>2952.7</v>
      </c>
    </row>
    <row r="1764">
      <c r="A1764" s="3" t="inlineStr">
        <is>
          <t>Cape Projects Construction (Pty) Ltd</t>
        </is>
      </c>
      <c r="B1764" s="4" t="n">
        <v>44834</v>
      </c>
      <c r="C1764" s="3" t="inlineStr">
        <is>
          <t>Expenses</t>
        </is>
      </c>
      <c r="D1764" s="3" t="inlineStr">
        <is>
          <t>2011/500</t>
        </is>
      </c>
      <c r="E1764" s="3" t="inlineStr">
        <is>
          <t>COS - Heron Fields - Construction</t>
        </is>
      </c>
      <c r="F1764" s="3" t="n">
        <v>5226462.46</v>
      </c>
      <c r="G1764" s="3" t="n">
        <v>22344353.99</v>
      </c>
    </row>
    <row r="1765">
      <c r="A1765" s="3" t="inlineStr">
        <is>
          <t>Cape Projects Construction (Pty) Ltd</t>
        </is>
      </c>
      <c r="B1765" s="4" t="n">
        <v>44834</v>
      </c>
      <c r="C1765" s="3" t="inlineStr">
        <is>
          <t>Expenses</t>
        </is>
      </c>
      <c r="D1765" s="3" t="inlineStr">
        <is>
          <t>2011/600</t>
        </is>
      </c>
      <c r="E1765" s="3" t="inlineStr">
        <is>
          <t>COS - Heron Fields - P &amp; G</t>
        </is>
      </c>
      <c r="F1765" s="3" t="n">
        <v>408108.91</v>
      </c>
      <c r="G1765" s="3" t="n">
        <v>1804556.23</v>
      </c>
    </row>
    <row r="1766">
      <c r="A1766" s="3" t="inlineStr">
        <is>
          <t>Cape Projects Construction (Pty) Ltd</t>
        </is>
      </c>
      <c r="B1766" s="4" t="n">
        <v>44834</v>
      </c>
      <c r="C1766" s="3" t="inlineStr">
        <is>
          <t>Expenses</t>
        </is>
      </c>
      <c r="D1766" s="3" t="inlineStr">
        <is>
          <t>2011/700</t>
        </is>
      </c>
      <c r="E1766" s="3" t="inlineStr">
        <is>
          <t>COS - Heron Fields - Health &amp; Safety</t>
        </is>
      </c>
      <c r="F1766" s="3" t="n">
        <v>0</v>
      </c>
      <c r="G1766" s="3" t="n">
        <v>22286.3</v>
      </c>
    </row>
    <row r="1767">
      <c r="A1767" s="3" t="inlineStr">
        <is>
          <t>Cape Projects Construction (Pty) Ltd</t>
        </is>
      </c>
      <c r="B1767" s="4" t="n">
        <v>44834</v>
      </c>
      <c r="C1767" s="3" t="inlineStr">
        <is>
          <t>Expenses</t>
        </is>
      </c>
      <c r="D1767" s="3" t="inlineStr">
        <is>
          <t>2011/900</t>
        </is>
      </c>
      <c r="E1767" s="3" t="inlineStr">
        <is>
          <t>COS - Heron - Internet</t>
        </is>
      </c>
      <c r="F1767" s="3" t="n">
        <v>607.83</v>
      </c>
      <c r="G1767" s="3" t="n">
        <v>4062.13</v>
      </c>
    </row>
    <row r="1768">
      <c r="A1768" s="3" t="inlineStr">
        <is>
          <t>Cape Projects Construction (Pty) Ltd</t>
        </is>
      </c>
      <c r="B1768" s="4" t="n">
        <v>44834</v>
      </c>
      <c r="C1768" s="3" t="inlineStr">
        <is>
          <t>Expenses</t>
        </is>
      </c>
      <c r="D1768" s="3" t="inlineStr">
        <is>
          <t>2011/950</t>
        </is>
      </c>
      <c r="E1768" s="3" t="inlineStr">
        <is>
          <t>COS - Heron Fields - Security</t>
        </is>
      </c>
      <c r="F1768" s="3" t="n">
        <v>0</v>
      </c>
      <c r="G1768" s="3" t="n">
        <v>20565.22</v>
      </c>
    </row>
    <row r="1769">
      <c r="A1769" s="3" t="inlineStr">
        <is>
          <t>Cape Projects Construction (Pty) Ltd</t>
        </is>
      </c>
      <c r="B1769" s="4" t="n">
        <v>44834</v>
      </c>
      <c r="C1769" s="3" t="inlineStr">
        <is>
          <t>Expenses</t>
        </is>
      </c>
      <c r="D1769" s="3" t="inlineStr">
        <is>
          <t>2012/002</t>
        </is>
      </c>
      <c r="E1769" s="3" t="inlineStr">
        <is>
          <t>COS - Heron View - Construction</t>
        </is>
      </c>
      <c r="F1769" s="3" t="n">
        <v>512835.64</v>
      </c>
      <c r="G1769" s="3" t="n">
        <v>512835.64</v>
      </c>
    </row>
    <row r="1770">
      <c r="A1770" s="3" t="inlineStr">
        <is>
          <t>Cape Projects Construction (Pty) Ltd</t>
        </is>
      </c>
      <c r="B1770" s="4" t="n">
        <v>44834</v>
      </c>
      <c r="C1770" s="3" t="inlineStr">
        <is>
          <t>Expenses</t>
        </is>
      </c>
      <c r="D1770" s="3" t="inlineStr">
        <is>
          <t>2012/003</t>
        </is>
      </c>
      <c r="E1770" s="3" t="inlineStr">
        <is>
          <t>COS - Heron View - P&amp;G</t>
        </is>
      </c>
      <c r="F1770" s="3" t="n">
        <v>72905.28</v>
      </c>
      <c r="G1770" s="3" t="n">
        <v>92592.78</v>
      </c>
    </row>
    <row r="1771">
      <c r="A1771" s="3" t="inlineStr">
        <is>
          <t>Cape Projects Construction (Pty) Ltd</t>
        </is>
      </c>
      <c r="B1771" s="4" t="n">
        <v>44834</v>
      </c>
      <c r="C1771" s="3" t="inlineStr">
        <is>
          <t>Revenue</t>
        </is>
      </c>
      <c r="D1771" s="3" t="inlineStr">
        <is>
          <t>2750/000</t>
        </is>
      </c>
      <c r="E1771" s="3" t="inlineStr">
        <is>
          <t>Interest Received - FNB</t>
        </is>
      </c>
      <c r="F1771" s="3" t="n">
        <v>-134.57</v>
      </c>
      <c r="G1771" s="3" t="n">
        <v>-325.28</v>
      </c>
    </row>
    <row r="1772">
      <c r="A1772" s="3" t="inlineStr">
        <is>
          <t>Cape Projects Construction (Pty) Ltd</t>
        </is>
      </c>
      <c r="B1772" s="4" t="n">
        <v>44834</v>
      </c>
      <c r="C1772" s="3" t="inlineStr">
        <is>
          <t>Revenue</t>
        </is>
      </c>
      <c r="D1772" s="3" t="inlineStr">
        <is>
          <t>2751/001</t>
        </is>
      </c>
      <c r="E1772" s="3" t="inlineStr">
        <is>
          <t>Interest received - Momentum</t>
        </is>
      </c>
      <c r="F1772" s="3" t="n">
        <v>0</v>
      </c>
      <c r="G1772" s="3" t="n">
        <v>-12.96</v>
      </c>
    </row>
    <row r="1773">
      <c r="A1773" s="3" t="inlineStr">
        <is>
          <t>Heron Fields (Pty) Ltd</t>
        </is>
      </c>
      <c r="B1773" s="4" t="n">
        <v>44834</v>
      </c>
      <c r="C1773" s="3" t="inlineStr">
        <is>
          <t>Revenue</t>
        </is>
      </c>
      <c r="D1773" s="3" t="inlineStr">
        <is>
          <t>2755/001</t>
        </is>
      </c>
      <c r="E1773" s="3" t="inlineStr">
        <is>
          <t>Interest Received - Momentum</t>
        </is>
      </c>
      <c r="F1773" s="3" t="n">
        <v>-30938.77</v>
      </c>
      <c r="G1773" s="3" t="n">
        <v>-251088.69</v>
      </c>
    </row>
    <row r="1774">
      <c r="A1774" s="3" t="inlineStr">
        <is>
          <t>Cape Projects Construction (Pty) Ltd</t>
        </is>
      </c>
      <c r="B1774" s="4" t="n">
        <v>44834</v>
      </c>
      <c r="C1774" s="3" t="inlineStr">
        <is>
          <t>Expenses</t>
        </is>
      </c>
      <c r="D1774" s="3" t="inlineStr">
        <is>
          <t>3002/000</t>
        </is>
      </c>
      <c r="E1774" s="3" t="inlineStr">
        <is>
          <t>Accounting Fees - Audit</t>
        </is>
      </c>
      <c r="F1774" s="3" t="n">
        <v>0</v>
      </c>
      <c r="G1774" s="3" t="n">
        <v>10600</v>
      </c>
    </row>
    <row r="1775">
      <c r="A1775" s="3" t="inlineStr">
        <is>
          <t>Cape Projects Construction (Pty) Ltd</t>
        </is>
      </c>
      <c r="B1775" s="4" t="n">
        <v>44834</v>
      </c>
      <c r="C1775" s="3" t="inlineStr">
        <is>
          <t>Expenses</t>
        </is>
      </c>
      <c r="D1775" s="3" t="inlineStr">
        <is>
          <t>3020/100</t>
        </is>
      </c>
      <c r="E1775" s="3" t="inlineStr">
        <is>
          <t>Admin - Subcontractors</t>
        </is>
      </c>
      <c r="F1775" s="3" t="n">
        <v>0</v>
      </c>
      <c r="G1775" s="3" t="n">
        <v>14139.13</v>
      </c>
    </row>
    <row r="1776">
      <c r="A1776" s="3" t="inlineStr">
        <is>
          <t>Cape Projects Construction (Pty) Ltd</t>
        </is>
      </c>
      <c r="B1776" s="4" t="n">
        <v>44834</v>
      </c>
      <c r="C1776" s="3" t="inlineStr">
        <is>
          <t>Expenses</t>
        </is>
      </c>
      <c r="D1776" s="3" t="inlineStr">
        <is>
          <t>3050/000</t>
        </is>
      </c>
      <c r="E1776" s="3" t="inlineStr">
        <is>
          <t>Advertising _AND_ Promotions</t>
        </is>
      </c>
      <c r="F1776" s="3" t="n">
        <v>0</v>
      </c>
      <c r="G1776" s="3" t="n">
        <v>687.5</v>
      </c>
    </row>
    <row r="1777">
      <c r="A1777" s="3" t="inlineStr">
        <is>
          <t>Heron Fields (Pty) Ltd</t>
        </is>
      </c>
      <c r="B1777" s="4" t="n">
        <v>44834</v>
      </c>
      <c r="C1777" s="3" t="inlineStr">
        <is>
          <t>Expenses</t>
        </is>
      </c>
      <c r="D1777" s="3" t="inlineStr">
        <is>
          <t>3050/000</t>
        </is>
      </c>
      <c r="E1777" s="3" t="inlineStr">
        <is>
          <t>Advertising _AND_ Promotions</t>
        </is>
      </c>
      <c r="F1777" s="3" t="n">
        <v>4746</v>
      </c>
      <c r="G1777" s="3" t="n">
        <v>99703.86</v>
      </c>
    </row>
    <row r="1778">
      <c r="A1778" s="3" t="inlineStr">
        <is>
          <t>Heron View (Pty) Ltd</t>
        </is>
      </c>
      <c r="B1778" s="4" t="n">
        <v>44834</v>
      </c>
      <c r="C1778" s="3" t="inlineStr">
        <is>
          <t>Expenses</t>
        </is>
      </c>
      <c r="D1778" s="3" t="inlineStr">
        <is>
          <t>3050/000</t>
        </is>
      </c>
      <c r="E1778" s="3" t="inlineStr">
        <is>
          <t>Advertising _AND_ Promotions</t>
        </is>
      </c>
      <c r="F1778" s="3" t="n">
        <v>2500</v>
      </c>
      <c r="G1778" s="3" t="n">
        <v>2500</v>
      </c>
    </row>
    <row r="1779">
      <c r="A1779" s="3" t="inlineStr">
        <is>
          <t>Heron Fields (Pty) Ltd</t>
        </is>
      </c>
      <c r="B1779" s="4" t="n">
        <v>44834</v>
      </c>
      <c r="C1779" s="3" t="inlineStr">
        <is>
          <t>Expenses</t>
        </is>
      </c>
      <c r="D1779" s="3" t="inlineStr">
        <is>
          <t>3050/100</t>
        </is>
      </c>
      <c r="E1779" s="3" t="inlineStr">
        <is>
          <t>Advertising - Property24</t>
        </is>
      </c>
      <c r="F1779" s="3" t="n">
        <v>11556</v>
      </c>
      <c r="G1779" s="3" t="n">
        <v>80892</v>
      </c>
    </row>
    <row r="1780">
      <c r="A1780" s="3" t="inlineStr">
        <is>
          <t>Cape Projects Construction (Pty) Ltd</t>
        </is>
      </c>
      <c r="B1780" s="4" t="n">
        <v>44834</v>
      </c>
      <c r="C1780" s="3" t="inlineStr">
        <is>
          <t>Expenses</t>
        </is>
      </c>
      <c r="D1780" s="3" t="inlineStr">
        <is>
          <t>3050/450</t>
        </is>
      </c>
      <c r="E1780" s="3" t="inlineStr">
        <is>
          <t>Advertising - Other</t>
        </is>
      </c>
      <c r="F1780" s="3" t="n">
        <v>0</v>
      </c>
      <c r="G1780" s="3" t="n">
        <v>137.5</v>
      </c>
    </row>
    <row r="1781">
      <c r="A1781" s="3" t="inlineStr">
        <is>
          <t>Cape Projects Construction (Pty) Ltd</t>
        </is>
      </c>
      <c r="B1781" s="4" t="n">
        <v>44834</v>
      </c>
      <c r="C1781" s="3" t="inlineStr">
        <is>
          <t>Expenses</t>
        </is>
      </c>
      <c r="D1781" s="3" t="inlineStr">
        <is>
          <t>3200/000</t>
        </is>
      </c>
      <c r="E1781" s="3" t="inlineStr">
        <is>
          <t>Bank Charges</t>
        </is>
      </c>
      <c r="F1781" s="3" t="n">
        <v>2627.89</v>
      </c>
      <c r="G1781" s="3" t="n">
        <v>20190.47</v>
      </c>
    </row>
    <row r="1782">
      <c r="A1782" s="3" t="inlineStr">
        <is>
          <t>Heron Fields (Pty) Ltd</t>
        </is>
      </c>
      <c r="B1782" s="4" t="n">
        <v>44834</v>
      </c>
      <c r="C1782" s="3" t="inlineStr">
        <is>
          <t>Expenses</t>
        </is>
      </c>
      <c r="D1782" s="3" t="inlineStr">
        <is>
          <t>3200/000</t>
        </is>
      </c>
      <c r="E1782" s="3" t="inlineStr">
        <is>
          <t>Bank Charges</t>
        </is>
      </c>
      <c r="F1782" s="3" t="n">
        <v>726.9</v>
      </c>
      <c r="G1782" s="3" t="n">
        <v>5477.08</v>
      </c>
    </row>
    <row r="1783">
      <c r="A1783" s="3" t="inlineStr">
        <is>
          <t>Cape Projects Construction (Pty) Ltd</t>
        </is>
      </c>
      <c r="B1783" s="4" t="n">
        <v>44834</v>
      </c>
      <c r="C1783" s="3" t="inlineStr">
        <is>
          <t>Expenses</t>
        </is>
      </c>
      <c r="D1783" s="3" t="inlineStr">
        <is>
          <t>3250/000</t>
        </is>
      </c>
      <c r="E1783" s="3" t="inlineStr">
        <is>
          <t>Cleaning</t>
        </is>
      </c>
      <c r="F1783" s="3" t="n">
        <v>0</v>
      </c>
      <c r="G1783" s="3" t="n">
        <v>1986.89</v>
      </c>
    </row>
    <row r="1784">
      <c r="A1784" s="3" t="inlineStr">
        <is>
          <t>Cape Projects Construction (Pty) Ltd</t>
        </is>
      </c>
      <c r="B1784" s="4" t="n">
        <v>44834</v>
      </c>
      <c r="C1784" s="3" t="inlineStr">
        <is>
          <t>Expenses</t>
        </is>
      </c>
      <c r="D1784" s="3" t="inlineStr">
        <is>
          <t>3256/000</t>
        </is>
      </c>
      <c r="E1784" s="3" t="inlineStr">
        <is>
          <t>Cell Phone - Nick Morgan</t>
        </is>
      </c>
      <c r="F1784" s="3" t="n">
        <v>662.7</v>
      </c>
      <c r="G1784" s="3" t="n">
        <v>4585.87</v>
      </c>
    </row>
    <row r="1785">
      <c r="A1785" s="3" t="inlineStr">
        <is>
          <t>Cape Projects Construction (Pty) Ltd</t>
        </is>
      </c>
      <c r="B1785" s="4" t="n">
        <v>44834</v>
      </c>
      <c r="C1785" s="3" t="inlineStr">
        <is>
          <t>Expenses</t>
        </is>
      </c>
      <c r="D1785" s="3" t="inlineStr">
        <is>
          <t>3300/000</t>
        </is>
      </c>
      <c r="E1785" s="3" t="inlineStr">
        <is>
          <t>Computer Expenses</t>
        </is>
      </c>
      <c r="F1785" s="3" t="n">
        <v>1449</v>
      </c>
      <c r="G1785" s="3" t="n">
        <v>3307.69</v>
      </c>
    </row>
    <row r="1786">
      <c r="A1786" s="3" t="inlineStr">
        <is>
          <t>Cape Projects Construction (Pty) Ltd</t>
        </is>
      </c>
      <c r="B1786" s="4" t="n">
        <v>44834</v>
      </c>
      <c r="C1786" s="3" t="inlineStr">
        <is>
          <t>Expenses</t>
        </is>
      </c>
      <c r="D1786" s="3" t="inlineStr">
        <is>
          <t>3300/100</t>
        </is>
      </c>
      <c r="E1786" s="3" t="inlineStr">
        <is>
          <t>Computer Exp - IT, Internet/Hosting Fee</t>
        </is>
      </c>
      <c r="F1786" s="3" t="n">
        <v>3130</v>
      </c>
      <c r="G1786" s="3" t="n">
        <v>28839</v>
      </c>
    </row>
    <row r="1787">
      <c r="A1787" s="3" t="inlineStr">
        <is>
          <t>Heron Fields (Pty) Ltd</t>
        </is>
      </c>
      <c r="B1787" s="4" t="n">
        <v>44834</v>
      </c>
      <c r="C1787" s="3" t="inlineStr">
        <is>
          <t>Expenses</t>
        </is>
      </c>
      <c r="D1787" s="3" t="inlineStr">
        <is>
          <t>3350/100</t>
        </is>
      </c>
      <c r="E1787" s="3" t="inlineStr">
        <is>
          <t>Consulting Fees - Admin and Finance</t>
        </is>
      </c>
      <c r="F1787" s="3" t="n">
        <v>90550</v>
      </c>
      <c r="G1787" s="3" t="n">
        <v>579990.6800000001</v>
      </c>
    </row>
    <row r="1788">
      <c r="A1788" s="3" t="inlineStr">
        <is>
          <t>Cape Projects Construction (Pty) Ltd</t>
        </is>
      </c>
      <c r="B1788" s="4" t="n">
        <v>44834</v>
      </c>
      <c r="C1788" s="3" t="inlineStr">
        <is>
          <t>Expenses</t>
        </is>
      </c>
      <c r="D1788" s="3" t="inlineStr">
        <is>
          <t>3350/100</t>
        </is>
      </c>
      <c r="E1788" s="3" t="inlineStr">
        <is>
          <t>Consulting fees - Herbert du Plessis</t>
        </is>
      </c>
      <c r="F1788" s="3" t="n">
        <v>36000</v>
      </c>
      <c r="G1788" s="3" t="n">
        <v>252000</v>
      </c>
    </row>
    <row r="1789">
      <c r="A1789" s="3" t="inlineStr">
        <is>
          <t>Cape Projects Construction (Pty) Ltd</t>
        </is>
      </c>
      <c r="B1789" s="4" t="n">
        <v>44834</v>
      </c>
      <c r="C1789" s="3" t="inlineStr">
        <is>
          <t>Expenses</t>
        </is>
      </c>
      <c r="D1789" s="3" t="inlineStr">
        <is>
          <t>3350/300</t>
        </is>
      </c>
      <c r="E1789" s="3" t="inlineStr">
        <is>
          <t>Consulting Fees - Admin and Finance</t>
        </is>
      </c>
      <c r="F1789" s="3" t="n">
        <v>131550</v>
      </c>
      <c r="G1789" s="3" t="n">
        <v>872071.87</v>
      </c>
    </row>
    <row r="1790">
      <c r="A1790" s="3" t="inlineStr">
        <is>
          <t>Heron Fields (Pty) Ltd</t>
        </is>
      </c>
      <c r="B1790" s="4" t="n">
        <v>44834</v>
      </c>
      <c r="C1790" s="3" t="inlineStr">
        <is>
          <t>Expenses</t>
        </is>
      </c>
      <c r="D1790" s="3" t="inlineStr">
        <is>
          <t>3351/000</t>
        </is>
      </c>
      <c r="E1790" s="3" t="inlineStr">
        <is>
          <t>Consulting fees - Trustee</t>
        </is>
      </c>
      <c r="F1790" s="3" t="n">
        <v>8000</v>
      </c>
      <c r="G1790" s="3" t="n">
        <v>48000</v>
      </c>
    </row>
    <row r="1791">
      <c r="A1791" s="3" t="inlineStr">
        <is>
          <t>Cape Projects Construction (Pty) Ltd</t>
        </is>
      </c>
      <c r="B1791" s="4" t="n">
        <v>44834</v>
      </c>
      <c r="C1791" s="3" t="inlineStr">
        <is>
          <t>Expenses</t>
        </is>
      </c>
      <c r="D1791" s="3" t="inlineStr">
        <is>
          <t>3400/000</t>
        </is>
      </c>
      <c r="E1791" s="3" t="inlineStr">
        <is>
          <t>Courier _AND_ Postage</t>
        </is>
      </c>
      <c r="F1791" s="3" t="n">
        <v>0</v>
      </c>
      <c r="G1791" s="3" t="n">
        <v>160.87</v>
      </c>
    </row>
    <row r="1792">
      <c r="A1792" s="3" t="inlineStr">
        <is>
          <t>Cape Projects Construction (Pty) Ltd</t>
        </is>
      </c>
      <c r="B1792" s="4" t="n">
        <v>44834</v>
      </c>
      <c r="C1792" s="3" t="inlineStr">
        <is>
          <t>Expenses</t>
        </is>
      </c>
      <c r="D1792" s="3" t="inlineStr">
        <is>
          <t>3450/001</t>
        </is>
      </c>
      <c r="E1792" s="3" t="inlineStr">
        <is>
          <t>Depreciation - Computer Equipment</t>
        </is>
      </c>
      <c r="F1792" s="3" t="n">
        <v>2165.83</v>
      </c>
      <c r="G1792" s="3" t="n">
        <v>12952.7</v>
      </c>
    </row>
    <row r="1793">
      <c r="A1793" s="3" t="inlineStr">
        <is>
          <t>Cape Projects Construction (Pty) Ltd</t>
        </is>
      </c>
      <c r="B1793" s="4" t="n">
        <v>44834</v>
      </c>
      <c r="C1793" s="3" t="inlineStr">
        <is>
          <t>Expenses</t>
        </is>
      </c>
      <c r="D1793" s="3" t="inlineStr">
        <is>
          <t>3450/002</t>
        </is>
      </c>
      <c r="E1793" s="3" t="inlineStr">
        <is>
          <t>Depreciation - Generator Fixed Asset</t>
        </is>
      </c>
      <c r="F1793" s="3" t="n">
        <v>193.33</v>
      </c>
      <c r="G1793" s="3" t="n">
        <v>1353.33</v>
      </c>
    </row>
    <row r="1794">
      <c r="A1794" s="3" t="inlineStr">
        <is>
          <t>Cape Projects Construction (Pty) Ltd</t>
        </is>
      </c>
      <c r="B1794" s="4" t="n">
        <v>44834</v>
      </c>
      <c r="C1794" s="3" t="inlineStr">
        <is>
          <t>Expenses</t>
        </is>
      </c>
      <c r="D1794" s="3" t="inlineStr">
        <is>
          <t>3450/003</t>
        </is>
      </c>
      <c r="E1794" s="3" t="inlineStr">
        <is>
          <t>Depreciation - Motor vehicle</t>
        </is>
      </c>
      <c r="F1794" s="3" t="n">
        <v>0</v>
      </c>
      <c r="G1794" s="3" t="n">
        <v>39610.1</v>
      </c>
    </row>
    <row r="1795">
      <c r="A1795" s="3" t="inlineStr">
        <is>
          <t>Cape Projects Construction (Pty) Ltd</t>
        </is>
      </c>
      <c r="B1795" s="4" t="n">
        <v>44834</v>
      </c>
      <c r="C1795" s="3" t="inlineStr">
        <is>
          <t>Expenses</t>
        </is>
      </c>
      <c r="D1795" s="3" t="inlineStr">
        <is>
          <t>3450/030</t>
        </is>
      </c>
      <c r="E1795" s="3" t="inlineStr">
        <is>
          <t>Depreciation - Furniture and Fittings</t>
        </is>
      </c>
      <c r="F1795" s="3" t="n">
        <v>427.21</v>
      </c>
      <c r="G1795" s="3" t="n">
        <v>2990.44</v>
      </c>
    </row>
    <row r="1796">
      <c r="A1796" s="3" t="inlineStr">
        <is>
          <t>Heron Fields (Pty) Ltd</t>
        </is>
      </c>
      <c r="B1796" s="4" t="n">
        <v>44834</v>
      </c>
      <c r="C1796" s="3" t="inlineStr">
        <is>
          <t>Expenses</t>
        </is>
      </c>
      <c r="D1796" s="3" t="inlineStr">
        <is>
          <t>3650/000</t>
        </is>
      </c>
      <c r="E1796" s="3" t="inlineStr">
        <is>
          <t>CoCT - Electricity</t>
        </is>
      </c>
      <c r="F1796" s="3" t="n">
        <v>3237.68</v>
      </c>
      <c r="G1796" s="3" t="n">
        <v>20614.58</v>
      </c>
    </row>
    <row r="1797">
      <c r="A1797" s="3" t="inlineStr">
        <is>
          <t>Cape Projects Construction (Pty) Ltd</t>
        </is>
      </c>
      <c r="B1797" s="4" t="n">
        <v>44834</v>
      </c>
      <c r="C1797" s="3" t="inlineStr">
        <is>
          <t>Expenses</t>
        </is>
      </c>
      <c r="D1797" s="3" t="inlineStr">
        <is>
          <t>3650/000</t>
        </is>
      </c>
      <c r="E1797" s="3" t="inlineStr">
        <is>
          <t>Electricity _AND_ Water</t>
        </is>
      </c>
      <c r="F1797" s="3" t="n">
        <v>5559.83</v>
      </c>
      <c r="G1797" s="3" t="n">
        <v>33870.61</v>
      </c>
    </row>
    <row r="1798">
      <c r="A1798" s="3" t="inlineStr">
        <is>
          <t>Heron Fields (Pty) Ltd</t>
        </is>
      </c>
      <c r="B1798" s="4" t="n">
        <v>44834</v>
      </c>
      <c r="C1798" s="3" t="inlineStr">
        <is>
          <t>Expenses</t>
        </is>
      </c>
      <c r="D1798" s="3" t="inlineStr">
        <is>
          <t>3660/000</t>
        </is>
      </c>
      <c r="E1798" s="3" t="inlineStr">
        <is>
          <t>CoCT - Water</t>
        </is>
      </c>
      <c r="F1798" s="3" t="n">
        <v>4998.5</v>
      </c>
      <c r="G1798" s="3" t="n">
        <v>38281.72</v>
      </c>
    </row>
    <row r="1799">
      <c r="A1799" s="3" t="inlineStr">
        <is>
          <t>Cape Projects Construction (Pty) Ltd</t>
        </is>
      </c>
      <c r="B1799" s="4" t="n">
        <v>44834</v>
      </c>
      <c r="C1799" s="3" t="inlineStr">
        <is>
          <t>Expenses</t>
        </is>
      </c>
      <c r="D1799" s="3" t="inlineStr">
        <is>
          <t>3700/000</t>
        </is>
      </c>
      <c r="E1799" s="3" t="inlineStr">
        <is>
          <t>Entertainment Expenses</t>
        </is>
      </c>
      <c r="F1799" s="3" t="n">
        <v>0</v>
      </c>
      <c r="G1799" s="3" t="n">
        <v>7651.52</v>
      </c>
    </row>
    <row r="1800">
      <c r="A1800" s="3" t="inlineStr">
        <is>
          <t>Cape Projects Construction (Pty) Ltd</t>
        </is>
      </c>
      <c r="B1800" s="4" t="n">
        <v>44834</v>
      </c>
      <c r="C1800" s="3" t="inlineStr">
        <is>
          <t>Expenses</t>
        </is>
      </c>
      <c r="D1800" s="3" t="inlineStr">
        <is>
          <t>3850/000</t>
        </is>
      </c>
      <c r="E1800" s="3" t="inlineStr">
        <is>
          <t>Insurance</t>
        </is>
      </c>
      <c r="F1800" s="3" t="n">
        <v>273.21</v>
      </c>
      <c r="G1800" s="3" t="n">
        <v>273.21</v>
      </c>
    </row>
    <row r="1801">
      <c r="A1801" s="3" t="inlineStr">
        <is>
          <t>Heron Fields (Pty) Ltd</t>
        </is>
      </c>
      <c r="B1801" s="4" t="n">
        <v>44834</v>
      </c>
      <c r="C1801" s="3" t="inlineStr">
        <is>
          <t>Expenses</t>
        </is>
      </c>
      <c r="D1801" s="3" t="inlineStr">
        <is>
          <t>3850/000</t>
        </is>
      </c>
      <c r="E1801" s="3" t="inlineStr">
        <is>
          <t>Insurance</t>
        </is>
      </c>
      <c r="F1801" s="3" t="n">
        <v>4142.3</v>
      </c>
      <c r="G1801" s="3" t="n">
        <v>4142.3</v>
      </c>
    </row>
    <row r="1802">
      <c r="A1802" s="3" t="inlineStr">
        <is>
          <t>Cape Projects Construction (Pty) Ltd</t>
        </is>
      </c>
      <c r="B1802" s="4" t="n">
        <v>44834</v>
      </c>
      <c r="C1802" s="3" t="inlineStr">
        <is>
          <t>Expenses</t>
        </is>
      </c>
      <c r="D1802" s="3" t="inlineStr">
        <is>
          <t>3850/001</t>
        </is>
      </c>
      <c r="E1802" s="3" t="inlineStr">
        <is>
          <t>Insurance - Santam</t>
        </is>
      </c>
      <c r="F1802" s="3" t="n">
        <v>1194.15</v>
      </c>
      <c r="G1802" s="3" t="n">
        <v>8289.610000000001</v>
      </c>
    </row>
    <row r="1803">
      <c r="A1803" s="3" t="inlineStr">
        <is>
          <t>Cape Projects Construction (Pty) Ltd</t>
        </is>
      </c>
      <c r="B1803" s="4" t="n">
        <v>44834</v>
      </c>
      <c r="C1803" s="3" t="inlineStr">
        <is>
          <t>Expenses</t>
        </is>
      </c>
      <c r="D1803" s="3" t="inlineStr">
        <is>
          <t>3850/002</t>
        </is>
      </c>
      <c r="E1803" s="3" t="inlineStr">
        <is>
          <t>Insurance - RBS</t>
        </is>
      </c>
      <c r="F1803" s="3" t="n">
        <v>0</v>
      </c>
      <c r="G1803" s="3" t="n">
        <v>1425.42</v>
      </c>
    </row>
    <row r="1804">
      <c r="A1804" s="3" t="inlineStr">
        <is>
          <t>Heron Fields (Pty) Ltd</t>
        </is>
      </c>
      <c r="B1804" s="4" t="n">
        <v>44834</v>
      </c>
      <c r="C1804" s="3" t="inlineStr">
        <is>
          <t>Expenses</t>
        </is>
      </c>
      <c r="D1804" s="3" t="inlineStr">
        <is>
          <t>3900/000</t>
        </is>
      </c>
      <c r="E1804" s="3" t="inlineStr">
        <is>
          <t>Interest Paid</t>
        </is>
      </c>
      <c r="F1804" s="3" t="n">
        <v>89.72</v>
      </c>
      <c r="G1804" s="3" t="n">
        <v>406.78</v>
      </c>
    </row>
    <row r="1805">
      <c r="A1805" s="3" t="inlineStr">
        <is>
          <t>Heron Fields (Pty) Ltd</t>
        </is>
      </c>
      <c r="B1805" s="4" t="n">
        <v>44834</v>
      </c>
      <c r="C1805" s="3" t="inlineStr">
        <is>
          <t>Expenses</t>
        </is>
      </c>
      <c r="D1805" s="3" t="inlineStr">
        <is>
          <t>4100/001</t>
        </is>
      </c>
      <c r="E1805" s="3" t="inlineStr">
        <is>
          <t>Momentum Admin Fee</t>
        </is>
      </c>
      <c r="F1805" s="3" t="n">
        <v>11978.61</v>
      </c>
      <c r="G1805" s="3" t="n">
        <v>238743.56</v>
      </c>
    </row>
    <row r="1806">
      <c r="A1806" s="3" t="inlineStr">
        <is>
          <t>Cape Projects Construction (Pty) Ltd</t>
        </is>
      </c>
      <c r="B1806" s="4" t="n">
        <v>44834</v>
      </c>
      <c r="C1806" s="3" t="inlineStr">
        <is>
          <t>Expenses</t>
        </is>
      </c>
      <c r="D1806" s="3" t="inlineStr">
        <is>
          <t>4150/020</t>
        </is>
      </c>
      <c r="E1806" s="3" t="inlineStr">
        <is>
          <t>Motor Vehicle - Repairs _AND_ Maint.</t>
        </is>
      </c>
      <c r="F1806" s="3" t="n">
        <v>0</v>
      </c>
      <c r="G1806" s="3" t="n">
        <v>4033.01</v>
      </c>
    </row>
    <row r="1807">
      <c r="A1807" s="3" t="inlineStr">
        <is>
          <t>Cape Projects Construction (Pty) Ltd</t>
        </is>
      </c>
      <c r="B1807" s="4" t="n">
        <v>44834</v>
      </c>
      <c r="C1807" s="3" t="inlineStr">
        <is>
          <t>Expenses</t>
        </is>
      </c>
      <c r="D1807" s="3" t="inlineStr">
        <is>
          <t>4150/030</t>
        </is>
      </c>
      <c r="E1807" s="3" t="inlineStr">
        <is>
          <t>Motor Vehicle - Insurance _AND_ Licence</t>
        </is>
      </c>
      <c r="F1807" s="3" t="n">
        <v>0</v>
      </c>
      <c r="G1807" s="3" t="n">
        <v>1200</v>
      </c>
    </row>
    <row r="1808">
      <c r="A1808" s="3" t="inlineStr">
        <is>
          <t>Cape Projects Construction (Pty) Ltd</t>
        </is>
      </c>
      <c r="B1808" s="4" t="n">
        <v>44834</v>
      </c>
      <c r="C1808" s="3" t="inlineStr">
        <is>
          <t>Expenses</t>
        </is>
      </c>
      <c r="D1808" s="3" t="inlineStr">
        <is>
          <t>4200/000</t>
        </is>
      </c>
      <c r="E1808" s="3" t="inlineStr">
        <is>
          <t>Printing _AND_ Stationery</t>
        </is>
      </c>
      <c r="F1808" s="3" t="n">
        <v>899.5700000000001</v>
      </c>
      <c r="G1808" s="3" t="n">
        <v>8672.77</v>
      </c>
    </row>
    <row r="1809">
      <c r="A1809" s="3" t="inlineStr">
        <is>
          <t>Heron View (Pty) Ltd</t>
        </is>
      </c>
      <c r="B1809" s="4" t="n">
        <v>44834</v>
      </c>
      <c r="C1809" s="3" t="inlineStr">
        <is>
          <t>Expenses</t>
        </is>
      </c>
      <c r="D1809" s="3" t="inlineStr">
        <is>
          <t>4200/000</t>
        </is>
      </c>
      <c r="E1809" s="3" t="inlineStr">
        <is>
          <t>Printing _AND_ Stationery</t>
        </is>
      </c>
      <c r="F1809" s="3" t="n">
        <v>3404.62</v>
      </c>
      <c r="G1809" s="3" t="n">
        <v>3404.62</v>
      </c>
    </row>
    <row r="1810">
      <c r="A1810" s="3" t="inlineStr">
        <is>
          <t>Cape Projects Construction (Pty) Ltd</t>
        </is>
      </c>
      <c r="B1810" s="4" t="n">
        <v>44834</v>
      </c>
      <c r="C1810" s="3" t="inlineStr">
        <is>
          <t>Expenses</t>
        </is>
      </c>
      <c r="D1810" s="3" t="inlineStr">
        <is>
          <t>4201/000</t>
        </is>
      </c>
      <c r="E1810" s="3" t="inlineStr">
        <is>
          <t>Printing - Printer rental</t>
        </is>
      </c>
      <c r="F1810" s="3" t="n">
        <v>626.01</v>
      </c>
      <c r="G1810" s="3" t="n">
        <v>4941.46</v>
      </c>
    </row>
    <row r="1811">
      <c r="A1811" s="3" t="inlineStr">
        <is>
          <t>Cape Projects Construction (Pty) Ltd</t>
        </is>
      </c>
      <c r="B1811" s="4" t="n">
        <v>44834</v>
      </c>
      <c r="C1811" s="3" t="inlineStr">
        <is>
          <t>Expenses</t>
        </is>
      </c>
      <c r="D1811" s="3" t="inlineStr">
        <is>
          <t>4300/000</t>
        </is>
      </c>
      <c r="E1811" s="3" t="inlineStr">
        <is>
          <t>Rent Paid</t>
        </is>
      </c>
      <c r="F1811" s="3" t="n">
        <v>28087.5</v>
      </c>
      <c r="G1811" s="3" t="n">
        <v>196612.5</v>
      </c>
    </row>
    <row r="1812">
      <c r="A1812" s="3" t="inlineStr">
        <is>
          <t>Cape Projects Construction (Pty) Ltd</t>
        </is>
      </c>
      <c r="B1812" s="4" t="n">
        <v>44834</v>
      </c>
      <c r="C1812" s="3" t="inlineStr">
        <is>
          <t>Expenses</t>
        </is>
      </c>
      <c r="D1812" s="3" t="inlineStr">
        <is>
          <t>4310/000</t>
        </is>
      </c>
      <c r="E1812" s="3" t="inlineStr">
        <is>
          <t>Rates</t>
        </is>
      </c>
      <c r="F1812" s="3" t="n">
        <v>843.6</v>
      </c>
      <c r="G1812" s="3" t="n">
        <v>5905.2</v>
      </c>
    </row>
    <row r="1813">
      <c r="A1813" s="3" t="inlineStr">
        <is>
          <t>Heron Fields (Pty) Ltd</t>
        </is>
      </c>
      <c r="B1813" s="4" t="n">
        <v>44834</v>
      </c>
      <c r="C1813" s="3" t="inlineStr">
        <is>
          <t>Expenses</t>
        </is>
      </c>
      <c r="D1813" s="3" t="inlineStr">
        <is>
          <t>4310/000</t>
        </is>
      </c>
      <c r="E1813" s="3" t="inlineStr">
        <is>
          <t>Rates - Heron</t>
        </is>
      </c>
      <c r="F1813" s="3" t="n">
        <v>3227.61</v>
      </c>
      <c r="G1813" s="3" t="n">
        <v>22363.37</v>
      </c>
    </row>
    <row r="1814">
      <c r="A1814" s="3" t="inlineStr">
        <is>
          <t>Cape Projects Construction (Pty) Ltd</t>
        </is>
      </c>
      <c r="B1814" s="4" t="n">
        <v>44834</v>
      </c>
      <c r="C1814" s="3" t="inlineStr">
        <is>
          <t>Expenses</t>
        </is>
      </c>
      <c r="D1814" s="3" t="inlineStr">
        <is>
          <t>4350/000</t>
        </is>
      </c>
      <c r="E1814" s="3" t="inlineStr">
        <is>
          <t>Repairs _AND_ Maintenance</t>
        </is>
      </c>
      <c r="F1814" s="3" t="n">
        <v>6950</v>
      </c>
      <c r="G1814" s="3" t="n">
        <v>10521.71</v>
      </c>
    </row>
    <row r="1815">
      <c r="A1815" s="3" t="inlineStr">
        <is>
          <t>Heron Fields (Pty) Ltd</t>
        </is>
      </c>
      <c r="B1815" s="4" t="n">
        <v>44834</v>
      </c>
      <c r="C1815" s="3" t="inlineStr">
        <is>
          <t>Expenses</t>
        </is>
      </c>
      <c r="D1815" s="3" t="inlineStr">
        <is>
          <t>4350/000</t>
        </is>
      </c>
      <c r="E1815" s="3" t="inlineStr">
        <is>
          <t>Repairs _AND_ Maintenance</t>
        </is>
      </c>
      <c r="F1815" s="3" t="n">
        <v>4347.83</v>
      </c>
      <c r="G1815" s="3" t="n">
        <v>4347.83</v>
      </c>
    </row>
    <row r="1816">
      <c r="A1816" s="3" t="inlineStr">
        <is>
          <t>Cape Projects Construction (Pty) Ltd</t>
        </is>
      </c>
      <c r="B1816" s="4" t="n">
        <v>44834</v>
      </c>
      <c r="C1816" s="3" t="inlineStr">
        <is>
          <t>Expenses</t>
        </is>
      </c>
      <c r="D1816" s="3" t="inlineStr">
        <is>
          <t>4400/000</t>
        </is>
      </c>
      <c r="E1816" s="3" t="inlineStr">
        <is>
          <t>Salaries _AND_ Wages</t>
        </is>
      </c>
      <c r="F1816" s="3" t="n">
        <v>231137.91</v>
      </c>
      <c r="G1816" s="3" t="n">
        <v>1540380.81</v>
      </c>
    </row>
    <row r="1817">
      <c r="A1817" s="3" t="inlineStr">
        <is>
          <t>Cape Projects Construction (Pty) Ltd</t>
        </is>
      </c>
      <c r="B1817" s="4" t="n">
        <v>44834</v>
      </c>
      <c r="C1817" s="3" t="inlineStr">
        <is>
          <t>Expenses</t>
        </is>
      </c>
      <c r="D1817" s="3" t="inlineStr">
        <is>
          <t>4402</t>
        </is>
      </c>
      <c r="E1817" s="3" t="inlineStr">
        <is>
          <t>Salaries &amp; Wages - WCA</t>
        </is>
      </c>
      <c r="F1817" s="3" t="n">
        <v>0</v>
      </c>
      <c r="G1817" s="3" t="n">
        <v>3746.27</v>
      </c>
    </row>
    <row r="1818">
      <c r="A1818" s="3" t="inlineStr">
        <is>
          <t>Cape Projects Construction (Pty) Ltd</t>
        </is>
      </c>
      <c r="B1818" s="4" t="n">
        <v>44834</v>
      </c>
      <c r="C1818" s="3" t="inlineStr">
        <is>
          <t>Expenses</t>
        </is>
      </c>
      <c r="D1818" s="3" t="inlineStr">
        <is>
          <t>4403/000</t>
        </is>
      </c>
      <c r="E1818" s="3" t="inlineStr">
        <is>
          <t>Security</t>
        </is>
      </c>
      <c r="F1818" s="3" t="n">
        <v>164.35</v>
      </c>
      <c r="G1818" s="3" t="n">
        <v>986.1</v>
      </c>
    </row>
    <row r="1819">
      <c r="A1819" s="3" t="inlineStr">
        <is>
          <t>Cape Projects Construction (Pty) Ltd</t>
        </is>
      </c>
      <c r="B1819" s="4" t="n">
        <v>44834</v>
      </c>
      <c r="C1819" s="3" t="inlineStr">
        <is>
          <t>Expenses</t>
        </is>
      </c>
      <c r="D1819" s="3" t="inlineStr">
        <is>
          <t>4420/000</t>
        </is>
      </c>
      <c r="E1819" s="3" t="inlineStr">
        <is>
          <t>Small Assets</t>
        </is>
      </c>
      <c r="F1819" s="3" t="n">
        <v>6086.96</v>
      </c>
      <c r="G1819" s="3" t="n">
        <v>7623.92</v>
      </c>
    </row>
    <row r="1820">
      <c r="A1820" s="3" t="inlineStr">
        <is>
          <t>Heron Fields (Pty) Ltd</t>
        </is>
      </c>
      <c r="B1820" s="4" t="n">
        <v>44834</v>
      </c>
      <c r="C1820" s="3" t="inlineStr">
        <is>
          <t>Expenses</t>
        </is>
      </c>
      <c r="D1820" s="3" t="inlineStr">
        <is>
          <t>4420/001</t>
        </is>
      </c>
      <c r="E1820" s="3" t="inlineStr">
        <is>
          <t>Security - ADT</t>
        </is>
      </c>
      <c r="F1820" s="3" t="n">
        <v>328.38</v>
      </c>
      <c r="G1820" s="3" t="n">
        <v>3599.08</v>
      </c>
    </row>
    <row r="1821">
      <c r="A1821" s="3" t="inlineStr">
        <is>
          <t>Cape Projects Construction (Pty) Ltd</t>
        </is>
      </c>
      <c r="B1821" s="4" t="n">
        <v>44834</v>
      </c>
      <c r="C1821" s="3" t="inlineStr">
        <is>
          <t>Expenses</t>
        </is>
      </c>
      <c r="D1821" s="3" t="inlineStr">
        <is>
          <t>4450/000</t>
        </is>
      </c>
      <c r="E1821" s="3" t="inlineStr">
        <is>
          <t>Staff Training</t>
        </is>
      </c>
      <c r="F1821" s="3" t="n">
        <v>0</v>
      </c>
      <c r="G1821" s="3" t="n">
        <v>6800</v>
      </c>
    </row>
    <row r="1822">
      <c r="A1822" s="3" t="inlineStr">
        <is>
          <t>Cape Projects Construction (Pty) Ltd</t>
        </is>
      </c>
      <c r="B1822" s="4" t="n">
        <v>44834</v>
      </c>
      <c r="C1822" s="3" t="inlineStr">
        <is>
          <t>Expenses</t>
        </is>
      </c>
      <c r="D1822" s="3" t="inlineStr">
        <is>
          <t>4500/000</t>
        </is>
      </c>
      <c r="E1822" s="3" t="inlineStr">
        <is>
          <t>Staff Welfare _AND_ Refreshmts</t>
        </is>
      </c>
      <c r="F1822" s="3" t="n">
        <v>0</v>
      </c>
      <c r="G1822" s="3" t="n">
        <v>3519.1</v>
      </c>
    </row>
    <row r="1823">
      <c r="A1823" s="3" t="inlineStr">
        <is>
          <t>Cape Projects Construction (Pty) Ltd</t>
        </is>
      </c>
      <c r="B1823" s="4" t="n">
        <v>44834</v>
      </c>
      <c r="C1823" s="3" t="inlineStr">
        <is>
          <t>Expenses</t>
        </is>
      </c>
      <c r="D1823" s="3" t="inlineStr">
        <is>
          <t>4550/000</t>
        </is>
      </c>
      <c r="E1823" s="3" t="inlineStr">
        <is>
          <t>Subscriptions / Licenses</t>
        </is>
      </c>
      <c r="F1823" s="3" t="n">
        <v>0</v>
      </c>
      <c r="G1823" s="3" t="n">
        <v>526.3200000000001</v>
      </c>
    </row>
    <row r="1824">
      <c r="A1824" s="3" t="inlineStr">
        <is>
          <t>Cape Projects Construction (Pty) Ltd</t>
        </is>
      </c>
      <c r="B1824" s="4" t="n">
        <v>44834</v>
      </c>
      <c r="C1824" s="3" t="inlineStr">
        <is>
          <t>Expenses</t>
        </is>
      </c>
      <c r="D1824" s="3" t="inlineStr">
        <is>
          <t>4550/001</t>
        </is>
      </c>
      <c r="E1824" s="3" t="inlineStr">
        <is>
          <t>Subscriptions &amp; Licenses - Sage payroll</t>
        </is>
      </c>
      <c r="F1824" s="3" t="n">
        <v>686</v>
      </c>
      <c r="G1824" s="3" t="n">
        <v>4022</v>
      </c>
    </row>
    <row r="1825">
      <c r="A1825" s="3" t="inlineStr">
        <is>
          <t>Cape Projects Construction (Pty) Ltd</t>
        </is>
      </c>
      <c r="B1825" s="4" t="n">
        <v>44834</v>
      </c>
      <c r="C1825" s="3" t="inlineStr">
        <is>
          <t>Expenses</t>
        </is>
      </c>
      <c r="D1825" s="3" t="inlineStr">
        <is>
          <t>4550/003</t>
        </is>
      </c>
      <c r="E1825" s="3" t="inlineStr">
        <is>
          <t>Subscriptions &amp; Licenses - Xero</t>
        </is>
      </c>
      <c r="F1825" s="3" t="n">
        <v>600</v>
      </c>
      <c r="G1825" s="3" t="n">
        <v>4200</v>
      </c>
    </row>
    <row r="1826">
      <c r="A1826" s="3" t="inlineStr">
        <is>
          <t>Cape Projects Construction (Pty) Ltd</t>
        </is>
      </c>
      <c r="B1826" s="4" t="n">
        <v>44834</v>
      </c>
      <c r="C1826" s="3" t="inlineStr">
        <is>
          <t>Expenses</t>
        </is>
      </c>
      <c r="D1826" s="3" t="inlineStr">
        <is>
          <t>4550/004</t>
        </is>
      </c>
      <c r="E1826" s="3" t="inlineStr">
        <is>
          <t>Subscriptions - Smartsheet</t>
        </is>
      </c>
      <c r="F1826" s="3" t="n">
        <v>484</v>
      </c>
      <c r="G1826" s="3" t="n">
        <v>2834.6</v>
      </c>
    </row>
    <row r="1827">
      <c r="A1827" s="3" t="inlineStr">
        <is>
          <t>Cape Projects Construction (Pty) Ltd</t>
        </is>
      </c>
      <c r="B1827" s="4" t="n">
        <v>44834</v>
      </c>
      <c r="C1827" s="3" t="inlineStr">
        <is>
          <t>Expenses</t>
        </is>
      </c>
      <c r="D1827" s="3" t="inlineStr">
        <is>
          <t>4550/006</t>
        </is>
      </c>
      <c r="E1827" s="3" t="inlineStr">
        <is>
          <t>Subscription - Candy software</t>
        </is>
      </c>
      <c r="F1827" s="3" t="n">
        <v>1640</v>
      </c>
      <c r="G1827" s="3" t="n">
        <v>13765</v>
      </c>
    </row>
    <row r="1828">
      <c r="A1828" s="3" t="inlineStr">
        <is>
          <t>Heron Fields (Pty) Ltd</t>
        </is>
      </c>
      <c r="B1828" s="4" t="n">
        <v>44834</v>
      </c>
      <c r="C1828" s="3" t="inlineStr">
        <is>
          <t>Expenses</t>
        </is>
      </c>
      <c r="D1828" s="3" t="inlineStr">
        <is>
          <t>4550/100</t>
        </is>
      </c>
      <c r="E1828" s="3" t="inlineStr">
        <is>
          <t>Subscriptions - Xero</t>
        </is>
      </c>
      <c r="F1828" s="3" t="n">
        <v>600</v>
      </c>
      <c r="G1828" s="3" t="n">
        <v>4200</v>
      </c>
    </row>
    <row r="1829">
      <c r="A1829" s="3" t="inlineStr">
        <is>
          <t>Heron View (Pty) Ltd</t>
        </is>
      </c>
      <c r="B1829" s="4" t="n">
        <v>44834</v>
      </c>
      <c r="C1829" s="3" t="inlineStr">
        <is>
          <t>Expenses</t>
        </is>
      </c>
      <c r="D1829" s="3" t="inlineStr">
        <is>
          <t>4550/100</t>
        </is>
      </c>
      <c r="E1829" s="3" t="inlineStr">
        <is>
          <t>Subscriptions - Xero</t>
        </is>
      </c>
      <c r="F1829" s="3" t="n">
        <v>600</v>
      </c>
      <c r="G1829" s="3" t="n">
        <v>7800</v>
      </c>
    </row>
    <row r="1830">
      <c r="A1830" s="3" t="inlineStr">
        <is>
          <t>Cape Projects Construction (Pty) Ltd</t>
        </is>
      </c>
      <c r="B1830" s="4" t="n">
        <v>44834</v>
      </c>
      <c r="C1830" s="3" t="inlineStr">
        <is>
          <t>Expenses</t>
        </is>
      </c>
      <c r="D1830" s="3" t="inlineStr">
        <is>
          <t>4560</t>
        </is>
      </c>
      <c r="E1830" s="3" t="inlineStr">
        <is>
          <t>Secretarial fees - CIPC</t>
        </is>
      </c>
      <c r="F1830" s="3" t="n">
        <v>0</v>
      </c>
      <c r="G1830" s="3" t="n">
        <v>2500</v>
      </c>
    </row>
    <row r="1831">
      <c r="A1831" s="3" t="inlineStr">
        <is>
          <t>Cape Projects Construction (Pty) Ltd</t>
        </is>
      </c>
      <c r="B1831" s="4" t="n">
        <v>44834</v>
      </c>
      <c r="C1831" s="3" t="inlineStr">
        <is>
          <t>Expenses</t>
        </is>
      </c>
      <c r="D1831" s="3" t="inlineStr">
        <is>
          <t>4650/010</t>
        </is>
      </c>
      <c r="E1831" s="3" t="inlineStr">
        <is>
          <t>Travel - Local</t>
        </is>
      </c>
      <c r="F1831" s="3" t="n">
        <v>0</v>
      </c>
      <c r="G1831" s="3" t="n">
        <v>13.04</v>
      </c>
    </row>
    <row r="1832">
      <c r="A1832" s="3" t="inlineStr">
        <is>
          <t>Cape Projects Construction (Pty) Ltd</t>
        </is>
      </c>
      <c r="B1832" s="4" t="n">
        <v>44834</v>
      </c>
      <c r="C1832" s="3" t="inlineStr">
        <is>
          <t>Expenses</t>
        </is>
      </c>
      <c r="D1832" s="3" t="inlineStr">
        <is>
          <t>4700/000</t>
        </is>
      </c>
      <c r="E1832" s="3" t="inlineStr">
        <is>
          <t>PAYE Contributions</t>
        </is>
      </c>
      <c r="F1832" s="3" t="n">
        <v>31349.25</v>
      </c>
      <c r="G1832" s="3" t="n">
        <v>241743.5</v>
      </c>
    </row>
    <row r="1833">
      <c r="A1833" s="3" t="inlineStr">
        <is>
          <t>Cape Projects Construction (Pty) Ltd</t>
        </is>
      </c>
      <c r="B1833" s="4" t="n">
        <v>44834</v>
      </c>
      <c r="C1833" s="3" t="inlineStr">
        <is>
          <t>Expenses</t>
        </is>
      </c>
      <c r="D1833" s="3" t="inlineStr">
        <is>
          <t>4720/000</t>
        </is>
      </c>
      <c r="E1833" s="3" t="inlineStr">
        <is>
          <t>SDL Contributions</t>
        </is>
      </c>
      <c r="F1833" s="3" t="n">
        <v>2530.56</v>
      </c>
      <c r="G1833" s="3" t="n">
        <v>17084.01</v>
      </c>
    </row>
    <row r="1834">
      <c r="A1834" s="3" t="inlineStr">
        <is>
          <t>Cape Projects Construction (Pty) Ltd</t>
        </is>
      </c>
      <c r="B1834" s="4" t="n">
        <v>44834</v>
      </c>
      <c r="C1834" s="3" t="inlineStr">
        <is>
          <t>Expenses</t>
        </is>
      </c>
      <c r="D1834" s="3" t="inlineStr">
        <is>
          <t>4730/000</t>
        </is>
      </c>
      <c r="E1834" s="3" t="inlineStr">
        <is>
          <t>UIF Company Contributions</t>
        </is>
      </c>
      <c r="F1834" s="3" t="n">
        <v>1906.52</v>
      </c>
      <c r="G1834" s="3" t="n">
        <v>12217.58</v>
      </c>
    </row>
    <row r="1835">
      <c r="A1835" s="3" t="inlineStr">
        <is>
          <t>Cape Projects Construction (Pty) Ltd</t>
        </is>
      </c>
      <c r="B1835" s="4" t="n">
        <v>44834</v>
      </c>
      <c r="C1835" s="3" t="inlineStr">
        <is>
          <t>Expenses</t>
        </is>
      </c>
      <c r="D1835" s="3" t="inlineStr">
        <is>
          <t>4731/000</t>
        </is>
      </c>
      <c r="E1835" s="3" t="inlineStr">
        <is>
          <t>UIF Employee Contribution</t>
        </is>
      </c>
      <c r="F1835" s="3" t="n">
        <v>1906.52</v>
      </c>
      <c r="G1835" s="3" t="n">
        <v>12217.58</v>
      </c>
    </row>
    <row r="1836">
      <c r="A1836" s="3" t="inlineStr">
        <is>
          <t>Cape Projects Construction (Pty) Ltd</t>
        </is>
      </c>
      <c r="B1836" s="4" t="n">
        <v>44834</v>
      </c>
      <c r="C1836" s="3" t="inlineStr">
        <is>
          <t>Expenses</t>
        </is>
      </c>
      <c r="D1836" s="3" t="inlineStr">
        <is>
          <t>4740/000</t>
        </is>
      </c>
      <c r="E1836" s="3" t="inlineStr">
        <is>
          <t>BIBC Company Contribution</t>
        </is>
      </c>
      <c r="F1836" s="3" t="n">
        <v>9644.5</v>
      </c>
      <c r="G1836" s="3" t="n">
        <v>35524.81</v>
      </c>
    </row>
    <row r="1837">
      <c r="A1837" s="3" t="inlineStr">
        <is>
          <t>Cape Projects Construction (Pty) Ltd</t>
        </is>
      </c>
      <c r="B1837" s="4" t="n">
        <v>44834</v>
      </c>
      <c r="C1837" s="3" t="inlineStr">
        <is>
          <t>Expenses</t>
        </is>
      </c>
      <c r="D1837" s="3" t="inlineStr">
        <is>
          <t>4741/000</t>
        </is>
      </c>
      <c r="E1837" s="3" t="inlineStr">
        <is>
          <t>BIBC Employee Contribution</t>
        </is>
      </c>
      <c r="F1837" s="3" t="n">
        <v>3344.31</v>
      </c>
      <c r="G1837" s="3" t="n">
        <v>16449.65</v>
      </c>
    </row>
    <row r="1838">
      <c r="A1838" s="3" t="inlineStr">
        <is>
          <t>Heron Fields (Pty) Ltd</t>
        </is>
      </c>
      <c r="B1838" s="4" t="n">
        <v>44834</v>
      </c>
      <c r="C1838" s="3" t="inlineStr">
        <is>
          <t>Equity</t>
        </is>
      </c>
      <c r="D1838" s="3" t="inlineStr">
        <is>
          <t>5100-000</t>
        </is>
      </c>
      <c r="E1838" s="3" t="inlineStr">
        <is>
          <t>Share Capital</t>
        </is>
      </c>
      <c r="F1838" s="3" t="n">
        <v>0</v>
      </c>
      <c r="G1838" s="3" t="n">
        <v>-100</v>
      </c>
    </row>
    <row r="1839">
      <c r="A1839" s="3" t="inlineStr">
        <is>
          <t>Cape Projects Construction (Pty) Ltd</t>
        </is>
      </c>
      <c r="B1839" s="4" t="n">
        <v>44834</v>
      </c>
      <c r="C1839" s="3" t="inlineStr">
        <is>
          <t>Equity</t>
        </is>
      </c>
      <c r="D1839" s="3" t="inlineStr">
        <is>
          <t>5100/000</t>
        </is>
      </c>
      <c r="E1839" s="3" t="inlineStr">
        <is>
          <t>Share Capital / Members Contribution</t>
        </is>
      </c>
      <c r="F1839" s="3" t="n">
        <v>0</v>
      </c>
      <c r="G1839" s="3" t="n">
        <v>-120</v>
      </c>
    </row>
    <row r="1840">
      <c r="A1840" s="3" t="inlineStr">
        <is>
          <t>Cape Projects Construction (Pty) Ltd</t>
        </is>
      </c>
      <c r="B1840" s="4" t="n">
        <v>44834</v>
      </c>
      <c r="C1840" s="3" t="inlineStr">
        <is>
          <t>Equity</t>
        </is>
      </c>
      <c r="D1840" s="3" t="inlineStr">
        <is>
          <t>5200/000</t>
        </is>
      </c>
      <c r="E1840" s="3" t="inlineStr">
        <is>
          <t>Retained Earnings / Loss</t>
        </is>
      </c>
      <c r="F1840" s="3" t="n">
        <v>0</v>
      </c>
      <c r="G1840" s="3" t="n">
        <v>247347.05</v>
      </c>
    </row>
    <row r="1841">
      <c r="A1841" s="3" t="inlineStr">
        <is>
          <t>Heron Fields (Pty) Ltd</t>
        </is>
      </c>
      <c r="B1841" s="4" t="n">
        <v>44834</v>
      </c>
      <c r="C1841" s="3" t="inlineStr">
        <is>
          <t>Equity</t>
        </is>
      </c>
      <c r="D1841" s="3" t="inlineStr">
        <is>
          <t>5200/000</t>
        </is>
      </c>
      <c r="E1841" s="3" t="inlineStr">
        <is>
          <t>Retained Earnings / Loss</t>
        </is>
      </c>
      <c r="F1841" s="3" t="n">
        <v>0</v>
      </c>
      <c r="G1841" s="3" t="n">
        <v>-17080353.05</v>
      </c>
    </row>
    <row r="1842">
      <c r="A1842" s="3" t="inlineStr">
        <is>
          <t>Heron Fields (Pty) Ltd</t>
        </is>
      </c>
      <c r="B1842" s="4" t="n">
        <v>44834</v>
      </c>
      <c r="C1842" s="3" t="inlineStr">
        <is>
          <t>Assets</t>
        </is>
      </c>
      <c r="D1842" s="3" t="inlineStr">
        <is>
          <t>5300/001</t>
        </is>
      </c>
      <c r="E1842" s="3" t="inlineStr">
        <is>
          <t>Revaluation of Land stock</t>
        </is>
      </c>
      <c r="F1842" s="3" t="n">
        <v>0</v>
      </c>
      <c r="G1842" s="3" t="n">
        <v>17562360.85</v>
      </c>
    </row>
    <row r="1843">
      <c r="A1843" s="3" t="inlineStr">
        <is>
          <t>Cape Projects Construction (Pty) Ltd</t>
        </is>
      </c>
      <c r="B1843" s="4" t="n">
        <v>44834</v>
      </c>
      <c r="C1843" s="3" t="inlineStr">
        <is>
          <t>Assets</t>
        </is>
      </c>
      <c r="D1843" s="3" t="inlineStr">
        <is>
          <t>5400/100</t>
        </is>
      </c>
      <c r="E1843" s="3" t="inlineStr">
        <is>
          <t>Loan - Cape Projects Structuring Dev</t>
        </is>
      </c>
      <c r="F1843" s="3" t="n">
        <v>-420000</v>
      </c>
      <c r="G1843" s="3" t="n">
        <v>-420000</v>
      </c>
    </row>
    <row r="1844">
      <c r="A1844" s="3" t="inlineStr">
        <is>
          <t>Cape Projects Construction (Pty) Ltd</t>
        </is>
      </c>
      <c r="B1844" s="4" t="n">
        <v>44834</v>
      </c>
      <c r="C1844" s="3" t="inlineStr">
        <is>
          <t>Assets</t>
        </is>
      </c>
      <c r="D1844" s="3" t="inlineStr">
        <is>
          <t>5400/150</t>
        </is>
      </c>
      <c r="E1844" s="3" t="inlineStr">
        <is>
          <t>Loan - Quinate</t>
        </is>
      </c>
      <c r="F1844" s="3" t="n">
        <v>0</v>
      </c>
      <c r="G1844" s="3" t="n">
        <v>3050000</v>
      </c>
    </row>
    <row r="1845">
      <c r="A1845" s="3" t="inlineStr">
        <is>
          <t>Cape Projects Construction (Pty) Ltd</t>
        </is>
      </c>
      <c r="B1845" s="4" t="n">
        <v>44834</v>
      </c>
      <c r="C1845" s="3" t="inlineStr">
        <is>
          <t>Assets</t>
        </is>
      </c>
      <c r="D1845" s="3" t="inlineStr">
        <is>
          <t>5400/550</t>
        </is>
      </c>
      <c r="E1845" s="3" t="inlineStr">
        <is>
          <t>Loan - Trademark</t>
        </is>
      </c>
      <c r="F1845" s="3" t="n">
        <v>600</v>
      </c>
      <c r="G1845" s="3" t="n">
        <v>600</v>
      </c>
    </row>
    <row r="1846">
      <c r="A1846" s="3" t="inlineStr">
        <is>
          <t>Cape Projects Construction (Pty) Ltd</t>
        </is>
      </c>
      <c r="B1846" s="4" t="n">
        <v>44834</v>
      </c>
      <c r="C1846" s="3" t="inlineStr">
        <is>
          <t>Assets</t>
        </is>
      </c>
      <c r="D1846" s="3" t="inlineStr">
        <is>
          <t>5400/600</t>
        </is>
      </c>
      <c r="E1846" s="3" t="inlineStr">
        <is>
          <t>Loan - Heron Projects</t>
        </is>
      </c>
      <c r="F1846" s="3" t="n">
        <v>-600000</v>
      </c>
      <c r="G1846" s="3" t="n">
        <v>-4546000</v>
      </c>
    </row>
    <row r="1847">
      <c r="A1847" s="3" t="inlineStr">
        <is>
          <t>Cape Projects Construction (Pty) Ltd</t>
        </is>
      </c>
      <c r="B1847" s="4" t="n">
        <v>44834</v>
      </c>
      <c r="C1847" s="3" t="inlineStr">
        <is>
          <t>Assets</t>
        </is>
      </c>
      <c r="D1847" s="3" t="inlineStr">
        <is>
          <t>5400/650</t>
        </is>
      </c>
      <c r="E1847" s="3" t="inlineStr">
        <is>
          <t>Loan - Noble Shield</t>
        </is>
      </c>
      <c r="F1847" s="3" t="n">
        <v>600</v>
      </c>
      <c r="G1847" s="3" t="n">
        <v>600</v>
      </c>
    </row>
    <row r="1848">
      <c r="A1848" s="3" t="inlineStr">
        <is>
          <t>Cape Projects Construction (Pty) Ltd</t>
        </is>
      </c>
      <c r="B1848" s="4" t="n">
        <v>44834</v>
      </c>
      <c r="C1848" s="3" t="inlineStr">
        <is>
          <t>Assets</t>
        </is>
      </c>
      <c r="D1848" s="3" t="inlineStr">
        <is>
          <t>5400/750</t>
        </is>
      </c>
      <c r="E1848" s="3" t="inlineStr">
        <is>
          <t>Loan - Endulini</t>
        </is>
      </c>
      <c r="F1848" s="3" t="n">
        <v>18000</v>
      </c>
      <c r="G1848" s="3" t="n">
        <v>1367000</v>
      </c>
    </row>
    <row r="1849">
      <c r="A1849" s="3" t="inlineStr">
        <is>
          <t>Heron View (Pty) Ltd</t>
        </is>
      </c>
      <c r="B1849" s="4" t="n">
        <v>44834</v>
      </c>
      <c r="C1849" s="3" t="inlineStr">
        <is>
          <t>Liabilities</t>
        </is>
      </c>
      <c r="D1849" s="3" t="inlineStr">
        <is>
          <t>5500/001</t>
        </is>
      </c>
      <c r="E1849" s="3" t="inlineStr">
        <is>
          <t>Loan - Heron Fields</t>
        </is>
      </c>
      <c r="F1849" s="3" t="n">
        <v>-288776.5</v>
      </c>
      <c r="G1849" s="3" t="n">
        <v>-2010617.72</v>
      </c>
    </row>
    <row r="1850">
      <c r="A1850" s="3" t="inlineStr">
        <is>
          <t>Heron Fields (Pty) Ltd</t>
        </is>
      </c>
      <c r="B1850" s="4" t="n">
        <v>44834</v>
      </c>
      <c r="C1850" s="3" t="inlineStr">
        <is>
          <t>Liabilities</t>
        </is>
      </c>
      <c r="D1850" s="3" t="inlineStr">
        <is>
          <t>5500/020</t>
        </is>
      </c>
      <c r="E1850" s="3" t="inlineStr">
        <is>
          <t>Loan - Cape Projects Construction</t>
        </is>
      </c>
      <c r="F1850" s="3" t="n">
        <v>600000</v>
      </c>
      <c r="G1850" s="3" t="n">
        <v>4546000</v>
      </c>
    </row>
    <row r="1851">
      <c r="A1851" s="3" t="inlineStr">
        <is>
          <t>Heron Fields (Pty) Ltd</t>
        </is>
      </c>
      <c r="B1851" s="4" t="n">
        <v>44834</v>
      </c>
      <c r="C1851" s="3" t="inlineStr">
        <is>
          <t>Liabilities</t>
        </is>
      </c>
      <c r="D1851" s="3" t="inlineStr">
        <is>
          <t>5500/050</t>
        </is>
      </c>
      <c r="E1851" s="3" t="inlineStr">
        <is>
          <t>Loan - Heron View</t>
        </is>
      </c>
      <c r="F1851" s="3" t="n">
        <v>288776.5</v>
      </c>
      <c r="G1851" s="3" t="n">
        <v>2010617.72</v>
      </c>
    </row>
    <row r="1852">
      <c r="A1852" s="3" t="inlineStr">
        <is>
          <t>Heron Fields (Pty) Ltd</t>
        </is>
      </c>
      <c r="B1852" s="4" t="n">
        <v>44834</v>
      </c>
      <c r="C1852" s="3" t="inlineStr">
        <is>
          <t>Liabilities</t>
        </is>
      </c>
      <c r="D1852" s="3" t="inlineStr">
        <is>
          <t>5500/060</t>
        </is>
      </c>
      <c r="E1852" s="3" t="inlineStr">
        <is>
          <t>Loan - Opportunity Management Holdings</t>
        </is>
      </c>
      <c r="F1852" s="3" t="n">
        <v>-30000</v>
      </c>
      <c r="G1852" s="3" t="n">
        <v>-30000</v>
      </c>
    </row>
    <row r="1853">
      <c r="A1853" s="3" t="inlineStr">
        <is>
          <t>Cape Projects Construction (Pty) Ltd</t>
        </is>
      </c>
      <c r="B1853" s="4" t="n">
        <v>44834</v>
      </c>
      <c r="C1853" s="3" t="inlineStr">
        <is>
          <t>Liabilities</t>
        </is>
      </c>
      <c r="D1853" s="3" t="inlineStr">
        <is>
          <t>5600/100</t>
        </is>
      </c>
      <c r="E1853" s="3" t="inlineStr">
        <is>
          <t>Motor Vehical Car Repaymts - Toyota</t>
        </is>
      </c>
      <c r="F1853" s="3" t="n">
        <v>5224.15</v>
      </c>
      <c r="G1853" s="3" t="n">
        <v>36440.57</v>
      </c>
    </row>
    <row r="1854">
      <c r="A1854" s="3" t="inlineStr">
        <is>
          <t>Cape Projects Construction (Pty) Ltd</t>
        </is>
      </c>
      <c r="B1854" s="4" t="n">
        <v>44834</v>
      </c>
      <c r="C1854" s="3" t="inlineStr">
        <is>
          <t>Liabilities</t>
        </is>
      </c>
      <c r="D1854" s="3" t="inlineStr">
        <is>
          <t>5600/200</t>
        </is>
      </c>
      <c r="E1854" s="3" t="inlineStr">
        <is>
          <t>Motor Vehicle Car Repayments - Toyota Shortterm</t>
        </is>
      </c>
      <c r="F1854" s="3" t="n">
        <v>0</v>
      </c>
      <c r="G1854" s="3" t="n">
        <v>-58920.1</v>
      </c>
    </row>
    <row r="1855">
      <c r="A1855" s="3" t="inlineStr">
        <is>
          <t>Cape Projects Construction (Pty) Ltd</t>
        </is>
      </c>
      <c r="B1855" s="4" t="n">
        <v>44834</v>
      </c>
      <c r="C1855" s="3" t="inlineStr">
        <is>
          <t>Assets</t>
        </is>
      </c>
      <c r="D1855" s="3" t="inlineStr">
        <is>
          <t>6200/010</t>
        </is>
      </c>
      <c r="E1855" s="3" t="inlineStr">
        <is>
          <t>Motor Vehicles - @ Cost</t>
        </is>
      </c>
      <c r="F1855" s="3" t="n">
        <v>0</v>
      </c>
      <c r="G1855" s="3" t="n">
        <v>216064.1</v>
      </c>
    </row>
    <row r="1856">
      <c r="A1856" s="3" t="inlineStr">
        <is>
          <t>Cape Projects Construction (Pty) Ltd</t>
        </is>
      </c>
      <c r="B1856" s="4" t="n">
        <v>44834</v>
      </c>
      <c r="C1856" s="3" t="inlineStr">
        <is>
          <t>Assets</t>
        </is>
      </c>
      <c r="D1856" s="3" t="inlineStr">
        <is>
          <t>6200/020</t>
        </is>
      </c>
      <c r="E1856" s="3" t="inlineStr">
        <is>
          <t>Motor Vehicles - Accum Depre</t>
        </is>
      </c>
      <c r="F1856" s="3" t="n">
        <v>0</v>
      </c>
      <c r="G1856" s="3" t="n">
        <v>-216063.1</v>
      </c>
    </row>
    <row r="1857">
      <c r="A1857" s="3" t="inlineStr">
        <is>
          <t>Cape Projects Construction (Pty) Ltd</t>
        </is>
      </c>
      <c r="B1857" s="4" t="n">
        <v>44834</v>
      </c>
      <c r="C1857" s="3" t="inlineStr">
        <is>
          <t>Assets</t>
        </is>
      </c>
      <c r="D1857" s="3" t="inlineStr">
        <is>
          <t>6250/010</t>
        </is>
      </c>
      <c r="E1857" s="3" t="inlineStr">
        <is>
          <t>Computer Equipment - @ Cost</t>
        </is>
      </c>
      <c r="F1857" s="3" t="n">
        <v>0</v>
      </c>
      <c r="G1857" s="3" t="n">
        <v>92100.13</v>
      </c>
    </row>
    <row r="1858">
      <c r="A1858" s="3" t="inlineStr">
        <is>
          <t>Cape Projects Construction (Pty) Ltd</t>
        </is>
      </c>
      <c r="B1858" s="4" t="n">
        <v>44834</v>
      </c>
      <c r="C1858" s="3" t="inlineStr">
        <is>
          <t>Assets</t>
        </is>
      </c>
      <c r="D1858" s="3" t="inlineStr">
        <is>
          <t>6250/020</t>
        </is>
      </c>
      <c r="E1858" s="3" t="inlineStr">
        <is>
          <t>Computer Equipment - Accum Depre</t>
        </is>
      </c>
      <c r="F1858" s="3" t="n">
        <v>-2165.83</v>
      </c>
      <c r="G1858" s="3" t="n">
        <v>-32093.79</v>
      </c>
    </row>
    <row r="1859">
      <c r="A1859" s="3" t="inlineStr">
        <is>
          <t>Cape Projects Construction (Pty) Ltd</t>
        </is>
      </c>
      <c r="B1859" s="4" t="n">
        <v>44834</v>
      </c>
      <c r="C1859" s="3" t="inlineStr">
        <is>
          <t>Assets</t>
        </is>
      </c>
      <c r="D1859" s="3" t="inlineStr">
        <is>
          <t>6350/010</t>
        </is>
      </c>
      <c r="E1859" s="3" t="inlineStr">
        <is>
          <t>Furniture _AND_ Fittings - @ Cost</t>
        </is>
      </c>
      <c r="F1859" s="3" t="n">
        <v>0</v>
      </c>
      <c r="G1859" s="3" t="n">
        <v>29281.39</v>
      </c>
    </row>
    <row r="1860">
      <c r="A1860" s="3" t="inlineStr">
        <is>
          <t>Cape Projects Construction (Pty) Ltd</t>
        </is>
      </c>
      <c r="B1860" s="4" t="n">
        <v>44834</v>
      </c>
      <c r="C1860" s="3" t="inlineStr">
        <is>
          <t>Assets</t>
        </is>
      </c>
      <c r="D1860" s="3" t="inlineStr">
        <is>
          <t>6350/020</t>
        </is>
      </c>
      <c r="E1860" s="3" t="inlineStr">
        <is>
          <t>Furniture _AND_ Fittings - Accum Depre</t>
        </is>
      </c>
      <c r="F1860" s="3" t="n">
        <v>-427.21</v>
      </c>
      <c r="G1860" s="3" t="n">
        <v>-3397.13</v>
      </c>
    </row>
    <row r="1861">
      <c r="A1861" s="3" t="inlineStr">
        <is>
          <t>Cape Projects Construction (Pty) Ltd</t>
        </is>
      </c>
      <c r="B1861" s="4" t="n">
        <v>44834</v>
      </c>
      <c r="C1861" s="3" t="inlineStr">
        <is>
          <t>Assets</t>
        </is>
      </c>
      <c r="D1861" s="3" t="inlineStr">
        <is>
          <t>6600/010</t>
        </is>
      </c>
      <c r="E1861" s="3" t="inlineStr">
        <is>
          <t>Generator Fixed Asset - @ Cost</t>
        </is>
      </c>
      <c r="F1861" s="3" t="n">
        <v>0</v>
      </c>
      <c r="G1861" s="3" t="n">
        <v>11600</v>
      </c>
    </row>
    <row r="1862">
      <c r="A1862" s="3" t="inlineStr">
        <is>
          <t>Cape Projects Construction (Pty) Ltd</t>
        </is>
      </c>
      <c r="B1862" s="4" t="n">
        <v>44834</v>
      </c>
      <c r="C1862" s="3" t="inlineStr">
        <is>
          <t>Assets</t>
        </is>
      </c>
      <c r="D1862" s="3" t="inlineStr">
        <is>
          <t>6600/020</t>
        </is>
      </c>
      <c r="E1862" s="3" t="inlineStr">
        <is>
          <t>Generator Fixed Asset - Accum Depre</t>
        </is>
      </c>
      <c r="F1862" s="3" t="n">
        <v>-193.33</v>
      </c>
      <c r="G1862" s="3" t="n">
        <v>-2158.89</v>
      </c>
    </row>
    <row r="1863">
      <c r="A1863" s="3" t="inlineStr">
        <is>
          <t>Heron Fields (Pty) Ltd</t>
        </is>
      </c>
      <c r="B1863" s="4" t="n">
        <v>44834</v>
      </c>
      <c r="C1863" s="3" t="inlineStr">
        <is>
          <t>Assets</t>
        </is>
      </c>
      <c r="D1863" s="3" t="inlineStr">
        <is>
          <t>7610/395</t>
        </is>
      </c>
      <c r="E1863" s="3" t="inlineStr">
        <is>
          <t>HF CIP NHBRC</t>
        </is>
      </c>
      <c r="F1863" s="3" t="n">
        <v>0</v>
      </c>
      <c r="G1863" s="3" t="n">
        <v>874505.75</v>
      </c>
    </row>
    <row r="1864">
      <c r="A1864" s="3" t="inlineStr">
        <is>
          <t>Heron View (Pty) Ltd</t>
        </is>
      </c>
      <c r="B1864" s="4" t="n">
        <v>44834</v>
      </c>
      <c r="C1864" s="3" t="inlineStr">
        <is>
          <t>Assets</t>
        </is>
      </c>
      <c r="D1864" s="3" t="inlineStr">
        <is>
          <t>7610/395</t>
        </is>
      </c>
      <c r="E1864" s="3" t="inlineStr">
        <is>
          <t>Heron CIP NHBRC</t>
        </is>
      </c>
      <c r="F1864" s="3" t="n">
        <v>0</v>
      </c>
      <c r="G1864" s="3" t="n">
        <v>284986.5</v>
      </c>
    </row>
    <row r="1865">
      <c r="A1865" s="3" t="inlineStr">
        <is>
          <t>Heron Fields (Pty) Ltd</t>
        </is>
      </c>
      <c r="B1865" s="4" t="n">
        <v>44834</v>
      </c>
      <c r="C1865" s="3" t="inlineStr">
        <is>
          <t>Assets</t>
        </is>
      </c>
      <c r="D1865" s="3" t="inlineStr">
        <is>
          <t>7620/100</t>
        </is>
      </c>
      <c r="E1865" s="3" t="inlineStr">
        <is>
          <t>Heron View Land</t>
        </is>
      </c>
      <c r="F1865" s="3" t="n">
        <v>0</v>
      </c>
      <c r="G1865" s="3" t="n">
        <v>26200000</v>
      </c>
    </row>
    <row r="1866">
      <c r="A1866" s="3" t="inlineStr">
        <is>
          <t>Heron Fields (Pty) Ltd</t>
        </is>
      </c>
      <c r="B1866" s="4" t="n">
        <v>44834</v>
      </c>
      <c r="C1866" s="3" t="inlineStr">
        <is>
          <t>Assets</t>
        </is>
      </c>
      <c r="D1866" s="3" t="inlineStr">
        <is>
          <t>7620/101</t>
        </is>
      </c>
      <c r="E1866" s="3" t="inlineStr">
        <is>
          <t>HF CIP Bond Registration Fee</t>
        </is>
      </c>
      <c r="F1866" s="3" t="n">
        <v>0</v>
      </c>
      <c r="G1866" s="3" t="n">
        <v>68427</v>
      </c>
    </row>
    <row r="1867">
      <c r="A1867" s="3" t="inlineStr">
        <is>
          <t>Heron Fields (Pty) Ltd</t>
        </is>
      </c>
      <c r="B1867" s="4" t="n">
        <v>44834</v>
      </c>
      <c r="C1867" s="3" t="inlineStr">
        <is>
          <t>Assets</t>
        </is>
      </c>
      <c r="D1867" s="3" t="inlineStr">
        <is>
          <t>7620/102</t>
        </is>
      </c>
      <c r="E1867" s="3" t="inlineStr">
        <is>
          <t>HF CIP Transfer Fee</t>
        </is>
      </c>
      <c r="F1867" s="3" t="n">
        <v>0</v>
      </c>
      <c r="G1867" s="3" t="n">
        <v>103812</v>
      </c>
    </row>
    <row r="1868">
      <c r="A1868" s="3" t="inlineStr">
        <is>
          <t>Heron Fields (Pty) Ltd</t>
        </is>
      </c>
      <c r="B1868" s="4" t="n">
        <v>44834</v>
      </c>
      <c r="C1868" s="3" t="inlineStr">
        <is>
          <t>Assets</t>
        </is>
      </c>
      <c r="D1868" s="3" t="inlineStr">
        <is>
          <t>7620/220</t>
        </is>
      </c>
      <c r="E1868" s="3" t="inlineStr">
        <is>
          <t>HF CIP Architectural Designs</t>
        </is>
      </c>
      <c r="F1868" s="3" t="n">
        <v>0</v>
      </c>
      <c r="G1868" s="3" t="n">
        <v>150780</v>
      </c>
    </row>
    <row r="1869">
      <c r="A1869" s="3" t="inlineStr">
        <is>
          <t>Heron Fields (Pty) Ltd</t>
        </is>
      </c>
      <c r="B1869" s="4" t="n">
        <v>44834</v>
      </c>
      <c r="C1869" s="3" t="inlineStr">
        <is>
          <t>Assets</t>
        </is>
      </c>
      <c r="D1869" s="3" t="inlineStr">
        <is>
          <t>7620/230</t>
        </is>
      </c>
      <c r="E1869" s="3" t="inlineStr">
        <is>
          <t>HF CIP Construction Management</t>
        </is>
      </c>
      <c r="F1869" s="3" t="n">
        <v>15000</v>
      </c>
      <c r="G1869" s="3" t="n">
        <v>91500</v>
      </c>
    </row>
    <row r="1870">
      <c r="A1870" s="3" t="inlineStr">
        <is>
          <t>Heron Fields (Pty) Ltd</t>
        </is>
      </c>
      <c r="B1870" s="4" t="n">
        <v>44834</v>
      </c>
      <c r="C1870" s="3" t="inlineStr">
        <is>
          <t>Assets</t>
        </is>
      </c>
      <c r="D1870" s="3" t="inlineStr">
        <is>
          <t>7620/240</t>
        </is>
      </c>
      <c r="E1870" s="3" t="inlineStr">
        <is>
          <t>HF CIP Civil Engineering</t>
        </is>
      </c>
      <c r="F1870" s="3" t="n">
        <v>0</v>
      </c>
      <c r="G1870" s="3" t="n">
        <v>6685224.8</v>
      </c>
    </row>
    <row r="1871">
      <c r="A1871" s="3" t="inlineStr">
        <is>
          <t>Heron Fields (Pty) Ltd</t>
        </is>
      </c>
      <c r="B1871" s="4" t="n">
        <v>44834</v>
      </c>
      <c r="C1871" s="3" t="inlineStr">
        <is>
          <t>Assets</t>
        </is>
      </c>
      <c r="D1871" s="3" t="inlineStr">
        <is>
          <t>7620/245</t>
        </is>
      </c>
      <c r="E1871" s="3" t="inlineStr">
        <is>
          <t>HF CIP Development fee</t>
        </is>
      </c>
      <c r="F1871" s="3" t="n">
        <v>0</v>
      </c>
      <c r="G1871" s="3" t="n">
        <v>13807.78</v>
      </c>
    </row>
    <row r="1872">
      <c r="A1872" s="3" t="inlineStr">
        <is>
          <t>Heron Fields (Pty) Ltd</t>
        </is>
      </c>
      <c r="B1872" s="4" t="n">
        <v>44834</v>
      </c>
      <c r="C1872" s="3" t="inlineStr">
        <is>
          <t>Assets</t>
        </is>
      </c>
      <c r="D1872" s="3" t="inlineStr">
        <is>
          <t>7620/250</t>
        </is>
      </c>
      <c r="E1872" s="3" t="inlineStr">
        <is>
          <t>HF CIP Land Surveyor</t>
        </is>
      </c>
      <c r="F1872" s="3" t="n">
        <v>0</v>
      </c>
      <c r="G1872" s="3" t="n">
        <v>103646.09</v>
      </c>
    </row>
    <row r="1873">
      <c r="A1873" s="3" t="inlineStr">
        <is>
          <t>Heron Fields (Pty) Ltd</t>
        </is>
      </c>
      <c r="B1873" s="4" t="n">
        <v>44834</v>
      </c>
      <c r="C1873" s="3" t="inlineStr">
        <is>
          <t>Assets</t>
        </is>
      </c>
      <c r="D1873" s="3" t="inlineStr">
        <is>
          <t>7620/255</t>
        </is>
      </c>
      <c r="E1873" s="3" t="inlineStr">
        <is>
          <t>HF CIP Landscaping</t>
        </is>
      </c>
      <c r="F1873" s="3" t="n">
        <v>0</v>
      </c>
      <c r="G1873" s="3" t="n">
        <v>7500</v>
      </c>
    </row>
    <row r="1874">
      <c r="A1874" s="3" t="inlineStr">
        <is>
          <t>Heron Fields (Pty) Ltd</t>
        </is>
      </c>
      <c r="B1874" s="4" t="n">
        <v>44834</v>
      </c>
      <c r="C1874" s="3" t="inlineStr">
        <is>
          <t>Assets</t>
        </is>
      </c>
      <c r="D1874" s="3" t="inlineStr">
        <is>
          <t>7620/260</t>
        </is>
      </c>
      <c r="E1874" s="3" t="inlineStr">
        <is>
          <t>HF CIP Mechanical Engineers</t>
        </is>
      </c>
      <c r="F1874" s="3" t="n">
        <v>0</v>
      </c>
      <c r="G1874" s="3" t="n">
        <v>67400</v>
      </c>
    </row>
    <row r="1875">
      <c r="A1875" s="3" t="inlineStr">
        <is>
          <t>Heron Fields (Pty) Ltd</t>
        </is>
      </c>
      <c r="B1875" s="4" t="n">
        <v>44834</v>
      </c>
      <c r="C1875" s="3" t="inlineStr">
        <is>
          <t>Assets</t>
        </is>
      </c>
      <c r="D1875" s="3" t="inlineStr">
        <is>
          <t>7620/265</t>
        </is>
      </c>
      <c r="E1875" s="3" t="inlineStr">
        <is>
          <t>HF CIP Health &amp; Safety</t>
        </is>
      </c>
      <c r="F1875" s="3" t="n">
        <v>1400</v>
      </c>
      <c r="G1875" s="3" t="n">
        <v>16400</v>
      </c>
    </row>
    <row r="1876">
      <c r="A1876" s="3" t="inlineStr">
        <is>
          <t>Heron Fields (Pty) Ltd</t>
        </is>
      </c>
      <c r="B1876" s="4" t="n">
        <v>44834</v>
      </c>
      <c r="C1876" s="3" t="inlineStr">
        <is>
          <t>Assets</t>
        </is>
      </c>
      <c r="D1876" s="3" t="inlineStr">
        <is>
          <t>7620/270</t>
        </is>
      </c>
      <c r="E1876" s="3" t="inlineStr">
        <is>
          <t>HF CIP Geotechnical</t>
        </is>
      </c>
      <c r="F1876" s="3" t="n">
        <v>0</v>
      </c>
      <c r="G1876" s="3" t="n">
        <v>15175</v>
      </c>
    </row>
    <row r="1877">
      <c r="A1877" s="3" t="inlineStr">
        <is>
          <t>Heron Fields (Pty) Ltd</t>
        </is>
      </c>
      <c r="B1877" s="4" t="n">
        <v>44834</v>
      </c>
      <c r="C1877" s="3" t="inlineStr">
        <is>
          <t>Assets</t>
        </is>
      </c>
      <c r="D1877" s="3" t="inlineStr">
        <is>
          <t>7620/275</t>
        </is>
      </c>
      <c r="E1877" s="3" t="inlineStr">
        <is>
          <t>HF CIP Retaining Wall</t>
        </is>
      </c>
      <c r="F1877" s="3" t="n">
        <v>0</v>
      </c>
      <c r="G1877" s="3" t="n">
        <v>570856.08</v>
      </c>
    </row>
    <row r="1878">
      <c r="A1878" s="3" t="inlineStr">
        <is>
          <t>Heron Fields (Pty) Ltd</t>
        </is>
      </c>
      <c r="B1878" s="4" t="n">
        <v>44834</v>
      </c>
      <c r="C1878" s="3" t="inlineStr">
        <is>
          <t>Assets</t>
        </is>
      </c>
      <c r="D1878" s="3" t="inlineStr">
        <is>
          <t>7620/280</t>
        </is>
      </c>
      <c r="E1878" s="3" t="inlineStr">
        <is>
          <t>HF CIP Site Establishment</t>
        </is>
      </c>
      <c r="F1878" s="3" t="n">
        <v>9770550.359999999</v>
      </c>
      <c r="G1878" s="3" t="n">
        <v>34243436.86</v>
      </c>
    </row>
    <row r="1879">
      <c r="A1879" s="3" t="inlineStr">
        <is>
          <t>Heron Fields (Pty) Ltd</t>
        </is>
      </c>
      <c r="B1879" s="4" t="n">
        <v>44834</v>
      </c>
      <c r="C1879" s="3" t="inlineStr">
        <is>
          <t>Assets</t>
        </is>
      </c>
      <c r="D1879" s="3" t="inlineStr">
        <is>
          <t>7620/285</t>
        </is>
      </c>
      <c r="E1879" s="3" t="inlineStr">
        <is>
          <t>HF CIP Structuring Fee - Invest</t>
        </is>
      </c>
      <c r="F1879" s="3" t="n">
        <v>380869.57</v>
      </c>
      <c r="G1879" s="3" t="n">
        <v>3396905</v>
      </c>
    </row>
    <row r="1880">
      <c r="A1880" s="3" t="inlineStr">
        <is>
          <t>Heron Fields (Pty) Ltd</t>
        </is>
      </c>
      <c r="B1880" s="4" t="n">
        <v>44834</v>
      </c>
      <c r="C1880" s="3" t="inlineStr">
        <is>
          <t>Assets</t>
        </is>
      </c>
      <c r="D1880" s="3" t="inlineStr">
        <is>
          <t>7620/287</t>
        </is>
      </c>
      <c r="E1880" s="3" t="inlineStr">
        <is>
          <t>HF CIP Structuring Fee - Development</t>
        </is>
      </c>
      <c r="F1880" s="3" t="n">
        <v>0</v>
      </c>
      <c r="G1880" s="3" t="n">
        <v>782608.0699999999</v>
      </c>
    </row>
    <row r="1881">
      <c r="A1881" s="3" t="inlineStr">
        <is>
          <t>Heron Fields (Pty) Ltd</t>
        </is>
      </c>
      <c r="B1881" s="4" t="n">
        <v>44834</v>
      </c>
      <c r="C1881" s="3" t="inlineStr">
        <is>
          <t>Assets</t>
        </is>
      </c>
      <c r="D1881" s="3" t="inlineStr">
        <is>
          <t>7620/290</t>
        </is>
      </c>
      <c r="E1881" s="3" t="inlineStr">
        <is>
          <t>HF CIP Town Planning</t>
        </is>
      </c>
      <c r="F1881" s="3" t="n">
        <v>0</v>
      </c>
      <c r="G1881" s="3" t="n">
        <v>163550</v>
      </c>
    </row>
    <row r="1882">
      <c r="A1882" s="3" t="inlineStr">
        <is>
          <t>Heron Fields (Pty) Ltd</t>
        </is>
      </c>
      <c r="B1882" s="4" t="n">
        <v>44834</v>
      </c>
      <c r="C1882" s="3" t="inlineStr">
        <is>
          <t>Assets</t>
        </is>
      </c>
      <c r="D1882" s="3" t="inlineStr">
        <is>
          <t>7620/295</t>
        </is>
      </c>
      <c r="E1882" s="3" t="inlineStr">
        <is>
          <t>HF CIP Traffic Planning</t>
        </is>
      </c>
      <c r="F1882" s="3" t="n">
        <v>0</v>
      </c>
      <c r="G1882" s="3" t="n">
        <v>45000</v>
      </c>
    </row>
    <row r="1883">
      <c r="A1883" s="3" t="inlineStr">
        <is>
          <t>Heron Fields (Pty) Ltd</t>
        </is>
      </c>
      <c r="B1883" s="4" t="n">
        <v>44834</v>
      </c>
      <c r="C1883" s="3" t="inlineStr">
        <is>
          <t>Assets</t>
        </is>
      </c>
      <c r="D1883" s="3" t="inlineStr">
        <is>
          <t>7620/600</t>
        </is>
      </c>
      <c r="E1883" s="3" t="inlineStr">
        <is>
          <t>HF CIP Eco work</t>
        </is>
      </c>
      <c r="F1883" s="3" t="n">
        <v>6000</v>
      </c>
      <c r="G1883" s="3" t="n">
        <v>101000</v>
      </c>
    </row>
    <row r="1884">
      <c r="A1884" s="3" t="inlineStr">
        <is>
          <t>Heron Fields (Pty) Ltd</t>
        </is>
      </c>
      <c r="B1884" s="4" t="n">
        <v>44834</v>
      </c>
      <c r="C1884" s="3" t="inlineStr">
        <is>
          <t>Assets</t>
        </is>
      </c>
      <c r="D1884" s="3" t="inlineStr">
        <is>
          <t>7620/630</t>
        </is>
      </c>
      <c r="E1884" s="3" t="inlineStr">
        <is>
          <t>HF CIP CoCT development contribution</t>
        </is>
      </c>
      <c r="F1884" s="3" t="n">
        <v>626.09</v>
      </c>
      <c r="G1884" s="3" t="n">
        <v>1021325.63</v>
      </c>
    </row>
    <row r="1885">
      <c r="A1885" s="3" t="inlineStr">
        <is>
          <t>Heron View (Pty) Ltd</t>
        </is>
      </c>
      <c r="B1885" s="4" t="n">
        <v>44834</v>
      </c>
      <c r="C1885" s="3" t="inlineStr">
        <is>
          <t>Assets</t>
        </is>
      </c>
      <c r="D1885" s="3" t="inlineStr">
        <is>
          <t>7620/630</t>
        </is>
      </c>
      <c r="E1885" s="3" t="inlineStr">
        <is>
          <t>Heron CIP - CoCT development contribution</t>
        </is>
      </c>
      <c r="F1885" s="3" t="n">
        <v>0</v>
      </c>
      <c r="G1885" s="3" t="n">
        <v>1233261.93</v>
      </c>
    </row>
    <row r="1886">
      <c r="A1886" s="3" t="inlineStr">
        <is>
          <t>Heron Fields (Pty) Ltd</t>
        </is>
      </c>
      <c r="B1886" s="4" t="n">
        <v>44834</v>
      </c>
      <c r="C1886" s="3" t="inlineStr">
        <is>
          <t>Assets</t>
        </is>
      </c>
      <c r="D1886" s="3" t="inlineStr">
        <is>
          <t>7620/640</t>
        </is>
      </c>
      <c r="E1886" s="3" t="inlineStr">
        <is>
          <t>HF CIP Project costs</t>
        </is>
      </c>
      <c r="F1886" s="3" t="n">
        <v>0</v>
      </c>
      <c r="G1886" s="3" t="n">
        <v>622274.51</v>
      </c>
    </row>
    <row r="1887">
      <c r="A1887" s="3" t="inlineStr">
        <is>
          <t>Heron Fields (Pty) Ltd</t>
        </is>
      </c>
      <c r="B1887" s="4" t="n">
        <v>44834</v>
      </c>
      <c r="C1887" s="3" t="inlineStr">
        <is>
          <t>Assets</t>
        </is>
      </c>
      <c r="D1887" s="3" t="inlineStr">
        <is>
          <t>7620/650</t>
        </is>
      </c>
      <c r="E1887" s="3" t="inlineStr">
        <is>
          <t>HF CIP Electrical</t>
        </is>
      </c>
      <c r="F1887" s="3" t="n">
        <v>0</v>
      </c>
      <c r="G1887" s="3" t="n">
        <v>938082.41</v>
      </c>
    </row>
    <row r="1888">
      <c r="A1888" s="3" t="inlineStr">
        <is>
          <t>Heron View (Pty) Ltd</t>
        </is>
      </c>
      <c r="B1888" s="4" t="n">
        <v>44834</v>
      </c>
      <c r="C1888" s="3" t="inlineStr">
        <is>
          <t>Assets</t>
        </is>
      </c>
      <c r="D1888" s="3" t="inlineStr">
        <is>
          <t>7620/660</t>
        </is>
      </c>
      <c r="E1888" s="3" t="inlineStr">
        <is>
          <t>HV CIP Health &amp; Safety</t>
        </is>
      </c>
      <c r="F1888" s="3" t="n">
        <v>1100</v>
      </c>
      <c r="G1888" s="3" t="n">
        <v>9600</v>
      </c>
    </row>
    <row r="1889">
      <c r="A1889" s="3" t="inlineStr">
        <is>
          <t>Heron View (Pty) Ltd</t>
        </is>
      </c>
      <c r="B1889" s="4" t="n">
        <v>44834</v>
      </c>
      <c r="C1889" s="3" t="inlineStr">
        <is>
          <t>Assets</t>
        </is>
      </c>
      <c r="D1889" s="3" t="inlineStr">
        <is>
          <t>7620/670</t>
        </is>
      </c>
      <c r="E1889" s="3" t="inlineStr">
        <is>
          <t>HV CIP - Project costs CPSD</t>
        </is>
      </c>
      <c r="F1889" s="3" t="n">
        <v>0</v>
      </c>
      <c r="G1889" s="3" t="n">
        <v>250000</v>
      </c>
    </row>
    <row r="1890">
      <c r="A1890" s="3" t="inlineStr">
        <is>
          <t>Heron Fields (Pty) Ltd</t>
        </is>
      </c>
      <c r="B1890" s="4" t="n">
        <v>44834</v>
      </c>
      <c r="C1890" s="3" t="inlineStr">
        <is>
          <t>Assets</t>
        </is>
      </c>
      <c r="D1890" s="3" t="inlineStr">
        <is>
          <t>7620/700</t>
        </is>
      </c>
      <c r="E1890" s="3" t="inlineStr">
        <is>
          <t>HF CIP - P&amp;G recoveries - Endulini&amp;Heron Fields/View</t>
        </is>
      </c>
      <c r="F1890" s="3" t="n">
        <v>0</v>
      </c>
      <c r="G1890" s="3" t="n">
        <v>3023829.42</v>
      </c>
    </row>
    <row r="1891">
      <c r="A1891" s="3" t="inlineStr">
        <is>
          <t>Heron Fields (Pty) Ltd</t>
        </is>
      </c>
      <c r="B1891" s="4" t="n">
        <v>44834</v>
      </c>
      <c r="C1891" s="3" t="inlineStr">
        <is>
          <t>Assets</t>
        </is>
      </c>
      <c r="D1891" s="3" t="inlineStr">
        <is>
          <t>7620/750</t>
        </is>
      </c>
      <c r="E1891" s="3" t="inlineStr">
        <is>
          <t>HF CIP Project costs CPSD</t>
        </is>
      </c>
      <c r="F1891" s="3" t="n">
        <v>0</v>
      </c>
      <c r="G1891" s="3" t="n">
        <v>850000</v>
      </c>
    </row>
    <row r="1892">
      <c r="A1892" s="3" t="inlineStr">
        <is>
          <t>Cape Projects Construction (Pty) Ltd</t>
        </is>
      </c>
      <c r="B1892" s="4" t="n">
        <v>44834</v>
      </c>
      <c r="C1892" s="3" t="inlineStr">
        <is>
          <t>Assets</t>
        </is>
      </c>
      <c r="D1892" s="3" t="inlineStr">
        <is>
          <t>7800/000</t>
        </is>
      </c>
      <c r="E1892" s="3" t="inlineStr">
        <is>
          <t>Deposits paid</t>
        </is>
      </c>
      <c r="F1892" s="3" t="n">
        <v>0</v>
      </c>
      <c r="G1892" s="3" t="n">
        <v>6875.45</v>
      </c>
    </row>
    <row r="1893">
      <c r="A1893" s="3" t="inlineStr">
        <is>
          <t>Cape Projects Construction (Pty) Ltd</t>
        </is>
      </c>
      <c r="B1893" s="4" t="n">
        <v>44834</v>
      </c>
      <c r="C1893" s="3" t="inlineStr">
        <is>
          <t>Assets</t>
        </is>
      </c>
      <c r="D1893" s="3" t="inlineStr">
        <is>
          <t>8000/000</t>
        </is>
      </c>
      <c r="E1893" s="3" t="inlineStr">
        <is>
          <t>Customer Control Account</t>
        </is>
      </c>
      <c r="F1893" s="3" t="n">
        <v>-2462629.79</v>
      </c>
      <c r="G1893" s="3" t="n">
        <v>5874411.14</v>
      </c>
    </row>
    <row r="1894">
      <c r="A1894" s="3" t="inlineStr">
        <is>
          <t>Cape Projects Construction (Pty) Ltd</t>
        </is>
      </c>
      <c r="B1894" s="4" t="n">
        <v>44834</v>
      </c>
      <c r="C1894" s="3" t="inlineStr">
        <is>
          <t>Assets</t>
        </is>
      </c>
      <c r="D1894" s="3" t="inlineStr">
        <is>
          <t>8200/010</t>
        </is>
      </c>
      <c r="E1894" s="3" t="inlineStr">
        <is>
          <t>Prepayments / Prepaid Expenses</t>
        </is>
      </c>
      <c r="F1894" s="3" t="n">
        <v>-2719.44</v>
      </c>
      <c r="G1894" s="3" t="n">
        <v>16316.63</v>
      </c>
    </row>
    <row r="1895">
      <c r="A1895" s="3" t="inlineStr">
        <is>
          <t>Cape Projects Construction (Pty) Ltd</t>
        </is>
      </c>
      <c r="B1895" s="4" t="n">
        <v>44834</v>
      </c>
      <c r="C1895" s="3" t="inlineStr">
        <is>
          <t>Assets</t>
        </is>
      </c>
      <c r="D1895" s="3" t="inlineStr">
        <is>
          <t>8300/000</t>
        </is>
      </c>
      <c r="E1895" s="3" t="inlineStr">
        <is>
          <t>FNB Credit Card 8812 7100 446 6006</t>
        </is>
      </c>
      <c r="F1895" s="3" t="n">
        <v>19</v>
      </c>
      <c r="G1895" s="3" t="n">
        <v>44</v>
      </c>
    </row>
    <row r="1896">
      <c r="A1896" s="3" t="inlineStr">
        <is>
          <t>Heron Fields (Pty) Ltd</t>
        </is>
      </c>
      <c r="B1896" s="4" t="n">
        <v>44834</v>
      </c>
      <c r="C1896" s="3" t="inlineStr">
        <is>
          <t>Assets</t>
        </is>
      </c>
      <c r="D1896" s="3" t="inlineStr">
        <is>
          <t>8400/000</t>
        </is>
      </c>
      <c r="E1896" s="3" t="inlineStr">
        <is>
          <t>RMB - 62882379087</t>
        </is>
      </c>
      <c r="F1896" s="3" t="n">
        <v>-540090.5699999999</v>
      </c>
      <c r="G1896" s="3" t="n">
        <v>494513.62</v>
      </c>
    </row>
    <row r="1897">
      <c r="A1897" s="3" t="inlineStr">
        <is>
          <t>Cape Projects Construction (Pty) Ltd</t>
        </is>
      </c>
      <c r="B1897" s="4" t="n">
        <v>44834</v>
      </c>
      <c r="C1897" s="3" t="inlineStr">
        <is>
          <t>Assets</t>
        </is>
      </c>
      <c r="D1897" s="3" t="inlineStr">
        <is>
          <t>8400/000</t>
        </is>
      </c>
      <c r="E1897" s="3" t="inlineStr">
        <is>
          <t>RMB 62275138470</t>
        </is>
      </c>
      <c r="F1897" s="3" t="n">
        <v>-292575.03</v>
      </c>
      <c r="G1897" s="3" t="n">
        <v>656979.54</v>
      </c>
    </row>
    <row r="1898">
      <c r="A1898" s="3" t="inlineStr">
        <is>
          <t>Cape Projects Construction (Pty) Ltd</t>
        </is>
      </c>
      <c r="B1898" s="4" t="n">
        <v>44834</v>
      </c>
      <c r="C1898" s="3" t="inlineStr">
        <is>
          <t>Assets</t>
        </is>
      </c>
      <c r="D1898" s="3" t="inlineStr">
        <is>
          <t>8420/000</t>
        </is>
      </c>
      <c r="E1898" s="3" t="inlineStr">
        <is>
          <t>Momentum Priv Acc RU502230981</t>
        </is>
      </c>
      <c r="F1898" s="3" t="n">
        <v>0</v>
      </c>
      <c r="G1898" s="3" t="n">
        <v>522.6</v>
      </c>
    </row>
    <row r="1899">
      <c r="A1899" s="3" t="inlineStr">
        <is>
          <t>Heron Fields (Pty) Ltd</t>
        </is>
      </c>
      <c r="B1899" s="4" t="n">
        <v>44834</v>
      </c>
      <c r="C1899" s="3" t="inlineStr">
        <is>
          <t>Assets</t>
        </is>
      </c>
      <c r="D1899" s="3" t="inlineStr">
        <is>
          <t>8430/000</t>
        </is>
      </c>
      <c r="E1899" s="3" t="inlineStr">
        <is>
          <t>Momentum Private Account RU502230151</t>
        </is>
      </c>
      <c r="F1899" s="3" t="n">
        <v>0</v>
      </c>
      <c r="G1899" s="3" t="n">
        <v>802.62</v>
      </c>
    </row>
    <row r="1900">
      <c r="A1900" s="3" t="inlineStr">
        <is>
          <t>Heron Fields (Pty) Ltd</t>
        </is>
      </c>
      <c r="B1900" s="4" t="n">
        <v>44834</v>
      </c>
      <c r="C1900" s="3" t="inlineStr">
        <is>
          <t>Assets</t>
        </is>
      </c>
      <c r="D1900" s="3" t="inlineStr">
        <is>
          <t>8440/000</t>
        </is>
      </c>
      <c r="E1900" s="3" t="inlineStr">
        <is>
          <t>Momentum Investors Account RU502229930</t>
        </is>
      </c>
      <c r="F1900" s="3" t="n">
        <v>-8621078.15</v>
      </c>
      <c r="G1900" s="3" t="n">
        <v>2393591.67</v>
      </c>
    </row>
    <row r="1901">
      <c r="A1901" s="3" t="inlineStr">
        <is>
          <t>Cape Projects Construction (Pty) Ltd</t>
        </is>
      </c>
      <c r="B1901" s="4" t="n">
        <v>44834</v>
      </c>
      <c r="C1901" s="3" t="inlineStr">
        <is>
          <t>Liabilities</t>
        </is>
      </c>
      <c r="D1901" s="3" t="inlineStr">
        <is>
          <t>860</t>
        </is>
      </c>
      <c r="E1901" s="3" t="inlineStr">
        <is>
          <t>Rounding</t>
        </is>
      </c>
      <c r="F1901" s="3" t="n">
        <v>-0.26</v>
      </c>
      <c r="G1901" s="3" t="n">
        <v>-0.3</v>
      </c>
    </row>
    <row r="1902">
      <c r="A1902" s="3" t="inlineStr">
        <is>
          <t>Cape Projects Construction (Pty) Ltd</t>
        </is>
      </c>
      <c r="B1902" s="4" t="n">
        <v>44834</v>
      </c>
      <c r="C1902" s="3" t="inlineStr">
        <is>
          <t>Liabilities</t>
        </is>
      </c>
      <c r="D1902" s="3" t="inlineStr">
        <is>
          <t>9000/000</t>
        </is>
      </c>
      <c r="E1902" s="3" t="inlineStr">
        <is>
          <t>Supplier Control Account</t>
        </is>
      </c>
      <c r="F1902" s="3" t="n">
        <v>4200902.49</v>
      </c>
      <c r="G1902" s="3" t="n">
        <v>-3568763.85</v>
      </c>
    </row>
    <row r="1903">
      <c r="A1903" s="3" t="inlineStr">
        <is>
          <t>Heron Fields (Pty) Ltd</t>
        </is>
      </c>
      <c r="B1903" s="4" t="n">
        <v>44834</v>
      </c>
      <c r="C1903" s="3" t="inlineStr">
        <is>
          <t>Liabilities</t>
        </is>
      </c>
      <c r="D1903" s="3" t="inlineStr">
        <is>
          <t>9000/000</t>
        </is>
      </c>
      <c r="E1903" s="3" t="inlineStr">
        <is>
          <t>Supplier Control Account</t>
        </is>
      </c>
      <c r="F1903" s="3" t="n">
        <v>-3544042.71</v>
      </c>
      <c r="G1903" s="3" t="n">
        <v>-95144235.01000001</v>
      </c>
    </row>
    <row r="1904">
      <c r="A1904" s="3" t="inlineStr">
        <is>
          <t>Heron View (Pty) Ltd</t>
        </is>
      </c>
      <c r="B1904" s="4" t="n">
        <v>44834</v>
      </c>
      <c r="C1904" s="3" t="inlineStr">
        <is>
          <t>Liabilities</t>
        </is>
      </c>
      <c r="D1904" s="3" t="inlineStr">
        <is>
          <t>9000/000</t>
        </is>
      </c>
      <c r="E1904" s="3" t="inlineStr">
        <is>
          <t>Supplier Control Account</t>
        </is>
      </c>
      <c r="F1904" s="3" t="n">
        <v>279880.81</v>
      </c>
      <c r="G1904" s="3" t="n">
        <v>-5795.69</v>
      </c>
    </row>
    <row r="1905">
      <c r="A1905" s="3" t="inlineStr">
        <is>
          <t>Cape Projects Construction (Pty) Ltd</t>
        </is>
      </c>
      <c r="B1905" s="4" t="n">
        <v>44834</v>
      </c>
      <c r="C1905" s="3" t="inlineStr">
        <is>
          <t>Liabilities</t>
        </is>
      </c>
      <c r="D1905" s="3" t="inlineStr">
        <is>
          <t>9200/000</t>
        </is>
      </c>
      <c r="E1905" s="3" t="inlineStr">
        <is>
          <t>Sundry Suppliers</t>
        </is>
      </c>
      <c r="F1905" s="3" t="n">
        <v>0</v>
      </c>
      <c r="G1905" s="3" t="n">
        <v>1186.13</v>
      </c>
    </row>
    <row r="1906">
      <c r="A1906" s="3" t="inlineStr">
        <is>
          <t>Cape Projects Construction (Pty) Ltd</t>
        </is>
      </c>
      <c r="B1906" s="4" t="n">
        <v>44834</v>
      </c>
      <c r="C1906" s="3" t="inlineStr">
        <is>
          <t>Liabilities</t>
        </is>
      </c>
      <c r="D1906" s="3" t="inlineStr">
        <is>
          <t>9250/010</t>
        </is>
      </c>
      <c r="E1906" s="3" t="inlineStr">
        <is>
          <t>SALARY CONTROL</t>
        </is>
      </c>
      <c r="F1906" s="3" t="n">
        <v>0</v>
      </c>
      <c r="G1906" s="3" t="n">
        <v>20758.55</v>
      </c>
    </row>
    <row r="1907">
      <c r="A1907" s="3" t="inlineStr">
        <is>
          <t>Cape Projects Construction (Pty) Ltd</t>
        </is>
      </c>
      <c r="B1907" s="4" t="n">
        <v>44834</v>
      </c>
      <c r="C1907" s="3" t="inlineStr">
        <is>
          <t>Liabilities</t>
        </is>
      </c>
      <c r="D1907" s="3" t="inlineStr">
        <is>
          <t>9250/020</t>
        </is>
      </c>
      <c r="E1907" s="3" t="inlineStr">
        <is>
          <t>PAYE, UIF AND SDL CONTROL</t>
        </is>
      </c>
      <c r="F1907" s="3" t="n">
        <v>-25578.97</v>
      </c>
      <c r="G1907" s="3" t="n">
        <v>-39305</v>
      </c>
    </row>
    <row r="1908">
      <c r="A1908" s="3" t="inlineStr">
        <is>
          <t>Cape Projects Construction (Pty) Ltd</t>
        </is>
      </c>
      <c r="B1908" s="4" t="n">
        <v>44834</v>
      </c>
      <c r="C1908" s="3" t="inlineStr">
        <is>
          <t>Liabilities</t>
        </is>
      </c>
      <c r="D1908" s="3" t="inlineStr">
        <is>
          <t>9250/030</t>
        </is>
      </c>
      <c r="E1908" s="3" t="inlineStr">
        <is>
          <t>BIBC CONTROL</t>
        </is>
      </c>
      <c r="F1908" s="3" t="n">
        <v>-12988.81</v>
      </c>
      <c r="G1908" s="3" t="n">
        <v>-52383.58</v>
      </c>
    </row>
    <row r="1909">
      <c r="A1909" s="3" t="inlineStr">
        <is>
          <t>Cape Projects Construction (Pty) Ltd</t>
        </is>
      </c>
      <c r="B1909" s="4" t="n">
        <v>44834</v>
      </c>
      <c r="C1909" s="3" t="inlineStr">
        <is>
          <t>Liabilities</t>
        </is>
      </c>
      <c r="D1909" s="3" t="inlineStr">
        <is>
          <t>9500/000</t>
        </is>
      </c>
      <c r="E1909" s="3" t="inlineStr">
        <is>
          <t>VAT Control Account</t>
        </is>
      </c>
      <c r="F1909" s="3" t="n">
        <v>-254212.86</v>
      </c>
      <c r="G1909" s="3" t="n">
        <v>-2234577.36</v>
      </c>
    </row>
    <row r="1910">
      <c r="A1910" s="3" t="inlineStr">
        <is>
          <t>Heron Fields (Pty) Ltd</t>
        </is>
      </c>
      <c r="B1910" s="4" t="n">
        <v>44834</v>
      </c>
      <c r="C1910" s="3" t="inlineStr">
        <is>
          <t>Liabilities</t>
        </is>
      </c>
      <c r="D1910" s="3" t="inlineStr">
        <is>
          <t>9500/000</t>
        </is>
      </c>
      <c r="E1910" s="3" t="inlineStr">
        <is>
          <t>Vat / Tax Control Account</t>
        </is>
      </c>
      <c r="F1910" s="3" t="n">
        <v>1544659.24</v>
      </c>
      <c r="G1910" s="3" t="n">
        <v>4072692.6</v>
      </c>
    </row>
    <row r="1911">
      <c r="A1911" s="3" t="inlineStr">
        <is>
          <t>Heron View (Pty) Ltd</t>
        </is>
      </c>
      <c r="B1911" s="4" t="n">
        <v>44834</v>
      </c>
      <c r="C1911" s="3" t="inlineStr">
        <is>
          <t>Liabilities</t>
        </is>
      </c>
      <c r="D1911" s="3" t="inlineStr">
        <is>
          <t>9500/000</t>
        </is>
      </c>
      <c r="E1911" s="3" t="inlineStr">
        <is>
          <t>Vat / Tax Control Account</t>
        </is>
      </c>
      <c r="F1911" s="3" t="n">
        <v>612.48</v>
      </c>
      <c r="G1911" s="3" t="n">
        <v>224181.77</v>
      </c>
    </row>
    <row r="1912">
      <c r="A1912" s="3" t="inlineStr">
        <is>
          <t>Cape Projects Construction (Pty) Ltd</t>
        </is>
      </c>
      <c r="B1912" s="4" t="n">
        <v>44834</v>
      </c>
      <c r="C1912" s="3" t="inlineStr">
        <is>
          <t>Liabilities</t>
        </is>
      </c>
      <c r="D1912" s="3" t="inlineStr">
        <is>
          <t>9990/000</t>
        </is>
      </c>
      <c r="E1912" s="3" t="inlineStr">
        <is>
          <t>Opening Balance / Suspense Account</t>
        </is>
      </c>
      <c r="F1912" s="3" t="n">
        <v>0</v>
      </c>
      <c r="G1912" s="3" t="n">
        <v>80</v>
      </c>
    </row>
    <row r="1913">
      <c r="A1913" s="3" t="inlineStr">
        <is>
          <t>Cape Projects Construction (Pty) Ltd</t>
        </is>
      </c>
      <c r="B1913" s="4" t="n">
        <v>44834</v>
      </c>
      <c r="C1913" s="3" t="inlineStr">
        <is>
          <t>Liabilities</t>
        </is>
      </c>
      <c r="D1913" s="3" t="inlineStr">
        <is>
          <t>B/S</t>
        </is>
      </c>
      <c r="E1913" s="3" t="inlineStr">
        <is>
          <t>Taxation Payable</t>
        </is>
      </c>
      <c r="F1913" s="3" t="n">
        <v>0</v>
      </c>
      <c r="G1913" s="3" t="n">
        <v>1869.8</v>
      </c>
    </row>
    <row r="1914">
      <c r="A1914" s="3" t="inlineStr">
        <is>
          <t>Cape Projects Construction (Pty) Ltd</t>
        </is>
      </c>
      <c r="B1914" s="4" t="n">
        <v>44834</v>
      </c>
      <c r="C1914" s="3" t="inlineStr">
        <is>
          <t>Liabilities</t>
        </is>
      </c>
      <c r="D1914" s="3" t="inlineStr">
        <is>
          <t>TEMP/ACC</t>
        </is>
      </c>
      <c r="E1914" s="3" t="inlineStr">
        <is>
          <t>Conversion Account</t>
        </is>
      </c>
      <c r="F1914" s="3" t="n">
        <v>0</v>
      </c>
      <c r="G1914" s="3" t="n">
        <v>-254.99</v>
      </c>
    </row>
    <row r="1915">
      <c r="A1915" s="3" t="inlineStr">
        <is>
          <t>Cape Projects Construction (Pty) Ltd</t>
        </is>
      </c>
      <c r="B1915" s="4" t="n">
        <v>44865</v>
      </c>
      <c r="C1915" s="3" t="inlineStr">
        <is>
          <t>Revenue</t>
        </is>
      </c>
      <c r="D1915" s="3" t="inlineStr">
        <is>
          <t>1040/100</t>
        </is>
      </c>
      <c r="E1915" s="3" t="inlineStr">
        <is>
          <t>Fees - Construction - Heron</t>
        </is>
      </c>
      <c r="F1915" s="3" t="n">
        <v>-4763644.96</v>
      </c>
      <c r="G1915" s="3" t="n">
        <v>-36650395.61</v>
      </c>
    </row>
    <row r="1916">
      <c r="A1916" s="3" t="inlineStr">
        <is>
          <t>Cape Projects Construction (Pty) Ltd</t>
        </is>
      </c>
      <c r="B1916" s="4" t="n">
        <v>44865</v>
      </c>
      <c r="C1916" s="3" t="inlineStr">
        <is>
          <t>Revenue</t>
        </is>
      </c>
      <c r="D1916" s="3" t="inlineStr">
        <is>
          <t>1050/030</t>
        </is>
      </c>
      <c r="E1916" s="3" t="inlineStr">
        <is>
          <t>Fees - Construction - Endulini</t>
        </is>
      </c>
      <c r="F1916" s="3" t="n">
        <v>0</v>
      </c>
      <c r="G1916" s="3" t="n">
        <v>-12046638.06</v>
      </c>
    </row>
    <row r="1917">
      <c r="A1917" s="3" t="inlineStr">
        <is>
          <t>Cape Projects Construction (Pty) Ltd</t>
        </is>
      </c>
      <c r="B1917" s="4" t="n">
        <v>44865</v>
      </c>
      <c r="C1917" s="3" t="inlineStr">
        <is>
          <t>Revenue</t>
        </is>
      </c>
      <c r="D1917" s="3" t="inlineStr">
        <is>
          <t>1051/100</t>
        </is>
      </c>
      <c r="E1917" s="3" t="inlineStr">
        <is>
          <t>Fees - Construction - Heron Fields</t>
        </is>
      </c>
      <c r="F1917" s="3" t="n">
        <v>0</v>
      </c>
      <c r="G1917" s="3" t="n">
        <v>-1782369.8</v>
      </c>
    </row>
    <row r="1918">
      <c r="A1918" s="3" t="inlineStr">
        <is>
          <t>Cape Projects Construction (Pty) Ltd</t>
        </is>
      </c>
      <c r="B1918" s="4" t="n">
        <v>44865</v>
      </c>
      <c r="C1918" s="3" t="inlineStr">
        <is>
          <t>Revenue</t>
        </is>
      </c>
      <c r="D1918" s="3" t="inlineStr">
        <is>
          <t>1051/200</t>
        </is>
      </c>
      <c r="E1918" s="3" t="inlineStr">
        <is>
          <t>Fees - Construction - Heron Fields P&amp;G</t>
        </is>
      </c>
      <c r="F1918" s="3" t="n">
        <v>0</v>
      </c>
      <c r="G1918" s="3" t="n">
        <v>1616.91</v>
      </c>
    </row>
    <row r="1919">
      <c r="A1919" s="3" t="inlineStr">
        <is>
          <t>Cape Projects Construction (Pty) Ltd</t>
        </is>
      </c>
      <c r="B1919" s="4" t="n">
        <v>44865</v>
      </c>
      <c r="C1919" s="3" t="inlineStr">
        <is>
          <t>Revenue</t>
        </is>
      </c>
      <c r="D1919" s="3" t="inlineStr">
        <is>
          <t>1060/000</t>
        </is>
      </c>
      <c r="E1919" s="3" t="inlineStr">
        <is>
          <t>Insurance recovery</t>
        </is>
      </c>
      <c r="F1919" s="3" t="n">
        <v>0</v>
      </c>
      <c r="G1919" s="3" t="n">
        <v>-2839.7</v>
      </c>
    </row>
    <row r="1920">
      <c r="A1920" s="3" t="inlineStr">
        <is>
          <t>Cape Projects Construction (Pty) Ltd</t>
        </is>
      </c>
      <c r="B1920" s="4" t="n">
        <v>44865</v>
      </c>
      <c r="C1920" s="3" t="inlineStr">
        <is>
          <t>Revenue</t>
        </is>
      </c>
      <c r="D1920" s="3" t="inlineStr">
        <is>
          <t>1070/000</t>
        </is>
      </c>
      <c r="E1920" s="3" t="inlineStr">
        <is>
          <t>Rent - CT Office</t>
        </is>
      </c>
      <c r="F1920" s="3" t="n">
        <v>-3490.94</v>
      </c>
      <c r="G1920" s="3" t="n">
        <v>-27927.52</v>
      </c>
    </row>
    <row r="1921">
      <c r="A1921" s="3" t="inlineStr">
        <is>
          <t>Heron View (Pty) Ltd</t>
        </is>
      </c>
      <c r="B1921" s="4" t="n">
        <v>44865</v>
      </c>
      <c r="C1921" s="3" t="inlineStr">
        <is>
          <t>Expenses</t>
        </is>
      </c>
      <c r="D1921" s="3" t="inlineStr">
        <is>
          <t>2000/010</t>
        </is>
      </c>
      <c r="E1921" s="3" t="inlineStr">
        <is>
          <t>COS - Heron View</t>
        </is>
      </c>
      <c r="F1921" s="3" t="n">
        <v>0</v>
      </c>
      <c r="G1921" s="3" t="n">
        <v>678.59</v>
      </c>
    </row>
    <row r="1922">
      <c r="A1922" s="3" t="inlineStr">
        <is>
          <t>Heron Fields (Pty) Ltd</t>
        </is>
      </c>
      <c r="B1922" s="4" t="n">
        <v>44865</v>
      </c>
      <c r="C1922" s="3" t="inlineStr">
        <is>
          <t>Expenses</t>
        </is>
      </c>
      <c r="D1922" s="3" t="inlineStr">
        <is>
          <t>2000/030</t>
        </is>
      </c>
      <c r="E1922" s="3" t="inlineStr">
        <is>
          <t>COS - Commission Heron Fields investors</t>
        </is>
      </c>
      <c r="F1922" s="3" t="n">
        <v>0</v>
      </c>
      <c r="G1922" s="3" t="n">
        <v>86956.52</v>
      </c>
    </row>
    <row r="1923">
      <c r="A1923" s="3" t="inlineStr">
        <is>
          <t>Heron Fields (Pty) Ltd</t>
        </is>
      </c>
      <c r="B1923" s="4" t="n">
        <v>44865</v>
      </c>
      <c r="C1923" s="3" t="inlineStr">
        <is>
          <t>Expenses</t>
        </is>
      </c>
      <c r="D1923" s="3" t="inlineStr">
        <is>
          <t>2000/040</t>
        </is>
      </c>
      <c r="E1923" s="3" t="inlineStr">
        <is>
          <t>COS - Legal Fees</t>
        </is>
      </c>
      <c r="F1923" s="3" t="n">
        <v>37150.94</v>
      </c>
      <c r="G1923" s="3" t="n">
        <v>57843.94</v>
      </c>
    </row>
    <row r="1924">
      <c r="A1924" s="3" t="inlineStr">
        <is>
          <t>Heron Fields (Pty) Ltd</t>
        </is>
      </c>
      <c r="B1924" s="4" t="n">
        <v>44865</v>
      </c>
      <c r="C1924" s="3" t="inlineStr">
        <is>
          <t>Expenses</t>
        </is>
      </c>
      <c r="D1924" s="3" t="inlineStr">
        <is>
          <t>2000/050</t>
        </is>
      </c>
      <c r="E1924" s="3" t="inlineStr">
        <is>
          <t>COS - Rates clearance</t>
        </is>
      </c>
      <c r="F1924" s="3" t="n">
        <v>0</v>
      </c>
      <c r="G1924" s="3" t="n">
        <v>9738.91</v>
      </c>
    </row>
    <row r="1925">
      <c r="A1925" s="3" t="inlineStr">
        <is>
          <t>Cape Projects Construction (Pty) Ltd</t>
        </is>
      </c>
      <c r="B1925" s="4" t="n">
        <v>44865</v>
      </c>
      <c r="C1925" s="3" t="inlineStr">
        <is>
          <t>Expenses</t>
        </is>
      </c>
      <c r="D1925" s="3" t="inlineStr">
        <is>
          <t>2005/000</t>
        </is>
      </c>
      <c r="E1925" s="3" t="inlineStr">
        <is>
          <t>Cost of Sales</t>
        </is>
      </c>
      <c r="F1925" s="3" t="n">
        <v>-762078.59</v>
      </c>
      <c r="G1925" s="3" t="n">
        <v>-762078.59</v>
      </c>
    </row>
    <row r="1926">
      <c r="A1926" s="3" t="inlineStr">
        <is>
          <t>Cape Projects Construction (Pty) Ltd</t>
        </is>
      </c>
      <c r="B1926" s="4" t="n">
        <v>44865</v>
      </c>
      <c r="C1926" s="3" t="inlineStr">
        <is>
          <t>Expenses</t>
        </is>
      </c>
      <c r="D1926" s="3" t="inlineStr">
        <is>
          <t>2005/200</t>
        </is>
      </c>
      <c r="E1926" s="3" t="inlineStr">
        <is>
          <t>COS - External Works</t>
        </is>
      </c>
      <c r="F1926" s="3" t="n">
        <v>0</v>
      </c>
      <c r="G1926" s="3" t="n">
        <v>957.28</v>
      </c>
    </row>
    <row r="1927">
      <c r="A1927" s="3" t="inlineStr">
        <is>
          <t>Cape Projects Construction (Pty) Ltd</t>
        </is>
      </c>
      <c r="B1927" s="4" t="n">
        <v>44865</v>
      </c>
      <c r="C1927" s="3" t="inlineStr">
        <is>
          <t>Expenses</t>
        </is>
      </c>
      <c r="D1927" s="3" t="inlineStr">
        <is>
          <t>2006/000</t>
        </is>
      </c>
      <c r="E1927" s="3" t="inlineStr">
        <is>
          <t>COS - Endulini Construction</t>
        </is>
      </c>
      <c r="F1927" s="3" t="n">
        <v>248550.49</v>
      </c>
      <c r="G1927" s="3" t="n">
        <v>16316960.77</v>
      </c>
    </row>
    <row r="1928">
      <c r="A1928" s="3" t="inlineStr">
        <is>
          <t>Cape Projects Construction (Pty) Ltd</t>
        </is>
      </c>
      <c r="B1928" s="4" t="n">
        <v>44865</v>
      </c>
      <c r="C1928" s="3" t="inlineStr">
        <is>
          <t>Expenses</t>
        </is>
      </c>
      <c r="D1928" s="3" t="inlineStr">
        <is>
          <t>2006/100</t>
        </is>
      </c>
      <c r="E1928" s="3" t="inlineStr">
        <is>
          <t>COS - Endulini P and G</t>
        </is>
      </c>
      <c r="F1928" s="3" t="n">
        <v>22861.32</v>
      </c>
      <c r="G1928" s="3" t="n">
        <v>888886.99</v>
      </c>
    </row>
    <row r="1929">
      <c r="A1929" s="3" t="inlineStr">
        <is>
          <t>Cape Projects Construction (Pty) Ltd</t>
        </is>
      </c>
      <c r="B1929" s="4" t="n">
        <v>44865</v>
      </c>
      <c r="C1929" s="3" t="inlineStr">
        <is>
          <t>Expenses</t>
        </is>
      </c>
      <c r="D1929" s="3" t="inlineStr">
        <is>
          <t>2006/200</t>
        </is>
      </c>
      <c r="E1929" s="3" t="inlineStr">
        <is>
          <t>COS - Insurance</t>
        </is>
      </c>
      <c r="F1929" s="3" t="n">
        <v>2719.44</v>
      </c>
      <c r="G1929" s="3" t="n">
        <v>34731.25</v>
      </c>
    </row>
    <row r="1930">
      <c r="A1930" s="3" t="inlineStr">
        <is>
          <t>Cape Projects Construction (Pty) Ltd</t>
        </is>
      </c>
      <c r="B1930" s="4" t="n">
        <v>44865</v>
      </c>
      <c r="C1930" s="3" t="inlineStr">
        <is>
          <t>Expenses</t>
        </is>
      </c>
      <c r="D1930" s="3" t="inlineStr">
        <is>
          <t>2006/300</t>
        </is>
      </c>
      <c r="E1930" s="3" t="inlineStr">
        <is>
          <t>COS - Endulini - Printing &amp; Stationary</t>
        </is>
      </c>
      <c r="F1930" s="3" t="n">
        <v>0</v>
      </c>
      <c r="G1930" s="3" t="n">
        <v>269.65</v>
      </c>
    </row>
    <row r="1931">
      <c r="A1931" s="3" t="inlineStr">
        <is>
          <t>Cape Projects Construction (Pty) Ltd</t>
        </is>
      </c>
      <c r="B1931" s="4" t="n">
        <v>44865</v>
      </c>
      <c r="C1931" s="3" t="inlineStr">
        <is>
          <t>Expenses</t>
        </is>
      </c>
      <c r="D1931" s="3" t="inlineStr">
        <is>
          <t>2006/350</t>
        </is>
      </c>
      <c r="E1931" s="3" t="inlineStr">
        <is>
          <t>COS - Endulini - Security</t>
        </is>
      </c>
      <c r="F1931" s="3" t="n">
        <v>0</v>
      </c>
      <c r="G1931" s="3" t="n">
        <v>11000</v>
      </c>
    </row>
    <row r="1932">
      <c r="A1932" s="3" t="inlineStr">
        <is>
          <t>Cape Projects Construction (Pty) Ltd</t>
        </is>
      </c>
      <c r="B1932" s="4" t="n">
        <v>44865</v>
      </c>
      <c r="C1932" s="3" t="inlineStr">
        <is>
          <t>Expenses</t>
        </is>
      </c>
      <c r="D1932" s="3" t="inlineStr">
        <is>
          <t>2006/400</t>
        </is>
      </c>
      <c r="E1932" s="3" t="inlineStr">
        <is>
          <t>COS - Endulini - Health &amp; Safety</t>
        </is>
      </c>
      <c r="F1932" s="3" t="n">
        <v>0</v>
      </c>
      <c r="G1932" s="3" t="n">
        <v>19600</v>
      </c>
    </row>
    <row r="1933">
      <c r="A1933" s="3" t="inlineStr">
        <is>
          <t>Cape Projects Construction (Pty) Ltd</t>
        </is>
      </c>
      <c r="B1933" s="4" t="n">
        <v>44865</v>
      </c>
      <c r="C1933" s="3" t="inlineStr">
        <is>
          <t>Expenses</t>
        </is>
      </c>
      <c r="D1933" s="3" t="inlineStr">
        <is>
          <t>2006/700</t>
        </is>
      </c>
      <c r="E1933" s="3" t="inlineStr">
        <is>
          <t>COS - Endulini - Fuel</t>
        </is>
      </c>
      <c r="F1933" s="3" t="n">
        <v>0</v>
      </c>
      <c r="G1933" s="3" t="n">
        <v>2473.65</v>
      </c>
    </row>
    <row r="1934">
      <c r="A1934" s="3" t="inlineStr">
        <is>
          <t>Cape Projects Construction (Pty) Ltd</t>
        </is>
      </c>
      <c r="B1934" s="4" t="n">
        <v>44865</v>
      </c>
      <c r="C1934" s="3" t="inlineStr">
        <is>
          <t>Expenses</t>
        </is>
      </c>
      <c r="D1934" s="3" t="inlineStr">
        <is>
          <t>2006/800</t>
        </is>
      </c>
      <c r="E1934" s="3" t="inlineStr">
        <is>
          <t>COS - Endulini - Telephone &amp; Internet</t>
        </is>
      </c>
      <c r="F1934" s="3" t="n">
        <v>0</v>
      </c>
      <c r="G1934" s="3" t="n">
        <v>937.39</v>
      </c>
    </row>
    <row r="1935">
      <c r="A1935" s="3" t="inlineStr">
        <is>
          <t>Cape Projects Construction (Pty) Ltd</t>
        </is>
      </c>
      <c r="B1935" s="4" t="n">
        <v>44865</v>
      </c>
      <c r="C1935" s="3" t="inlineStr">
        <is>
          <t>Expenses</t>
        </is>
      </c>
      <c r="D1935" s="3" t="inlineStr">
        <is>
          <t>2007/000</t>
        </is>
      </c>
      <c r="E1935" s="3" t="inlineStr">
        <is>
          <t>COS - Repairs &amp; Maintenance - SW Southwark</t>
        </is>
      </c>
      <c r="F1935" s="3" t="n">
        <v>0</v>
      </c>
      <c r="G1935" s="3" t="n">
        <v>4661.74</v>
      </c>
    </row>
    <row r="1936">
      <c r="A1936" s="3" t="inlineStr">
        <is>
          <t>Cape Projects Construction (Pty) Ltd</t>
        </is>
      </c>
      <c r="B1936" s="4" t="n">
        <v>44865</v>
      </c>
      <c r="C1936" s="3" t="inlineStr">
        <is>
          <t>Expenses</t>
        </is>
      </c>
      <c r="D1936" s="3" t="inlineStr">
        <is>
          <t>2011/300</t>
        </is>
      </c>
      <c r="E1936" s="3" t="inlineStr">
        <is>
          <t>COS - Heron Fields - Printing &amp; Stationary</t>
        </is>
      </c>
      <c r="F1936" s="3" t="n">
        <v>0</v>
      </c>
      <c r="G1936" s="3" t="n">
        <v>2952.7</v>
      </c>
    </row>
    <row r="1937">
      <c r="A1937" s="3" t="inlineStr">
        <is>
          <t>Cape Projects Construction (Pty) Ltd</t>
        </is>
      </c>
      <c r="B1937" s="4" t="n">
        <v>44865</v>
      </c>
      <c r="C1937" s="3" t="inlineStr">
        <is>
          <t>Expenses</t>
        </is>
      </c>
      <c r="D1937" s="3" t="inlineStr">
        <is>
          <t>2011/500</t>
        </is>
      </c>
      <c r="E1937" s="3" t="inlineStr">
        <is>
          <t>COS - Heron Fields - Construction</t>
        </is>
      </c>
      <c r="F1937" s="3" t="n">
        <v>3132835.75</v>
      </c>
      <c r="G1937" s="3" t="n">
        <v>25477189.74</v>
      </c>
    </row>
    <row r="1938">
      <c r="A1938" s="3" t="inlineStr">
        <is>
          <t>Cape Projects Construction (Pty) Ltd</t>
        </is>
      </c>
      <c r="B1938" s="4" t="n">
        <v>44865</v>
      </c>
      <c r="C1938" s="3" t="inlineStr">
        <is>
          <t>Expenses</t>
        </is>
      </c>
      <c r="D1938" s="3" t="inlineStr">
        <is>
          <t>2011/600</t>
        </is>
      </c>
      <c r="E1938" s="3" t="inlineStr">
        <is>
          <t>COS - Heron Fields - P &amp; G</t>
        </is>
      </c>
      <c r="F1938" s="3" t="n">
        <v>281083.21</v>
      </c>
      <c r="G1938" s="3" t="n">
        <v>2085639.44</v>
      </c>
    </row>
    <row r="1939">
      <c r="A1939" s="3" t="inlineStr">
        <is>
          <t>Cape Projects Construction (Pty) Ltd</t>
        </is>
      </c>
      <c r="B1939" s="4" t="n">
        <v>44865</v>
      </c>
      <c r="C1939" s="3" t="inlineStr">
        <is>
          <t>Expenses</t>
        </is>
      </c>
      <c r="D1939" s="3" t="inlineStr">
        <is>
          <t>2011/700</t>
        </is>
      </c>
      <c r="E1939" s="3" t="inlineStr">
        <is>
          <t>COS - Heron Fields - Health &amp; Safety</t>
        </is>
      </c>
      <c r="F1939" s="3" t="n">
        <v>0</v>
      </c>
      <c r="G1939" s="3" t="n">
        <v>22286.3</v>
      </c>
    </row>
    <row r="1940">
      <c r="A1940" s="3" t="inlineStr">
        <is>
          <t>Cape Projects Construction (Pty) Ltd</t>
        </is>
      </c>
      <c r="B1940" s="4" t="n">
        <v>44865</v>
      </c>
      <c r="C1940" s="3" t="inlineStr">
        <is>
          <t>Expenses</t>
        </is>
      </c>
      <c r="D1940" s="3" t="inlineStr">
        <is>
          <t>2011/900</t>
        </is>
      </c>
      <c r="E1940" s="3" t="inlineStr">
        <is>
          <t>COS - Heron - Internet</t>
        </is>
      </c>
      <c r="F1940" s="3" t="n">
        <v>607.83</v>
      </c>
      <c r="G1940" s="3" t="n">
        <v>4669.96</v>
      </c>
    </row>
    <row r="1941">
      <c r="A1941" s="3" t="inlineStr">
        <is>
          <t>Cape Projects Construction (Pty) Ltd</t>
        </is>
      </c>
      <c r="B1941" s="4" t="n">
        <v>44865</v>
      </c>
      <c r="C1941" s="3" t="inlineStr">
        <is>
          <t>Expenses</t>
        </is>
      </c>
      <c r="D1941" s="3" t="inlineStr">
        <is>
          <t>2011/950</t>
        </is>
      </c>
      <c r="E1941" s="3" t="inlineStr">
        <is>
          <t>COS - Heron Fields - Security</t>
        </is>
      </c>
      <c r="F1941" s="3" t="n">
        <v>0</v>
      </c>
      <c r="G1941" s="3" t="n">
        <v>20565.22</v>
      </c>
    </row>
    <row r="1942">
      <c r="A1942" s="3" t="inlineStr">
        <is>
          <t>Cape Projects Construction (Pty) Ltd</t>
        </is>
      </c>
      <c r="B1942" s="4" t="n">
        <v>44865</v>
      </c>
      <c r="C1942" s="3" t="inlineStr">
        <is>
          <t>Expenses</t>
        </is>
      </c>
      <c r="D1942" s="3" t="inlineStr">
        <is>
          <t>2012/002</t>
        </is>
      </c>
      <c r="E1942" s="3" t="inlineStr">
        <is>
          <t>COS - Heron View - Construction</t>
        </is>
      </c>
      <c r="F1942" s="3" t="n">
        <v>1211819.46</v>
      </c>
      <c r="G1942" s="3" t="n">
        <v>1724655.1</v>
      </c>
    </row>
    <row r="1943">
      <c r="A1943" s="3" t="inlineStr">
        <is>
          <t>Cape Projects Construction (Pty) Ltd</t>
        </is>
      </c>
      <c r="B1943" s="4" t="n">
        <v>44865</v>
      </c>
      <c r="C1943" s="3" t="inlineStr">
        <is>
          <t>Expenses</t>
        </is>
      </c>
      <c r="D1943" s="3" t="inlineStr">
        <is>
          <t>2012/003</t>
        </is>
      </c>
      <c r="E1943" s="3" t="inlineStr">
        <is>
          <t>COS - Heron View - P&amp;G</t>
        </is>
      </c>
      <c r="F1943" s="3" t="n">
        <v>18460.65</v>
      </c>
      <c r="G1943" s="3" t="n">
        <v>111053.43</v>
      </c>
    </row>
    <row r="1944">
      <c r="A1944" s="3" t="inlineStr">
        <is>
          <t>Cape Projects Construction (Pty) Ltd</t>
        </is>
      </c>
      <c r="B1944" s="4" t="n">
        <v>44865</v>
      </c>
      <c r="C1944" s="3" t="inlineStr">
        <is>
          <t>Revenue</t>
        </is>
      </c>
      <c r="D1944" s="3" t="inlineStr">
        <is>
          <t>2750/000</t>
        </is>
      </c>
      <c r="E1944" s="3" t="inlineStr">
        <is>
          <t>Interest Received - FNB</t>
        </is>
      </c>
      <c r="F1944" s="3" t="n">
        <v>-373.57</v>
      </c>
      <c r="G1944" s="3" t="n">
        <v>-698.85</v>
      </c>
    </row>
    <row r="1945">
      <c r="A1945" s="3" t="inlineStr">
        <is>
          <t>Cape Projects Construction (Pty) Ltd</t>
        </is>
      </c>
      <c r="B1945" s="4" t="n">
        <v>44865</v>
      </c>
      <c r="C1945" s="3" t="inlineStr">
        <is>
          <t>Revenue</t>
        </is>
      </c>
      <c r="D1945" s="3" t="inlineStr">
        <is>
          <t>2751/001</t>
        </is>
      </c>
      <c r="E1945" s="3" t="inlineStr">
        <is>
          <t>Interest received - Momentum</t>
        </is>
      </c>
      <c r="F1945" s="3" t="n">
        <v>-5.26</v>
      </c>
      <c r="G1945" s="3" t="n">
        <v>-18.22</v>
      </c>
    </row>
    <row r="1946">
      <c r="A1946" s="3" t="inlineStr">
        <is>
          <t>Heron Fields (Pty) Ltd</t>
        </is>
      </c>
      <c r="B1946" s="4" t="n">
        <v>44865</v>
      </c>
      <c r="C1946" s="3" t="inlineStr">
        <is>
          <t>Revenue</t>
        </is>
      </c>
      <c r="D1946" s="3" t="inlineStr">
        <is>
          <t>2755/001</t>
        </is>
      </c>
      <c r="E1946" s="3" t="inlineStr">
        <is>
          <t>Interest Received - Momentum</t>
        </is>
      </c>
      <c r="F1946" s="3" t="n">
        <v>-31863.87</v>
      </c>
      <c r="G1946" s="3" t="n">
        <v>-282952.56</v>
      </c>
    </row>
    <row r="1947">
      <c r="A1947" s="3" t="inlineStr">
        <is>
          <t>Heron Fields (Pty) Ltd</t>
        </is>
      </c>
      <c r="B1947" s="4" t="n">
        <v>44865</v>
      </c>
      <c r="C1947" s="3" t="inlineStr">
        <is>
          <t>Expenses</t>
        </is>
      </c>
      <c r="D1947" s="3" t="inlineStr">
        <is>
          <t>3000/100</t>
        </is>
      </c>
      <c r="E1947" s="3" t="inlineStr">
        <is>
          <t>Accounting - CIPC</t>
        </is>
      </c>
      <c r="F1947" s="3" t="n">
        <v>150</v>
      </c>
      <c r="G1947" s="3" t="n">
        <v>150</v>
      </c>
    </row>
    <row r="1948">
      <c r="A1948" s="3" t="inlineStr">
        <is>
          <t>Cape Projects Construction (Pty) Ltd</t>
        </is>
      </c>
      <c r="B1948" s="4" t="n">
        <v>44865</v>
      </c>
      <c r="C1948" s="3" t="inlineStr">
        <is>
          <t>Expenses</t>
        </is>
      </c>
      <c r="D1948" s="3" t="inlineStr">
        <is>
          <t>3002/000</t>
        </is>
      </c>
      <c r="E1948" s="3" t="inlineStr">
        <is>
          <t>Accounting Fees - Audit</t>
        </is>
      </c>
      <c r="F1948" s="3" t="n">
        <v>0</v>
      </c>
      <c r="G1948" s="3" t="n">
        <v>10600</v>
      </c>
    </row>
    <row r="1949">
      <c r="A1949" s="3" t="inlineStr">
        <is>
          <t>Cape Projects Construction (Pty) Ltd</t>
        </is>
      </c>
      <c r="B1949" s="4" t="n">
        <v>44865</v>
      </c>
      <c r="C1949" s="3" t="inlineStr">
        <is>
          <t>Expenses</t>
        </is>
      </c>
      <c r="D1949" s="3" t="inlineStr">
        <is>
          <t>3020/100</t>
        </is>
      </c>
      <c r="E1949" s="3" t="inlineStr">
        <is>
          <t>Admin - Subcontractors</t>
        </is>
      </c>
      <c r="F1949" s="3" t="n">
        <v>0</v>
      </c>
      <c r="G1949" s="3" t="n">
        <v>14139.13</v>
      </c>
    </row>
    <row r="1950">
      <c r="A1950" s="3" t="inlineStr">
        <is>
          <t>Cape Projects Construction (Pty) Ltd</t>
        </is>
      </c>
      <c r="B1950" s="4" t="n">
        <v>44865</v>
      </c>
      <c r="C1950" s="3" t="inlineStr">
        <is>
          <t>Expenses</t>
        </is>
      </c>
      <c r="D1950" s="3" t="inlineStr">
        <is>
          <t>3050/000</t>
        </is>
      </c>
      <c r="E1950" s="3" t="inlineStr">
        <is>
          <t>Advertising _AND_ Promotions</t>
        </is>
      </c>
      <c r="F1950" s="3" t="n">
        <v>0</v>
      </c>
      <c r="G1950" s="3" t="n">
        <v>687.5</v>
      </c>
    </row>
    <row r="1951">
      <c r="A1951" s="3" t="inlineStr">
        <is>
          <t>Heron Fields (Pty) Ltd</t>
        </is>
      </c>
      <c r="B1951" s="4" t="n">
        <v>44865</v>
      </c>
      <c r="C1951" s="3" t="inlineStr">
        <is>
          <t>Expenses</t>
        </is>
      </c>
      <c r="D1951" s="3" t="inlineStr">
        <is>
          <t>3050/000</t>
        </is>
      </c>
      <c r="E1951" s="3" t="inlineStr">
        <is>
          <t>Advertising _AND_ Promotions</t>
        </is>
      </c>
      <c r="F1951" s="3" t="n">
        <v>375</v>
      </c>
      <c r="G1951" s="3" t="n">
        <v>100078.86</v>
      </c>
    </row>
    <row r="1952">
      <c r="A1952" s="3" t="inlineStr">
        <is>
          <t>Heron View (Pty) Ltd</t>
        </is>
      </c>
      <c r="B1952" s="4" t="n">
        <v>44865</v>
      </c>
      <c r="C1952" s="3" t="inlineStr">
        <is>
          <t>Expenses</t>
        </is>
      </c>
      <c r="D1952" s="3" t="inlineStr">
        <is>
          <t>3050/000</t>
        </is>
      </c>
      <c r="E1952" s="3" t="inlineStr">
        <is>
          <t>Advertising _AND_ Promotions</t>
        </is>
      </c>
      <c r="F1952" s="3" t="n">
        <v>0</v>
      </c>
      <c r="G1952" s="3" t="n">
        <v>2500</v>
      </c>
    </row>
    <row r="1953">
      <c r="A1953" s="3" t="inlineStr">
        <is>
          <t>Heron Fields (Pty) Ltd</t>
        </is>
      </c>
      <c r="B1953" s="4" t="n">
        <v>44865</v>
      </c>
      <c r="C1953" s="3" t="inlineStr">
        <is>
          <t>Expenses</t>
        </is>
      </c>
      <c r="D1953" s="3" t="inlineStr">
        <is>
          <t>3050/100</t>
        </is>
      </c>
      <c r="E1953" s="3" t="inlineStr">
        <is>
          <t>Advertising - Property24</t>
        </is>
      </c>
      <c r="F1953" s="3" t="n">
        <v>11556</v>
      </c>
      <c r="G1953" s="3" t="n">
        <v>92448</v>
      </c>
    </row>
    <row r="1954">
      <c r="A1954" s="3" t="inlineStr">
        <is>
          <t>Cape Projects Construction (Pty) Ltd</t>
        </is>
      </c>
      <c r="B1954" s="4" t="n">
        <v>44865</v>
      </c>
      <c r="C1954" s="3" t="inlineStr">
        <is>
          <t>Expenses</t>
        </is>
      </c>
      <c r="D1954" s="3" t="inlineStr">
        <is>
          <t>3050/450</t>
        </is>
      </c>
      <c r="E1954" s="3" t="inlineStr">
        <is>
          <t>Advertising - Other</t>
        </is>
      </c>
      <c r="F1954" s="3" t="n">
        <v>0</v>
      </c>
      <c r="G1954" s="3" t="n">
        <v>137.5</v>
      </c>
    </row>
    <row r="1955">
      <c r="A1955" s="3" t="inlineStr">
        <is>
          <t>Cape Projects Construction (Pty) Ltd</t>
        </is>
      </c>
      <c r="B1955" s="4" t="n">
        <v>44865</v>
      </c>
      <c r="C1955" s="3" t="inlineStr">
        <is>
          <t>Expenses</t>
        </is>
      </c>
      <c r="D1955" s="3" t="inlineStr">
        <is>
          <t>3200/000</t>
        </is>
      </c>
      <c r="E1955" s="3" t="inlineStr">
        <is>
          <t>Bank Charges</t>
        </is>
      </c>
      <c r="F1955" s="3" t="n">
        <v>2630.23</v>
      </c>
      <c r="G1955" s="3" t="n">
        <v>22820.7</v>
      </c>
    </row>
    <row r="1956">
      <c r="A1956" s="3" t="inlineStr">
        <is>
          <t>Heron Fields (Pty) Ltd</t>
        </is>
      </c>
      <c r="B1956" s="4" t="n">
        <v>44865</v>
      </c>
      <c r="C1956" s="3" t="inlineStr">
        <is>
          <t>Expenses</t>
        </is>
      </c>
      <c r="D1956" s="3" t="inlineStr">
        <is>
          <t>3200/000</t>
        </is>
      </c>
      <c r="E1956" s="3" t="inlineStr">
        <is>
          <t>Bank Charges</t>
        </is>
      </c>
      <c r="F1956" s="3" t="n">
        <v>261.49</v>
      </c>
      <c r="G1956" s="3" t="n">
        <v>5738.57</v>
      </c>
    </row>
    <row r="1957">
      <c r="A1957" s="3" t="inlineStr">
        <is>
          <t>Cape Projects Construction (Pty) Ltd</t>
        </is>
      </c>
      <c r="B1957" s="4" t="n">
        <v>44865</v>
      </c>
      <c r="C1957" s="3" t="inlineStr">
        <is>
          <t>Expenses</t>
        </is>
      </c>
      <c r="D1957" s="3" t="inlineStr">
        <is>
          <t>3250/000</t>
        </is>
      </c>
      <c r="E1957" s="3" t="inlineStr">
        <is>
          <t>Cleaning</t>
        </is>
      </c>
      <c r="F1957" s="3" t="n">
        <v>0</v>
      </c>
      <c r="G1957" s="3" t="n">
        <v>1986.89</v>
      </c>
    </row>
    <row r="1958">
      <c r="A1958" s="3" t="inlineStr">
        <is>
          <t>Cape Projects Construction (Pty) Ltd</t>
        </is>
      </c>
      <c r="B1958" s="4" t="n">
        <v>44865</v>
      </c>
      <c r="C1958" s="3" t="inlineStr">
        <is>
          <t>Expenses</t>
        </is>
      </c>
      <c r="D1958" s="3" t="inlineStr">
        <is>
          <t>3256/000</t>
        </is>
      </c>
      <c r="E1958" s="3" t="inlineStr">
        <is>
          <t>Cell Phone - Nick Morgan</t>
        </is>
      </c>
      <c r="F1958" s="3" t="n">
        <v>790.53</v>
      </c>
      <c r="G1958" s="3" t="n">
        <v>5376.4</v>
      </c>
    </row>
    <row r="1959">
      <c r="A1959" s="3" t="inlineStr">
        <is>
          <t>Cape Projects Construction (Pty) Ltd</t>
        </is>
      </c>
      <c r="B1959" s="4" t="n">
        <v>44865</v>
      </c>
      <c r="C1959" s="3" t="inlineStr">
        <is>
          <t>Expenses</t>
        </is>
      </c>
      <c r="D1959" s="3" t="inlineStr">
        <is>
          <t>3300/000</t>
        </is>
      </c>
      <c r="E1959" s="3" t="inlineStr">
        <is>
          <t>Computer Expenses</t>
        </is>
      </c>
      <c r="F1959" s="3" t="n">
        <v>956.52</v>
      </c>
      <c r="G1959" s="3" t="n">
        <v>4264.21</v>
      </c>
    </row>
    <row r="1960">
      <c r="A1960" s="3" t="inlineStr">
        <is>
          <t>Cape Projects Construction (Pty) Ltd</t>
        </is>
      </c>
      <c r="B1960" s="4" t="n">
        <v>44865</v>
      </c>
      <c r="C1960" s="3" t="inlineStr">
        <is>
          <t>Expenses</t>
        </is>
      </c>
      <c r="D1960" s="3" t="inlineStr">
        <is>
          <t>3300/100</t>
        </is>
      </c>
      <c r="E1960" s="3" t="inlineStr">
        <is>
          <t>Computer Exp - IT, Internet/Hosting Fee</t>
        </is>
      </c>
      <c r="F1960" s="3" t="n">
        <v>3130</v>
      </c>
      <c r="G1960" s="3" t="n">
        <v>31969</v>
      </c>
    </row>
    <row r="1961">
      <c r="A1961" s="3" t="inlineStr">
        <is>
          <t>Heron Fields (Pty) Ltd</t>
        </is>
      </c>
      <c r="B1961" s="4" t="n">
        <v>44865</v>
      </c>
      <c r="C1961" s="3" t="inlineStr">
        <is>
          <t>Expenses</t>
        </is>
      </c>
      <c r="D1961" s="3" t="inlineStr">
        <is>
          <t>3350/100</t>
        </is>
      </c>
      <c r="E1961" s="3" t="inlineStr">
        <is>
          <t>Consulting Fees - Admin and Finance</t>
        </is>
      </c>
      <c r="F1961" s="3" t="n">
        <v>90550</v>
      </c>
      <c r="G1961" s="3" t="n">
        <v>670540.6800000001</v>
      </c>
    </row>
    <row r="1962">
      <c r="A1962" s="3" t="inlineStr">
        <is>
          <t>Cape Projects Construction (Pty) Ltd</t>
        </is>
      </c>
      <c r="B1962" s="4" t="n">
        <v>44865</v>
      </c>
      <c r="C1962" s="3" t="inlineStr">
        <is>
          <t>Expenses</t>
        </is>
      </c>
      <c r="D1962" s="3" t="inlineStr">
        <is>
          <t>3350/100</t>
        </is>
      </c>
      <c r="E1962" s="3" t="inlineStr">
        <is>
          <t>Consulting fees - Herbert du Plessis</t>
        </is>
      </c>
      <c r="F1962" s="3" t="n">
        <v>36000</v>
      </c>
      <c r="G1962" s="3" t="n">
        <v>288000</v>
      </c>
    </row>
    <row r="1963">
      <c r="A1963" s="3" t="inlineStr">
        <is>
          <t>Cape Projects Construction (Pty) Ltd</t>
        </is>
      </c>
      <c r="B1963" s="4" t="n">
        <v>44865</v>
      </c>
      <c r="C1963" s="3" t="inlineStr">
        <is>
          <t>Expenses</t>
        </is>
      </c>
      <c r="D1963" s="3" t="inlineStr">
        <is>
          <t>3350/300</t>
        </is>
      </c>
      <c r="E1963" s="3" t="inlineStr">
        <is>
          <t>Consulting Fees - Admin and Finance</t>
        </is>
      </c>
      <c r="F1963" s="3" t="n">
        <v>131550</v>
      </c>
      <c r="G1963" s="3" t="n">
        <v>1003621.87</v>
      </c>
    </row>
    <row r="1964">
      <c r="A1964" s="3" t="inlineStr">
        <is>
          <t>Heron Fields (Pty) Ltd</t>
        </is>
      </c>
      <c r="B1964" s="4" t="n">
        <v>44865</v>
      </c>
      <c r="C1964" s="3" t="inlineStr">
        <is>
          <t>Expenses</t>
        </is>
      </c>
      <c r="D1964" s="3" t="inlineStr">
        <is>
          <t>3351/000</t>
        </is>
      </c>
      <c r="E1964" s="3" t="inlineStr">
        <is>
          <t>Consulting fees - Trustee</t>
        </is>
      </c>
      <c r="F1964" s="3" t="n">
        <v>4000</v>
      </c>
      <c r="G1964" s="3" t="n">
        <v>52000</v>
      </c>
    </row>
    <row r="1965">
      <c r="A1965" s="3" t="inlineStr">
        <is>
          <t>Cape Projects Construction (Pty) Ltd</t>
        </is>
      </c>
      <c r="B1965" s="4" t="n">
        <v>44865</v>
      </c>
      <c r="C1965" s="3" t="inlineStr">
        <is>
          <t>Expenses</t>
        </is>
      </c>
      <c r="D1965" s="3" t="inlineStr">
        <is>
          <t>3400/000</t>
        </is>
      </c>
      <c r="E1965" s="3" t="inlineStr">
        <is>
          <t>Courier _AND_ Postage</t>
        </is>
      </c>
      <c r="F1965" s="3" t="n">
        <v>0</v>
      </c>
      <c r="G1965" s="3" t="n">
        <v>160.87</v>
      </c>
    </row>
    <row r="1966">
      <c r="A1966" s="3" t="inlineStr">
        <is>
          <t>Cape Projects Construction (Pty) Ltd</t>
        </is>
      </c>
      <c r="B1966" s="4" t="n">
        <v>44865</v>
      </c>
      <c r="C1966" s="3" t="inlineStr">
        <is>
          <t>Expenses</t>
        </is>
      </c>
      <c r="D1966" s="3" t="inlineStr">
        <is>
          <t>3450/001</t>
        </is>
      </c>
      <c r="E1966" s="3" t="inlineStr">
        <is>
          <t>Depreciation - Computer Equipment</t>
        </is>
      </c>
      <c r="F1966" s="3" t="n">
        <v>2165.84</v>
      </c>
      <c r="G1966" s="3" t="n">
        <v>15118.54</v>
      </c>
    </row>
    <row r="1967">
      <c r="A1967" s="3" t="inlineStr">
        <is>
          <t>Cape Projects Construction (Pty) Ltd</t>
        </is>
      </c>
      <c r="B1967" s="4" t="n">
        <v>44865</v>
      </c>
      <c r="C1967" s="3" t="inlineStr">
        <is>
          <t>Expenses</t>
        </is>
      </c>
      <c r="D1967" s="3" t="inlineStr">
        <is>
          <t>3450/002</t>
        </is>
      </c>
      <c r="E1967" s="3" t="inlineStr">
        <is>
          <t>Depreciation - Generator Fixed Asset</t>
        </is>
      </c>
      <c r="F1967" s="3" t="n">
        <v>193.34</v>
      </c>
      <c r="G1967" s="3" t="n">
        <v>1546.67</v>
      </c>
    </row>
    <row r="1968">
      <c r="A1968" s="3" t="inlineStr">
        <is>
          <t>Cape Projects Construction (Pty) Ltd</t>
        </is>
      </c>
      <c r="B1968" s="4" t="n">
        <v>44865</v>
      </c>
      <c r="C1968" s="3" t="inlineStr">
        <is>
          <t>Expenses</t>
        </is>
      </c>
      <c r="D1968" s="3" t="inlineStr">
        <is>
          <t>3450/003</t>
        </is>
      </c>
      <c r="E1968" s="3" t="inlineStr">
        <is>
          <t>Depreciation - Motor vehicle</t>
        </is>
      </c>
      <c r="F1968" s="3" t="n">
        <v>0</v>
      </c>
      <c r="G1968" s="3" t="n">
        <v>39610.1</v>
      </c>
    </row>
    <row r="1969">
      <c r="A1969" s="3" t="inlineStr">
        <is>
          <t>Cape Projects Construction (Pty) Ltd</t>
        </is>
      </c>
      <c r="B1969" s="4" t="n">
        <v>44865</v>
      </c>
      <c r="C1969" s="3" t="inlineStr">
        <is>
          <t>Expenses</t>
        </is>
      </c>
      <c r="D1969" s="3" t="inlineStr">
        <is>
          <t>3450/030</t>
        </is>
      </c>
      <c r="E1969" s="3" t="inlineStr">
        <is>
          <t>Depreciation - Furniture and Fittings</t>
        </is>
      </c>
      <c r="F1969" s="3" t="n">
        <v>427.21</v>
      </c>
      <c r="G1969" s="3" t="n">
        <v>3417.65</v>
      </c>
    </row>
    <row r="1970">
      <c r="A1970" s="3" t="inlineStr">
        <is>
          <t>Heron Fields (Pty) Ltd</t>
        </is>
      </c>
      <c r="B1970" s="4" t="n">
        <v>44865</v>
      </c>
      <c r="C1970" s="3" t="inlineStr">
        <is>
          <t>Expenses</t>
        </is>
      </c>
      <c r="D1970" s="3" t="inlineStr">
        <is>
          <t>3650/000</t>
        </is>
      </c>
      <c r="E1970" s="3" t="inlineStr">
        <is>
          <t>CoCT - Electricity</t>
        </is>
      </c>
      <c r="F1970" s="3" t="n">
        <v>3022.39</v>
      </c>
      <c r="G1970" s="3" t="n">
        <v>23636.97</v>
      </c>
    </row>
    <row r="1971">
      <c r="A1971" s="3" t="inlineStr">
        <is>
          <t>Cape Projects Construction (Pty) Ltd</t>
        </is>
      </c>
      <c r="B1971" s="4" t="n">
        <v>44865</v>
      </c>
      <c r="C1971" s="3" t="inlineStr">
        <is>
          <t>Expenses</t>
        </is>
      </c>
      <c r="D1971" s="3" t="inlineStr">
        <is>
          <t>3650/000</t>
        </is>
      </c>
      <c r="E1971" s="3" t="inlineStr">
        <is>
          <t>Electricity _AND_ Water</t>
        </is>
      </c>
      <c r="F1971" s="3" t="n">
        <v>5377.37</v>
      </c>
      <c r="G1971" s="3" t="n">
        <v>39247.98</v>
      </c>
    </row>
    <row r="1972">
      <c r="A1972" s="3" t="inlineStr">
        <is>
          <t>Heron Fields (Pty) Ltd</t>
        </is>
      </c>
      <c r="B1972" s="4" t="n">
        <v>44865</v>
      </c>
      <c r="C1972" s="3" t="inlineStr">
        <is>
          <t>Expenses</t>
        </is>
      </c>
      <c r="D1972" s="3" t="inlineStr">
        <is>
          <t>3660/000</t>
        </is>
      </c>
      <c r="E1972" s="3" t="inlineStr">
        <is>
          <t>CoCT - Water</t>
        </is>
      </c>
      <c r="F1972" s="3" t="n">
        <v>4972.63</v>
      </c>
      <c r="G1972" s="3" t="n">
        <v>43254.35</v>
      </c>
    </row>
    <row r="1973">
      <c r="A1973" s="3" t="inlineStr">
        <is>
          <t>Cape Projects Construction (Pty) Ltd</t>
        </is>
      </c>
      <c r="B1973" s="4" t="n">
        <v>44865</v>
      </c>
      <c r="C1973" s="3" t="inlineStr">
        <is>
          <t>Expenses</t>
        </is>
      </c>
      <c r="D1973" s="3" t="inlineStr">
        <is>
          <t>3700/000</t>
        </is>
      </c>
      <c r="E1973" s="3" t="inlineStr">
        <is>
          <t>Entertainment Expenses</t>
        </is>
      </c>
      <c r="F1973" s="3" t="n">
        <v>0</v>
      </c>
      <c r="G1973" s="3" t="n">
        <v>7651.52</v>
      </c>
    </row>
    <row r="1974">
      <c r="A1974" s="3" t="inlineStr">
        <is>
          <t>Cape Projects Construction (Pty) Ltd</t>
        </is>
      </c>
      <c r="B1974" s="4" t="n">
        <v>44865</v>
      </c>
      <c r="C1974" s="3" t="inlineStr">
        <is>
          <t>Expenses</t>
        </is>
      </c>
      <c r="D1974" s="3" t="inlineStr">
        <is>
          <t>3850/000</t>
        </is>
      </c>
      <c r="E1974" s="3" t="inlineStr">
        <is>
          <t>Insurance</t>
        </is>
      </c>
      <c r="F1974" s="3" t="n">
        <v>273.21</v>
      </c>
      <c r="G1974" s="3" t="n">
        <v>546.42</v>
      </c>
    </row>
    <row r="1975">
      <c r="A1975" s="3" t="inlineStr">
        <is>
          <t>Heron Fields (Pty) Ltd</t>
        </is>
      </c>
      <c r="B1975" s="4" t="n">
        <v>44865</v>
      </c>
      <c r="C1975" s="3" t="inlineStr">
        <is>
          <t>Expenses</t>
        </is>
      </c>
      <c r="D1975" s="3" t="inlineStr">
        <is>
          <t>3850/000</t>
        </is>
      </c>
      <c r="E1975" s="3" t="inlineStr">
        <is>
          <t>Insurance</t>
        </is>
      </c>
      <c r="F1975" s="3" t="n">
        <v>0</v>
      </c>
      <c r="G1975" s="3" t="n">
        <v>4142.3</v>
      </c>
    </row>
    <row r="1976">
      <c r="A1976" s="3" t="inlineStr">
        <is>
          <t>Cape Projects Construction (Pty) Ltd</t>
        </is>
      </c>
      <c r="B1976" s="4" t="n">
        <v>44865</v>
      </c>
      <c r="C1976" s="3" t="inlineStr">
        <is>
          <t>Expenses</t>
        </is>
      </c>
      <c r="D1976" s="3" t="inlineStr">
        <is>
          <t>3850/001</t>
        </is>
      </c>
      <c r="E1976" s="3" t="inlineStr">
        <is>
          <t>Insurance - Santam</t>
        </is>
      </c>
      <c r="F1976" s="3" t="n">
        <v>1194.15</v>
      </c>
      <c r="G1976" s="3" t="n">
        <v>9483.76</v>
      </c>
    </row>
    <row r="1977">
      <c r="A1977" s="3" t="inlineStr">
        <is>
          <t>Cape Projects Construction (Pty) Ltd</t>
        </is>
      </c>
      <c r="B1977" s="4" t="n">
        <v>44865</v>
      </c>
      <c r="C1977" s="3" t="inlineStr">
        <is>
          <t>Expenses</t>
        </is>
      </c>
      <c r="D1977" s="3" t="inlineStr">
        <is>
          <t>3850/002</t>
        </is>
      </c>
      <c r="E1977" s="3" t="inlineStr">
        <is>
          <t>Insurance - RBS</t>
        </is>
      </c>
      <c r="F1977" s="3" t="n">
        <v>0</v>
      </c>
      <c r="G1977" s="3" t="n">
        <v>1425.42</v>
      </c>
    </row>
    <row r="1978">
      <c r="A1978" s="3" t="inlineStr">
        <is>
          <t>Heron Fields (Pty) Ltd</t>
        </is>
      </c>
      <c r="B1978" s="4" t="n">
        <v>44865</v>
      </c>
      <c r="C1978" s="3" t="inlineStr">
        <is>
          <t>Expenses</t>
        </is>
      </c>
      <c r="D1978" s="3" t="inlineStr">
        <is>
          <t>3900/000</t>
        </is>
      </c>
      <c r="E1978" s="3" t="inlineStr">
        <is>
          <t>Interest Paid</t>
        </is>
      </c>
      <c r="F1978" s="3" t="n">
        <v>181.66</v>
      </c>
      <c r="G1978" s="3" t="n">
        <v>588.4400000000001</v>
      </c>
    </row>
    <row r="1979">
      <c r="A1979" s="3" t="inlineStr">
        <is>
          <t>Cape Projects Construction (Pty) Ltd</t>
        </is>
      </c>
      <c r="B1979" s="4" t="n">
        <v>44865</v>
      </c>
      <c r="C1979" s="3" t="inlineStr">
        <is>
          <t>Expenses</t>
        </is>
      </c>
      <c r="D1979" s="3" t="inlineStr">
        <is>
          <t>3904/000</t>
        </is>
      </c>
      <c r="E1979" s="3" t="inlineStr">
        <is>
          <t>Interest Paid - BIBC</t>
        </is>
      </c>
      <c r="F1979" s="3" t="n">
        <v>849.05</v>
      </c>
      <c r="G1979" s="3" t="n">
        <v>849.05</v>
      </c>
    </row>
    <row r="1980">
      <c r="A1980" s="3" t="inlineStr">
        <is>
          <t>Heron Fields (Pty) Ltd</t>
        </is>
      </c>
      <c r="B1980" s="4" t="n">
        <v>44865</v>
      </c>
      <c r="C1980" s="3" t="inlineStr">
        <is>
          <t>Expenses</t>
        </is>
      </c>
      <c r="D1980" s="3" t="inlineStr">
        <is>
          <t>4070/000</t>
        </is>
      </c>
      <c r="E1980" s="3" t="inlineStr">
        <is>
          <t>Management fees - OMH</t>
        </is>
      </c>
      <c r="F1980" s="3" t="n">
        <v>400000</v>
      </c>
      <c r="G1980" s="3" t="n">
        <v>400000</v>
      </c>
    </row>
    <row r="1981">
      <c r="A1981" s="3" t="inlineStr">
        <is>
          <t>Heron Fields (Pty) Ltd</t>
        </is>
      </c>
      <c r="B1981" s="4" t="n">
        <v>44865</v>
      </c>
      <c r="C1981" s="3" t="inlineStr">
        <is>
          <t>Expenses</t>
        </is>
      </c>
      <c r="D1981" s="3" t="inlineStr">
        <is>
          <t>4100/001</t>
        </is>
      </c>
      <c r="E1981" s="3" t="inlineStr">
        <is>
          <t>Momentum Admin Fee</t>
        </is>
      </c>
      <c r="F1981" s="3" t="n">
        <v>1185.34</v>
      </c>
      <c r="G1981" s="3" t="n">
        <v>239928.9</v>
      </c>
    </row>
    <row r="1982">
      <c r="A1982" s="3" t="inlineStr">
        <is>
          <t>Cape Projects Construction (Pty) Ltd</t>
        </is>
      </c>
      <c r="B1982" s="4" t="n">
        <v>44865</v>
      </c>
      <c r="C1982" s="3" t="inlineStr">
        <is>
          <t>Expenses</t>
        </is>
      </c>
      <c r="D1982" s="3" t="inlineStr">
        <is>
          <t>4150/020</t>
        </is>
      </c>
      <c r="E1982" s="3" t="inlineStr">
        <is>
          <t>Motor Vehicle - Repairs _AND_ Maint.</t>
        </is>
      </c>
      <c r="F1982" s="3" t="n">
        <v>0</v>
      </c>
      <c r="G1982" s="3" t="n">
        <v>4033.01</v>
      </c>
    </row>
    <row r="1983">
      <c r="A1983" s="3" t="inlineStr">
        <is>
          <t>Cape Projects Construction (Pty) Ltd</t>
        </is>
      </c>
      <c r="B1983" s="4" t="n">
        <v>44865</v>
      </c>
      <c r="C1983" s="3" t="inlineStr">
        <is>
          <t>Expenses</t>
        </is>
      </c>
      <c r="D1983" s="3" t="inlineStr">
        <is>
          <t>4150/030</t>
        </is>
      </c>
      <c r="E1983" s="3" t="inlineStr">
        <is>
          <t>Motor Vehicle - Insurance _AND_ Licence</t>
        </is>
      </c>
      <c r="F1983" s="3" t="n">
        <v>0</v>
      </c>
      <c r="G1983" s="3" t="n">
        <v>1200</v>
      </c>
    </row>
    <row r="1984">
      <c r="A1984" s="3" t="inlineStr">
        <is>
          <t>Cape Projects Construction (Pty) Ltd</t>
        </is>
      </c>
      <c r="B1984" s="4" t="n">
        <v>44865</v>
      </c>
      <c r="C1984" s="3" t="inlineStr">
        <is>
          <t>Expenses</t>
        </is>
      </c>
      <c r="D1984" s="3" t="inlineStr">
        <is>
          <t>4200/000</t>
        </is>
      </c>
      <c r="E1984" s="3" t="inlineStr">
        <is>
          <t>Printing _AND_ Stationery</t>
        </is>
      </c>
      <c r="F1984" s="3" t="n">
        <v>922.4299999999999</v>
      </c>
      <c r="G1984" s="3" t="n">
        <v>9595.200000000001</v>
      </c>
    </row>
    <row r="1985">
      <c r="A1985" s="3" t="inlineStr">
        <is>
          <t>Heron View (Pty) Ltd</t>
        </is>
      </c>
      <c r="B1985" s="4" t="n">
        <v>44865</v>
      </c>
      <c r="C1985" s="3" t="inlineStr">
        <is>
          <t>Expenses</t>
        </is>
      </c>
      <c r="D1985" s="3" t="inlineStr">
        <is>
          <t>4200/000</t>
        </is>
      </c>
      <c r="E1985" s="3" t="inlineStr">
        <is>
          <t>Printing _AND_ Stationery</t>
        </is>
      </c>
      <c r="F1985" s="3" t="n">
        <v>0</v>
      </c>
      <c r="G1985" s="3" t="n">
        <v>3404.62</v>
      </c>
    </row>
    <row r="1986">
      <c r="A1986" s="3" t="inlineStr">
        <is>
          <t>Cape Projects Construction (Pty) Ltd</t>
        </is>
      </c>
      <c r="B1986" s="4" t="n">
        <v>44865</v>
      </c>
      <c r="C1986" s="3" t="inlineStr">
        <is>
          <t>Expenses</t>
        </is>
      </c>
      <c r="D1986" s="3" t="inlineStr">
        <is>
          <t>4201/000</t>
        </is>
      </c>
      <c r="E1986" s="3" t="inlineStr">
        <is>
          <t>Printing - Printer rental</t>
        </is>
      </c>
      <c r="F1986" s="3" t="n">
        <v>626.01</v>
      </c>
      <c r="G1986" s="3" t="n">
        <v>5567.47</v>
      </c>
    </row>
    <row r="1987">
      <c r="A1987" s="3" t="inlineStr">
        <is>
          <t>Cape Projects Construction (Pty) Ltd</t>
        </is>
      </c>
      <c r="B1987" s="4" t="n">
        <v>44865</v>
      </c>
      <c r="C1987" s="3" t="inlineStr">
        <is>
          <t>Expenses</t>
        </is>
      </c>
      <c r="D1987" s="3" t="inlineStr">
        <is>
          <t>4300/000</t>
        </is>
      </c>
      <c r="E1987" s="3" t="inlineStr">
        <is>
          <t>Rent Paid</t>
        </is>
      </c>
      <c r="F1987" s="3" t="n">
        <v>28087.5</v>
      </c>
      <c r="G1987" s="3" t="n">
        <v>224700</v>
      </c>
    </row>
    <row r="1988">
      <c r="A1988" s="3" t="inlineStr">
        <is>
          <t>Cape Projects Construction (Pty) Ltd</t>
        </is>
      </c>
      <c r="B1988" s="4" t="n">
        <v>44865</v>
      </c>
      <c r="C1988" s="3" t="inlineStr">
        <is>
          <t>Expenses</t>
        </is>
      </c>
      <c r="D1988" s="3" t="inlineStr">
        <is>
          <t>4310/000</t>
        </is>
      </c>
      <c r="E1988" s="3" t="inlineStr">
        <is>
          <t>Rates</t>
        </is>
      </c>
      <c r="F1988" s="3" t="n">
        <v>843.6</v>
      </c>
      <c r="G1988" s="3" t="n">
        <v>6748.8</v>
      </c>
    </row>
    <row r="1989">
      <c r="A1989" s="3" t="inlineStr">
        <is>
          <t>Heron Fields (Pty) Ltd</t>
        </is>
      </c>
      <c r="B1989" s="4" t="n">
        <v>44865</v>
      </c>
      <c r="C1989" s="3" t="inlineStr">
        <is>
          <t>Expenses</t>
        </is>
      </c>
      <c r="D1989" s="3" t="inlineStr">
        <is>
          <t>4310/000</t>
        </is>
      </c>
      <c r="E1989" s="3" t="inlineStr">
        <is>
          <t>Rates - Heron</t>
        </is>
      </c>
      <c r="F1989" s="3" t="n">
        <v>3406.21</v>
      </c>
      <c r="G1989" s="3" t="n">
        <v>25769.58</v>
      </c>
    </row>
    <row r="1990">
      <c r="A1990" s="3" t="inlineStr">
        <is>
          <t>Cape Projects Construction (Pty) Ltd</t>
        </is>
      </c>
      <c r="B1990" s="4" t="n">
        <v>44865</v>
      </c>
      <c r="C1990" s="3" t="inlineStr">
        <is>
          <t>Expenses</t>
        </is>
      </c>
      <c r="D1990" s="3" t="inlineStr">
        <is>
          <t>4350/000</t>
        </is>
      </c>
      <c r="E1990" s="3" t="inlineStr">
        <is>
          <t>Repairs _AND_ Maintenance</t>
        </is>
      </c>
      <c r="F1990" s="3" t="n">
        <v>0</v>
      </c>
      <c r="G1990" s="3" t="n">
        <v>10521.71</v>
      </c>
    </row>
    <row r="1991">
      <c r="A1991" s="3" t="inlineStr">
        <is>
          <t>Heron Fields (Pty) Ltd</t>
        </is>
      </c>
      <c r="B1991" s="4" t="n">
        <v>44865</v>
      </c>
      <c r="C1991" s="3" t="inlineStr">
        <is>
          <t>Expenses</t>
        </is>
      </c>
      <c r="D1991" s="3" t="inlineStr">
        <is>
          <t>4350/000</t>
        </is>
      </c>
      <c r="E1991" s="3" t="inlineStr">
        <is>
          <t>Repairs _AND_ Maintenance</t>
        </is>
      </c>
      <c r="F1991" s="3" t="n">
        <v>18372.16</v>
      </c>
      <c r="G1991" s="3" t="n">
        <v>22719.99</v>
      </c>
    </row>
    <row r="1992">
      <c r="A1992" s="3" t="inlineStr">
        <is>
          <t>Cape Projects Construction (Pty) Ltd</t>
        </is>
      </c>
      <c r="B1992" s="4" t="n">
        <v>44865</v>
      </c>
      <c r="C1992" s="3" t="inlineStr">
        <is>
          <t>Expenses</t>
        </is>
      </c>
      <c r="D1992" s="3" t="inlineStr">
        <is>
          <t>4400/000</t>
        </is>
      </c>
      <c r="E1992" s="3" t="inlineStr">
        <is>
          <t>Salaries _AND_ Wages</t>
        </is>
      </c>
      <c r="F1992" s="3" t="n">
        <v>220560.99</v>
      </c>
      <c r="G1992" s="3" t="n">
        <v>1760941.8</v>
      </c>
    </row>
    <row r="1993">
      <c r="A1993" s="3" t="inlineStr">
        <is>
          <t>Cape Projects Construction (Pty) Ltd</t>
        </is>
      </c>
      <c r="B1993" s="4" t="n">
        <v>44865</v>
      </c>
      <c r="C1993" s="3" t="inlineStr">
        <is>
          <t>Expenses</t>
        </is>
      </c>
      <c r="D1993" s="3" t="inlineStr">
        <is>
          <t>4402</t>
        </is>
      </c>
      <c r="E1993" s="3" t="inlineStr">
        <is>
          <t>Salaries &amp; Wages - WCA</t>
        </is>
      </c>
      <c r="F1993" s="3" t="n">
        <v>0</v>
      </c>
      <c r="G1993" s="3" t="n">
        <v>3746.27</v>
      </c>
    </row>
    <row r="1994">
      <c r="A1994" s="3" t="inlineStr">
        <is>
          <t>Cape Projects Construction (Pty) Ltd</t>
        </is>
      </c>
      <c r="B1994" s="4" t="n">
        <v>44865</v>
      </c>
      <c r="C1994" s="3" t="inlineStr">
        <is>
          <t>Expenses</t>
        </is>
      </c>
      <c r="D1994" s="3" t="inlineStr">
        <is>
          <t>4403/000</t>
        </is>
      </c>
      <c r="E1994" s="3" t="inlineStr">
        <is>
          <t>Security</t>
        </is>
      </c>
      <c r="F1994" s="3" t="n">
        <v>177.33</v>
      </c>
      <c r="G1994" s="3" t="n">
        <v>1163.43</v>
      </c>
    </row>
    <row r="1995">
      <c r="A1995" s="3" t="inlineStr">
        <is>
          <t>Cape Projects Construction (Pty) Ltd</t>
        </is>
      </c>
      <c r="B1995" s="4" t="n">
        <v>44865</v>
      </c>
      <c r="C1995" s="3" t="inlineStr">
        <is>
          <t>Expenses</t>
        </is>
      </c>
      <c r="D1995" s="3" t="inlineStr">
        <is>
          <t>4420/000</t>
        </is>
      </c>
      <c r="E1995" s="3" t="inlineStr">
        <is>
          <t>Small Assets</t>
        </is>
      </c>
      <c r="F1995" s="3" t="n">
        <v>0</v>
      </c>
      <c r="G1995" s="3" t="n">
        <v>7623.92</v>
      </c>
    </row>
    <row r="1996">
      <c r="A1996" s="3" t="inlineStr">
        <is>
          <t>Heron Fields (Pty) Ltd</t>
        </is>
      </c>
      <c r="B1996" s="4" t="n">
        <v>44865</v>
      </c>
      <c r="C1996" s="3" t="inlineStr">
        <is>
          <t>Expenses</t>
        </is>
      </c>
      <c r="D1996" s="3" t="inlineStr">
        <is>
          <t>4420/001</t>
        </is>
      </c>
      <c r="E1996" s="3" t="inlineStr">
        <is>
          <t>Security - ADT</t>
        </is>
      </c>
      <c r="F1996" s="3" t="n">
        <v>328.38</v>
      </c>
      <c r="G1996" s="3" t="n">
        <v>3927.46</v>
      </c>
    </row>
    <row r="1997">
      <c r="A1997" s="3" t="inlineStr">
        <is>
          <t>Cape Projects Construction (Pty) Ltd</t>
        </is>
      </c>
      <c r="B1997" s="4" t="n">
        <v>44865</v>
      </c>
      <c r="C1997" s="3" t="inlineStr">
        <is>
          <t>Expenses</t>
        </is>
      </c>
      <c r="D1997" s="3" t="inlineStr">
        <is>
          <t>4450/000</t>
        </is>
      </c>
      <c r="E1997" s="3" t="inlineStr">
        <is>
          <t>Staff Training</t>
        </is>
      </c>
      <c r="F1997" s="3" t="n">
        <v>0</v>
      </c>
      <c r="G1997" s="3" t="n">
        <v>6800</v>
      </c>
    </row>
    <row r="1998">
      <c r="A1998" s="3" t="inlineStr">
        <is>
          <t>Cape Projects Construction (Pty) Ltd</t>
        </is>
      </c>
      <c r="B1998" s="4" t="n">
        <v>44865</v>
      </c>
      <c r="C1998" s="3" t="inlineStr">
        <is>
          <t>Expenses</t>
        </is>
      </c>
      <c r="D1998" s="3" t="inlineStr">
        <is>
          <t>4500/000</t>
        </is>
      </c>
      <c r="E1998" s="3" t="inlineStr">
        <is>
          <t>Staff Welfare _AND_ Refreshmts</t>
        </is>
      </c>
      <c r="F1998" s="3" t="n">
        <v>0</v>
      </c>
      <c r="G1998" s="3" t="n">
        <v>3519.1</v>
      </c>
    </row>
    <row r="1999">
      <c r="A1999" s="3" t="inlineStr">
        <is>
          <t>Cape Projects Construction (Pty) Ltd</t>
        </is>
      </c>
      <c r="B1999" s="4" t="n">
        <v>44865</v>
      </c>
      <c r="C1999" s="3" t="inlineStr">
        <is>
          <t>Expenses</t>
        </is>
      </c>
      <c r="D1999" s="3" t="inlineStr">
        <is>
          <t>4550/000</t>
        </is>
      </c>
      <c r="E1999" s="3" t="inlineStr">
        <is>
          <t>Subscriptions / Licenses</t>
        </is>
      </c>
      <c r="F1999" s="3" t="n">
        <v>0</v>
      </c>
      <c r="G1999" s="3" t="n">
        <v>526.3200000000001</v>
      </c>
    </row>
    <row r="2000">
      <c r="A2000" s="3" t="inlineStr">
        <is>
          <t>Cape Projects Construction (Pty) Ltd</t>
        </is>
      </c>
      <c r="B2000" s="4" t="n">
        <v>44865</v>
      </c>
      <c r="C2000" s="3" t="inlineStr">
        <is>
          <t>Expenses</t>
        </is>
      </c>
      <c r="D2000" s="3" t="inlineStr">
        <is>
          <t>4550/001</t>
        </is>
      </c>
      <c r="E2000" s="3" t="inlineStr">
        <is>
          <t>Subscriptions &amp; Licenses - Sage payroll</t>
        </is>
      </c>
      <c r="F2000" s="3" t="n">
        <v>686</v>
      </c>
      <c r="G2000" s="3" t="n">
        <v>4708</v>
      </c>
    </row>
    <row r="2001">
      <c r="A2001" s="3" t="inlineStr">
        <is>
          <t>Cape Projects Construction (Pty) Ltd</t>
        </is>
      </c>
      <c r="B2001" s="4" t="n">
        <v>44865</v>
      </c>
      <c r="C2001" s="3" t="inlineStr">
        <is>
          <t>Expenses</t>
        </is>
      </c>
      <c r="D2001" s="3" t="inlineStr">
        <is>
          <t>4550/003</t>
        </is>
      </c>
      <c r="E2001" s="3" t="inlineStr">
        <is>
          <t>Subscriptions &amp; Licenses - Xero</t>
        </is>
      </c>
      <c r="F2001" s="3" t="n">
        <v>600</v>
      </c>
      <c r="G2001" s="3" t="n">
        <v>4800</v>
      </c>
    </row>
    <row r="2002">
      <c r="A2002" s="3" t="inlineStr">
        <is>
          <t>Cape Projects Construction (Pty) Ltd</t>
        </is>
      </c>
      <c r="B2002" s="4" t="n">
        <v>44865</v>
      </c>
      <c r="C2002" s="3" t="inlineStr">
        <is>
          <t>Expenses</t>
        </is>
      </c>
      <c r="D2002" s="3" t="inlineStr">
        <is>
          <t>4550/004</t>
        </is>
      </c>
      <c r="E2002" s="3" t="inlineStr">
        <is>
          <t>Subscriptions - Smartsheet</t>
        </is>
      </c>
      <c r="F2002" s="3" t="n">
        <v>484</v>
      </c>
      <c r="G2002" s="3" t="n">
        <v>3318.6</v>
      </c>
    </row>
    <row r="2003">
      <c r="A2003" s="3" t="inlineStr">
        <is>
          <t>Cape Projects Construction (Pty) Ltd</t>
        </is>
      </c>
      <c r="B2003" s="4" t="n">
        <v>44865</v>
      </c>
      <c r="C2003" s="3" t="inlineStr">
        <is>
          <t>Expenses</t>
        </is>
      </c>
      <c r="D2003" s="3" t="inlineStr">
        <is>
          <t>4550/006</t>
        </is>
      </c>
      <c r="E2003" s="3" t="inlineStr">
        <is>
          <t>Subscription - Candy software</t>
        </is>
      </c>
      <c r="F2003" s="3" t="n">
        <v>0</v>
      </c>
      <c r="G2003" s="3" t="n">
        <v>13765</v>
      </c>
    </row>
    <row r="2004">
      <c r="A2004" s="3" t="inlineStr">
        <is>
          <t>Heron Fields (Pty) Ltd</t>
        </is>
      </c>
      <c r="B2004" s="4" t="n">
        <v>44865</v>
      </c>
      <c r="C2004" s="3" t="inlineStr">
        <is>
          <t>Expenses</t>
        </is>
      </c>
      <c r="D2004" s="3" t="inlineStr">
        <is>
          <t>4550/100</t>
        </is>
      </c>
      <c r="E2004" s="3" t="inlineStr">
        <is>
          <t>Subscriptions - Xero</t>
        </is>
      </c>
      <c r="F2004" s="3" t="n">
        <v>600</v>
      </c>
      <c r="G2004" s="3" t="n">
        <v>4800</v>
      </c>
    </row>
    <row r="2005">
      <c r="A2005" s="3" t="inlineStr">
        <is>
          <t>Heron View (Pty) Ltd</t>
        </is>
      </c>
      <c r="B2005" s="4" t="n">
        <v>44865</v>
      </c>
      <c r="C2005" s="3" t="inlineStr">
        <is>
          <t>Expenses</t>
        </is>
      </c>
      <c r="D2005" s="3" t="inlineStr">
        <is>
          <t>4550/100</t>
        </is>
      </c>
      <c r="E2005" s="3" t="inlineStr">
        <is>
          <t>Subscriptions - Xero</t>
        </is>
      </c>
      <c r="F2005" s="3" t="n">
        <v>600</v>
      </c>
      <c r="G2005" s="3" t="n">
        <v>8400</v>
      </c>
    </row>
    <row r="2006">
      <c r="A2006" s="3" t="inlineStr">
        <is>
          <t>Heron Fields (Pty) Ltd</t>
        </is>
      </c>
      <c r="B2006" s="4" t="n">
        <v>44865</v>
      </c>
      <c r="C2006" s="3" t="inlineStr">
        <is>
          <t>Expenses</t>
        </is>
      </c>
      <c r="D2006" s="3" t="inlineStr">
        <is>
          <t>4550/200</t>
        </is>
      </c>
      <c r="E2006" s="3" t="inlineStr">
        <is>
          <t>Subscription - NHBRC</t>
        </is>
      </c>
      <c r="F2006" s="3" t="n">
        <v>526.3200000000001</v>
      </c>
      <c r="G2006" s="3" t="n">
        <v>526.3200000000001</v>
      </c>
    </row>
    <row r="2007">
      <c r="A2007" s="3" t="inlineStr">
        <is>
          <t>Cape Projects Construction (Pty) Ltd</t>
        </is>
      </c>
      <c r="B2007" s="4" t="n">
        <v>44865</v>
      </c>
      <c r="C2007" s="3" t="inlineStr">
        <is>
          <t>Expenses</t>
        </is>
      </c>
      <c r="D2007" s="3" t="inlineStr">
        <is>
          <t>4560</t>
        </is>
      </c>
      <c r="E2007" s="3" t="inlineStr">
        <is>
          <t>Secretarial fees - CIPC</t>
        </is>
      </c>
      <c r="F2007" s="3" t="n">
        <v>0</v>
      </c>
      <c r="G2007" s="3" t="n">
        <v>2500</v>
      </c>
    </row>
    <row r="2008">
      <c r="A2008" s="3" t="inlineStr">
        <is>
          <t>Cape Projects Construction (Pty) Ltd</t>
        </is>
      </c>
      <c r="B2008" s="4" t="n">
        <v>44865</v>
      </c>
      <c r="C2008" s="3" t="inlineStr">
        <is>
          <t>Expenses</t>
        </is>
      </c>
      <c r="D2008" s="3" t="inlineStr">
        <is>
          <t>4650/010</t>
        </is>
      </c>
      <c r="E2008" s="3" t="inlineStr">
        <is>
          <t>Travel - Local</t>
        </is>
      </c>
      <c r="F2008" s="3" t="n">
        <v>0</v>
      </c>
      <c r="G2008" s="3" t="n">
        <v>13.04</v>
      </c>
    </row>
    <row r="2009">
      <c r="A2009" s="3" t="inlineStr">
        <is>
          <t>Cape Projects Construction (Pty) Ltd</t>
        </is>
      </c>
      <c r="B2009" s="4" t="n">
        <v>44865</v>
      </c>
      <c r="C2009" s="3" t="inlineStr">
        <is>
          <t>Expenses</t>
        </is>
      </c>
      <c r="D2009" s="3" t="inlineStr">
        <is>
          <t>4700/000</t>
        </is>
      </c>
      <c r="E2009" s="3" t="inlineStr">
        <is>
          <t>PAYE Contributions</t>
        </is>
      </c>
      <c r="F2009" s="3" t="n">
        <v>30120.69</v>
      </c>
      <c r="G2009" s="3" t="n">
        <v>271864.19</v>
      </c>
    </row>
    <row r="2010">
      <c r="A2010" s="3" t="inlineStr">
        <is>
          <t>Cape Projects Construction (Pty) Ltd</t>
        </is>
      </c>
      <c r="B2010" s="4" t="n">
        <v>44865</v>
      </c>
      <c r="C2010" s="3" t="inlineStr">
        <is>
          <t>Expenses</t>
        </is>
      </c>
      <c r="D2010" s="3" t="inlineStr">
        <is>
          <t>4720/000</t>
        </is>
      </c>
      <c r="E2010" s="3" t="inlineStr">
        <is>
          <t>SDL Contributions</t>
        </is>
      </c>
      <c r="F2010" s="3" t="n">
        <v>2411.72</v>
      </c>
      <c r="G2010" s="3" t="n">
        <v>19495.73</v>
      </c>
    </row>
    <row r="2011">
      <c r="A2011" s="3" t="inlineStr">
        <is>
          <t>Cape Projects Construction (Pty) Ltd</t>
        </is>
      </c>
      <c r="B2011" s="4" t="n">
        <v>44865</v>
      </c>
      <c r="C2011" s="3" t="inlineStr">
        <is>
          <t>Expenses</t>
        </is>
      </c>
      <c r="D2011" s="3" t="inlineStr">
        <is>
          <t>4730/000</t>
        </is>
      </c>
      <c r="E2011" s="3" t="inlineStr">
        <is>
          <t>UIF Company Contributions</t>
        </is>
      </c>
      <c r="F2011" s="3" t="n">
        <v>1814.48</v>
      </c>
      <c r="G2011" s="3" t="n">
        <v>14032.06</v>
      </c>
    </row>
    <row r="2012">
      <c r="A2012" s="3" t="inlineStr">
        <is>
          <t>Cape Projects Construction (Pty) Ltd</t>
        </is>
      </c>
      <c r="B2012" s="4" t="n">
        <v>44865</v>
      </c>
      <c r="C2012" s="3" t="inlineStr">
        <is>
          <t>Expenses</t>
        </is>
      </c>
      <c r="D2012" s="3" t="inlineStr">
        <is>
          <t>4731/000</t>
        </is>
      </c>
      <c r="E2012" s="3" t="inlineStr">
        <is>
          <t>UIF Employee Contribution</t>
        </is>
      </c>
      <c r="F2012" s="3" t="n">
        <v>1814.48</v>
      </c>
      <c r="G2012" s="3" t="n">
        <v>14032.06</v>
      </c>
    </row>
    <row r="2013">
      <c r="A2013" s="3" t="inlineStr">
        <is>
          <t>Cape Projects Construction (Pty) Ltd</t>
        </is>
      </c>
      <c r="B2013" s="4" t="n">
        <v>44865</v>
      </c>
      <c r="C2013" s="3" t="inlineStr">
        <is>
          <t>Expenses</t>
        </is>
      </c>
      <c r="D2013" s="3" t="inlineStr">
        <is>
          <t>4740/000</t>
        </is>
      </c>
      <c r="E2013" s="3" t="inlineStr">
        <is>
          <t>BIBC Company Contribution</t>
        </is>
      </c>
      <c r="F2013" s="3" t="n">
        <v>21491.08</v>
      </c>
      <c r="G2013" s="3" t="n">
        <v>57015.89</v>
      </c>
    </row>
    <row r="2014">
      <c r="A2014" s="3" t="inlineStr">
        <is>
          <t>Cape Projects Construction (Pty) Ltd</t>
        </is>
      </c>
      <c r="B2014" s="4" t="n">
        <v>44865</v>
      </c>
      <c r="C2014" s="3" t="inlineStr">
        <is>
          <t>Expenses</t>
        </is>
      </c>
      <c r="D2014" s="3" t="inlineStr">
        <is>
          <t>4741/000</t>
        </is>
      </c>
      <c r="E2014" s="3" t="inlineStr">
        <is>
          <t>BIBC Employee Contribution</t>
        </is>
      </c>
      <c r="F2014" s="3" t="n">
        <v>3257.15</v>
      </c>
      <c r="G2014" s="3" t="n">
        <v>19706.8</v>
      </c>
    </row>
    <row r="2015">
      <c r="A2015" s="3" t="inlineStr">
        <is>
          <t>Heron Fields (Pty) Ltd</t>
        </is>
      </c>
      <c r="B2015" s="4" t="n">
        <v>44865</v>
      </c>
      <c r="C2015" s="3" t="inlineStr">
        <is>
          <t>Equity</t>
        </is>
      </c>
      <c r="D2015" s="3" t="inlineStr">
        <is>
          <t>5100-000</t>
        </is>
      </c>
      <c r="E2015" s="3" t="inlineStr">
        <is>
          <t>Share Capital</t>
        </is>
      </c>
      <c r="F2015" s="3" t="n">
        <v>0</v>
      </c>
      <c r="G2015" s="3" t="n">
        <v>-100</v>
      </c>
    </row>
    <row r="2016">
      <c r="A2016" s="3" t="inlineStr">
        <is>
          <t>Cape Projects Construction (Pty) Ltd</t>
        </is>
      </c>
      <c r="B2016" s="4" t="n">
        <v>44865</v>
      </c>
      <c r="C2016" s="3" t="inlineStr">
        <is>
          <t>Equity</t>
        </is>
      </c>
      <c r="D2016" s="3" t="inlineStr">
        <is>
          <t>5100/000</t>
        </is>
      </c>
      <c r="E2016" s="3" t="inlineStr">
        <is>
          <t>Share Capital / Members Contribution</t>
        </is>
      </c>
      <c r="F2016" s="3" t="n">
        <v>0</v>
      </c>
      <c r="G2016" s="3" t="n">
        <v>-120</v>
      </c>
    </row>
    <row r="2017">
      <c r="A2017" s="3" t="inlineStr">
        <is>
          <t>Cape Projects Construction (Pty) Ltd</t>
        </is>
      </c>
      <c r="B2017" s="4" t="n">
        <v>44865</v>
      </c>
      <c r="C2017" s="3" t="inlineStr">
        <is>
          <t>Equity</t>
        </is>
      </c>
      <c r="D2017" s="3" t="inlineStr">
        <is>
          <t>5200/000</t>
        </is>
      </c>
      <c r="E2017" s="3" t="inlineStr">
        <is>
          <t>Retained Earnings / Loss</t>
        </is>
      </c>
      <c r="F2017" s="3" t="n">
        <v>0</v>
      </c>
      <c r="G2017" s="3" t="n">
        <v>247347.05</v>
      </c>
    </row>
    <row r="2018">
      <c r="A2018" s="3" t="inlineStr">
        <is>
          <t>Heron Fields (Pty) Ltd</t>
        </is>
      </c>
      <c r="B2018" s="4" t="n">
        <v>44865</v>
      </c>
      <c r="C2018" s="3" t="inlineStr">
        <is>
          <t>Equity</t>
        </is>
      </c>
      <c r="D2018" s="3" t="inlineStr">
        <is>
          <t>5200/000</t>
        </is>
      </c>
      <c r="E2018" s="3" t="inlineStr">
        <is>
          <t>Retained Earnings / Loss</t>
        </is>
      </c>
      <c r="F2018" s="3" t="n">
        <v>0</v>
      </c>
      <c r="G2018" s="3" t="n">
        <v>-17080353.05</v>
      </c>
    </row>
    <row r="2019">
      <c r="A2019" s="3" t="inlineStr">
        <is>
          <t>Heron Fields (Pty) Ltd</t>
        </is>
      </c>
      <c r="B2019" s="4" t="n">
        <v>44865</v>
      </c>
      <c r="C2019" s="3" t="inlineStr">
        <is>
          <t>Assets</t>
        </is>
      </c>
      <c r="D2019" s="3" t="inlineStr">
        <is>
          <t>5300/001</t>
        </is>
      </c>
      <c r="E2019" s="3" t="inlineStr">
        <is>
          <t>Revaluation of Land stock</t>
        </is>
      </c>
      <c r="F2019" s="3" t="n">
        <v>0</v>
      </c>
      <c r="G2019" s="3" t="n">
        <v>17562360.85</v>
      </c>
    </row>
    <row r="2020">
      <c r="A2020" s="3" t="inlineStr">
        <is>
          <t>Cape Projects Construction (Pty) Ltd</t>
        </is>
      </c>
      <c r="B2020" s="4" t="n">
        <v>44865</v>
      </c>
      <c r="C2020" s="3" t="inlineStr">
        <is>
          <t>Assets</t>
        </is>
      </c>
      <c r="D2020" s="3" t="inlineStr">
        <is>
          <t>5400/100</t>
        </is>
      </c>
      <c r="E2020" s="3" t="inlineStr">
        <is>
          <t>Loan - Cape Projects Structuring Dev</t>
        </is>
      </c>
      <c r="F2020" s="3" t="n">
        <v>150000</v>
      </c>
      <c r="G2020" s="3" t="n">
        <v>-270000</v>
      </c>
    </row>
    <row r="2021">
      <c r="A2021" s="3" t="inlineStr">
        <is>
          <t>Cape Projects Construction (Pty) Ltd</t>
        </is>
      </c>
      <c r="B2021" s="4" t="n">
        <v>44865</v>
      </c>
      <c r="C2021" s="3" t="inlineStr">
        <is>
          <t>Assets</t>
        </is>
      </c>
      <c r="D2021" s="3" t="inlineStr">
        <is>
          <t>5400/150</t>
        </is>
      </c>
      <c r="E2021" s="3" t="inlineStr">
        <is>
          <t>Loan - Quinate</t>
        </is>
      </c>
      <c r="F2021" s="3" t="n">
        <v>0</v>
      </c>
      <c r="G2021" s="3" t="n">
        <v>3050000</v>
      </c>
    </row>
    <row r="2022">
      <c r="A2022" s="3" t="inlineStr">
        <is>
          <t>Cape Projects Construction (Pty) Ltd</t>
        </is>
      </c>
      <c r="B2022" s="4" t="n">
        <v>44865</v>
      </c>
      <c r="C2022" s="3" t="inlineStr">
        <is>
          <t>Assets</t>
        </is>
      </c>
      <c r="D2022" s="3" t="inlineStr">
        <is>
          <t>5400/550</t>
        </is>
      </c>
      <c r="E2022" s="3" t="inlineStr">
        <is>
          <t>Loan - Trademark</t>
        </is>
      </c>
      <c r="F2022" s="3" t="n">
        <v>600</v>
      </c>
      <c r="G2022" s="3" t="n">
        <v>1200</v>
      </c>
    </row>
    <row r="2023">
      <c r="A2023" s="3" t="inlineStr">
        <is>
          <t>Cape Projects Construction (Pty) Ltd</t>
        </is>
      </c>
      <c r="B2023" s="4" t="n">
        <v>44865</v>
      </c>
      <c r="C2023" s="3" t="inlineStr">
        <is>
          <t>Assets</t>
        </is>
      </c>
      <c r="D2023" s="3" t="inlineStr">
        <is>
          <t>5400/600</t>
        </is>
      </c>
      <c r="E2023" s="3" t="inlineStr">
        <is>
          <t>Loan - Heron Projects</t>
        </is>
      </c>
      <c r="F2023" s="3" t="n">
        <v>46000</v>
      </c>
      <c r="G2023" s="3" t="n">
        <v>-4500000</v>
      </c>
    </row>
    <row r="2024">
      <c r="A2024" s="3" t="inlineStr">
        <is>
          <t>Cape Projects Construction (Pty) Ltd</t>
        </is>
      </c>
      <c r="B2024" s="4" t="n">
        <v>44865</v>
      </c>
      <c r="C2024" s="3" t="inlineStr">
        <is>
          <t>Assets</t>
        </is>
      </c>
      <c r="D2024" s="3" t="inlineStr">
        <is>
          <t>5400/650</t>
        </is>
      </c>
      <c r="E2024" s="3" t="inlineStr">
        <is>
          <t>Loan - Noble Shield</t>
        </is>
      </c>
      <c r="F2024" s="3" t="n">
        <v>600</v>
      </c>
      <c r="G2024" s="3" t="n">
        <v>1200</v>
      </c>
    </row>
    <row r="2025">
      <c r="A2025" s="3" t="inlineStr">
        <is>
          <t>Cape Projects Construction (Pty) Ltd</t>
        </is>
      </c>
      <c r="B2025" s="4" t="n">
        <v>44865</v>
      </c>
      <c r="C2025" s="3" t="inlineStr">
        <is>
          <t>Assets</t>
        </is>
      </c>
      <c r="D2025" s="3" t="inlineStr">
        <is>
          <t>5400/750</t>
        </is>
      </c>
      <c r="E2025" s="3" t="inlineStr">
        <is>
          <t>Loan - Endulini</t>
        </is>
      </c>
      <c r="F2025" s="3" t="n">
        <v>0</v>
      </c>
      <c r="G2025" s="3" t="n">
        <v>1367000</v>
      </c>
    </row>
    <row r="2026">
      <c r="A2026" s="3" t="inlineStr">
        <is>
          <t>Heron View (Pty) Ltd</t>
        </is>
      </c>
      <c r="B2026" s="4" t="n">
        <v>44865</v>
      </c>
      <c r="C2026" s="3" t="inlineStr">
        <is>
          <t>Liabilities</t>
        </is>
      </c>
      <c r="D2026" s="3" t="inlineStr">
        <is>
          <t>5500/001</t>
        </is>
      </c>
      <c r="E2026" s="3" t="inlineStr">
        <is>
          <t>Loan - Heron Fields</t>
        </is>
      </c>
      <c r="F2026" s="3" t="n">
        <v>-18695.29</v>
      </c>
      <c r="G2026" s="3" t="n">
        <v>-2029313.01</v>
      </c>
    </row>
    <row r="2027">
      <c r="A2027" s="3" t="inlineStr">
        <is>
          <t>Heron Fields (Pty) Ltd</t>
        </is>
      </c>
      <c r="B2027" s="4" t="n">
        <v>44865</v>
      </c>
      <c r="C2027" s="3" t="inlineStr">
        <is>
          <t>Liabilities</t>
        </is>
      </c>
      <c r="D2027" s="3" t="inlineStr">
        <is>
          <t>5500/010</t>
        </is>
      </c>
      <c r="E2027" s="3" t="inlineStr">
        <is>
          <t>Loan - Quinate</t>
        </is>
      </c>
      <c r="F2027" s="3" t="n">
        <v>-4240.63</v>
      </c>
      <c r="G2027" s="3" t="n">
        <v>-4240.63</v>
      </c>
    </row>
    <row r="2028">
      <c r="A2028" s="3" t="inlineStr">
        <is>
          <t>Heron Fields (Pty) Ltd</t>
        </is>
      </c>
      <c r="B2028" s="4" t="n">
        <v>44865</v>
      </c>
      <c r="C2028" s="3" t="inlineStr">
        <is>
          <t>Liabilities</t>
        </is>
      </c>
      <c r="D2028" s="3" t="inlineStr">
        <is>
          <t>5500/020</t>
        </is>
      </c>
      <c r="E2028" s="3" t="inlineStr">
        <is>
          <t>Loan - Cape Projects Construction</t>
        </is>
      </c>
      <c r="F2028" s="3" t="n">
        <v>-46000</v>
      </c>
      <c r="G2028" s="3" t="n">
        <v>4500000</v>
      </c>
    </row>
    <row r="2029">
      <c r="A2029" s="3" t="inlineStr">
        <is>
          <t>Heron Fields (Pty) Ltd</t>
        </is>
      </c>
      <c r="B2029" s="4" t="n">
        <v>44865</v>
      </c>
      <c r="C2029" s="3" t="inlineStr">
        <is>
          <t>Liabilities</t>
        </is>
      </c>
      <c r="D2029" s="3" t="inlineStr">
        <is>
          <t>5500/050</t>
        </is>
      </c>
      <c r="E2029" s="3" t="inlineStr">
        <is>
          <t>Loan - Heron View</t>
        </is>
      </c>
      <c r="F2029" s="3" t="n">
        <v>18695.29</v>
      </c>
      <c r="G2029" s="3" t="n">
        <v>2029313.01</v>
      </c>
    </row>
    <row r="2030">
      <c r="A2030" s="3" t="inlineStr">
        <is>
          <t>Heron Fields (Pty) Ltd</t>
        </is>
      </c>
      <c r="B2030" s="4" t="n">
        <v>44865</v>
      </c>
      <c r="C2030" s="3" t="inlineStr">
        <is>
          <t>Liabilities</t>
        </is>
      </c>
      <c r="D2030" s="3" t="inlineStr">
        <is>
          <t>5500/060</t>
        </is>
      </c>
      <c r="E2030" s="3" t="inlineStr">
        <is>
          <t>Loan - Opportunity Management Holdings</t>
        </is>
      </c>
      <c r="F2030" s="3" t="n">
        <v>0</v>
      </c>
      <c r="G2030" s="3" t="n">
        <v>-30000</v>
      </c>
    </row>
    <row r="2031">
      <c r="A2031" s="3" t="inlineStr">
        <is>
          <t>Cape Projects Construction (Pty) Ltd</t>
        </is>
      </c>
      <c r="B2031" s="4" t="n">
        <v>44865</v>
      </c>
      <c r="C2031" s="3" t="inlineStr">
        <is>
          <t>Liabilities</t>
        </is>
      </c>
      <c r="D2031" s="3" t="inlineStr">
        <is>
          <t>5600/100</t>
        </is>
      </c>
      <c r="E2031" s="3" t="inlineStr">
        <is>
          <t>Motor Vehical Car Repaymts - Toyota</t>
        </is>
      </c>
      <c r="F2031" s="3" t="n">
        <v>5224.15</v>
      </c>
      <c r="G2031" s="3" t="n">
        <v>41664.72</v>
      </c>
    </row>
    <row r="2032">
      <c r="A2032" s="3" t="inlineStr">
        <is>
          <t>Cape Projects Construction (Pty) Ltd</t>
        </is>
      </c>
      <c r="B2032" s="4" t="n">
        <v>44865</v>
      </c>
      <c r="C2032" s="3" t="inlineStr">
        <is>
          <t>Liabilities</t>
        </is>
      </c>
      <c r="D2032" s="3" t="inlineStr">
        <is>
          <t>5600/200</t>
        </is>
      </c>
      <c r="E2032" s="3" t="inlineStr">
        <is>
          <t>Motor Vehicle Car Repayments - Toyota Shortterm</t>
        </is>
      </c>
      <c r="F2032" s="3" t="n">
        <v>0</v>
      </c>
      <c r="G2032" s="3" t="n">
        <v>-58920.1</v>
      </c>
    </row>
    <row r="2033">
      <c r="A2033" s="3" t="inlineStr">
        <is>
          <t>Cape Projects Construction (Pty) Ltd</t>
        </is>
      </c>
      <c r="B2033" s="4" t="n">
        <v>44865</v>
      </c>
      <c r="C2033" s="3" t="inlineStr">
        <is>
          <t>Assets</t>
        </is>
      </c>
      <c r="D2033" s="3" t="inlineStr">
        <is>
          <t>6200/010</t>
        </is>
      </c>
      <c r="E2033" s="3" t="inlineStr">
        <is>
          <t>Motor Vehicles - @ Cost</t>
        </is>
      </c>
      <c r="F2033" s="3" t="n">
        <v>0</v>
      </c>
      <c r="G2033" s="3" t="n">
        <v>216064.1</v>
      </c>
    </row>
    <row r="2034">
      <c r="A2034" s="3" t="inlineStr">
        <is>
          <t>Cape Projects Construction (Pty) Ltd</t>
        </is>
      </c>
      <c r="B2034" s="4" t="n">
        <v>44865</v>
      </c>
      <c r="C2034" s="3" t="inlineStr">
        <is>
          <t>Assets</t>
        </is>
      </c>
      <c r="D2034" s="3" t="inlineStr">
        <is>
          <t>6200/020</t>
        </is>
      </c>
      <c r="E2034" s="3" t="inlineStr">
        <is>
          <t>Motor Vehicles - Accum Depre</t>
        </is>
      </c>
      <c r="F2034" s="3" t="n">
        <v>0</v>
      </c>
      <c r="G2034" s="3" t="n">
        <v>-216063.1</v>
      </c>
    </row>
    <row r="2035">
      <c r="A2035" s="3" t="inlineStr">
        <is>
          <t>Cape Projects Construction (Pty) Ltd</t>
        </is>
      </c>
      <c r="B2035" s="4" t="n">
        <v>44865</v>
      </c>
      <c r="C2035" s="3" t="inlineStr">
        <is>
          <t>Assets</t>
        </is>
      </c>
      <c r="D2035" s="3" t="inlineStr">
        <is>
          <t>6250/010</t>
        </is>
      </c>
      <c r="E2035" s="3" t="inlineStr">
        <is>
          <t>Computer Equipment - @ Cost</t>
        </is>
      </c>
      <c r="F2035" s="3" t="n">
        <v>0</v>
      </c>
      <c r="G2035" s="3" t="n">
        <v>92100.13</v>
      </c>
    </row>
    <row r="2036">
      <c r="A2036" s="3" t="inlineStr">
        <is>
          <t>Cape Projects Construction (Pty) Ltd</t>
        </is>
      </c>
      <c r="B2036" s="4" t="n">
        <v>44865</v>
      </c>
      <c r="C2036" s="3" t="inlineStr">
        <is>
          <t>Assets</t>
        </is>
      </c>
      <c r="D2036" s="3" t="inlineStr">
        <is>
          <t>6250/020</t>
        </is>
      </c>
      <c r="E2036" s="3" t="inlineStr">
        <is>
          <t>Computer Equipment - Accum Depre</t>
        </is>
      </c>
      <c r="F2036" s="3" t="n">
        <v>-2165.84</v>
      </c>
      <c r="G2036" s="3" t="n">
        <v>-34259.63</v>
      </c>
    </row>
    <row r="2037">
      <c r="A2037" s="3" t="inlineStr">
        <is>
          <t>Cape Projects Construction (Pty) Ltd</t>
        </is>
      </c>
      <c r="B2037" s="4" t="n">
        <v>44865</v>
      </c>
      <c r="C2037" s="3" t="inlineStr">
        <is>
          <t>Assets</t>
        </is>
      </c>
      <c r="D2037" s="3" t="inlineStr">
        <is>
          <t>6350/010</t>
        </is>
      </c>
      <c r="E2037" s="3" t="inlineStr">
        <is>
          <t>Furniture _AND_ Fittings - @ Cost</t>
        </is>
      </c>
      <c r="F2037" s="3" t="n">
        <v>0</v>
      </c>
      <c r="G2037" s="3" t="n">
        <v>29281.39</v>
      </c>
    </row>
    <row r="2038">
      <c r="A2038" s="3" t="inlineStr">
        <is>
          <t>Cape Projects Construction (Pty) Ltd</t>
        </is>
      </c>
      <c r="B2038" s="4" t="n">
        <v>44865</v>
      </c>
      <c r="C2038" s="3" t="inlineStr">
        <is>
          <t>Assets</t>
        </is>
      </c>
      <c r="D2038" s="3" t="inlineStr">
        <is>
          <t>6350/020</t>
        </is>
      </c>
      <c r="E2038" s="3" t="inlineStr">
        <is>
          <t>Furniture _AND_ Fittings - Accum Depre</t>
        </is>
      </c>
      <c r="F2038" s="3" t="n">
        <v>-427.21</v>
      </c>
      <c r="G2038" s="3" t="n">
        <v>-3824.34</v>
      </c>
    </row>
    <row r="2039">
      <c r="A2039" s="3" t="inlineStr">
        <is>
          <t>Cape Projects Construction (Pty) Ltd</t>
        </is>
      </c>
      <c r="B2039" s="4" t="n">
        <v>44865</v>
      </c>
      <c r="C2039" s="3" t="inlineStr">
        <is>
          <t>Assets</t>
        </is>
      </c>
      <c r="D2039" s="3" t="inlineStr">
        <is>
          <t>6600/010</t>
        </is>
      </c>
      <c r="E2039" s="3" t="inlineStr">
        <is>
          <t>Generator Fixed Asset - @ Cost</t>
        </is>
      </c>
      <c r="F2039" s="3" t="n">
        <v>0</v>
      </c>
      <c r="G2039" s="3" t="n">
        <v>11600</v>
      </c>
    </row>
    <row r="2040">
      <c r="A2040" s="3" t="inlineStr">
        <is>
          <t>Cape Projects Construction (Pty) Ltd</t>
        </is>
      </c>
      <c r="B2040" s="4" t="n">
        <v>44865</v>
      </c>
      <c r="C2040" s="3" t="inlineStr">
        <is>
          <t>Assets</t>
        </is>
      </c>
      <c r="D2040" s="3" t="inlineStr">
        <is>
          <t>6600/020</t>
        </is>
      </c>
      <c r="E2040" s="3" t="inlineStr">
        <is>
          <t>Generator Fixed Asset - Accum Depre</t>
        </is>
      </c>
      <c r="F2040" s="3" t="n">
        <v>-193.34</v>
      </c>
      <c r="G2040" s="3" t="n">
        <v>-2352.23</v>
      </c>
    </row>
    <row r="2041">
      <c r="A2041" s="3" t="inlineStr">
        <is>
          <t>Heron Fields (Pty) Ltd</t>
        </is>
      </c>
      <c r="B2041" s="4" t="n">
        <v>44865</v>
      </c>
      <c r="C2041" s="3" t="inlineStr">
        <is>
          <t>Assets</t>
        </is>
      </c>
      <c r="D2041" s="3" t="inlineStr">
        <is>
          <t>7610/395</t>
        </is>
      </c>
      <c r="E2041" s="3" t="inlineStr">
        <is>
          <t>HF CIP NHBRC</t>
        </is>
      </c>
      <c r="F2041" s="3" t="n">
        <v>0</v>
      </c>
      <c r="G2041" s="3" t="n">
        <v>874505.75</v>
      </c>
    </row>
    <row r="2042">
      <c r="A2042" s="3" t="inlineStr">
        <is>
          <t>Heron View (Pty) Ltd</t>
        </is>
      </c>
      <c r="B2042" s="4" t="n">
        <v>44865</v>
      </c>
      <c r="C2042" s="3" t="inlineStr">
        <is>
          <t>Assets</t>
        </is>
      </c>
      <c r="D2042" s="3" t="inlineStr">
        <is>
          <t>7610/395</t>
        </is>
      </c>
      <c r="E2042" s="3" t="inlineStr">
        <is>
          <t>Heron CIP NHBRC</t>
        </is>
      </c>
      <c r="F2042" s="3" t="n">
        <v>0</v>
      </c>
      <c r="G2042" s="3" t="n">
        <v>284986.5</v>
      </c>
    </row>
    <row r="2043">
      <c r="A2043" s="3" t="inlineStr">
        <is>
          <t>Heron Fields (Pty) Ltd</t>
        </is>
      </c>
      <c r="B2043" s="4" t="n">
        <v>44865</v>
      </c>
      <c r="C2043" s="3" t="inlineStr">
        <is>
          <t>Assets</t>
        </is>
      </c>
      <c r="D2043" s="3" t="inlineStr">
        <is>
          <t>7620/100</t>
        </is>
      </c>
      <c r="E2043" s="3" t="inlineStr">
        <is>
          <t>Heron View Land</t>
        </is>
      </c>
      <c r="F2043" s="3" t="n">
        <v>0</v>
      </c>
      <c r="G2043" s="3" t="n">
        <v>26200000</v>
      </c>
    </row>
    <row r="2044">
      <c r="A2044" s="3" t="inlineStr">
        <is>
          <t>Heron Fields (Pty) Ltd</t>
        </is>
      </c>
      <c r="B2044" s="4" t="n">
        <v>44865</v>
      </c>
      <c r="C2044" s="3" t="inlineStr">
        <is>
          <t>Assets</t>
        </is>
      </c>
      <c r="D2044" s="3" t="inlineStr">
        <is>
          <t>7620/101</t>
        </is>
      </c>
      <c r="E2044" s="3" t="inlineStr">
        <is>
          <t>HF CIP Bond Registration Fee</t>
        </is>
      </c>
      <c r="F2044" s="3" t="n">
        <v>0</v>
      </c>
      <c r="G2044" s="3" t="n">
        <v>68427</v>
      </c>
    </row>
    <row r="2045">
      <c r="A2045" s="3" t="inlineStr">
        <is>
          <t>Heron Fields (Pty) Ltd</t>
        </is>
      </c>
      <c r="B2045" s="4" t="n">
        <v>44865</v>
      </c>
      <c r="C2045" s="3" t="inlineStr">
        <is>
          <t>Assets</t>
        </is>
      </c>
      <c r="D2045" s="3" t="inlineStr">
        <is>
          <t>7620/102</t>
        </is>
      </c>
      <c r="E2045" s="3" t="inlineStr">
        <is>
          <t>HF CIP Transfer Fee</t>
        </is>
      </c>
      <c r="F2045" s="3" t="n">
        <v>0</v>
      </c>
      <c r="G2045" s="3" t="n">
        <v>103812</v>
      </c>
    </row>
    <row r="2046">
      <c r="A2046" s="3" t="inlineStr">
        <is>
          <t>Heron Fields (Pty) Ltd</t>
        </is>
      </c>
      <c r="B2046" s="4" t="n">
        <v>44865</v>
      </c>
      <c r="C2046" s="3" t="inlineStr">
        <is>
          <t>Assets</t>
        </is>
      </c>
      <c r="D2046" s="3" t="inlineStr">
        <is>
          <t>7620/220</t>
        </is>
      </c>
      <c r="E2046" s="3" t="inlineStr">
        <is>
          <t>HF CIP Architectural Designs</t>
        </is>
      </c>
      <c r="F2046" s="3" t="n">
        <v>0</v>
      </c>
      <c r="G2046" s="3" t="n">
        <v>150780</v>
      </c>
    </row>
    <row r="2047">
      <c r="A2047" s="3" t="inlineStr">
        <is>
          <t>Heron View (Pty) Ltd</t>
        </is>
      </c>
      <c r="B2047" s="4" t="n">
        <v>44865</v>
      </c>
      <c r="C2047" s="3" t="inlineStr">
        <is>
          <t>Assets</t>
        </is>
      </c>
      <c r="D2047" s="3" t="inlineStr">
        <is>
          <t>7620/220</t>
        </is>
      </c>
      <c r="E2047" s="3" t="inlineStr">
        <is>
          <t>Heron View CIP Architectural Designs</t>
        </is>
      </c>
      <c r="F2047" s="3" t="n">
        <v>149217.23</v>
      </c>
      <c r="G2047" s="3" t="n">
        <v>149217.23</v>
      </c>
    </row>
    <row r="2048">
      <c r="A2048" s="3" t="inlineStr">
        <is>
          <t>Heron Fields (Pty) Ltd</t>
        </is>
      </c>
      <c r="B2048" s="4" t="n">
        <v>44865</v>
      </c>
      <c r="C2048" s="3" t="inlineStr">
        <is>
          <t>Assets</t>
        </is>
      </c>
      <c r="D2048" s="3" t="inlineStr">
        <is>
          <t>7620/230</t>
        </is>
      </c>
      <c r="E2048" s="3" t="inlineStr">
        <is>
          <t>HF CIP Construction Management</t>
        </is>
      </c>
      <c r="F2048" s="3" t="n">
        <v>13750</v>
      </c>
      <c r="G2048" s="3" t="n">
        <v>105250</v>
      </c>
    </row>
    <row r="2049">
      <c r="A2049" s="3" t="inlineStr">
        <is>
          <t>Heron Fields (Pty) Ltd</t>
        </is>
      </c>
      <c r="B2049" s="4" t="n">
        <v>44865</v>
      </c>
      <c r="C2049" s="3" t="inlineStr">
        <is>
          <t>Assets</t>
        </is>
      </c>
      <c r="D2049" s="3" t="inlineStr">
        <is>
          <t>7620/240</t>
        </is>
      </c>
      <c r="E2049" s="3" t="inlineStr">
        <is>
          <t>HF CIP Civil Engineering</t>
        </is>
      </c>
      <c r="F2049" s="3" t="n">
        <v>1442417</v>
      </c>
      <c r="G2049" s="3" t="n">
        <v>8127641.8</v>
      </c>
    </row>
    <row r="2050">
      <c r="A2050" s="3" t="inlineStr">
        <is>
          <t>Heron Fields (Pty) Ltd</t>
        </is>
      </c>
      <c r="B2050" s="4" t="n">
        <v>44865</v>
      </c>
      <c r="C2050" s="3" t="inlineStr">
        <is>
          <t>Assets</t>
        </is>
      </c>
      <c r="D2050" s="3" t="inlineStr">
        <is>
          <t>7620/245</t>
        </is>
      </c>
      <c r="E2050" s="3" t="inlineStr">
        <is>
          <t>HF CIP Development fee</t>
        </is>
      </c>
      <c r="F2050" s="3" t="n">
        <v>0</v>
      </c>
      <c r="G2050" s="3" t="n">
        <v>13807.78</v>
      </c>
    </row>
    <row r="2051">
      <c r="A2051" s="3" t="inlineStr">
        <is>
          <t>Heron Fields (Pty) Ltd</t>
        </is>
      </c>
      <c r="B2051" s="4" t="n">
        <v>44865</v>
      </c>
      <c r="C2051" s="3" t="inlineStr">
        <is>
          <t>Assets</t>
        </is>
      </c>
      <c r="D2051" s="3" t="inlineStr">
        <is>
          <t>7620/250</t>
        </is>
      </c>
      <c r="E2051" s="3" t="inlineStr">
        <is>
          <t>HF CIP Land Surveyor</t>
        </is>
      </c>
      <c r="F2051" s="3" t="n">
        <v>44642</v>
      </c>
      <c r="G2051" s="3" t="n">
        <v>148288.09</v>
      </c>
    </row>
    <row r="2052">
      <c r="A2052" s="3" t="inlineStr">
        <is>
          <t>Heron Fields (Pty) Ltd</t>
        </is>
      </c>
      <c r="B2052" s="4" t="n">
        <v>44865</v>
      </c>
      <c r="C2052" s="3" t="inlineStr">
        <is>
          <t>Assets</t>
        </is>
      </c>
      <c r="D2052" s="3" t="inlineStr">
        <is>
          <t>7620/255</t>
        </is>
      </c>
      <c r="E2052" s="3" t="inlineStr">
        <is>
          <t>HF CIP Landscaping</t>
        </is>
      </c>
      <c r="F2052" s="3" t="n">
        <v>0</v>
      </c>
      <c r="G2052" s="3" t="n">
        <v>7500</v>
      </c>
    </row>
    <row r="2053">
      <c r="A2053" s="3" t="inlineStr">
        <is>
          <t>Heron Fields (Pty) Ltd</t>
        </is>
      </c>
      <c r="B2053" s="4" t="n">
        <v>44865</v>
      </c>
      <c r="C2053" s="3" t="inlineStr">
        <is>
          <t>Assets</t>
        </is>
      </c>
      <c r="D2053" s="3" t="inlineStr">
        <is>
          <t>7620/260</t>
        </is>
      </c>
      <c r="E2053" s="3" t="inlineStr">
        <is>
          <t>HF CIP Mechanical Engineers</t>
        </is>
      </c>
      <c r="F2053" s="3" t="n">
        <v>0</v>
      </c>
      <c r="G2053" s="3" t="n">
        <v>67400</v>
      </c>
    </row>
    <row r="2054">
      <c r="A2054" s="3" t="inlineStr">
        <is>
          <t>Heron Fields (Pty) Ltd</t>
        </is>
      </c>
      <c r="B2054" s="4" t="n">
        <v>44865</v>
      </c>
      <c r="C2054" s="3" t="inlineStr">
        <is>
          <t>Assets</t>
        </is>
      </c>
      <c r="D2054" s="3" t="inlineStr">
        <is>
          <t>7620/265</t>
        </is>
      </c>
      <c r="E2054" s="3" t="inlineStr">
        <is>
          <t>HF CIP Health &amp; Safety</t>
        </is>
      </c>
      <c r="F2054" s="3" t="n">
        <v>1400</v>
      </c>
      <c r="G2054" s="3" t="n">
        <v>17800</v>
      </c>
    </row>
    <row r="2055">
      <c r="A2055" s="3" t="inlineStr">
        <is>
          <t>Heron Fields (Pty) Ltd</t>
        </is>
      </c>
      <c r="B2055" s="4" t="n">
        <v>44865</v>
      </c>
      <c r="C2055" s="3" t="inlineStr">
        <is>
          <t>Assets</t>
        </is>
      </c>
      <c r="D2055" s="3" t="inlineStr">
        <is>
          <t>7620/270</t>
        </is>
      </c>
      <c r="E2055" s="3" t="inlineStr">
        <is>
          <t>HF CIP Geotechnical</t>
        </is>
      </c>
      <c r="F2055" s="3" t="n">
        <v>0</v>
      </c>
      <c r="G2055" s="3" t="n">
        <v>15175</v>
      </c>
    </row>
    <row r="2056">
      <c r="A2056" s="3" t="inlineStr">
        <is>
          <t>Heron Fields (Pty) Ltd</t>
        </is>
      </c>
      <c r="B2056" s="4" t="n">
        <v>44865</v>
      </c>
      <c r="C2056" s="3" t="inlineStr">
        <is>
          <t>Assets</t>
        </is>
      </c>
      <c r="D2056" s="3" t="inlineStr">
        <is>
          <t>7620/275</t>
        </is>
      </c>
      <c r="E2056" s="3" t="inlineStr">
        <is>
          <t>HF CIP Retaining Wall</t>
        </is>
      </c>
      <c r="F2056" s="3" t="n">
        <v>0</v>
      </c>
      <c r="G2056" s="3" t="n">
        <v>570856.08</v>
      </c>
    </row>
    <row r="2057">
      <c r="A2057" s="3" t="inlineStr">
        <is>
          <t>Heron Fields (Pty) Ltd</t>
        </is>
      </c>
      <c r="B2057" s="4" t="n">
        <v>44865</v>
      </c>
      <c r="C2057" s="3" t="inlineStr">
        <is>
          <t>Assets</t>
        </is>
      </c>
      <c r="D2057" s="3" t="inlineStr">
        <is>
          <t>7620/280</t>
        </is>
      </c>
      <c r="E2057" s="3" t="inlineStr">
        <is>
          <t>HF CIP Site Establishment</t>
        </is>
      </c>
      <c r="F2057" s="3" t="n">
        <v>4763644.96</v>
      </c>
      <c r="G2057" s="3" t="n">
        <v>39007081.82</v>
      </c>
    </row>
    <row r="2058">
      <c r="A2058" s="3" t="inlineStr">
        <is>
          <t>Heron Fields (Pty) Ltd</t>
        </is>
      </c>
      <c r="B2058" s="4" t="n">
        <v>44865</v>
      </c>
      <c r="C2058" s="3" t="inlineStr">
        <is>
          <t>Assets</t>
        </is>
      </c>
      <c r="D2058" s="3" t="inlineStr">
        <is>
          <t>7620/285</t>
        </is>
      </c>
      <c r="E2058" s="3" t="inlineStr">
        <is>
          <t>HF CIP Structuring Fee - Invest</t>
        </is>
      </c>
      <c r="F2058" s="3" t="n">
        <v>0</v>
      </c>
      <c r="G2058" s="3" t="n">
        <v>3396905</v>
      </c>
    </row>
    <row r="2059">
      <c r="A2059" s="3" t="inlineStr">
        <is>
          <t>Heron Fields (Pty) Ltd</t>
        </is>
      </c>
      <c r="B2059" s="4" t="n">
        <v>44865</v>
      </c>
      <c r="C2059" s="3" t="inlineStr">
        <is>
          <t>Assets</t>
        </is>
      </c>
      <c r="D2059" s="3" t="inlineStr">
        <is>
          <t>7620/287</t>
        </is>
      </c>
      <c r="E2059" s="3" t="inlineStr">
        <is>
          <t>HF CIP Structuring Fee - Development</t>
        </is>
      </c>
      <c r="F2059" s="3" t="n">
        <v>0</v>
      </c>
      <c r="G2059" s="3" t="n">
        <v>782608.0699999999</v>
      </c>
    </row>
    <row r="2060">
      <c r="A2060" s="3" t="inlineStr">
        <is>
          <t>Heron Fields (Pty) Ltd</t>
        </is>
      </c>
      <c r="B2060" s="4" t="n">
        <v>44865</v>
      </c>
      <c r="C2060" s="3" t="inlineStr">
        <is>
          <t>Assets</t>
        </is>
      </c>
      <c r="D2060" s="3" t="inlineStr">
        <is>
          <t>7620/290</t>
        </is>
      </c>
      <c r="E2060" s="3" t="inlineStr">
        <is>
          <t>HF CIP Town Planning</t>
        </is>
      </c>
      <c r="F2060" s="3" t="n">
        <v>0</v>
      </c>
      <c r="G2060" s="3" t="n">
        <v>163550</v>
      </c>
    </row>
    <row r="2061">
      <c r="A2061" s="3" t="inlineStr">
        <is>
          <t>Heron Fields (Pty) Ltd</t>
        </is>
      </c>
      <c r="B2061" s="4" t="n">
        <v>44865</v>
      </c>
      <c r="C2061" s="3" t="inlineStr">
        <is>
          <t>Assets</t>
        </is>
      </c>
      <c r="D2061" s="3" t="inlineStr">
        <is>
          <t>7620/295</t>
        </is>
      </c>
      <c r="E2061" s="3" t="inlineStr">
        <is>
          <t>HF CIP Traffic Planning</t>
        </is>
      </c>
      <c r="F2061" s="3" t="n">
        <v>0</v>
      </c>
      <c r="G2061" s="3" t="n">
        <v>45000</v>
      </c>
    </row>
    <row r="2062">
      <c r="A2062" s="3" t="inlineStr">
        <is>
          <t>Heron Fields (Pty) Ltd</t>
        </is>
      </c>
      <c r="B2062" s="4" t="n">
        <v>44865</v>
      </c>
      <c r="C2062" s="3" t="inlineStr">
        <is>
          <t>Assets</t>
        </is>
      </c>
      <c r="D2062" s="3" t="inlineStr">
        <is>
          <t>7620/600</t>
        </is>
      </c>
      <c r="E2062" s="3" t="inlineStr">
        <is>
          <t>HF CIP Eco work</t>
        </is>
      </c>
      <c r="F2062" s="3" t="n">
        <v>6000</v>
      </c>
      <c r="G2062" s="3" t="n">
        <v>107000</v>
      </c>
    </row>
    <row r="2063">
      <c r="A2063" s="3" t="inlineStr">
        <is>
          <t>Heron Fields (Pty) Ltd</t>
        </is>
      </c>
      <c r="B2063" s="4" t="n">
        <v>44865</v>
      </c>
      <c r="C2063" s="3" t="inlineStr">
        <is>
          <t>Assets</t>
        </is>
      </c>
      <c r="D2063" s="3" t="inlineStr">
        <is>
          <t>7620/630</t>
        </is>
      </c>
      <c r="E2063" s="3" t="inlineStr">
        <is>
          <t>HF CIP CoCT development contribution</t>
        </is>
      </c>
      <c r="F2063" s="3" t="n">
        <v>0</v>
      </c>
      <c r="G2063" s="3" t="n">
        <v>1021325.63</v>
      </c>
    </row>
    <row r="2064">
      <c r="A2064" s="3" t="inlineStr">
        <is>
          <t>Heron View (Pty) Ltd</t>
        </is>
      </c>
      <c r="B2064" s="4" t="n">
        <v>44865</v>
      </c>
      <c r="C2064" s="3" t="inlineStr">
        <is>
          <t>Assets</t>
        </is>
      </c>
      <c r="D2064" s="3" t="inlineStr">
        <is>
          <t>7620/630</t>
        </is>
      </c>
      <c r="E2064" s="3" t="inlineStr">
        <is>
          <t>Heron CIP - CoCT development contribution</t>
        </is>
      </c>
      <c r="F2064" s="3" t="n">
        <v>5104</v>
      </c>
      <c r="G2064" s="3" t="n">
        <v>1238365.93</v>
      </c>
    </row>
    <row r="2065">
      <c r="A2065" s="3" t="inlineStr">
        <is>
          <t>Heron Fields (Pty) Ltd</t>
        </is>
      </c>
      <c r="B2065" s="4" t="n">
        <v>44865</v>
      </c>
      <c r="C2065" s="3" t="inlineStr">
        <is>
          <t>Assets</t>
        </is>
      </c>
      <c r="D2065" s="3" t="inlineStr">
        <is>
          <t>7620/640</t>
        </is>
      </c>
      <c r="E2065" s="3" t="inlineStr">
        <is>
          <t>HF CIP Project costs</t>
        </is>
      </c>
      <c r="F2065" s="3" t="n">
        <v>0</v>
      </c>
      <c r="G2065" s="3" t="n">
        <v>622274.51</v>
      </c>
    </row>
    <row r="2066">
      <c r="A2066" s="3" t="inlineStr">
        <is>
          <t>Heron View (Pty) Ltd</t>
        </is>
      </c>
      <c r="B2066" s="4" t="n">
        <v>44865</v>
      </c>
      <c r="C2066" s="3" t="inlineStr">
        <is>
          <t>Assets</t>
        </is>
      </c>
      <c r="D2066" s="3" t="inlineStr">
        <is>
          <t>7620/650</t>
        </is>
      </c>
      <c r="E2066" s="3" t="inlineStr">
        <is>
          <t>CIP - Construction Management</t>
        </is>
      </c>
      <c r="F2066" s="3" t="n">
        <v>7530</v>
      </c>
      <c r="G2066" s="3" t="n">
        <v>7530</v>
      </c>
    </row>
    <row r="2067">
      <c r="A2067" s="3" t="inlineStr">
        <is>
          <t>Heron Fields (Pty) Ltd</t>
        </is>
      </c>
      <c r="B2067" s="4" t="n">
        <v>44865</v>
      </c>
      <c r="C2067" s="3" t="inlineStr">
        <is>
          <t>Assets</t>
        </is>
      </c>
      <c r="D2067" s="3" t="inlineStr">
        <is>
          <t>7620/650</t>
        </is>
      </c>
      <c r="E2067" s="3" t="inlineStr">
        <is>
          <t>HF CIP Electrical</t>
        </is>
      </c>
      <c r="F2067" s="3" t="n">
        <v>46967.27</v>
      </c>
      <c r="G2067" s="3" t="n">
        <v>985049.6800000001</v>
      </c>
    </row>
    <row r="2068">
      <c r="A2068" s="3" t="inlineStr">
        <is>
          <t>Heron View (Pty) Ltd</t>
        </is>
      </c>
      <c r="B2068" s="4" t="n">
        <v>44865</v>
      </c>
      <c r="C2068" s="3" t="inlineStr">
        <is>
          <t>Assets</t>
        </is>
      </c>
      <c r="D2068" s="3" t="inlineStr">
        <is>
          <t>7620/660</t>
        </is>
      </c>
      <c r="E2068" s="3" t="inlineStr">
        <is>
          <t>HV CIP Health &amp; Safety</t>
        </is>
      </c>
      <c r="F2068" s="3" t="n">
        <v>1100</v>
      </c>
      <c r="G2068" s="3" t="n">
        <v>10700</v>
      </c>
    </row>
    <row r="2069">
      <c r="A2069" s="3" t="inlineStr">
        <is>
          <t>Heron View (Pty) Ltd</t>
        </is>
      </c>
      <c r="B2069" s="4" t="n">
        <v>44865</v>
      </c>
      <c r="C2069" s="3" t="inlineStr">
        <is>
          <t>Assets</t>
        </is>
      </c>
      <c r="D2069" s="3" t="inlineStr">
        <is>
          <t>7620/670</t>
        </is>
      </c>
      <c r="E2069" s="3" t="inlineStr">
        <is>
          <t>HV CIP - Project costs CPSD</t>
        </is>
      </c>
      <c r="F2069" s="3" t="n">
        <v>0</v>
      </c>
      <c r="G2069" s="3" t="n">
        <v>250000</v>
      </c>
    </row>
    <row r="2070">
      <c r="A2070" s="3" t="inlineStr">
        <is>
          <t>Heron Fields (Pty) Ltd</t>
        </is>
      </c>
      <c r="B2070" s="4" t="n">
        <v>44865</v>
      </c>
      <c r="C2070" s="3" t="inlineStr">
        <is>
          <t>Assets</t>
        </is>
      </c>
      <c r="D2070" s="3" t="inlineStr">
        <is>
          <t>7620/700</t>
        </is>
      </c>
      <c r="E2070" s="3" t="inlineStr">
        <is>
          <t>HF CIP - P&amp;G recoveries - Endulini&amp;Heron Fields/View</t>
        </is>
      </c>
      <c r="F2070" s="3" t="n">
        <v>0</v>
      </c>
      <c r="G2070" s="3" t="n">
        <v>3023829.42</v>
      </c>
    </row>
    <row r="2071">
      <c r="A2071" s="3" t="inlineStr">
        <is>
          <t>Heron Fields (Pty) Ltd</t>
        </is>
      </c>
      <c r="B2071" s="4" t="n">
        <v>44865</v>
      </c>
      <c r="C2071" s="3" t="inlineStr">
        <is>
          <t>Assets</t>
        </is>
      </c>
      <c r="D2071" s="3" t="inlineStr">
        <is>
          <t>7620/750</t>
        </is>
      </c>
      <c r="E2071" s="3" t="inlineStr">
        <is>
          <t>HF CIP Project costs CPSD</t>
        </is>
      </c>
      <c r="F2071" s="3" t="n">
        <v>0</v>
      </c>
      <c r="G2071" s="3" t="n">
        <v>850000</v>
      </c>
    </row>
    <row r="2072">
      <c r="A2072" s="3" t="inlineStr">
        <is>
          <t>Cape Projects Construction (Pty) Ltd</t>
        </is>
      </c>
      <c r="B2072" s="4" t="n">
        <v>44865</v>
      </c>
      <c r="C2072" s="3" t="inlineStr">
        <is>
          <t>Assets</t>
        </is>
      </c>
      <c r="D2072" s="3" t="inlineStr">
        <is>
          <t>7800/000</t>
        </is>
      </c>
      <c r="E2072" s="3" t="inlineStr">
        <is>
          <t>Deposits paid</t>
        </is>
      </c>
      <c r="F2072" s="3" t="n">
        <v>1512.5</v>
      </c>
      <c r="G2072" s="3" t="n">
        <v>8387.950000000001</v>
      </c>
    </row>
    <row r="2073">
      <c r="A2073" s="3" t="inlineStr">
        <is>
          <t>Cape Projects Construction (Pty) Ltd</t>
        </is>
      </c>
      <c r="B2073" s="4" t="n">
        <v>44865</v>
      </c>
      <c r="C2073" s="3" t="inlineStr">
        <is>
          <t>Assets</t>
        </is>
      </c>
      <c r="D2073" s="3" t="inlineStr">
        <is>
          <t>8000/000</t>
        </is>
      </c>
      <c r="E2073" s="3" t="inlineStr">
        <is>
          <t>Customer Control Account</t>
        </is>
      </c>
      <c r="F2073" s="3" t="n">
        <v>-1787136.69</v>
      </c>
      <c r="G2073" s="3" t="n">
        <v>4087274.45</v>
      </c>
    </row>
    <row r="2074">
      <c r="A2074" s="3" t="inlineStr">
        <is>
          <t>Cape Projects Construction (Pty) Ltd</t>
        </is>
      </c>
      <c r="B2074" s="4" t="n">
        <v>44865</v>
      </c>
      <c r="C2074" s="3" t="inlineStr">
        <is>
          <t>Assets</t>
        </is>
      </c>
      <c r="D2074" s="3" t="inlineStr">
        <is>
          <t>8200/010</t>
        </is>
      </c>
      <c r="E2074" s="3" t="inlineStr">
        <is>
          <t>Prepayments / Prepaid Expenses</t>
        </is>
      </c>
      <c r="F2074" s="3" t="n">
        <v>-2719.44</v>
      </c>
      <c r="G2074" s="3" t="n">
        <v>13597.19</v>
      </c>
    </row>
    <row r="2075">
      <c r="A2075" s="3" t="inlineStr">
        <is>
          <t>Cape Projects Construction (Pty) Ltd</t>
        </is>
      </c>
      <c r="B2075" s="4" t="n">
        <v>44865</v>
      </c>
      <c r="C2075" s="3" t="inlineStr">
        <is>
          <t>Assets</t>
        </is>
      </c>
      <c r="D2075" s="3" t="inlineStr">
        <is>
          <t>8300/000</t>
        </is>
      </c>
      <c r="E2075" s="3" t="inlineStr">
        <is>
          <t>FNB Credit Card 8812 7100 446 6006</t>
        </is>
      </c>
      <c r="F2075" s="3" t="n">
        <v>-44</v>
      </c>
      <c r="G2075" s="3" t="n">
        <v>0</v>
      </c>
    </row>
    <row r="2076">
      <c r="A2076" s="3" t="inlineStr">
        <is>
          <t>Heron Fields (Pty) Ltd</t>
        </is>
      </c>
      <c r="B2076" s="4" t="n">
        <v>44865</v>
      </c>
      <c r="C2076" s="3" t="inlineStr">
        <is>
          <t>Assets</t>
        </is>
      </c>
      <c r="D2076" s="3" t="inlineStr">
        <is>
          <t>8400/000</t>
        </is>
      </c>
      <c r="E2076" s="3" t="inlineStr">
        <is>
          <t>RMB - 62882379087</t>
        </is>
      </c>
      <c r="F2076" s="3" t="n">
        <v>-173634.53</v>
      </c>
      <c r="G2076" s="3" t="n">
        <v>320879.09</v>
      </c>
    </row>
    <row r="2077">
      <c r="A2077" s="3" t="inlineStr">
        <is>
          <t>Cape Projects Construction (Pty) Ltd</t>
        </is>
      </c>
      <c r="B2077" s="4" t="n">
        <v>44865</v>
      </c>
      <c r="C2077" s="3" t="inlineStr">
        <is>
          <t>Assets</t>
        </is>
      </c>
      <c r="D2077" s="3" t="inlineStr">
        <is>
          <t>8400/000</t>
        </is>
      </c>
      <c r="E2077" s="3" t="inlineStr">
        <is>
          <t>RMB 62275138470</t>
        </is>
      </c>
      <c r="F2077" s="3" t="n">
        <v>-552421.9</v>
      </c>
      <c r="G2077" s="3" t="n">
        <v>104557.64</v>
      </c>
    </row>
    <row r="2078">
      <c r="A2078" s="3" t="inlineStr">
        <is>
          <t>Cape Projects Construction (Pty) Ltd</t>
        </is>
      </c>
      <c r="B2078" s="4" t="n">
        <v>44865</v>
      </c>
      <c r="C2078" s="3" t="inlineStr">
        <is>
          <t>Assets</t>
        </is>
      </c>
      <c r="D2078" s="3" t="inlineStr">
        <is>
          <t>8420/000</t>
        </is>
      </c>
      <c r="E2078" s="3" t="inlineStr">
        <is>
          <t>Momentum Priv Acc RU502230981</t>
        </is>
      </c>
      <c r="F2078" s="3" t="n">
        <v>5.26</v>
      </c>
      <c r="G2078" s="3" t="n">
        <v>527.86</v>
      </c>
    </row>
    <row r="2079">
      <c r="A2079" s="3" t="inlineStr">
        <is>
          <t>Heron Fields (Pty) Ltd</t>
        </is>
      </c>
      <c r="B2079" s="4" t="n">
        <v>44865</v>
      </c>
      <c r="C2079" s="3" t="inlineStr">
        <is>
          <t>Assets</t>
        </is>
      </c>
      <c r="D2079" s="3" t="inlineStr">
        <is>
          <t>8430/000</t>
        </is>
      </c>
      <c r="E2079" s="3" t="inlineStr">
        <is>
          <t>Momentum Private Account RU502230151</t>
        </is>
      </c>
      <c r="F2079" s="3" t="n">
        <v>7.29</v>
      </c>
      <c r="G2079" s="3" t="n">
        <v>809.91</v>
      </c>
    </row>
    <row r="2080">
      <c r="A2080" s="3" t="inlineStr">
        <is>
          <t>Heron Fields (Pty) Ltd</t>
        </is>
      </c>
      <c r="B2080" s="4" t="n">
        <v>44865</v>
      </c>
      <c r="C2080" s="3" t="inlineStr">
        <is>
          <t>Assets</t>
        </is>
      </c>
      <c r="D2080" s="3" t="inlineStr">
        <is>
          <t>8440/000</t>
        </is>
      </c>
      <c r="E2080" s="3" t="inlineStr">
        <is>
          <t>Momentum Investors Account RU502229930</t>
        </is>
      </c>
      <c r="F2080" s="3" t="n">
        <v>6452832.21</v>
      </c>
      <c r="G2080" s="3" t="n">
        <v>8846423.880000001</v>
      </c>
    </row>
    <row r="2081">
      <c r="A2081" s="3" t="inlineStr">
        <is>
          <t>Cape Projects Construction (Pty) Ltd</t>
        </is>
      </c>
      <c r="B2081" s="4" t="n">
        <v>44865</v>
      </c>
      <c r="C2081" s="3" t="inlineStr">
        <is>
          <t>Liabilities</t>
        </is>
      </c>
      <c r="D2081" s="3" t="inlineStr">
        <is>
          <t>860</t>
        </is>
      </c>
      <c r="E2081" s="3" t="inlineStr">
        <is>
          <t>Rounding</t>
        </is>
      </c>
      <c r="F2081" s="3" t="n">
        <v>-0.02</v>
      </c>
      <c r="G2081" s="3" t="n">
        <v>-0.32</v>
      </c>
    </row>
    <row r="2082">
      <c r="A2082" s="3" t="inlineStr">
        <is>
          <t>Cape Projects Construction (Pty) Ltd</t>
        </is>
      </c>
      <c r="B2082" s="4" t="n">
        <v>44865</v>
      </c>
      <c r="C2082" s="3" t="inlineStr">
        <is>
          <t>Liabilities</t>
        </is>
      </c>
      <c r="D2082" s="3" t="inlineStr">
        <is>
          <t>9000/000</t>
        </is>
      </c>
      <c r="E2082" s="3" t="inlineStr">
        <is>
          <t>Supplier Control Account</t>
        </is>
      </c>
      <c r="F2082" s="3" t="n">
        <v>52414.3</v>
      </c>
      <c r="G2082" s="3" t="n">
        <v>-3516349.55</v>
      </c>
    </row>
    <row r="2083">
      <c r="A2083" s="3" t="inlineStr">
        <is>
          <t>Heron Fields (Pty) Ltd</t>
        </is>
      </c>
      <c r="B2083" s="4" t="n">
        <v>44865</v>
      </c>
      <c r="C2083" s="3" t="inlineStr">
        <is>
          <t>Liabilities</t>
        </is>
      </c>
      <c r="D2083" s="3" t="inlineStr">
        <is>
          <t>9000/000</t>
        </is>
      </c>
      <c r="E2083" s="3" t="inlineStr">
        <is>
          <t>Supplier Control Account</t>
        </is>
      </c>
      <c r="F2083" s="3" t="n">
        <v>-14139634.61</v>
      </c>
      <c r="G2083" s="3" t="n">
        <v>-109283869.62</v>
      </c>
    </row>
    <row r="2084">
      <c r="A2084" s="3" t="inlineStr">
        <is>
          <t>Heron View (Pty) Ltd</t>
        </is>
      </c>
      <c r="B2084" s="4" t="n">
        <v>44865</v>
      </c>
      <c r="C2084" s="3" t="inlineStr">
        <is>
          <t>Liabilities</t>
        </is>
      </c>
      <c r="D2084" s="3" t="inlineStr">
        <is>
          <t>9000/000</t>
        </is>
      </c>
      <c r="E2084" s="3" t="inlineStr">
        <is>
          <t>Supplier Control Account</t>
        </is>
      </c>
      <c r="F2084" s="3" t="n">
        <v>-168004.12</v>
      </c>
      <c r="G2084" s="3" t="n">
        <v>-173799.81</v>
      </c>
    </row>
    <row r="2085">
      <c r="A2085" s="3" t="inlineStr">
        <is>
          <t>Cape Projects Construction (Pty) Ltd</t>
        </is>
      </c>
      <c r="B2085" s="4" t="n">
        <v>44865</v>
      </c>
      <c r="C2085" s="3" t="inlineStr">
        <is>
          <t>Liabilities</t>
        </is>
      </c>
      <c r="D2085" s="3" t="inlineStr">
        <is>
          <t>9200/000</t>
        </is>
      </c>
      <c r="E2085" s="3" t="inlineStr">
        <is>
          <t>Sundry Suppliers</t>
        </is>
      </c>
      <c r="F2085" s="3" t="n">
        <v>0</v>
      </c>
      <c r="G2085" s="3" t="n">
        <v>1186.13</v>
      </c>
    </row>
    <row r="2086">
      <c r="A2086" s="3" t="inlineStr">
        <is>
          <t>Cape Projects Construction (Pty) Ltd</t>
        </is>
      </c>
      <c r="B2086" s="4" t="n">
        <v>44865</v>
      </c>
      <c r="C2086" s="3" t="inlineStr">
        <is>
          <t>Liabilities</t>
        </is>
      </c>
      <c r="D2086" s="3" t="inlineStr">
        <is>
          <t>9250/010</t>
        </is>
      </c>
      <c r="E2086" s="3" t="inlineStr">
        <is>
          <t>SALARY CONTROL</t>
        </is>
      </c>
      <c r="F2086" s="3" t="n">
        <v>0</v>
      </c>
      <c r="G2086" s="3" t="n">
        <v>20758.55</v>
      </c>
    </row>
    <row r="2087">
      <c r="A2087" s="3" t="inlineStr">
        <is>
          <t>Cape Projects Construction (Pty) Ltd</t>
        </is>
      </c>
      <c r="B2087" s="4" t="n">
        <v>44865</v>
      </c>
      <c r="C2087" s="3" t="inlineStr">
        <is>
          <t>Liabilities</t>
        </is>
      </c>
      <c r="D2087" s="3" t="inlineStr">
        <is>
          <t>9250/020</t>
        </is>
      </c>
      <c r="E2087" s="3" t="inlineStr">
        <is>
          <t>PAYE, UIF AND SDL CONTROL</t>
        </is>
      </c>
      <c r="F2087" s="3" t="n">
        <v>1531.48</v>
      </c>
      <c r="G2087" s="3" t="n">
        <v>-37773.52</v>
      </c>
    </row>
    <row r="2088">
      <c r="A2088" s="3" t="inlineStr">
        <is>
          <t>Cape Projects Construction (Pty) Ltd</t>
        </is>
      </c>
      <c r="B2088" s="4" t="n">
        <v>44865</v>
      </c>
      <c r="C2088" s="3" t="inlineStr">
        <is>
          <t>Liabilities</t>
        </is>
      </c>
      <c r="D2088" s="3" t="inlineStr">
        <is>
          <t>9250/030</t>
        </is>
      </c>
      <c r="E2088" s="3" t="inlineStr">
        <is>
          <t>BIBC CONTROL</t>
        </is>
      </c>
      <c r="F2088" s="3" t="n">
        <v>38471.88</v>
      </c>
      <c r="G2088" s="3" t="n">
        <v>-13911.7</v>
      </c>
    </row>
    <row r="2089">
      <c r="A2089" s="3" t="inlineStr">
        <is>
          <t>Cape Projects Construction (Pty) Ltd</t>
        </is>
      </c>
      <c r="B2089" s="4" t="n">
        <v>44865</v>
      </c>
      <c r="C2089" s="3" t="inlineStr">
        <is>
          <t>Liabilities</t>
        </is>
      </c>
      <c r="D2089" s="3" t="inlineStr">
        <is>
          <t>9500/000</t>
        </is>
      </c>
      <c r="E2089" s="3" t="inlineStr">
        <is>
          <t>VAT Control Account</t>
        </is>
      </c>
      <c r="F2089" s="3" t="n">
        <v>2160049.13</v>
      </c>
      <c r="G2089" s="3" t="n">
        <v>-74528.23</v>
      </c>
    </row>
    <row r="2090">
      <c r="A2090" s="3" t="inlineStr">
        <is>
          <t>Heron Fields (Pty) Ltd</t>
        </is>
      </c>
      <c r="B2090" s="4" t="n">
        <v>44865</v>
      </c>
      <c r="C2090" s="3" t="inlineStr">
        <is>
          <t>Liabilities</t>
        </is>
      </c>
      <c r="D2090" s="3" t="inlineStr">
        <is>
          <t>9500/000</t>
        </is>
      </c>
      <c r="E2090" s="3" t="inlineStr">
        <is>
          <t>Vat / Tax Control Account</t>
        </is>
      </c>
      <c r="F2090" s="3" t="n">
        <v>1028379.1</v>
      </c>
      <c r="G2090" s="3" t="n">
        <v>5101071.7</v>
      </c>
    </row>
    <row r="2091">
      <c r="A2091" s="3" t="inlineStr">
        <is>
          <t>Heron View (Pty) Ltd</t>
        </is>
      </c>
      <c r="B2091" s="4" t="n">
        <v>44865</v>
      </c>
      <c r="C2091" s="3" t="inlineStr">
        <is>
          <t>Liabilities</t>
        </is>
      </c>
      <c r="D2091" s="3" t="inlineStr">
        <is>
          <t>9500/000</t>
        </is>
      </c>
      <c r="E2091" s="3" t="inlineStr">
        <is>
          <t>Vat / Tax Control Account</t>
        </is>
      </c>
      <c r="F2091" s="3" t="n">
        <v>23148.18</v>
      </c>
      <c r="G2091" s="3" t="n">
        <v>247329.95</v>
      </c>
    </row>
    <row r="2092">
      <c r="A2092" s="3" t="inlineStr">
        <is>
          <t>Cape Projects Construction (Pty) Ltd</t>
        </is>
      </c>
      <c r="B2092" s="4" t="n">
        <v>44865</v>
      </c>
      <c r="C2092" s="3" t="inlineStr">
        <is>
          <t>Liabilities</t>
        </is>
      </c>
      <c r="D2092" s="3" t="inlineStr">
        <is>
          <t>9990/000</t>
        </is>
      </c>
      <c r="E2092" s="3" t="inlineStr">
        <is>
          <t>Opening Balance / Suspense Account</t>
        </is>
      </c>
      <c r="F2092" s="3" t="n">
        <v>-80</v>
      </c>
      <c r="G2092" s="3" t="n">
        <v>0</v>
      </c>
    </row>
    <row r="2093">
      <c r="A2093" s="3" t="inlineStr">
        <is>
          <t>Cape Projects Construction (Pty) Ltd</t>
        </is>
      </c>
      <c r="B2093" s="4" t="n">
        <v>44865</v>
      </c>
      <c r="C2093" s="3" t="inlineStr">
        <is>
          <t>Liabilities</t>
        </is>
      </c>
      <c r="D2093" s="3" t="inlineStr">
        <is>
          <t>B/S</t>
        </is>
      </c>
      <c r="E2093" s="3" t="inlineStr">
        <is>
          <t>Taxation Payable</t>
        </is>
      </c>
      <c r="F2093" s="3" t="n">
        <v>0</v>
      </c>
      <c r="G2093" s="3" t="n">
        <v>1869.8</v>
      </c>
    </row>
    <row r="2094">
      <c r="A2094" s="3" t="inlineStr">
        <is>
          <t>Cape Projects Construction (Pty) Ltd</t>
        </is>
      </c>
      <c r="B2094" s="4" t="n">
        <v>44865</v>
      </c>
      <c r="C2094" s="3" t="inlineStr">
        <is>
          <t>Liabilities</t>
        </is>
      </c>
      <c r="D2094" s="3" t="inlineStr">
        <is>
          <t>TEMP/ACC</t>
        </is>
      </c>
      <c r="E2094" s="3" t="inlineStr">
        <is>
          <t>Conversion Account</t>
        </is>
      </c>
      <c r="F2094" s="3" t="n">
        <v>0</v>
      </c>
      <c r="G2094" s="3" t="n">
        <v>-254.99</v>
      </c>
    </row>
    <row r="2095">
      <c r="A2095" s="3" t="inlineStr">
        <is>
          <t>Heron Fields (Pty) Ltd</t>
        </is>
      </c>
      <c r="B2095" s="4" t="n">
        <v>44895</v>
      </c>
      <c r="C2095" s="3" t="inlineStr">
        <is>
          <t>Revenue</t>
        </is>
      </c>
      <c r="D2095" s="3" t="inlineStr">
        <is>
          <t>1000/100</t>
        </is>
      </c>
      <c r="E2095" s="3" t="inlineStr">
        <is>
          <t>Sales - Heron Fields</t>
        </is>
      </c>
      <c r="F2095" s="3" t="n">
        <v>-13825130.44</v>
      </c>
      <c r="G2095" s="3" t="n">
        <v>-13825130.44</v>
      </c>
    </row>
    <row r="2096">
      <c r="A2096" s="3" t="inlineStr">
        <is>
          <t>Heron Fields (Pty) Ltd</t>
        </is>
      </c>
      <c r="B2096" s="4" t="n">
        <v>44895</v>
      </c>
      <c r="C2096" s="3" t="inlineStr">
        <is>
          <t>Revenue</t>
        </is>
      </c>
      <c r="D2096" s="3" t="inlineStr">
        <is>
          <t>1000/101</t>
        </is>
      </c>
      <c r="E2096" s="3" t="inlineStr">
        <is>
          <t>Sales - Heron Fields occupational rent</t>
        </is>
      </c>
      <c r="F2096" s="3" t="n">
        <v>-66591.39999999999</v>
      </c>
      <c r="G2096" s="3" t="n">
        <v>-66591.39999999999</v>
      </c>
    </row>
    <row r="2097">
      <c r="A2097" s="3" t="inlineStr">
        <is>
          <t>Cape Projects Construction (Pty) Ltd</t>
        </is>
      </c>
      <c r="B2097" s="4" t="n">
        <v>44895</v>
      </c>
      <c r="C2097" s="3" t="inlineStr">
        <is>
          <t>Revenue</t>
        </is>
      </c>
      <c r="D2097" s="3" t="inlineStr">
        <is>
          <t>1040/100</t>
        </is>
      </c>
      <c r="E2097" s="3" t="inlineStr">
        <is>
          <t>Fees - Construction - Heron</t>
        </is>
      </c>
      <c r="F2097" s="3" t="n">
        <v>-4324809.2</v>
      </c>
      <c r="G2097" s="3" t="n">
        <v>-40975204.81</v>
      </c>
    </row>
    <row r="2098">
      <c r="A2098" s="3" t="inlineStr">
        <is>
          <t>Cape Projects Construction (Pty) Ltd</t>
        </is>
      </c>
      <c r="B2098" s="4" t="n">
        <v>44895</v>
      </c>
      <c r="C2098" s="3" t="inlineStr">
        <is>
          <t>Revenue</t>
        </is>
      </c>
      <c r="D2098" s="3" t="inlineStr">
        <is>
          <t>1050/030</t>
        </is>
      </c>
      <c r="E2098" s="3" t="inlineStr">
        <is>
          <t>Fees - Construction - Endulini</t>
        </is>
      </c>
      <c r="F2098" s="3" t="n">
        <v>0</v>
      </c>
      <c r="G2098" s="3" t="n">
        <v>-12046638.06</v>
      </c>
    </row>
    <row r="2099">
      <c r="A2099" s="3" t="inlineStr">
        <is>
          <t>Cape Projects Construction (Pty) Ltd</t>
        </is>
      </c>
      <c r="B2099" s="4" t="n">
        <v>44895</v>
      </c>
      <c r="C2099" s="3" t="inlineStr">
        <is>
          <t>Revenue</t>
        </is>
      </c>
      <c r="D2099" s="3" t="inlineStr">
        <is>
          <t>1051/100</t>
        </is>
      </c>
      <c r="E2099" s="3" t="inlineStr">
        <is>
          <t>Fees - Construction - Heron Fields</t>
        </is>
      </c>
      <c r="F2099" s="3" t="n">
        <v>0</v>
      </c>
      <c r="G2099" s="3" t="n">
        <v>-1782369.8</v>
      </c>
    </row>
    <row r="2100">
      <c r="A2100" s="3" t="inlineStr">
        <is>
          <t>Cape Projects Construction (Pty) Ltd</t>
        </is>
      </c>
      <c r="B2100" s="4" t="n">
        <v>44895</v>
      </c>
      <c r="C2100" s="3" t="inlineStr">
        <is>
          <t>Revenue</t>
        </is>
      </c>
      <c r="D2100" s="3" t="inlineStr">
        <is>
          <t>1051/200</t>
        </is>
      </c>
      <c r="E2100" s="3" t="inlineStr">
        <is>
          <t>Fees - Construction - Heron Fields P&amp;G</t>
        </is>
      </c>
      <c r="F2100" s="3" t="n">
        <v>0</v>
      </c>
      <c r="G2100" s="3" t="n">
        <v>1616.91</v>
      </c>
    </row>
    <row r="2101">
      <c r="A2101" s="3" t="inlineStr">
        <is>
          <t>Cape Projects Construction (Pty) Ltd</t>
        </is>
      </c>
      <c r="B2101" s="4" t="n">
        <v>44895</v>
      </c>
      <c r="C2101" s="3" t="inlineStr">
        <is>
          <t>Revenue</t>
        </is>
      </c>
      <c r="D2101" s="3" t="inlineStr">
        <is>
          <t>1060/000</t>
        </is>
      </c>
      <c r="E2101" s="3" t="inlineStr">
        <is>
          <t>Insurance recovery</t>
        </is>
      </c>
      <c r="F2101" s="3" t="n">
        <v>0</v>
      </c>
      <c r="G2101" s="3" t="n">
        <v>-2839.7</v>
      </c>
    </row>
    <row r="2102">
      <c r="A2102" s="3" t="inlineStr">
        <is>
          <t>Cape Projects Construction (Pty) Ltd</t>
        </is>
      </c>
      <c r="B2102" s="4" t="n">
        <v>44895</v>
      </c>
      <c r="C2102" s="3" t="inlineStr">
        <is>
          <t>Revenue</t>
        </is>
      </c>
      <c r="D2102" s="3" t="inlineStr">
        <is>
          <t>1070/000</t>
        </is>
      </c>
      <c r="E2102" s="3" t="inlineStr">
        <is>
          <t>Rent - CT Office</t>
        </is>
      </c>
      <c r="F2102" s="3" t="n">
        <v>-3490.94</v>
      </c>
      <c r="G2102" s="3" t="n">
        <v>-31418.46</v>
      </c>
    </row>
    <row r="2103">
      <c r="A2103" s="3" t="inlineStr">
        <is>
          <t>Heron View (Pty) Ltd</t>
        </is>
      </c>
      <c r="B2103" s="4" t="n">
        <v>44895</v>
      </c>
      <c r="C2103" s="3" t="inlineStr">
        <is>
          <t>Expenses</t>
        </is>
      </c>
      <c r="D2103" s="3" t="inlineStr">
        <is>
          <t>2000/010</t>
        </is>
      </c>
      <c r="E2103" s="3" t="inlineStr">
        <is>
          <t>COS - Heron View</t>
        </is>
      </c>
      <c r="F2103" s="3" t="n">
        <v>0</v>
      </c>
      <c r="G2103" s="3" t="n">
        <v>678.59</v>
      </c>
    </row>
    <row r="2104">
      <c r="A2104" s="3" t="inlineStr">
        <is>
          <t>Heron Fields (Pty) Ltd</t>
        </is>
      </c>
      <c r="B2104" s="4" t="n">
        <v>44895</v>
      </c>
      <c r="C2104" s="3" t="inlineStr">
        <is>
          <t>Expenses</t>
        </is>
      </c>
      <c r="D2104" s="3" t="inlineStr">
        <is>
          <t>2000/030</t>
        </is>
      </c>
      <c r="E2104" s="3" t="inlineStr">
        <is>
          <t>COS - Commission Heron Fields investors</t>
        </is>
      </c>
      <c r="F2104" s="3" t="n">
        <v>0</v>
      </c>
      <c r="G2104" s="3" t="n">
        <v>86956.52</v>
      </c>
    </row>
    <row r="2105">
      <c r="A2105" s="3" t="inlineStr">
        <is>
          <t>Heron Fields (Pty) Ltd</t>
        </is>
      </c>
      <c r="B2105" s="4" t="n">
        <v>44895</v>
      </c>
      <c r="C2105" s="3" t="inlineStr">
        <is>
          <t>Expenses</t>
        </is>
      </c>
      <c r="D2105" s="3" t="inlineStr">
        <is>
          <t>2000/040</t>
        </is>
      </c>
      <c r="E2105" s="3" t="inlineStr">
        <is>
          <t>COS - Legal Fees</t>
        </is>
      </c>
      <c r="F2105" s="3" t="n">
        <v>375272.82</v>
      </c>
      <c r="G2105" s="3" t="n">
        <v>433116.76</v>
      </c>
    </row>
    <row r="2106">
      <c r="A2106" s="3" t="inlineStr">
        <is>
          <t>Heron Fields (Pty) Ltd</t>
        </is>
      </c>
      <c r="B2106" s="4" t="n">
        <v>44895</v>
      </c>
      <c r="C2106" s="3" t="inlineStr">
        <is>
          <t>Expenses</t>
        </is>
      </c>
      <c r="D2106" s="3" t="inlineStr">
        <is>
          <t>2000/050</t>
        </is>
      </c>
      <c r="E2106" s="3" t="inlineStr">
        <is>
          <t>COS - Rates clearance</t>
        </is>
      </c>
      <c r="F2106" s="3" t="n">
        <v>0</v>
      </c>
      <c r="G2106" s="3" t="n">
        <v>9738.91</v>
      </c>
    </row>
    <row r="2107">
      <c r="A2107" s="3" t="inlineStr">
        <is>
          <t>Heron Fields (Pty) Ltd</t>
        </is>
      </c>
      <c r="B2107" s="4" t="n">
        <v>44895</v>
      </c>
      <c r="C2107" s="3" t="inlineStr">
        <is>
          <t>Expenses</t>
        </is>
      </c>
      <c r="D2107" s="3" t="inlineStr">
        <is>
          <t>2000/060</t>
        </is>
      </c>
      <c r="E2107" s="3" t="inlineStr">
        <is>
          <t>COS - Levies</t>
        </is>
      </c>
      <c r="F2107" s="3" t="n">
        <v>27473.64</v>
      </c>
      <c r="G2107" s="3" t="n">
        <v>27473.64</v>
      </c>
    </row>
    <row r="2108">
      <c r="A2108" s="3" t="inlineStr">
        <is>
          <t>Heron Fields (Pty) Ltd</t>
        </is>
      </c>
      <c r="B2108" s="4" t="n">
        <v>44895</v>
      </c>
      <c r="C2108" s="3" t="inlineStr">
        <is>
          <t>Expenses</t>
        </is>
      </c>
      <c r="D2108" s="3" t="inlineStr">
        <is>
          <t>2000/070</t>
        </is>
      </c>
      <c r="E2108" s="3" t="inlineStr">
        <is>
          <t>COS - Commission HF Units</t>
        </is>
      </c>
      <c r="F2108" s="3" t="n">
        <v>123904.35</v>
      </c>
      <c r="G2108" s="3" t="n">
        <v>123904.35</v>
      </c>
    </row>
    <row r="2109">
      <c r="A2109" s="3" t="inlineStr">
        <is>
          <t>Cape Projects Construction (Pty) Ltd</t>
        </is>
      </c>
      <c r="B2109" s="4" t="n">
        <v>44895</v>
      </c>
      <c r="C2109" s="3" t="inlineStr">
        <is>
          <t>Expenses</t>
        </is>
      </c>
      <c r="D2109" s="3" t="inlineStr">
        <is>
          <t>2005/000</t>
        </is>
      </c>
      <c r="E2109" s="3" t="inlineStr">
        <is>
          <t>Cost of Sales</t>
        </is>
      </c>
      <c r="F2109" s="3" t="n">
        <v>0</v>
      </c>
      <c r="G2109" s="3" t="n">
        <v>-762078.59</v>
      </c>
    </row>
    <row r="2110">
      <c r="A2110" s="3" t="inlineStr">
        <is>
          <t>Cape Projects Construction (Pty) Ltd</t>
        </is>
      </c>
      <c r="B2110" s="4" t="n">
        <v>44895</v>
      </c>
      <c r="C2110" s="3" t="inlineStr">
        <is>
          <t>Expenses</t>
        </is>
      </c>
      <c r="D2110" s="3" t="inlineStr">
        <is>
          <t>2005/200</t>
        </is>
      </c>
      <c r="E2110" s="3" t="inlineStr">
        <is>
          <t>COS - External Works</t>
        </is>
      </c>
      <c r="F2110" s="3" t="n">
        <v>0</v>
      </c>
      <c r="G2110" s="3" t="n">
        <v>957.28</v>
      </c>
    </row>
    <row r="2111">
      <c r="A2111" s="3" t="inlineStr">
        <is>
          <t>Cape Projects Construction (Pty) Ltd</t>
        </is>
      </c>
      <c r="B2111" s="4" t="n">
        <v>44895</v>
      </c>
      <c r="C2111" s="3" t="inlineStr">
        <is>
          <t>Expenses</t>
        </is>
      </c>
      <c r="D2111" s="3" t="inlineStr">
        <is>
          <t>2006/000</t>
        </is>
      </c>
      <c r="E2111" s="3" t="inlineStr">
        <is>
          <t>COS - Endulini Construction</t>
        </is>
      </c>
      <c r="F2111" s="3" t="n">
        <v>69498.75</v>
      </c>
      <c r="G2111" s="3" t="n">
        <v>16386459.52</v>
      </c>
    </row>
    <row r="2112">
      <c r="A2112" s="3" t="inlineStr">
        <is>
          <t>Cape Projects Construction (Pty) Ltd</t>
        </is>
      </c>
      <c r="B2112" s="4" t="n">
        <v>44895</v>
      </c>
      <c r="C2112" s="3" t="inlineStr">
        <is>
          <t>Expenses</t>
        </is>
      </c>
      <c r="D2112" s="3" t="inlineStr">
        <is>
          <t>2006/100</t>
        </is>
      </c>
      <c r="E2112" s="3" t="inlineStr">
        <is>
          <t>COS - Endulini P and G</t>
        </is>
      </c>
      <c r="F2112" s="3" t="n">
        <v>62857.36</v>
      </c>
      <c r="G2112" s="3" t="n">
        <v>951744.35</v>
      </c>
    </row>
    <row r="2113">
      <c r="A2113" s="3" t="inlineStr">
        <is>
          <t>Cape Projects Construction (Pty) Ltd</t>
        </is>
      </c>
      <c r="B2113" s="4" t="n">
        <v>44895</v>
      </c>
      <c r="C2113" s="3" t="inlineStr">
        <is>
          <t>Expenses</t>
        </is>
      </c>
      <c r="D2113" s="3" t="inlineStr">
        <is>
          <t>2006/200</t>
        </is>
      </c>
      <c r="E2113" s="3" t="inlineStr">
        <is>
          <t>COS - Insurance</t>
        </is>
      </c>
      <c r="F2113" s="3" t="n">
        <v>2719.44</v>
      </c>
      <c r="G2113" s="3" t="n">
        <v>37450.69</v>
      </c>
    </row>
    <row r="2114">
      <c r="A2114" s="3" t="inlineStr">
        <is>
          <t>Cape Projects Construction (Pty) Ltd</t>
        </is>
      </c>
      <c r="B2114" s="4" t="n">
        <v>44895</v>
      </c>
      <c r="C2114" s="3" t="inlineStr">
        <is>
          <t>Expenses</t>
        </is>
      </c>
      <c r="D2114" s="3" t="inlineStr">
        <is>
          <t>2006/300</t>
        </is>
      </c>
      <c r="E2114" s="3" t="inlineStr">
        <is>
          <t>COS - Endulini - Printing &amp; Stationary</t>
        </is>
      </c>
      <c r="F2114" s="3" t="n">
        <v>0</v>
      </c>
      <c r="G2114" s="3" t="n">
        <v>269.65</v>
      </c>
    </row>
    <row r="2115">
      <c r="A2115" s="3" t="inlineStr">
        <is>
          <t>Cape Projects Construction (Pty) Ltd</t>
        </is>
      </c>
      <c r="B2115" s="4" t="n">
        <v>44895</v>
      </c>
      <c r="C2115" s="3" t="inlineStr">
        <is>
          <t>Expenses</t>
        </is>
      </c>
      <c r="D2115" s="3" t="inlineStr">
        <is>
          <t>2006/350</t>
        </is>
      </c>
      <c r="E2115" s="3" t="inlineStr">
        <is>
          <t>COS - Endulini - Security</t>
        </is>
      </c>
      <c r="F2115" s="3" t="n">
        <v>0</v>
      </c>
      <c r="G2115" s="3" t="n">
        <v>11000</v>
      </c>
    </row>
    <row r="2116">
      <c r="A2116" s="3" t="inlineStr">
        <is>
          <t>Cape Projects Construction (Pty) Ltd</t>
        </is>
      </c>
      <c r="B2116" s="4" t="n">
        <v>44895</v>
      </c>
      <c r="C2116" s="3" t="inlineStr">
        <is>
          <t>Expenses</t>
        </is>
      </c>
      <c r="D2116" s="3" t="inlineStr">
        <is>
          <t>2006/400</t>
        </is>
      </c>
      <c r="E2116" s="3" t="inlineStr">
        <is>
          <t>COS - Endulini - Health &amp; Safety</t>
        </is>
      </c>
      <c r="F2116" s="3" t="n">
        <v>0</v>
      </c>
      <c r="G2116" s="3" t="n">
        <v>19600</v>
      </c>
    </row>
    <row r="2117">
      <c r="A2117" s="3" t="inlineStr">
        <is>
          <t>Cape Projects Construction (Pty) Ltd</t>
        </is>
      </c>
      <c r="B2117" s="4" t="n">
        <v>44895</v>
      </c>
      <c r="C2117" s="3" t="inlineStr">
        <is>
          <t>Expenses</t>
        </is>
      </c>
      <c r="D2117" s="3" t="inlineStr">
        <is>
          <t>2006/700</t>
        </is>
      </c>
      <c r="E2117" s="3" t="inlineStr">
        <is>
          <t>COS - Endulini - Fuel</t>
        </is>
      </c>
      <c r="F2117" s="3" t="n">
        <v>0</v>
      </c>
      <c r="G2117" s="3" t="n">
        <v>2473.65</v>
      </c>
    </row>
    <row r="2118">
      <c r="A2118" s="3" t="inlineStr">
        <is>
          <t>Cape Projects Construction (Pty) Ltd</t>
        </is>
      </c>
      <c r="B2118" s="4" t="n">
        <v>44895</v>
      </c>
      <c r="C2118" s="3" t="inlineStr">
        <is>
          <t>Expenses</t>
        </is>
      </c>
      <c r="D2118" s="3" t="inlineStr">
        <is>
          <t>2006/800</t>
        </is>
      </c>
      <c r="E2118" s="3" t="inlineStr">
        <is>
          <t>COS - Endulini - Telephone &amp; Internet</t>
        </is>
      </c>
      <c r="F2118" s="3" t="n">
        <v>0</v>
      </c>
      <c r="G2118" s="3" t="n">
        <v>937.39</v>
      </c>
    </row>
    <row r="2119">
      <c r="A2119" s="3" t="inlineStr">
        <is>
          <t>Cape Projects Construction (Pty) Ltd</t>
        </is>
      </c>
      <c r="B2119" s="4" t="n">
        <v>44895</v>
      </c>
      <c r="C2119" s="3" t="inlineStr">
        <is>
          <t>Expenses</t>
        </is>
      </c>
      <c r="D2119" s="3" t="inlineStr">
        <is>
          <t>2007/000</t>
        </is>
      </c>
      <c r="E2119" s="3" t="inlineStr">
        <is>
          <t>COS - Repairs &amp; Maintenance - SW Southwark</t>
        </is>
      </c>
      <c r="F2119" s="3" t="n">
        <v>0</v>
      </c>
      <c r="G2119" s="3" t="n">
        <v>4661.74</v>
      </c>
    </row>
    <row r="2120">
      <c r="A2120" s="3" t="inlineStr">
        <is>
          <t>Cape Projects Construction (Pty) Ltd</t>
        </is>
      </c>
      <c r="B2120" s="4" t="n">
        <v>44895</v>
      </c>
      <c r="C2120" s="3" t="inlineStr">
        <is>
          <t>Expenses</t>
        </is>
      </c>
      <c r="D2120" s="3" t="inlineStr">
        <is>
          <t>2011/300</t>
        </is>
      </c>
      <c r="E2120" s="3" t="inlineStr">
        <is>
          <t>COS - Heron Fields - Printing &amp; Stationary</t>
        </is>
      </c>
      <c r="F2120" s="3" t="n">
        <v>0</v>
      </c>
      <c r="G2120" s="3" t="n">
        <v>2952.7</v>
      </c>
    </row>
    <row r="2121">
      <c r="A2121" s="3" t="inlineStr">
        <is>
          <t>Cape Projects Construction (Pty) Ltd</t>
        </is>
      </c>
      <c r="B2121" s="4" t="n">
        <v>44895</v>
      </c>
      <c r="C2121" s="3" t="inlineStr">
        <is>
          <t>Expenses</t>
        </is>
      </c>
      <c r="D2121" s="3" t="inlineStr">
        <is>
          <t>2011/500</t>
        </is>
      </c>
      <c r="E2121" s="3" t="inlineStr">
        <is>
          <t>COS - Heron Fields - Construction</t>
        </is>
      </c>
      <c r="F2121" s="3" t="n">
        <v>2296557.57</v>
      </c>
      <c r="G2121" s="3" t="n">
        <v>27773747.31</v>
      </c>
    </row>
    <row r="2122">
      <c r="A2122" s="3" t="inlineStr">
        <is>
          <t>Cape Projects Construction (Pty) Ltd</t>
        </is>
      </c>
      <c r="B2122" s="4" t="n">
        <v>44895</v>
      </c>
      <c r="C2122" s="3" t="inlineStr">
        <is>
          <t>Expenses</t>
        </is>
      </c>
      <c r="D2122" s="3" t="inlineStr">
        <is>
          <t>2011/600</t>
        </is>
      </c>
      <c r="E2122" s="3" t="inlineStr">
        <is>
          <t>COS - Heron Fields - P &amp; G</t>
        </is>
      </c>
      <c r="F2122" s="3" t="n">
        <v>274149.5</v>
      </c>
      <c r="G2122" s="3" t="n">
        <v>2359788.94</v>
      </c>
    </row>
    <row r="2123">
      <c r="A2123" s="3" t="inlineStr">
        <is>
          <t>Cape Projects Construction (Pty) Ltd</t>
        </is>
      </c>
      <c r="B2123" s="4" t="n">
        <v>44895</v>
      </c>
      <c r="C2123" s="3" t="inlineStr">
        <is>
          <t>Expenses</t>
        </is>
      </c>
      <c r="D2123" s="3" t="inlineStr">
        <is>
          <t>2011/700</t>
        </is>
      </c>
      <c r="E2123" s="3" t="inlineStr">
        <is>
          <t>COS - Heron Fields - Health &amp; Safety</t>
        </is>
      </c>
      <c r="F2123" s="3" t="n">
        <v>0</v>
      </c>
      <c r="G2123" s="3" t="n">
        <v>22286.3</v>
      </c>
    </row>
    <row r="2124">
      <c r="A2124" s="3" t="inlineStr">
        <is>
          <t>Cape Projects Construction (Pty) Ltd</t>
        </is>
      </c>
      <c r="B2124" s="4" t="n">
        <v>44895</v>
      </c>
      <c r="C2124" s="3" t="inlineStr">
        <is>
          <t>Expenses</t>
        </is>
      </c>
      <c r="D2124" s="3" t="inlineStr">
        <is>
          <t>2011/900</t>
        </is>
      </c>
      <c r="E2124" s="3" t="inlineStr">
        <is>
          <t>COS - Heron - Internet</t>
        </is>
      </c>
      <c r="F2124" s="3" t="n">
        <v>607.83</v>
      </c>
      <c r="G2124" s="3" t="n">
        <v>5277.79</v>
      </c>
    </row>
    <row r="2125">
      <c r="A2125" s="3" t="inlineStr">
        <is>
          <t>Cape Projects Construction (Pty) Ltd</t>
        </is>
      </c>
      <c r="B2125" s="4" t="n">
        <v>44895</v>
      </c>
      <c r="C2125" s="3" t="inlineStr">
        <is>
          <t>Expenses</t>
        </is>
      </c>
      <c r="D2125" s="3" t="inlineStr">
        <is>
          <t>2011/950</t>
        </is>
      </c>
      <c r="E2125" s="3" t="inlineStr">
        <is>
          <t>COS - Heron Fields - Security</t>
        </is>
      </c>
      <c r="F2125" s="3" t="n">
        <v>0</v>
      </c>
      <c r="G2125" s="3" t="n">
        <v>20565.22</v>
      </c>
    </row>
    <row r="2126">
      <c r="A2126" s="3" t="inlineStr">
        <is>
          <t>Cape Projects Construction (Pty) Ltd</t>
        </is>
      </c>
      <c r="B2126" s="4" t="n">
        <v>44895</v>
      </c>
      <c r="C2126" s="3" t="inlineStr">
        <is>
          <t>Expenses</t>
        </is>
      </c>
      <c r="D2126" s="3" t="inlineStr">
        <is>
          <t>2012/002</t>
        </is>
      </c>
      <c r="E2126" s="3" t="inlineStr">
        <is>
          <t>COS - Heron View - Construction</t>
        </is>
      </c>
      <c r="F2126" s="3" t="n">
        <v>1000578.69</v>
      </c>
      <c r="G2126" s="3" t="n">
        <v>2725233.79</v>
      </c>
    </row>
    <row r="2127">
      <c r="A2127" s="3" t="inlineStr">
        <is>
          <t>Cape Projects Construction (Pty) Ltd</t>
        </is>
      </c>
      <c r="B2127" s="4" t="n">
        <v>44895</v>
      </c>
      <c r="C2127" s="3" t="inlineStr">
        <is>
          <t>Expenses</t>
        </is>
      </c>
      <c r="D2127" s="3" t="inlineStr">
        <is>
          <t>2012/003</t>
        </is>
      </c>
      <c r="E2127" s="3" t="inlineStr">
        <is>
          <t>COS - Heron View - P&amp;G</t>
        </is>
      </c>
      <c r="F2127" s="3" t="n">
        <v>74859.36</v>
      </c>
      <c r="G2127" s="3" t="n">
        <v>185912.79</v>
      </c>
    </row>
    <row r="2128">
      <c r="A2128" s="3" t="inlineStr">
        <is>
          <t>Cape Projects Construction (Pty) Ltd</t>
        </is>
      </c>
      <c r="B2128" s="4" t="n">
        <v>44895</v>
      </c>
      <c r="C2128" s="3" t="inlineStr">
        <is>
          <t>Expenses</t>
        </is>
      </c>
      <c r="D2128" s="3" t="inlineStr">
        <is>
          <t>2013/000</t>
        </is>
      </c>
      <c r="E2128" s="3" t="inlineStr">
        <is>
          <t>COS - Bakhoven</t>
        </is>
      </c>
      <c r="F2128" s="3" t="n">
        <v>32261.99</v>
      </c>
      <c r="G2128" s="3" t="n">
        <v>32261.99</v>
      </c>
    </row>
    <row r="2129">
      <c r="A2129" s="3" t="inlineStr">
        <is>
          <t>Cape Projects Construction (Pty) Ltd</t>
        </is>
      </c>
      <c r="B2129" s="4" t="n">
        <v>44895</v>
      </c>
      <c r="C2129" s="3" t="inlineStr">
        <is>
          <t>Expenses</t>
        </is>
      </c>
      <c r="D2129" s="3" t="inlineStr">
        <is>
          <t>2014/000</t>
        </is>
      </c>
      <c r="E2129" s="3" t="inlineStr">
        <is>
          <t>COS - Heron Projects insurance</t>
        </is>
      </c>
      <c r="F2129" s="3" t="n">
        <v>11169.12</v>
      </c>
      <c r="G2129" s="3" t="n">
        <v>11169.12</v>
      </c>
    </row>
    <row r="2130">
      <c r="A2130" s="3" t="inlineStr">
        <is>
          <t>Cape Projects Construction (Pty) Ltd</t>
        </is>
      </c>
      <c r="B2130" s="4" t="n">
        <v>44895</v>
      </c>
      <c r="C2130" s="3" t="inlineStr">
        <is>
          <t>Revenue</t>
        </is>
      </c>
      <c r="D2130" s="3" t="inlineStr">
        <is>
          <t>2750/000</t>
        </is>
      </c>
      <c r="E2130" s="3" t="inlineStr">
        <is>
          <t>Interest Received - FNB</t>
        </is>
      </c>
      <c r="F2130" s="3" t="n">
        <v>-300.55</v>
      </c>
      <c r="G2130" s="3" t="n">
        <v>-999.4</v>
      </c>
    </row>
    <row r="2131">
      <c r="A2131" s="3" t="inlineStr">
        <is>
          <t>Cape Projects Construction (Pty) Ltd</t>
        </is>
      </c>
      <c r="B2131" s="4" t="n">
        <v>44895</v>
      </c>
      <c r="C2131" s="3" t="inlineStr">
        <is>
          <t>Revenue</t>
        </is>
      </c>
      <c r="D2131" s="3" t="inlineStr">
        <is>
          <t>2751/001</t>
        </is>
      </c>
      <c r="E2131" s="3" t="inlineStr">
        <is>
          <t>Interest received - Momentum</t>
        </is>
      </c>
      <c r="F2131" s="3" t="n">
        <v>0</v>
      </c>
      <c r="G2131" s="3" t="n">
        <v>-18.22</v>
      </c>
    </row>
    <row r="2132">
      <c r="A2132" s="3" t="inlineStr">
        <is>
          <t>Heron Fields (Pty) Ltd</t>
        </is>
      </c>
      <c r="B2132" s="4" t="n">
        <v>44895</v>
      </c>
      <c r="C2132" s="3" t="inlineStr">
        <is>
          <t>Revenue</t>
        </is>
      </c>
      <c r="D2132" s="3" t="inlineStr">
        <is>
          <t>2755/001</t>
        </is>
      </c>
      <c r="E2132" s="3" t="inlineStr">
        <is>
          <t>Interest Received - Momentum</t>
        </is>
      </c>
      <c r="F2132" s="3" t="n">
        <v>-58002.69</v>
      </c>
      <c r="G2132" s="3" t="n">
        <v>-340955.25</v>
      </c>
    </row>
    <row r="2133">
      <c r="A2133" s="3" t="inlineStr">
        <is>
          <t>Heron Fields (Pty) Ltd</t>
        </is>
      </c>
      <c r="B2133" s="4" t="n">
        <v>44895</v>
      </c>
      <c r="C2133" s="3" t="inlineStr">
        <is>
          <t>Expenses</t>
        </is>
      </c>
      <c r="D2133" s="3" t="inlineStr">
        <is>
          <t>3000/100</t>
        </is>
      </c>
      <c r="E2133" s="3" t="inlineStr">
        <is>
          <t>Accounting - CIPC</t>
        </is>
      </c>
      <c r="F2133" s="3" t="n">
        <v>0</v>
      </c>
      <c r="G2133" s="3" t="n">
        <v>150</v>
      </c>
    </row>
    <row r="2134">
      <c r="A2134" s="3" t="inlineStr">
        <is>
          <t>Cape Projects Construction (Pty) Ltd</t>
        </is>
      </c>
      <c r="B2134" s="4" t="n">
        <v>44895</v>
      </c>
      <c r="C2134" s="3" t="inlineStr">
        <is>
          <t>Expenses</t>
        </is>
      </c>
      <c r="D2134" s="3" t="inlineStr">
        <is>
          <t>3002/000</t>
        </is>
      </c>
      <c r="E2134" s="3" t="inlineStr">
        <is>
          <t>Accounting Fees - Audit</t>
        </is>
      </c>
      <c r="F2134" s="3" t="n">
        <v>0</v>
      </c>
      <c r="G2134" s="3" t="n">
        <v>10600</v>
      </c>
    </row>
    <row r="2135">
      <c r="A2135" s="3" t="inlineStr">
        <is>
          <t>Cape Projects Construction (Pty) Ltd</t>
        </is>
      </c>
      <c r="B2135" s="4" t="n">
        <v>44895</v>
      </c>
      <c r="C2135" s="3" t="inlineStr">
        <is>
          <t>Expenses</t>
        </is>
      </c>
      <c r="D2135" s="3" t="inlineStr">
        <is>
          <t>3020/100</t>
        </is>
      </c>
      <c r="E2135" s="3" t="inlineStr">
        <is>
          <t>Admin - Subcontractors</t>
        </is>
      </c>
      <c r="F2135" s="3" t="n">
        <v>0</v>
      </c>
      <c r="G2135" s="3" t="n">
        <v>14139.13</v>
      </c>
    </row>
    <row r="2136">
      <c r="A2136" s="3" t="inlineStr">
        <is>
          <t>Cape Projects Construction (Pty) Ltd</t>
        </is>
      </c>
      <c r="B2136" s="4" t="n">
        <v>44895</v>
      </c>
      <c r="C2136" s="3" t="inlineStr">
        <is>
          <t>Expenses</t>
        </is>
      </c>
      <c r="D2136" s="3" t="inlineStr">
        <is>
          <t>3050/000</t>
        </is>
      </c>
      <c r="E2136" s="3" t="inlineStr">
        <is>
          <t>Advertising _AND_ Promotions</t>
        </is>
      </c>
      <c r="F2136" s="3" t="n">
        <v>2990</v>
      </c>
      <c r="G2136" s="3" t="n">
        <v>3677.5</v>
      </c>
    </row>
    <row r="2137">
      <c r="A2137" s="3" t="inlineStr">
        <is>
          <t>Heron Fields (Pty) Ltd</t>
        </is>
      </c>
      <c r="B2137" s="4" t="n">
        <v>44895</v>
      </c>
      <c r="C2137" s="3" t="inlineStr">
        <is>
          <t>Expenses</t>
        </is>
      </c>
      <c r="D2137" s="3" t="inlineStr">
        <is>
          <t>3050/000</t>
        </is>
      </c>
      <c r="E2137" s="3" t="inlineStr">
        <is>
          <t>Advertising _AND_ Promotions</t>
        </is>
      </c>
      <c r="F2137" s="3" t="n">
        <v>6705</v>
      </c>
      <c r="G2137" s="3" t="n">
        <v>106783.86</v>
      </c>
    </row>
    <row r="2138">
      <c r="A2138" s="3" t="inlineStr">
        <is>
          <t>Heron View (Pty) Ltd</t>
        </is>
      </c>
      <c r="B2138" s="4" t="n">
        <v>44895</v>
      </c>
      <c r="C2138" s="3" t="inlineStr">
        <is>
          <t>Expenses</t>
        </is>
      </c>
      <c r="D2138" s="3" t="inlineStr">
        <is>
          <t>3050/000</t>
        </is>
      </c>
      <c r="E2138" s="3" t="inlineStr">
        <is>
          <t>Advertising _AND_ Promotions</t>
        </is>
      </c>
      <c r="F2138" s="3" t="n">
        <v>7000</v>
      </c>
      <c r="G2138" s="3" t="n">
        <v>9500</v>
      </c>
    </row>
    <row r="2139">
      <c r="A2139" s="3" t="inlineStr">
        <is>
          <t>Heron Fields (Pty) Ltd</t>
        </is>
      </c>
      <c r="B2139" s="4" t="n">
        <v>44895</v>
      </c>
      <c r="C2139" s="3" t="inlineStr">
        <is>
          <t>Expenses</t>
        </is>
      </c>
      <c r="D2139" s="3" t="inlineStr">
        <is>
          <t>3050/100</t>
        </is>
      </c>
      <c r="E2139" s="3" t="inlineStr">
        <is>
          <t>Advertising - Property24</t>
        </is>
      </c>
      <c r="F2139" s="3" t="n">
        <v>11556</v>
      </c>
      <c r="G2139" s="3" t="n">
        <v>104004</v>
      </c>
    </row>
    <row r="2140">
      <c r="A2140" s="3" t="inlineStr">
        <is>
          <t>Cape Projects Construction (Pty) Ltd</t>
        </is>
      </c>
      <c r="B2140" s="4" t="n">
        <v>44895</v>
      </c>
      <c r="C2140" s="3" t="inlineStr">
        <is>
          <t>Expenses</t>
        </is>
      </c>
      <c r="D2140" s="3" t="inlineStr">
        <is>
          <t>3050/450</t>
        </is>
      </c>
      <c r="E2140" s="3" t="inlineStr">
        <is>
          <t>Advertising - Other</t>
        </is>
      </c>
      <c r="F2140" s="3" t="n">
        <v>0</v>
      </c>
      <c r="G2140" s="3" t="n">
        <v>137.5</v>
      </c>
    </row>
    <row r="2141">
      <c r="A2141" s="3" t="inlineStr">
        <is>
          <t>Cape Projects Construction (Pty) Ltd</t>
        </is>
      </c>
      <c r="B2141" s="4" t="n">
        <v>44895</v>
      </c>
      <c r="C2141" s="3" t="inlineStr">
        <is>
          <t>Expenses</t>
        </is>
      </c>
      <c r="D2141" s="3" t="inlineStr">
        <is>
          <t>3200/000</t>
        </is>
      </c>
      <c r="E2141" s="3" t="inlineStr">
        <is>
          <t>Bank Charges</t>
        </is>
      </c>
      <c r="F2141" s="3" t="n">
        <v>18474.81</v>
      </c>
      <c r="G2141" s="3" t="n">
        <v>41295.51</v>
      </c>
    </row>
    <row r="2142">
      <c r="A2142" s="3" t="inlineStr">
        <is>
          <t>Heron Fields (Pty) Ltd</t>
        </is>
      </c>
      <c r="B2142" s="4" t="n">
        <v>44895</v>
      </c>
      <c r="C2142" s="3" t="inlineStr">
        <is>
          <t>Expenses</t>
        </is>
      </c>
      <c r="D2142" s="3" t="inlineStr">
        <is>
          <t>3200/000</t>
        </is>
      </c>
      <c r="E2142" s="3" t="inlineStr">
        <is>
          <t>Bank Charges</t>
        </is>
      </c>
      <c r="F2142" s="3" t="n">
        <v>290.78</v>
      </c>
      <c r="G2142" s="3" t="n">
        <v>6029.35</v>
      </c>
    </row>
    <row r="2143">
      <c r="A2143" s="3" t="inlineStr">
        <is>
          <t>Cape Projects Construction (Pty) Ltd</t>
        </is>
      </c>
      <c r="B2143" s="4" t="n">
        <v>44895</v>
      </c>
      <c r="C2143" s="3" t="inlineStr">
        <is>
          <t>Expenses</t>
        </is>
      </c>
      <c r="D2143" s="3" t="inlineStr">
        <is>
          <t>3250/000</t>
        </is>
      </c>
      <c r="E2143" s="3" t="inlineStr">
        <is>
          <t>Cleaning</t>
        </is>
      </c>
      <c r="F2143" s="3" t="n">
        <v>0</v>
      </c>
      <c r="G2143" s="3" t="n">
        <v>1986.89</v>
      </c>
    </row>
    <row r="2144">
      <c r="A2144" s="3" t="inlineStr">
        <is>
          <t>Cape Projects Construction (Pty) Ltd</t>
        </is>
      </c>
      <c r="B2144" s="4" t="n">
        <v>44895</v>
      </c>
      <c r="C2144" s="3" t="inlineStr">
        <is>
          <t>Expenses</t>
        </is>
      </c>
      <c r="D2144" s="3" t="inlineStr">
        <is>
          <t>3256/000</t>
        </is>
      </c>
      <c r="E2144" s="3" t="inlineStr">
        <is>
          <t>Cell Phone - Nick Morgan</t>
        </is>
      </c>
      <c r="F2144" s="3" t="n">
        <v>811.48</v>
      </c>
      <c r="G2144" s="3" t="n">
        <v>6187.88</v>
      </c>
    </row>
    <row r="2145">
      <c r="A2145" s="3" t="inlineStr">
        <is>
          <t>Cape Projects Construction (Pty) Ltd</t>
        </is>
      </c>
      <c r="B2145" s="4" t="n">
        <v>44895</v>
      </c>
      <c r="C2145" s="3" t="inlineStr">
        <is>
          <t>Expenses</t>
        </is>
      </c>
      <c r="D2145" s="3" t="inlineStr">
        <is>
          <t>3300/000</t>
        </is>
      </c>
      <c r="E2145" s="3" t="inlineStr">
        <is>
          <t>Computer Expenses</t>
        </is>
      </c>
      <c r="F2145" s="3" t="n">
        <v>584.35</v>
      </c>
      <c r="G2145" s="3" t="n">
        <v>4848.56</v>
      </c>
    </row>
    <row r="2146">
      <c r="A2146" s="3" t="inlineStr">
        <is>
          <t>Cape Projects Construction (Pty) Ltd</t>
        </is>
      </c>
      <c r="B2146" s="4" t="n">
        <v>44895</v>
      </c>
      <c r="C2146" s="3" t="inlineStr">
        <is>
          <t>Expenses</t>
        </is>
      </c>
      <c r="D2146" s="3" t="inlineStr">
        <is>
          <t>3300/100</t>
        </is>
      </c>
      <c r="E2146" s="3" t="inlineStr">
        <is>
          <t>Computer Exp - IT, Internet/Hosting Fee</t>
        </is>
      </c>
      <c r="F2146" s="3" t="n">
        <v>3480</v>
      </c>
      <c r="G2146" s="3" t="n">
        <v>35449</v>
      </c>
    </row>
    <row r="2147">
      <c r="A2147" s="3" t="inlineStr">
        <is>
          <t>Heron Fields (Pty) Ltd</t>
        </is>
      </c>
      <c r="B2147" s="4" t="n">
        <v>44895</v>
      </c>
      <c r="C2147" s="3" t="inlineStr">
        <is>
          <t>Expenses</t>
        </is>
      </c>
      <c r="D2147" s="3" t="inlineStr">
        <is>
          <t>3350/100</t>
        </is>
      </c>
      <c r="E2147" s="3" t="inlineStr">
        <is>
          <t>Consulting Fees - Admin and Finance</t>
        </is>
      </c>
      <c r="F2147" s="3" t="n">
        <v>81000</v>
      </c>
      <c r="G2147" s="3" t="n">
        <v>751540.6800000001</v>
      </c>
    </row>
    <row r="2148">
      <c r="A2148" s="3" t="inlineStr">
        <is>
          <t>Cape Projects Construction (Pty) Ltd</t>
        </is>
      </c>
      <c r="B2148" s="4" t="n">
        <v>44895</v>
      </c>
      <c r="C2148" s="3" t="inlineStr">
        <is>
          <t>Expenses</t>
        </is>
      </c>
      <c r="D2148" s="3" t="inlineStr">
        <is>
          <t>3350/100</t>
        </is>
      </c>
      <c r="E2148" s="3" t="inlineStr">
        <is>
          <t>Consulting fees - Herbert du Plessis</t>
        </is>
      </c>
      <c r="F2148" s="3" t="n">
        <v>30572.45</v>
      </c>
      <c r="G2148" s="3" t="n">
        <v>318572.45</v>
      </c>
    </row>
    <row r="2149">
      <c r="A2149" s="3" t="inlineStr">
        <is>
          <t>Cape Projects Construction (Pty) Ltd</t>
        </is>
      </c>
      <c r="B2149" s="4" t="n">
        <v>44895</v>
      </c>
      <c r="C2149" s="3" t="inlineStr">
        <is>
          <t>Expenses</t>
        </is>
      </c>
      <c r="D2149" s="3" t="inlineStr">
        <is>
          <t>3350/300</t>
        </is>
      </c>
      <c r="E2149" s="3" t="inlineStr">
        <is>
          <t>Consulting Fees - Admin and Finance</t>
        </is>
      </c>
      <c r="F2149" s="3" t="n">
        <v>124600</v>
      </c>
      <c r="G2149" s="3" t="n">
        <v>1128221.87</v>
      </c>
    </row>
    <row r="2150">
      <c r="A2150" s="3" t="inlineStr">
        <is>
          <t>Heron Fields (Pty) Ltd</t>
        </is>
      </c>
      <c r="B2150" s="4" t="n">
        <v>44895</v>
      </c>
      <c r="C2150" s="3" t="inlineStr">
        <is>
          <t>Expenses</t>
        </is>
      </c>
      <c r="D2150" s="3" t="inlineStr">
        <is>
          <t>3351/000</t>
        </is>
      </c>
      <c r="E2150" s="3" t="inlineStr">
        <is>
          <t>Consulting fees - Trustee</t>
        </is>
      </c>
      <c r="F2150" s="3" t="n">
        <v>4000</v>
      </c>
      <c r="G2150" s="3" t="n">
        <v>56000</v>
      </c>
    </row>
    <row r="2151">
      <c r="A2151" s="3" t="inlineStr">
        <is>
          <t>Cape Projects Construction (Pty) Ltd</t>
        </is>
      </c>
      <c r="B2151" s="4" t="n">
        <v>44895</v>
      </c>
      <c r="C2151" s="3" t="inlineStr">
        <is>
          <t>Expenses</t>
        </is>
      </c>
      <c r="D2151" s="3" t="inlineStr">
        <is>
          <t>3400/000</t>
        </is>
      </c>
      <c r="E2151" s="3" t="inlineStr">
        <is>
          <t>Courier _AND_ Postage</t>
        </is>
      </c>
      <c r="F2151" s="3" t="n">
        <v>1217.39</v>
      </c>
      <c r="G2151" s="3" t="n">
        <v>1378.26</v>
      </c>
    </row>
    <row r="2152">
      <c r="A2152" s="3" t="inlineStr">
        <is>
          <t>Cape Projects Construction (Pty) Ltd</t>
        </is>
      </c>
      <c r="B2152" s="4" t="n">
        <v>44895</v>
      </c>
      <c r="C2152" s="3" t="inlineStr">
        <is>
          <t>Expenses</t>
        </is>
      </c>
      <c r="D2152" s="3" t="inlineStr">
        <is>
          <t>3450/001</t>
        </is>
      </c>
      <c r="E2152" s="3" t="inlineStr">
        <is>
          <t>Depreciation - Computer Equipment</t>
        </is>
      </c>
      <c r="F2152" s="3" t="n">
        <v>2165.84</v>
      </c>
      <c r="G2152" s="3" t="n">
        <v>17284.38</v>
      </c>
    </row>
    <row r="2153">
      <c r="A2153" s="3" t="inlineStr">
        <is>
          <t>Cape Projects Construction (Pty) Ltd</t>
        </is>
      </c>
      <c r="B2153" s="4" t="n">
        <v>44895</v>
      </c>
      <c r="C2153" s="3" t="inlineStr">
        <is>
          <t>Expenses</t>
        </is>
      </c>
      <c r="D2153" s="3" t="inlineStr">
        <is>
          <t>3450/002</t>
        </is>
      </c>
      <c r="E2153" s="3" t="inlineStr">
        <is>
          <t>Depreciation - Generator Fixed Asset</t>
        </is>
      </c>
      <c r="F2153" s="3" t="n">
        <v>193.33</v>
      </c>
      <c r="G2153" s="3" t="n">
        <v>1740</v>
      </c>
    </row>
    <row r="2154">
      <c r="A2154" s="3" t="inlineStr">
        <is>
          <t>Cape Projects Construction (Pty) Ltd</t>
        </is>
      </c>
      <c r="B2154" s="4" t="n">
        <v>44895</v>
      </c>
      <c r="C2154" s="3" t="inlineStr">
        <is>
          <t>Expenses</t>
        </is>
      </c>
      <c r="D2154" s="3" t="inlineStr">
        <is>
          <t>3450/003</t>
        </is>
      </c>
      <c r="E2154" s="3" t="inlineStr">
        <is>
          <t>Depreciation - Motor vehicle</t>
        </is>
      </c>
      <c r="F2154" s="3" t="n">
        <v>0</v>
      </c>
      <c r="G2154" s="3" t="n">
        <v>39610.1</v>
      </c>
    </row>
    <row r="2155">
      <c r="A2155" s="3" t="inlineStr">
        <is>
          <t>Cape Projects Construction (Pty) Ltd</t>
        </is>
      </c>
      <c r="B2155" s="4" t="n">
        <v>44895</v>
      </c>
      <c r="C2155" s="3" t="inlineStr">
        <is>
          <t>Expenses</t>
        </is>
      </c>
      <c r="D2155" s="3" t="inlineStr">
        <is>
          <t>3450/030</t>
        </is>
      </c>
      <c r="E2155" s="3" t="inlineStr">
        <is>
          <t>Depreciation - Furniture and Fittings</t>
        </is>
      </c>
      <c r="F2155" s="3" t="n">
        <v>427.2</v>
      </c>
      <c r="G2155" s="3" t="n">
        <v>3844.85</v>
      </c>
    </row>
    <row r="2156">
      <c r="A2156" s="3" t="inlineStr">
        <is>
          <t>Heron Fields (Pty) Ltd</t>
        </is>
      </c>
      <c r="B2156" s="4" t="n">
        <v>44895</v>
      </c>
      <c r="C2156" s="3" t="inlineStr">
        <is>
          <t>Expenses</t>
        </is>
      </c>
      <c r="D2156" s="3" t="inlineStr">
        <is>
          <t>3650/000</t>
        </is>
      </c>
      <c r="E2156" s="3" t="inlineStr">
        <is>
          <t>CoCT - Electricity</t>
        </is>
      </c>
      <c r="F2156" s="3" t="n">
        <v>3070.69</v>
      </c>
      <c r="G2156" s="3" t="n">
        <v>26707.66</v>
      </c>
    </row>
    <row r="2157">
      <c r="A2157" s="3" t="inlineStr">
        <is>
          <t>Cape Projects Construction (Pty) Ltd</t>
        </is>
      </c>
      <c r="B2157" s="4" t="n">
        <v>44895</v>
      </c>
      <c r="C2157" s="3" t="inlineStr">
        <is>
          <t>Expenses</t>
        </is>
      </c>
      <c r="D2157" s="3" t="inlineStr">
        <is>
          <t>3650/000</t>
        </is>
      </c>
      <c r="E2157" s="3" t="inlineStr">
        <is>
          <t>Electricity _AND_ Water</t>
        </is>
      </c>
      <c r="F2157" s="3" t="n">
        <v>5605.63</v>
      </c>
      <c r="G2157" s="3" t="n">
        <v>44853.61</v>
      </c>
    </row>
    <row r="2158">
      <c r="A2158" s="3" t="inlineStr">
        <is>
          <t>Heron Fields (Pty) Ltd</t>
        </is>
      </c>
      <c r="B2158" s="4" t="n">
        <v>44895</v>
      </c>
      <c r="C2158" s="3" t="inlineStr">
        <is>
          <t>Expenses</t>
        </is>
      </c>
      <c r="D2158" s="3" t="inlineStr">
        <is>
          <t>3660/000</t>
        </is>
      </c>
      <c r="E2158" s="3" t="inlineStr">
        <is>
          <t>CoCT - Water</t>
        </is>
      </c>
      <c r="F2158" s="3" t="n">
        <v>8627.120000000001</v>
      </c>
      <c r="G2158" s="3" t="n">
        <v>51881.47</v>
      </c>
    </row>
    <row r="2159">
      <c r="A2159" s="3" t="inlineStr">
        <is>
          <t>Heron Fields (Pty) Ltd</t>
        </is>
      </c>
      <c r="B2159" s="4" t="n">
        <v>44895</v>
      </c>
      <c r="C2159" s="3" t="inlineStr">
        <is>
          <t>Expenses</t>
        </is>
      </c>
      <c r="D2159" s="3" t="inlineStr">
        <is>
          <t>3670/000</t>
        </is>
      </c>
      <c r="E2159" s="3" t="inlineStr">
        <is>
          <t>CoCT - Refuse</t>
        </is>
      </c>
      <c r="F2159" s="3" t="n">
        <v>3563.4</v>
      </c>
      <c r="G2159" s="3" t="n">
        <v>3563.4</v>
      </c>
    </row>
    <row r="2160">
      <c r="A2160" s="3" t="inlineStr">
        <is>
          <t>Cape Projects Construction (Pty) Ltd</t>
        </is>
      </c>
      <c r="B2160" s="4" t="n">
        <v>44895</v>
      </c>
      <c r="C2160" s="3" t="inlineStr">
        <is>
          <t>Expenses</t>
        </is>
      </c>
      <c r="D2160" s="3" t="inlineStr">
        <is>
          <t>3700/000</t>
        </is>
      </c>
      <c r="E2160" s="3" t="inlineStr">
        <is>
          <t>Entertainment Expenses</t>
        </is>
      </c>
      <c r="F2160" s="3" t="n">
        <v>0</v>
      </c>
      <c r="G2160" s="3" t="n">
        <v>7651.52</v>
      </c>
    </row>
    <row r="2161">
      <c r="A2161" s="3" t="inlineStr">
        <is>
          <t>Cape Projects Construction (Pty) Ltd</t>
        </is>
      </c>
      <c r="B2161" s="4" t="n">
        <v>44895</v>
      </c>
      <c r="C2161" s="3" t="inlineStr">
        <is>
          <t>Expenses</t>
        </is>
      </c>
      <c r="D2161" s="3" t="inlineStr">
        <is>
          <t>3850/000</t>
        </is>
      </c>
      <c r="E2161" s="3" t="inlineStr">
        <is>
          <t>Insurance</t>
        </is>
      </c>
      <c r="F2161" s="3" t="n">
        <v>273.21</v>
      </c>
      <c r="G2161" s="3" t="n">
        <v>819.63</v>
      </c>
    </row>
    <row r="2162">
      <c r="A2162" s="3" t="inlineStr">
        <is>
          <t>Heron Fields (Pty) Ltd</t>
        </is>
      </c>
      <c r="B2162" s="4" t="n">
        <v>44895</v>
      </c>
      <c r="C2162" s="3" t="inlineStr">
        <is>
          <t>Expenses</t>
        </is>
      </c>
      <c r="D2162" s="3" t="inlineStr">
        <is>
          <t>3850/000</t>
        </is>
      </c>
      <c r="E2162" s="3" t="inlineStr">
        <is>
          <t>Insurance</t>
        </is>
      </c>
      <c r="F2162" s="3" t="n">
        <v>4092.56</v>
      </c>
      <c r="G2162" s="3" t="n">
        <v>8234.860000000001</v>
      </c>
    </row>
    <row r="2163">
      <c r="A2163" s="3" t="inlineStr">
        <is>
          <t>Cape Projects Construction (Pty) Ltd</t>
        </is>
      </c>
      <c r="B2163" s="4" t="n">
        <v>44895</v>
      </c>
      <c r="C2163" s="3" t="inlineStr">
        <is>
          <t>Expenses</t>
        </is>
      </c>
      <c r="D2163" s="3" t="inlineStr">
        <is>
          <t>3850/001</t>
        </is>
      </c>
      <c r="E2163" s="3" t="inlineStr">
        <is>
          <t>Insurance - Santam</t>
        </is>
      </c>
      <c r="F2163" s="3" t="n">
        <v>1474.21</v>
      </c>
      <c r="G2163" s="3" t="n">
        <v>10957.97</v>
      </c>
    </row>
    <row r="2164">
      <c r="A2164" s="3" t="inlineStr">
        <is>
          <t>Cape Projects Construction (Pty) Ltd</t>
        </is>
      </c>
      <c r="B2164" s="4" t="n">
        <v>44895</v>
      </c>
      <c r="C2164" s="3" t="inlineStr">
        <is>
          <t>Expenses</t>
        </is>
      </c>
      <c r="D2164" s="3" t="inlineStr">
        <is>
          <t>3850/002</t>
        </is>
      </c>
      <c r="E2164" s="3" t="inlineStr">
        <is>
          <t>Insurance - RBS</t>
        </is>
      </c>
      <c r="F2164" s="3" t="n">
        <v>0</v>
      </c>
      <c r="G2164" s="3" t="n">
        <v>1425.42</v>
      </c>
    </row>
    <row r="2165">
      <c r="A2165" s="3" t="inlineStr">
        <is>
          <t>Heron Fields (Pty) Ltd</t>
        </is>
      </c>
      <c r="B2165" s="4" t="n">
        <v>44895</v>
      </c>
      <c r="C2165" s="3" t="inlineStr">
        <is>
          <t>Expenses</t>
        </is>
      </c>
      <c r="D2165" s="3" t="inlineStr">
        <is>
          <t>3900/000</t>
        </is>
      </c>
      <c r="E2165" s="3" t="inlineStr">
        <is>
          <t>Interest Paid</t>
        </is>
      </c>
      <c r="F2165" s="3" t="n">
        <v>0</v>
      </c>
      <c r="G2165" s="3" t="n">
        <v>588.4400000000001</v>
      </c>
    </row>
    <row r="2166">
      <c r="A2166" s="3" t="inlineStr">
        <is>
          <t>Heron Fields (Pty) Ltd</t>
        </is>
      </c>
      <c r="B2166" s="4" t="n">
        <v>44895</v>
      </c>
      <c r="C2166" s="3" t="inlineStr">
        <is>
          <t>Expenses</t>
        </is>
      </c>
      <c r="D2166" s="3" t="inlineStr">
        <is>
          <t>3900/111</t>
        </is>
      </c>
      <c r="E2166" s="3" t="inlineStr">
        <is>
          <t>Interest Paid - Investors @ 6.25%</t>
        </is>
      </c>
      <c r="F2166" s="3" t="n">
        <v>218305.31</v>
      </c>
      <c r="G2166" s="3" t="n">
        <v>218305.31</v>
      </c>
    </row>
    <row r="2167">
      <c r="A2167" s="3" t="inlineStr">
        <is>
          <t>Heron Fields (Pty) Ltd</t>
        </is>
      </c>
      <c r="B2167" s="4" t="n">
        <v>44895</v>
      </c>
      <c r="C2167" s="3" t="inlineStr">
        <is>
          <t>Expenses</t>
        </is>
      </c>
      <c r="D2167" s="3" t="inlineStr">
        <is>
          <t>3900/115</t>
        </is>
      </c>
      <c r="E2167" s="3" t="inlineStr">
        <is>
          <t>Interest Paid - Investors @ 6.5%</t>
        </is>
      </c>
      <c r="F2167" s="3" t="n">
        <v>29312.34</v>
      </c>
      <c r="G2167" s="3" t="n">
        <v>29312.34</v>
      </c>
    </row>
    <row r="2168">
      <c r="A2168" s="3" t="inlineStr">
        <is>
          <t>Heron Fields (Pty) Ltd</t>
        </is>
      </c>
      <c r="B2168" s="4" t="n">
        <v>44895</v>
      </c>
      <c r="C2168" s="3" t="inlineStr">
        <is>
          <t>Expenses</t>
        </is>
      </c>
      <c r="D2168" s="3" t="inlineStr">
        <is>
          <t>3900/117</t>
        </is>
      </c>
      <c r="E2168" s="3" t="inlineStr">
        <is>
          <t>Interest Paid - Investors @ 6.75%</t>
        </is>
      </c>
      <c r="F2168" s="3" t="n">
        <v>560.97</v>
      </c>
      <c r="G2168" s="3" t="n">
        <v>560.97</v>
      </c>
    </row>
    <row r="2169">
      <c r="A2169" s="3" t="inlineStr">
        <is>
          <t>Heron Fields (Pty) Ltd</t>
        </is>
      </c>
      <c r="B2169" s="4" t="n">
        <v>44895</v>
      </c>
      <c r="C2169" s="3" t="inlineStr">
        <is>
          <t>Expenses</t>
        </is>
      </c>
      <c r="D2169" s="3" t="inlineStr">
        <is>
          <t>3900/190</t>
        </is>
      </c>
      <c r="E2169" s="3" t="inlineStr">
        <is>
          <t>Interest Paid - Investors @ 14%</t>
        </is>
      </c>
      <c r="F2169" s="3" t="n">
        <v>10317.81</v>
      </c>
      <c r="G2169" s="3" t="n">
        <v>10317.81</v>
      </c>
    </row>
    <row r="2170">
      <c r="A2170" s="3" t="inlineStr">
        <is>
          <t>Heron Fields (Pty) Ltd</t>
        </is>
      </c>
      <c r="B2170" s="4" t="n">
        <v>44895</v>
      </c>
      <c r="C2170" s="3" t="inlineStr">
        <is>
          <t>Expenses</t>
        </is>
      </c>
      <c r="D2170" s="3" t="inlineStr">
        <is>
          <t>3900/200</t>
        </is>
      </c>
      <c r="E2170" s="3" t="inlineStr">
        <is>
          <t>Interest Paid - Investors @ 15%</t>
        </is>
      </c>
      <c r="F2170" s="3" t="n">
        <v>376726.01</v>
      </c>
      <c r="G2170" s="3" t="n">
        <v>376726.01</v>
      </c>
    </row>
    <row r="2171">
      <c r="A2171" s="3" t="inlineStr">
        <is>
          <t>Heron Fields (Pty) Ltd</t>
        </is>
      </c>
      <c r="B2171" s="4" t="n">
        <v>44895</v>
      </c>
      <c r="C2171" s="3" t="inlineStr">
        <is>
          <t>Expenses</t>
        </is>
      </c>
      <c r="D2171" s="3" t="inlineStr">
        <is>
          <t>3900/230</t>
        </is>
      </c>
      <c r="E2171" s="3" t="inlineStr">
        <is>
          <t>Interest Paid - Investors @ 18%</t>
        </is>
      </c>
      <c r="F2171" s="3" t="n">
        <v>2035109.56</v>
      </c>
      <c r="G2171" s="3" t="n">
        <v>2035109.56</v>
      </c>
    </row>
    <row r="2172">
      <c r="A2172" s="3" t="inlineStr">
        <is>
          <t>Cape Projects Construction (Pty) Ltd</t>
        </is>
      </c>
      <c r="B2172" s="4" t="n">
        <v>44895</v>
      </c>
      <c r="C2172" s="3" t="inlineStr">
        <is>
          <t>Expenses</t>
        </is>
      </c>
      <c r="D2172" s="3" t="inlineStr">
        <is>
          <t>3904/000</t>
        </is>
      </c>
      <c r="E2172" s="3" t="inlineStr">
        <is>
          <t>Interest Paid - BIBC</t>
        </is>
      </c>
      <c r="F2172" s="3" t="n">
        <v>360.82</v>
      </c>
      <c r="G2172" s="3" t="n">
        <v>1209.87</v>
      </c>
    </row>
    <row r="2173">
      <c r="A2173" s="3" t="inlineStr">
        <is>
          <t>Heron Fields (Pty) Ltd</t>
        </is>
      </c>
      <c r="B2173" s="4" t="n">
        <v>44895</v>
      </c>
      <c r="C2173" s="3" t="inlineStr">
        <is>
          <t>Expenses</t>
        </is>
      </c>
      <c r="D2173" s="3" t="inlineStr">
        <is>
          <t>4070/000</t>
        </is>
      </c>
      <c r="E2173" s="3" t="inlineStr">
        <is>
          <t>Management fees - OMH</t>
        </is>
      </c>
      <c r="F2173" s="3" t="n">
        <v>0</v>
      </c>
      <c r="G2173" s="3" t="n">
        <v>400000</v>
      </c>
    </row>
    <row r="2174">
      <c r="A2174" s="3" t="inlineStr">
        <is>
          <t>Heron Fields (Pty) Ltd</t>
        </is>
      </c>
      <c r="B2174" s="4" t="n">
        <v>44895</v>
      </c>
      <c r="C2174" s="3" t="inlineStr">
        <is>
          <t>Expenses</t>
        </is>
      </c>
      <c r="D2174" s="3" t="inlineStr">
        <is>
          <t>4100/001</t>
        </is>
      </c>
      <c r="E2174" s="3" t="inlineStr">
        <is>
          <t>Momentum Admin Fee</t>
        </is>
      </c>
      <c r="F2174" s="3" t="n">
        <v>3173.36</v>
      </c>
      <c r="G2174" s="3" t="n">
        <v>243102.26</v>
      </c>
    </row>
    <row r="2175">
      <c r="A2175" s="3" t="inlineStr">
        <is>
          <t>Cape Projects Construction (Pty) Ltd</t>
        </is>
      </c>
      <c r="B2175" s="4" t="n">
        <v>44895</v>
      </c>
      <c r="C2175" s="3" t="inlineStr">
        <is>
          <t>Expenses</t>
        </is>
      </c>
      <c r="D2175" s="3" t="inlineStr">
        <is>
          <t>4150/020</t>
        </is>
      </c>
      <c r="E2175" s="3" t="inlineStr">
        <is>
          <t>Motor Vehicle - Repairs _AND_ Maint.</t>
        </is>
      </c>
      <c r="F2175" s="3" t="n">
        <v>0</v>
      </c>
      <c r="G2175" s="3" t="n">
        <v>4033.01</v>
      </c>
    </row>
    <row r="2176">
      <c r="A2176" s="3" t="inlineStr">
        <is>
          <t>Cape Projects Construction (Pty) Ltd</t>
        </is>
      </c>
      <c r="B2176" s="4" t="n">
        <v>44895</v>
      </c>
      <c r="C2176" s="3" t="inlineStr">
        <is>
          <t>Expenses</t>
        </is>
      </c>
      <c r="D2176" s="3" t="inlineStr">
        <is>
          <t>4150/030</t>
        </is>
      </c>
      <c r="E2176" s="3" t="inlineStr">
        <is>
          <t>Motor Vehicle - Insurance _AND_ Licence</t>
        </is>
      </c>
      <c r="F2176" s="3" t="n">
        <v>0</v>
      </c>
      <c r="G2176" s="3" t="n">
        <v>1200</v>
      </c>
    </row>
    <row r="2177">
      <c r="A2177" s="3" t="inlineStr">
        <is>
          <t>Cape Projects Construction (Pty) Ltd</t>
        </is>
      </c>
      <c r="B2177" s="4" t="n">
        <v>44895</v>
      </c>
      <c r="C2177" s="3" t="inlineStr">
        <is>
          <t>Expenses</t>
        </is>
      </c>
      <c r="D2177" s="3" t="inlineStr">
        <is>
          <t>4200/000</t>
        </is>
      </c>
      <c r="E2177" s="3" t="inlineStr">
        <is>
          <t>Printing _AND_ Stationery</t>
        </is>
      </c>
      <c r="F2177" s="3" t="n">
        <v>2252.09</v>
      </c>
      <c r="G2177" s="3" t="n">
        <v>11847.29</v>
      </c>
    </row>
    <row r="2178">
      <c r="A2178" s="3" t="inlineStr">
        <is>
          <t>Heron View (Pty) Ltd</t>
        </is>
      </c>
      <c r="B2178" s="4" t="n">
        <v>44895</v>
      </c>
      <c r="C2178" s="3" t="inlineStr">
        <is>
          <t>Expenses</t>
        </is>
      </c>
      <c r="D2178" s="3" t="inlineStr">
        <is>
          <t>4200/000</t>
        </is>
      </c>
      <c r="E2178" s="3" t="inlineStr">
        <is>
          <t>Printing _AND_ Stationery</t>
        </is>
      </c>
      <c r="F2178" s="3" t="n">
        <v>0</v>
      </c>
      <c r="G2178" s="3" t="n">
        <v>3404.62</v>
      </c>
    </row>
    <row r="2179">
      <c r="A2179" s="3" t="inlineStr">
        <is>
          <t>Cape Projects Construction (Pty) Ltd</t>
        </is>
      </c>
      <c r="B2179" s="4" t="n">
        <v>44895</v>
      </c>
      <c r="C2179" s="3" t="inlineStr">
        <is>
          <t>Expenses</t>
        </is>
      </c>
      <c r="D2179" s="3" t="inlineStr">
        <is>
          <t>4201/000</t>
        </is>
      </c>
      <c r="E2179" s="3" t="inlineStr">
        <is>
          <t>Printing - Printer rental</t>
        </is>
      </c>
      <c r="F2179" s="3" t="n">
        <v>631.42</v>
      </c>
      <c r="G2179" s="3" t="n">
        <v>6198.89</v>
      </c>
    </row>
    <row r="2180">
      <c r="A2180" s="3" t="inlineStr">
        <is>
          <t>Cape Projects Construction (Pty) Ltd</t>
        </is>
      </c>
      <c r="B2180" s="4" t="n">
        <v>44895</v>
      </c>
      <c r="C2180" s="3" t="inlineStr">
        <is>
          <t>Expenses</t>
        </is>
      </c>
      <c r="D2180" s="3" t="inlineStr">
        <is>
          <t>4300/000</t>
        </is>
      </c>
      <c r="E2180" s="3" t="inlineStr">
        <is>
          <t>Rent Paid</t>
        </is>
      </c>
      <c r="F2180" s="3" t="n">
        <v>28591.67</v>
      </c>
      <c r="G2180" s="3" t="n">
        <v>253291.67</v>
      </c>
    </row>
    <row r="2181">
      <c r="A2181" s="3" t="inlineStr">
        <is>
          <t>Cape Projects Construction (Pty) Ltd</t>
        </is>
      </c>
      <c r="B2181" s="4" t="n">
        <v>44895</v>
      </c>
      <c r="C2181" s="3" t="inlineStr">
        <is>
          <t>Expenses</t>
        </is>
      </c>
      <c r="D2181" s="3" t="inlineStr">
        <is>
          <t>4310/000</t>
        </is>
      </c>
      <c r="E2181" s="3" t="inlineStr">
        <is>
          <t>Rates</t>
        </is>
      </c>
      <c r="F2181" s="3" t="n">
        <v>843.6</v>
      </c>
      <c r="G2181" s="3" t="n">
        <v>7592.4</v>
      </c>
    </row>
    <row r="2182">
      <c r="A2182" s="3" t="inlineStr">
        <is>
          <t>Heron Fields (Pty) Ltd</t>
        </is>
      </c>
      <c r="B2182" s="4" t="n">
        <v>44895</v>
      </c>
      <c r="C2182" s="3" t="inlineStr">
        <is>
          <t>Expenses</t>
        </is>
      </c>
      <c r="D2182" s="3" t="inlineStr">
        <is>
          <t>4310/000</t>
        </is>
      </c>
      <c r="E2182" s="3" t="inlineStr">
        <is>
          <t>Rates - Heron</t>
        </is>
      </c>
      <c r="F2182" s="3" t="n">
        <v>3335.21</v>
      </c>
      <c r="G2182" s="3" t="n">
        <v>29104.79</v>
      </c>
    </row>
    <row r="2183">
      <c r="A2183" s="3" t="inlineStr">
        <is>
          <t>Cape Projects Construction (Pty) Ltd</t>
        </is>
      </c>
      <c r="B2183" s="4" t="n">
        <v>44895</v>
      </c>
      <c r="C2183" s="3" t="inlineStr">
        <is>
          <t>Expenses</t>
        </is>
      </c>
      <c r="D2183" s="3" t="inlineStr">
        <is>
          <t>4350/000</t>
        </is>
      </c>
      <c r="E2183" s="3" t="inlineStr">
        <is>
          <t>Repairs _AND_ Maintenance</t>
        </is>
      </c>
      <c r="F2183" s="3" t="n">
        <v>10511.3</v>
      </c>
      <c r="G2183" s="3" t="n">
        <v>21033.01</v>
      </c>
    </row>
    <row r="2184">
      <c r="A2184" s="3" t="inlineStr">
        <is>
          <t>Heron Fields (Pty) Ltd</t>
        </is>
      </c>
      <c r="B2184" s="4" t="n">
        <v>44895</v>
      </c>
      <c r="C2184" s="3" t="inlineStr">
        <is>
          <t>Expenses</t>
        </is>
      </c>
      <c r="D2184" s="3" t="inlineStr">
        <is>
          <t>4350/000</t>
        </is>
      </c>
      <c r="E2184" s="3" t="inlineStr">
        <is>
          <t>Repairs _AND_ Maintenance</t>
        </is>
      </c>
      <c r="F2184" s="3" t="n">
        <v>0</v>
      </c>
      <c r="G2184" s="3" t="n">
        <v>22719.99</v>
      </c>
    </row>
    <row r="2185">
      <c r="A2185" s="3" t="inlineStr">
        <is>
          <t>Cape Projects Construction (Pty) Ltd</t>
        </is>
      </c>
      <c r="B2185" s="4" t="n">
        <v>44895</v>
      </c>
      <c r="C2185" s="3" t="inlineStr">
        <is>
          <t>Expenses</t>
        </is>
      </c>
      <c r="D2185" s="3" t="inlineStr">
        <is>
          <t>4400/000</t>
        </is>
      </c>
      <c r="E2185" s="3" t="inlineStr">
        <is>
          <t>Salaries _AND_ Wages</t>
        </is>
      </c>
      <c r="F2185" s="3" t="n">
        <v>176711.56</v>
      </c>
      <c r="G2185" s="3" t="n">
        <v>1937653.36</v>
      </c>
    </row>
    <row r="2186">
      <c r="A2186" s="3" t="inlineStr">
        <is>
          <t>Cape Projects Construction (Pty) Ltd</t>
        </is>
      </c>
      <c r="B2186" s="4" t="n">
        <v>44895</v>
      </c>
      <c r="C2186" s="3" t="inlineStr">
        <is>
          <t>Expenses</t>
        </is>
      </c>
      <c r="D2186" s="3" t="inlineStr">
        <is>
          <t>4402</t>
        </is>
      </c>
      <c r="E2186" s="3" t="inlineStr">
        <is>
          <t>Salaries &amp; Wages - WCA</t>
        </is>
      </c>
      <c r="F2186" s="3" t="n">
        <v>0</v>
      </c>
      <c r="G2186" s="3" t="n">
        <v>3746.27</v>
      </c>
    </row>
    <row r="2187">
      <c r="A2187" s="3" t="inlineStr">
        <is>
          <t>Cape Projects Construction (Pty) Ltd</t>
        </is>
      </c>
      <c r="B2187" s="4" t="n">
        <v>44895</v>
      </c>
      <c r="C2187" s="3" t="inlineStr">
        <is>
          <t>Expenses</t>
        </is>
      </c>
      <c r="D2187" s="3" t="inlineStr">
        <is>
          <t>4403/000</t>
        </is>
      </c>
      <c r="E2187" s="3" t="inlineStr">
        <is>
          <t>Security</t>
        </is>
      </c>
      <c r="F2187" s="3" t="n">
        <v>177.33</v>
      </c>
      <c r="G2187" s="3" t="n">
        <v>1340.76</v>
      </c>
    </row>
    <row r="2188">
      <c r="A2188" s="3" t="inlineStr">
        <is>
          <t>Cape Projects Construction (Pty) Ltd</t>
        </is>
      </c>
      <c r="B2188" s="4" t="n">
        <v>44895</v>
      </c>
      <c r="C2188" s="3" t="inlineStr">
        <is>
          <t>Expenses</t>
        </is>
      </c>
      <c r="D2188" s="3" t="inlineStr">
        <is>
          <t>4420/000</t>
        </is>
      </c>
      <c r="E2188" s="3" t="inlineStr">
        <is>
          <t>Small Assets</t>
        </is>
      </c>
      <c r="F2188" s="3" t="n">
        <v>1389.56</v>
      </c>
      <c r="G2188" s="3" t="n">
        <v>9013.48</v>
      </c>
    </row>
    <row r="2189">
      <c r="A2189" s="3" t="inlineStr">
        <is>
          <t>Heron Fields (Pty) Ltd</t>
        </is>
      </c>
      <c r="B2189" s="4" t="n">
        <v>44895</v>
      </c>
      <c r="C2189" s="3" t="inlineStr">
        <is>
          <t>Expenses</t>
        </is>
      </c>
      <c r="D2189" s="3" t="inlineStr">
        <is>
          <t>4420/001</t>
        </is>
      </c>
      <c r="E2189" s="3" t="inlineStr">
        <is>
          <t>Security - ADT</t>
        </is>
      </c>
      <c r="F2189" s="3" t="n">
        <v>328.38</v>
      </c>
      <c r="G2189" s="3" t="n">
        <v>4255.84</v>
      </c>
    </row>
    <row r="2190">
      <c r="A2190" s="3" t="inlineStr">
        <is>
          <t>Cape Projects Construction (Pty) Ltd</t>
        </is>
      </c>
      <c r="B2190" s="4" t="n">
        <v>44895</v>
      </c>
      <c r="C2190" s="3" t="inlineStr">
        <is>
          <t>Expenses</t>
        </is>
      </c>
      <c r="D2190" s="3" t="inlineStr">
        <is>
          <t>4450/000</t>
        </is>
      </c>
      <c r="E2190" s="3" t="inlineStr">
        <is>
          <t>Staff Training</t>
        </is>
      </c>
      <c r="F2190" s="3" t="n">
        <v>0</v>
      </c>
      <c r="G2190" s="3" t="n">
        <v>6800</v>
      </c>
    </row>
    <row r="2191">
      <c r="A2191" s="3" t="inlineStr">
        <is>
          <t>Cape Projects Construction (Pty) Ltd</t>
        </is>
      </c>
      <c r="B2191" s="4" t="n">
        <v>44895</v>
      </c>
      <c r="C2191" s="3" t="inlineStr">
        <is>
          <t>Expenses</t>
        </is>
      </c>
      <c r="D2191" s="3" t="inlineStr">
        <is>
          <t>4500/000</t>
        </is>
      </c>
      <c r="E2191" s="3" t="inlineStr">
        <is>
          <t>Staff Welfare _AND_ Refreshmts</t>
        </is>
      </c>
      <c r="F2191" s="3" t="n">
        <v>1251.56</v>
      </c>
      <c r="G2191" s="3" t="n">
        <v>4770.66</v>
      </c>
    </row>
    <row r="2192">
      <c r="A2192" s="3" t="inlineStr">
        <is>
          <t>Cape Projects Construction (Pty) Ltd</t>
        </is>
      </c>
      <c r="B2192" s="4" t="n">
        <v>44895</v>
      </c>
      <c r="C2192" s="3" t="inlineStr">
        <is>
          <t>Expenses</t>
        </is>
      </c>
      <c r="D2192" s="3" t="inlineStr">
        <is>
          <t>4550/000</t>
        </is>
      </c>
      <c r="E2192" s="3" t="inlineStr">
        <is>
          <t>Subscriptions / Licenses</t>
        </is>
      </c>
      <c r="F2192" s="3" t="n">
        <v>0</v>
      </c>
      <c r="G2192" s="3" t="n">
        <v>526.3200000000001</v>
      </c>
    </row>
    <row r="2193">
      <c r="A2193" s="3" t="inlineStr">
        <is>
          <t>Cape Projects Construction (Pty) Ltd</t>
        </is>
      </c>
      <c r="B2193" s="4" t="n">
        <v>44895</v>
      </c>
      <c r="C2193" s="3" t="inlineStr">
        <is>
          <t>Expenses</t>
        </is>
      </c>
      <c r="D2193" s="3" t="inlineStr">
        <is>
          <t>4550/001</t>
        </is>
      </c>
      <c r="E2193" s="3" t="inlineStr">
        <is>
          <t>Subscriptions &amp; Licenses - Sage payroll</t>
        </is>
      </c>
      <c r="F2193" s="3" t="n">
        <v>686</v>
      </c>
      <c r="G2193" s="3" t="n">
        <v>5394</v>
      </c>
    </row>
    <row r="2194">
      <c r="A2194" s="3" t="inlineStr">
        <is>
          <t>Cape Projects Construction (Pty) Ltd</t>
        </is>
      </c>
      <c r="B2194" s="4" t="n">
        <v>44895</v>
      </c>
      <c r="C2194" s="3" t="inlineStr">
        <is>
          <t>Expenses</t>
        </is>
      </c>
      <c r="D2194" s="3" t="inlineStr">
        <is>
          <t>4550/003</t>
        </is>
      </c>
      <c r="E2194" s="3" t="inlineStr">
        <is>
          <t>Subscriptions &amp; Licenses - Xero</t>
        </is>
      </c>
      <c r="F2194" s="3" t="n">
        <v>600</v>
      </c>
      <c r="G2194" s="3" t="n">
        <v>5400</v>
      </c>
    </row>
    <row r="2195">
      <c r="A2195" s="3" t="inlineStr">
        <is>
          <t>Cape Projects Construction (Pty) Ltd</t>
        </is>
      </c>
      <c r="B2195" s="4" t="n">
        <v>44895</v>
      </c>
      <c r="C2195" s="3" t="inlineStr">
        <is>
          <t>Expenses</t>
        </is>
      </c>
      <c r="D2195" s="3" t="inlineStr">
        <is>
          <t>4550/004</t>
        </is>
      </c>
      <c r="E2195" s="3" t="inlineStr">
        <is>
          <t>Subscriptions - Smartsheet</t>
        </is>
      </c>
      <c r="F2195" s="3" t="n">
        <v>484</v>
      </c>
      <c r="G2195" s="3" t="n">
        <v>3802.6</v>
      </c>
    </row>
    <row r="2196">
      <c r="A2196" s="3" t="inlineStr">
        <is>
          <t>Cape Projects Construction (Pty) Ltd</t>
        </is>
      </c>
      <c r="B2196" s="4" t="n">
        <v>44895</v>
      </c>
      <c r="C2196" s="3" t="inlineStr">
        <is>
          <t>Expenses</t>
        </is>
      </c>
      <c r="D2196" s="3" t="inlineStr">
        <is>
          <t>4550/006</t>
        </is>
      </c>
      <c r="E2196" s="3" t="inlineStr">
        <is>
          <t>Subscription - Candy software</t>
        </is>
      </c>
      <c r="F2196" s="3" t="n">
        <v>0</v>
      </c>
      <c r="G2196" s="3" t="n">
        <v>13765</v>
      </c>
    </row>
    <row r="2197">
      <c r="A2197" s="3" t="inlineStr">
        <is>
          <t>Heron Fields (Pty) Ltd</t>
        </is>
      </c>
      <c r="B2197" s="4" t="n">
        <v>44895</v>
      </c>
      <c r="C2197" s="3" t="inlineStr">
        <is>
          <t>Expenses</t>
        </is>
      </c>
      <c r="D2197" s="3" t="inlineStr">
        <is>
          <t>4550/100</t>
        </is>
      </c>
      <c r="E2197" s="3" t="inlineStr">
        <is>
          <t>Subscriptions - Xero</t>
        </is>
      </c>
      <c r="F2197" s="3" t="n">
        <v>600</v>
      </c>
      <c r="G2197" s="3" t="n">
        <v>5400</v>
      </c>
    </row>
    <row r="2198">
      <c r="A2198" s="3" t="inlineStr">
        <is>
          <t>Heron View (Pty) Ltd</t>
        </is>
      </c>
      <c r="B2198" s="4" t="n">
        <v>44895</v>
      </c>
      <c r="C2198" s="3" t="inlineStr">
        <is>
          <t>Expenses</t>
        </is>
      </c>
      <c r="D2198" s="3" t="inlineStr">
        <is>
          <t>4550/100</t>
        </is>
      </c>
      <c r="E2198" s="3" t="inlineStr">
        <is>
          <t>Subscriptions - Xero</t>
        </is>
      </c>
      <c r="F2198" s="3" t="n">
        <v>600</v>
      </c>
      <c r="G2198" s="3" t="n">
        <v>9000</v>
      </c>
    </row>
    <row r="2199">
      <c r="A2199" s="3" t="inlineStr">
        <is>
          <t>Heron Fields (Pty) Ltd</t>
        </is>
      </c>
      <c r="B2199" s="4" t="n">
        <v>44895</v>
      </c>
      <c r="C2199" s="3" t="inlineStr">
        <is>
          <t>Expenses</t>
        </is>
      </c>
      <c r="D2199" s="3" t="inlineStr">
        <is>
          <t>4550/200</t>
        </is>
      </c>
      <c r="E2199" s="3" t="inlineStr">
        <is>
          <t>Subscription - NHBRC</t>
        </is>
      </c>
      <c r="F2199" s="3" t="n">
        <v>262.11</v>
      </c>
      <c r="G2199" s="3" t="n">
        <v>788.4299999999999</v>
      </c>
    </row>
    <row r="2200">
      <c r="A2200" s="3" t="inlineStr">
        <is>
          <t>Cape Projects Construction (Pty) Ltd</t>
        </is>
      </c>
      <c r="B2200" s="4" t="n">
        <v>44895</v>
      </c>
      <c r="C2200" s="3" t="inlineStr">
        <is>
          <t>Expenses</t>
        </is>
      </c>
      <c r="D2200" s="3" t="inlineStr">
        <is>
          <t>4560</t>
        </is>
      </c>
      <c r="E2200" s="3" t="inlineStr">
        <is>
          <t>Secretarial fees - CIPC</t>
        </is>
      </c>
      <c r="F2200" s="3" t="n">
        <v>0</v>
      </c>
      <c r="G2200" s="3" t="n">
        <v>2500</v>
      </c>
    </row>
    <row r="2201">
      <c r="A2201" s="3" t="inlineStr">
        <is>
          <t>Cape Projects Construction (Pty) Ltd</t>
        </is>
      </c>
      <c r="B2201" s="4" t="n">
        <v>44895</v>
      </c>
      <c r="C2201" s="3" t="inlineStr">
        <is>
          <t>Expenses</t>
        </is>
      </c>
      <c r="D2201" s="3" t="inlineStr">
        <is>
          <t>4650/010</t>
        </is>
      </c>
      <c r="E2201" s="3" t="inlineStr">
        <is>
          <t>Travel - Local</t>
        </is>
      </c>
      <c r="F2201" s="3" t="n">
        <v>0</v>
      </c>
      <c r="G2201" s="3" t="n">
        <v>13.04</v>
      </c>
    </row>
    <row r="2202">
      <c r="A2202" s="3" t="inlineStr">
        <is>
          <t>Cape Projects Construction (Pty) Ltd</t>
        </is>
      </c>
      <c r="B2202" s="4" t="n">
        <v>44895</v>
      </c>
      <c r="C2202" s="3" t="inlineStr">
        <is>
          <t>Expenses</t>
        </is>
      </c>
      <c r="D2202" s="3" t="inlineStr">
        <is>
          <t>4700/000</t>
        </is>
      </c>
      <c r="E2202" s="3" t="inlineStr">
        <is>
          <t>PAYE Contributions</t>
        </is>
      </c>
      <c r="F2202" s="3" t="n">
        <v>23576.11</v>
      </c>
      <c r="G2202" s="3" t="n">
        <v>295440.3</v>
      </c>
    </row>
    <row r="2203">
      <c r="A2203" s="3" t="inlineStr">
        <is>
          <t>Cape Projects Construction (Pty) Ltd</t>
        </is>
      </c>
      <c r="B2203" s="4" t="n">
        <v>44895</v>
      </c>
      <c r="C2203" s="3" t="inlineStr">
        <is>
          <t>Expenses</t>
        </is>
      </c>
      <c r="D2203" s="3" t="inlineStr">
        <is>
          <t>4720/000</t>
        </is>
      </c>
      <c r="E2203" s="3" t="inlineStr">
        <is>
          <t>SDL Contributions</t>
        </is>
      </c>
      <c r="F2203" s="3" t="n">
        <v>1902.99</v>
      </c>
      <c r="G2203" s="3" t="n">
        <v>21398.72</v>
      </c>
    </row>
    <row r="2204">
      <c r="A2204" s="3" t="inlineStr">
        <is>
          <t>Cape Projects Construction (Pty) Ltd</t>
        </is>
      </c>
      <c r="B2204" s="4" t="n">
        <v>44895</v>
      </c>
      <c r="C2204" s="3" t="inlineStr">
        <is>
          <t>Expenses</t>
        </is>
      </c>
      <c r="D2204" s="3" t="inlineStr">
        <is>
          <t>4730/000</t>
        </is>
      </c>
      <c r="E2204" s="3" t="inlineStr">
        <is>
          <t>UIF Company Contributions</t>
        </is>
      </c>
      <c r="F2204" s="3" t="n">
        <v>1432.65</v>
      </c>
      <c r="G2204" s="3" t="n">
        <v>15464.71</v>
      </c>
    </row>
    <row r="2205">
      <c r="A2205" s="3" t="inlineStr">
        <is>
          <t>Cape Projects Construction (Pty) Ltd</t>
        </is>
      </c>
      <c r="B2205" s="4" t="n">
        <v>44895</v>
      </c>
      <c r="C2205" s="3" t="inlineStr">
        <is>
          <t>Expenses</t>
        </is>
      </c>
      <c r="D2205" s="3" t="inlineStr">
        <is>
          <t>4731/000</t>
        </is>
      </c>
      <c r="E2205" s="3" t="inlineStr">
        <is>
          <t>UIF Employee Contribution</t>
        </is>
      </c>
      <c r="F2205" s="3" t="n">
        <v>1432.65</v>
      </c>
      <c r="G2205" s="3" t="n">
        <v>15464.71</v>
      </c>
    </row>
    <row r="2206">
      <c r="A2206" s="3" t="inlineStr">
        <is>
          <t>Cape Projects Construction (Pty) Ltd</t>
        </is>
      </c>
      <c r="B2206" s="4" t="n">
        <v>44895</v>
      </c>
      <c r="C2206" s="3" t="inlineStr">
        <is>
          <t>Expenses</t>
        </is>
      </c>
      <c r="D2206" s="3" t="inlineStr">
        <is>
          <t>4740/000</t>
        </is>
      </c>
      <c r="E2206" s="3" t="inlineStr">
        <is>
          <t>BIBC Company Contribution</t>
        </is>
      </c>
      <c r="F2206" s="3" t="n">
        <v>8981.75</v>
      </c>
      <c r="G2206" s="3" t="n">
        <v>65997.64</v>
      </c>
    </row>
    <row r="2207">
      <c r="A2207" s="3" t="inlineStr">
        <is>
          <t>Cape Projects Construction (Pty) Ltd</t>
        </is>
      </c>
      <c r="B2207" s="4" t="n">
        <v>44895</v>
      </c>
      <c r="C2207" s="3" t="inlineStr">
        <is>
          <t>Expenses</t>
        </is>
      </c>
      <c r="D2207" s="3" t="inlineStr">
        <is>
          <t>4741/000</t>
        </is>
      </c>
      <c r="E2207" s="3" t="inlineStr">
        <is>
          <t>BIBC Employee Contribution</t>
        </is>
      </c>
      <c r="F2207" s="3" t="n">
        <v>2367</v>
      </c>
      <c r="G2207" s="3" t="n">
        <v>22073.8</v>
      </c>
    </row>
    <row r="2208">
      <c r="A2208" s="3" t="inlineStr">
        <is>
          <t>Heron Fields (Pty) Ltd</t>
        </is>
      </c>
      <c r="B2208" s="4" t="n">
        <v>44895</v>
      </c>
      <c r="C2208" s="3" t="inlineStr">
        <is>
          <t>Equity</t>
        </is>
      </c>
      <c r="D2208" s="3" t="inlineStr">
        <is>
          <t>5100-000</t>
        </is>
      </c>
      <c r="E2208" s="3" t="inlineStr">
        <is>
          <t>Share Capital</t>
        </is>
      </c>
      <c r="F2208" s="3" t="n">
        <v>0</v>
      </c>
      <c r="G2208" s="3" t="n">
        <v>-100</v>
      </c>
    </row>
    <row r="2209">
      <c r="A2209" s="3" t="inlineStr">
        <is>
          <t>Cape Projects Construction (Pty) Ltd</t>
        </is>
      </c>
      <c r="B2209" s="4" t="n">
        <v>44895</v>
      </c>
      <c r="C2209" s="3" t="inlineStr">
        <is>
          <t>Equity</t>
        </is>
      </c>
      <c r="D2209" s="3" t="inlineStr">
        <is>
          <t>5100/000</t>
        </is>
      </c>
      <c r="E2209" s="3" t="inlineStr">
        <is>
          <t>Share Capital / Members Contribution</t>
        </is>
      </c>
      <c r="F2209" s="3" t="n">
        <v>0</v>
      </c>
      <c r="G2209" s="3" t="n">
        <v>-120</v>
      </c>
    </row>
    <row r="2210">
      <c r="A2210" s="3" t="inlineStr">
        <is>
          <t>Cape Projects Construction (Pty) Ltd</t>
        </is>
      </c>
      <c r="B2210" s="4" t="n">
        <v>44895</v>
      </c>
      <c r="C2210" s="3" t="inlineStr">
        <is>
          <t>Equity</t>
        </is>
      </c>
      <c r="D2210" s="3" t="inlineStr">
        <is>
          <t>5200/000</t>
        </is>
      </c>
      <c r="E2210" s="3" t="inlineStr">
        <is>
          <t>Retained Earnings / Loss</t>
        </is>
      </c>
      <c r="F2210" s="3" t="n">
        <v>0</v>
      </c>
      <c r="G2210" s="3" t="n">
        <v>247347.05</v>
      </c>
    </row>
    <row r="2211">
      <c r="A2211" s="3" t="inlineStr">
        <is>
          <t>Heron Fields (Pty) Ltd</t>
        </is>
      </c>
      <c r="B2211" s="4" t="n">
        <v>44895</v>
      </c>
      <c r="C2211" s="3" t="inlineStr">
        <is>
          <t>Equity</t>
        </is>
      </c>
      <c r="D2211" s="3" t="inlineStr">
        <is>
          <t>5200/000</t>
        </is>
      </c>
      <c r="E2211" s="3" t="inlineStr">
        <is>
          <t>Retained Earnings / Loss</t>
        </is>
      </c>
      <c r="F2211" s="3" t="n">
        <v>0</v>
      </c>
      <c r="G2211" s="3" t="n">
        <v>-17080353.05</v>
      </c>
    </row>
    <row r="2212">
      <c r="A2212" s="3" t="inlineStr">
        <is>
          <t>Heron Fields (Pty) Ltd</t>
        </is>
      </c>
      <c r="B2212" s="4" t="n">
        <v>44895</v>
      </c>
      <c r="C2212" s="3" t="inlineStr">
        <is>
          <t>Assets</t>
        </is>
      </c>
      <c r="D2212" s="3" t="inlineStr">
        <is>
          <t>5300/001</t>
        </is>
      </c>
      <c r="E2212" s="3" t="inlineStr">
        <is>
          <t>Revaluation of Land stock</t>
        </is>
      </c>
      <c r="F2212" s="3" t="n">
        <v>0</v>
      </c>
      <c r="G2212" s="3" t="n">
        <v>17562360.85</v>
      </c>
    </row>
    <row r="2213">
      <c r="A2213" s="3" t="inlineStr">
        <is>
          <t>Cape Projects Construction (Pty) Ltd</t>
        </is>
      </c>
      <c r="B2213" s="4" t="n">
        <v>44895</v>
      </c>
      <c r="C2213" s="3" t="inlineStr">
        <is>
          <t>Assets</t>
        </is>
      </c>
      <c r="D2213" s="3" t="inlineStr">
        <is>
          <t>5400/100</t>
        </is>
      </c>
      <c r="E2213" s="3" t="inlineStr">
        <is>
          <t>Loan - Cape Projects Structuring Dev</t>
        </is>
      </c>
      <c r="F2213" s="3" t="n">
        <v>270000</v>
      </c>
      <c r="G2213" s="3" t="n">
        <v>0</v>
      </c>
    </row>
    <row r="2214">
      <c r="A2214" s="3" t="inlineStr">
        <is>
          <t>Cape Projects Construction (Pty) Ltd</t>
        </is>
      </c>
      <c r="B2214" s="4" t="n">
        <v>44895</v>
      </c>
      <c r="C2214" s="3" t="inlineStr">
        <is>
          <t>Assets</t>
        </is>
      </c>
      <c r="D2214" s="3" t="inlineStr">
        <is>
          <t>5400/150</t>
        </is>
      </c>
      <c r="E2214" s="3" t="inlineStr">
        <is>
          <t>Loan - Quinate</t>
        </is>
      </c>
      <c r="F2214" s="3" t="n">
        <v>3521187.4</v>
      </c>
      <c r="G2214" s="3" t="n">
        <v>6571187.4</v>
      </c>
    </row>
    <row r="2215">
      <c r="A2215" s="3" t="inlineStr">
        <is>
          <t>Cape Projects Construction (Pty) Ltd</t>
        </is>
      </c>
      <c r="B2215" s="4" t="n">
        <v>44895</v>
      </c>
      <c r="C2215" s="3" t="inlineStr">
        <is>
          <t>Assets</t>
        </is>
      </c>
      <c r="D2215" s="3" t="inlineStr">
        <is>
          <t>5400/550</t>
        </is>
      </c>
      <c r="E2215" s="3" t="inlineStr">
        <is>
          <t>Loan - Trademark</t>
        </is>
      </c>
      <c r="F2215" s="3" t="n">
        <v>-1200</v>
      </c>
      <c r="G2215" s="3" t="n">
        <v>0</v>
      </c>
    </row>
    <row r="2216">
      <c r="A2216" s="3" t="inlineStr">
        <is>
          <t>Cape Projects Construction (Pty) Ltd</t>
        </is>
      </c>
      <c r="B2216" s="4" t="n">
        <v>44895</v>
      </c>
      <c r="C2216" s="3" t="inlineStr">
        <is>
          <t>Assets</t>
        </is>
      </c>
      <c r="D2216" s="3" t="inlineStr">
        <is>
          <t>5400/600</t>
        </is>
      </c>
      <c r="E2216" s="3" t="inlineStr">
        <is>
          <t>Loan - Heron Projects</t>
        </is>
      </c>
      <c r="F2216" s="3" t="n">
        <v>-3726138.5</v>
      </c>
      <c r="G2216" s="3" t="n">
        <v>-8226138.5</v>
      </c>
    </row>
    <row r="2217">
      <c r="A2217" s="3" t="inlineStr">
        <is>
          <t>Cape Projects Construction (Pty) Ltd</t>
        </is>
      </c>
      <c r="B2217" s="4" t="n">
        <v>44895</v>
      </c>
      <c r="C2217" s="3" t="inlineStr">
        <is>
          <t>Assets</t>
        </is>
      </c>
      <c r="D2217" s="3" t="inlineStr">
        <is>
          <t>5400/650</t>
        </is>
      </c>
      <c r="E2217" s="3" t="inlineStr">
        <is>
          <t>Loan - Noble Shield</t>
        </is>
      </c>
      <c r="F2217" s="3" t="n">
        <v>-1200</v>
      </c>
      <c r="G2217" s="3" t="n">
        <v>0</v>
      </c>
    </row>
    <row r="2218">
      <c r="A2218" s="3" t="inlineStr">
        <is>
          <t>Cape Projects Construction (Pty) Ltd</t>
        </is>
      </c>
      <c r="B2218" s="4" t="n">
        <v>44895</v>
      </c>
      <c r="C2218" s="3" t="inlineStr">
        <is>
          <t>Assets</t>
        </is>
      </c>
      <c r="D2218" s="3" t="inlineStr">
        <is>
          <t>5400/750</t>
        </is>
      </c>
      <c r="E2218" s="3" t="inlineStr">
        <is>
          <t>Loan - Endulini</t>
        </is>
      </c>
      <c r="F2218" s="3" t="n">
        <v>0</v>
      </c>
      <c r="G2218" s="3" t="n">
        <v>1367000</v>
      </c>
    </row>
    <row r="2219">
      <c r="A2219" s="3" t="inlineStr">
        <is>
          <t>Heron View (Pty) Ltd</t>
        </is>
      </c>
      <c r="B2219" s="4" t="n">
        <v>44895</v>
      </c>
      <c r="C2219" s="3" t="inlineStr">
        <is>
          <t>Liabilities</t>
        </is>
      </c>
      <c r="D2219" s="3" t="inlineStr">
        <is>
          <t>5500/001</t>
        </is>
      </c>
      <c r="E2219" s="3" t="inlineStr">
        <is>
          <t>Loan - Heron Fields</t>
        </is>
      </c>
      <c r="F2219" s="3" t="n">
        <v>-600</v>
      </c>
      <c r="G2219" s="3" t="n">
        <v>-2029913.01</v>
      </c>
    </row>
    <row r="2220">
      <c r="A2220" s="3" t="inlineStr">
        <is>
          <t>Heron Fields (Pty) Ltd</t>
        </is>
      </c>
      <c r="B2220" s="4" t="n">
        <v>44895</v>
      </c>
      <c r="C2220" s="3" t="inlineStr">
        <is>
          <t>Liabilities</t>
        </is>
      </c>
      <c r="D2220" s="3" t="inlineStr">
        <is>
          <t>5500/010</t>
        </is>
      </c>
      <c r="E2220" s="3" t="inlineStr">
        <is>
          <t>Loan - Quinate</t>
        </is>
      </c>
      <c r="F2220" s="3" t="n">
        <v>4240.63</v>
      </c>
      <c r="G2220" s="3" t="n">
        <v>0</v>
      </c>
    </row>
    <row r="2221">
      <c r="A2221" s="3" t="inlineStr">
        <is>
          <t>Heron Fields (Pty) Ltd</t>
        </is>
      </c>
      <c r="B2221" s="4" t="n">
        <v>44895</v>
      </c>
      <c r="C2221" s="3" t="inlineStr">
        <is>
          <t>Liabilities</t>
        </is>
      </c>
      <c r="D2221" s="3" t="inlineStr">
        <is>
          <t>5500/020</t>
        </is>
      </c>
      <c r="E2221" s="3" t="inlineStr">
        <is>
          <t>Loan - Cape Projects Construction</t>
        </is>
      </c>
      <c r="F2221" s="3" t="n">
        <v>3726138.5</v>
      </c>
      <c r="G2221" s="3" t="n">
        <v>8226138.5</v>
      </c>
    </row>
    <row r="2222">
      <c r="A2222" s="3" t="inlineStr">
        <is>
          <t>Heron Fields (Pty) Ltd</t>
        </is>
      </c>
      <c r="B2222" s="4" t="n">
        <v>44895</v>
      </c>
      <c r="C2222" s="3" t="inlineStr">
        <is>
          <t>Liabilities</t>
        </is>
      </c>
      <c r="D2222" s="3" t="inlineStr">
        <is>
          <t>5500/050</t>
        </is>
      </c>
      <c r="E2222" s="3" t="inlineStr">
        <is>
          <t>Loan - Heron View</t>
        </is>
      </c>
      <c r="F2222" s="3" t="n">
        <v>600</v>
      </c>
      <c r="G2222" s="3" t="n">
        <v>2029913.01</v>
      </c>
    </row>
    <row r="2223">
      <c r="A2223" s="3" t="inlineStr">
        <is>
          <t>Heron Fields (Pty) Ltd</t>
        </is>
      </c>
      <c r="B2223" s="4" t="n">
        <v>44895</v>
      </c>
      <c r="C2223" s="3" t="inlineStr">
        <is>
          <t>Liabilities</t>
        </is>
      </c>
      <c r="D2223" s="3" t="inlineStr">
        <is>
          <t>5500/060</t>
        </is>
      </c>
      <c r="E2223" s="3" t="inlineStr">
        <is>
          <t>Loan - Opportunity Management Holdings</t>
        </is>
      </c>
      <c r="F2223" s="3" t="n">
        <v>30000</v>
      </c>
      <c r="G2223" s="3" t="n">
        <v>0</v>
      </c>
    </row>
    <row r="2224">
      <c r="A2224" s="3" t="inlineStr">
        <is>
          <t>Cape Projects Construction (Pty) Ltd</t>
        </is>
      </c>
      <c r="B2224" s="4" t="n">
        <v>44895</v>
      </c>
      <c r="C2224" s="3" t="inlineStr">
        <is>
          <t>Liabilities</t>
        </is>
      </c>
      <c r="D2224" s="3" t="inlineStr">
        <is>
          <t>5600/100</t>
        </is>
      </c>
      <c r="E2224" s="3" t="inlineStr">
        <is>
          <t>Motor Vehical Car Repaymts - Toyota</t>
        </is>
      </c>
      <c r="F2224" s="3" t="n">
        <v>5233.24</v>
      </c>
      <c r="G2224" s="3" t="n">
        <v>46897.96</v>
      </c>
    </row>
    <row r="2225">
      <c r="A2225" s="3" t="inlineStr">
        <is>
          <t>Cape Projects Construction (Pty) Ltd</t>
        </is>
      </c>
      <c r="B2225" s="4" t="n">
        <v>44895</v>
      </c>
      <c r="C2225" s="3" t="inlineStr">
        <is>
          <t>Liabilities</t>
        </is>
      </c>
      <c r="D2225" s="3" t="inlineStr">
        <is>
          <t>5600/200</t>
        </is>
      </c>
      <c r="E2225" s="3" t="inlineStr">
        <is>
          <t>Motor Vehicle Car Repayments - Toyota Shortterm</t>
        </is>
      </c>
      <c r="F2225" s="3" t="n">
        <v>0</v>
      </c>
      <c r="G2225" s="3" t="n">
        <v>-58920.1</v>
      </c>
    </row>
    <row r="2226">
      <c r="A2226" s="3" t="inlineStr">
        <is>
          <t>Cape Projects Construction (Pty) Ltd</t>
        </is>
      </c>
      <c r="B2226" s="4" t="n">
        <v>44895</v>
      </c>
      <c r="C2226" s="3" t="inlineStr">
        <is>
          <t>Assets</t>
        </is>
      </c>
      <c r="D2226" s="3" t="inlineStr">
        <is>
          <t>6200/010</t>
        </is>
      </c>
      <c r="E2226" s="3" t="inlineStr">
        <is>
          <t>Motor Vehicles - @ Cost</t>
        </is>
      </c>
      <c r="F2226" s="3" t="n">
        <v>0</v>
      </c>
      <c r="G2226" s="3" t="n">
        <v>216064.1</v>
      </c>
    </row>
    <row r="2227">
      <c r="A2227" s="3" t="inlineStr">
        <is>
          <t>Cape Projects Construction (Pty) Ltd</t>
        </is>
      </c>
      <c r="B2227" s="4" t="n">
        <v>44895</v>
      </c>
      <c r="C2227" s="3" t="inlineStr">
        <is>
          <t>Assets</t>
        </is>
      </c>
      <c r="D2227" s="3" t="inlineStr">
        <is>
          <t>6200/020</t>
        </is>
      </c>
      <c r="E2227" s="3" t="inlineStr">
        <is>
          <t>Motor Vehicles - Accum Depre</t>
        </is>
      </c>
      <c r="F2227" s="3" t="n">
        <v>0</v>
      </c>
      <c r="G2227" s="3" t="n">
        <v>-216063.1</v>
      </c>
    </row>
    <row r="2228">
      <c r="A2228" s="3" t="inlineStr">
        <is>
          <t>Cape Projects Construction (Pty) Ltd</t>
        </is>
      </c>
      <c r="B2228" s="4" t="n">
        <v>44895</v>
      </c>
      <c r="C2228" s="3" t="inlineStr">
        <is>
          <t>Assets</t>
        </is>
      </c>
      <c r="D2228" s="3" t="inlineStr">
        <is>
          <t>6250/010</t>
        </is>
      </c>
      <c r="E2228" s="3" t="inlineStr">
        <is>
          <t>Computer Equipment - @ Cost</t>
        </is>
      </c>
      <c r="F2228" s="3" t="n">
        <v>0</v>
      </c>
      <c r="G2228" s="3" t="n">
        <v>92100.13</v>
      </c>
    </row>
    <row r="2229">
      <c r="A2229" s="3" t="inlineStr">
        <is>
          <t>Cape Projects Construction (Pty) Ltd</t>
        </is>
      </c>
      <c r="B2229" s="4" t="n">
        <v>44895</v>
      </c>
      <c r="C2229" s="3" t="inlineStr">
        <is>
          <t>Assets</t>
        </is>
      </c>
      <c r="D2229" s="3" t="inlineStr">
        <is>
          <t>6250/020</t>
        </is>
      </c>
      <c r="E2229" s="3" t="inlineStr">
        <is>
          <t>Computer Equipment - Accum Depre</t>
        </is>
      </c>
      <c r="F2229" s="3" t="n">
        <v>-2165.84</v>
      </c>
      <c r="G2229" s="3" t="n">
        <v>-36425.47</v>
      </c>
    </row>
    <row r="2230">
      <c r="A2230" s="3" t="inlineStr">
        <is>
          <t>Cape Projects Construction (Pty) Ltd</t>
        </is>
      </c>
      <c r="B2230" s="4" t="n">
        <v>44895</v>
      </c>
      <c r="C2230" s="3" t="inlineStr">
        <is>
          <t>Assets</t>
        </is>
      </c>
      <c r="D2230" s="3" t="inlineStr">
        <is>
          <t>6350/010</t>
        </is>
      </c>
      <c r="E2230" s="3" t="inlineStr">
        <is>
          <t>Furniture _AND_ Fittings - @ Cost</t>
        </is>
      </c>
      <c r="F2230" s="3" t="n">
        <v>8673.91</v>
      </c>
      <c r="G2230" s="3" t="n">
        <v>37955.3</v>
      </c>
    </row>
    <row r="2231">
      <c r="A2231" s="3" t="inlineStr">
        <is>
          <t>Cape Projects Construction (Pty) Ltd</t>
        </is>
      </c>
      <c r="B2231" s="4" t="n">
        <v>44895</v>
      </c>
      <c r="C2231" s="3" t="inlineStr">
        <is>
          <t>Assets</t>
        </is>
      </c>
      <c r="D2231" s="3" t="inlineStr">
        <is>
          <t>6350/020</t>
        </is>
      </c>
      <c r="E2231" s="3" t="inlineStr">
        <is>
          <t>Furniture _AND_ Fittings - Accum Depre</t>
        </is>
      </c>
      <c r="F2231" s="3" t="n">
        <v>-427.2</v>
      </c>
      <c r="G2231" s="3" t="n">
        <v>-4251.54</v>
      </c>
    </row>
    <row r="2232">
      <c r="A2232" s="3" t="inlineStr">
        <is>
          <t>Cape Projects Construction (Pty) Ltd</t>
        </is>
      </c>
      <c r="B2232" s="4" t="n">
        <v>44895</v>
      </c>
      <c r="C2232" s="3" t="inlineStr">
        <is>
          <t>Assets</t>
        </is>
      </c>
      <c r="D2232" s="3" t="inlineStr">
        <is>
          <t>6600/010</t>
        </is>
      </c>
      <c r="E2232" s="3" t="inlineStr">
        <is>
          <t>Generator Fixed Asset - @ Cost</t>
        </is>
      </c>
      <c r="F2232" s="3" t="n">
        <v>0</v>
      </c>
      <c r="G2232" s="3" t="n">
        <v>11600</v>
      </c>
    </row>
    <row r="2233">
      <c r="A2233" s="3" t="inlineStr">
        <is>
          <t>Cape Projects Construction (Pty) Ltd</t>
        </is>
      </c>
      <c r="B2233" s="4" t="n">
        <v>44895</v>
      </c>
      <c r="C2233" s="3" t="inlineStr">
        <is>
          <t>Assets</t>
        </is>
      </c>
      <c r="D2233" s="3" t="inlineStr">
        <is>
          <t>6600/020</t>
        </is>
      </c>
      <c r="E2233" s="3" t="inlineStr">
        <is>
          <t>Generator Fixed Asset - Accum Depre</t>
        </is>
      </c>
      <c r="F2233" s="3" t="n">
        <v>-193.33</v>
      </c>
      <c r="G2233" s="3" t="n">
        <v>-2545.56</v>
      </c>
    </row>
    <row r="2234">
      <c r="A2234" s="3" t="inlineStr">
        <is>
          <t>Heron Fields (Pty) Ltd</t>
        </is>
      </c>
      <c r="B2234" s="4" t="n">
        <v>44895</v>
      </c>
      <c r="C2234" s="3" t="inlineStr">
        <is>
          <t>Assets</t>
        </is>
      </c>
      <c r="D2234" s="3" t="inlineStr">
        <is>
          <t>7610/395</t>
        </is>
      </c>
      <c r="E2234" s="3" t="inlineStr">
        <is>
          <t>HF CIP NHBRC</t>
        </is>
      </c>
      <c r="F2234" s="3" t="n">
        <v>0</v>
      </c>
      <c r="G2234" s="3" t="n">
        <v>874505.75</v>
      </c>
    </row>
    <row r="2235">
      <c r="A2235" s="3" t="inlineStr">
        <is>
          <t>Heron View (Pty) Ltd</t>
        </is>
      </c>
      <c r="B2235" s="4" t="n">
        <v>44895</v>
      </c>
      <c r="C2235" s="3" t="inlineStr">
        <is>
          <t>Assets</t>
        </is>
      </c>
      <c r="D2235" s="3" t="inlineStr">
        <is>
          <t>7610/395</t>
        </is>
      </c>
      <c r="E2235" s="3" t="inlineStr">
        <is>
          <t>Heron CIP NHBRC</t>
        </is>
      </c>
      <c r="F2235" s="3" t="n">
        <v>154268.25</v>
      </c>
      <c r="G2235" s="3" t="n">
        <v>439254.75</v>
      </c>
    </row>
    <row r="2236">
      <c r="A2236" s="3" t="inlineStr">
        <is>
          <t>Heron Fields (Pty) Ltd</t>
        </is>
      </c>
      <c r="B2236" s="4" t="n">
        <v>44895</v>
      </c>
      <c r="C2236" s="3" t="inlineStr">
        <is>
          <t>Assets</t>
        </is>
      </c>
      <c r="D2236" s="3" t="inlineStr">
        <is>
          <t>7620/100</t>
        </is>
      </c>
      <c r="E2236" s="3" t="inlineStr">
        <is>
          <t>Heron View Land</t>
        </is>
      </c>
      <c r="F2236" s="3" t="n">
        <v>0</v>
      </c>
      <c r="G2236" s="3" t="n">
        <v>26200000</v>
      </c>
    </row>
    <row r="2237">
      <c r="A2237" s="3" t="inlineStr">
        <is>
          <t>Heron Fields (Pty) Ltd</t>
        </is>
      </c>
      <c r="B2237" s="4" t="n">
        <v>44895</v>
      </c>
      <c r="C2237" s="3" t="inlineStr">
        <is>
          <t>Assets</t>
        </is>
      </c>
      <c r="D2237" s="3" t="inlineStr">
        <is>
          <t>7620/101</t>
        </is>
      </c>
      <c r="E2237" s="3" t="inlineStr">
        <is>
          <t>HF CIP Bond Registration Fee</t>
        </is>
      </c>
      <c r="F2237" s="3" t="n">
        <v>0</v>
      </c>
      <c r="G2237" s="3" t="n">
        <v>68427</v>
      </c>
    </row>
    <row r="2238">
      <c r="A2238" s="3" t="inlineStr">
        <is>
          <t>Heron Fields (Pty) Ltd</t>
        </is>
      </c>
      <c r="B2238" s="4" t="n">
        <v>44895</v>
      </c>
      <c r="C2238" s="3" t="inlineStr">
        <is>
          <t>Assets</t>
        </is>
      </c>
      <c r="D2238" s="3" t="inlineStr">
        <is>
          <t>7620/102</t>
        </is>
      </c>
      <c r="E2238" s="3" t="inlineStr">
        <is>
          <t>HF CIP Transfer Fee</t>
        </is>
      </c>
      <c r="F2238" s="3" t="n">
        <v>0</v>
      </c>
      <c r="G2238" s="3" t="n">
        <v>103812</v>
      </c>
    </row>
    <row r="2239">
      <c r="A2239" s="3" t="inlineStr">
        <is>
          <t>Heron Fields (Pty) Ltd</t>
        </is>
      </c>
      <c r="B2239" s="4" t="n">
        <v>44895</v>
      </c>
      <c r="C2239" s="3" t="inlineStr">
        <is>
          <t>Assets</t>
        </is>
      </c>
      <c r="D2239" s="3" t="inlineStr">
        <is>
          <t>7620/220</t>
        </is>
      </c>
      <c r="E2239" s="3" t="inlineStr">
        <is>
          <t>HF CIP Architectural Designs</t>
        </is>
      </c>
      <c r="F2239" s="3" t="n">
        <v>694158</v>
      </c>
      <c r="G2239" s="3" t="n">
        <v>844938</v>
      </c>
    </row>
    <row r="2240">
      <c r="A2240" s="3" t="inlineStr">
        <is>
          <t>Heron View (Pty) Ltd</t>
        </is>
      </c>
      <c r="B2240" s="4" t="n">
        <v>44895</v>
      </c>
      <c r="C2240" s="3" t="inlineStr">
        <is>
          <t>Assets</t>
        </is>
      </c>
      <c r="D2240" s="3" t="inlineStr">
        <is>
          <t>7620/220</t>
        </is>
      </c>
      <c r="E2240" s="3" t="inlineStr">
        <is>
          <t>Heron View CIP Architectural Designs</t>
        </is>
      </c>
      <c r="F2240" s="3" t="n">
        <v>249703.77</v>
      </c>
      <c r="G2240" s="3" t="n">
        <v>398921</v>
      </c>
    </row>
    <row r="2241">
      <c r="A2241" s="3" t="inlineStr">
        <is>
          <t>Heron Fields (Pty) Ltd</t>
        </is>
      </c>
      <c r="B2241" s="4" t="n">
        <v>44895</v>
      </c>
      <c r="C2241" s="3" t="inlineStr">
        <is>
          <t>Assets</t>
        </is>
      </c>
      <c r="D2241" s="3" t="inlineStr">
        <is>
          <t>7620/230</t>
        </is>
      </c>
      <c r="E2241" s="3" t="inlineStr">
        <is>
          <t>HF CIP Construction Management</t>
        </is>
      </c>
      <c r="F2241" s="3" t="n">
        <v>15000</v>
      </c>
      <c r="G2241" s="3" t="n">
        <v>120250</v>
      </c>
    </row>
    <row r="2242">
      <c r="A2242" s="3" t="inlineStr">
        <is>
          <t>Heron Fields (Pty) Ltd</t>
        </is>
      </c>
      <c r="B2242" s="4" t="n">
        <v>44895</v>
      </c>
      <c r="C2242" s="3" t="inlineStr">
        <is>
          <t>Assets</t>
        </is>
      </c>
      <c r="D2242" s="3" t="inlineStr">
        <is>
          <t>7620/240</t>
        </is>
      </c>
      <c r="E2242" s="3" t="inlineStr">
        <is>
          <t>HF CIP Civil Engineering</t>
        </is>
      </c>
      <c r="F2242" s="3" t="n">
        <v>0</v>
      </c>
      <c r="G2242" s="3" t="n">
        <v>8127641.8</v>
      </c>
    </row>
    <row r="2243">
      <c r="A2243" s="3" t="inlineStr">
        <is>
          <t>Heron Fields (Pty) Ltd</t>
        </is>
      </c>
      <c r="B2243" s="4" t="n">
        <v>44895</v>
      </c>
      <c r="C2243" s="3" t="inlineStr">
        <is>
          <t>Assets</t>
        </is>
      </c>
      <c r="D2243" s="3" t="inlineStr">
        <is>
          <t>7620/245</t>
        </is>
      </c>
      <c r="E2243" s="3" t="inlineStr">
        <is>
          <t>HF CIP Development fee</t>
        </is>
      </c>
      <c r="F2243" s="3" t="n">
        <v>0</v>
      </c>
      <c r="G2243" s="3" t="n">
        <v>13807.78</v>
      </c>
    </row>
    <row r="2244">
      <c r="A2244" s="3" t="inlineStr">
        <is>
          <t>Heron Fields (Pty) Ltd</t>
        </is>
      </c>
      <c r="B2244" s="4" t="n">
        <v>44895</v>
      </c>
      <c r="C2244" s="3" t="inlineStr">
        <is>
          <t>Assets</t>
        </is>
      </c>
      <c r="D2244" s="3" t="inlineStr">
        <is>
          <t>7620/250</t>
        </is>
      </c>
      <c r="E2244" s="3" t="inlineStr">
        <is>
          <t>HF CIP Land Surveyor</t>
        </is>
      </c>
      <c r="F2244" s="3" t="n">
        <v>3835</v>
      </c>
      <c r="G2244" s="3" t="n">
        <v>152123.09</v>
      </c>
    </row>
    <row r="2245">
      <c r="A2245" s="3" t="inlineStr">
        <is>
          <t>Heron View (Pty) Ltd</t>
        </is>
      </c>
      <c r="B2245" s="4" t="n">
        <v>44895</v>
      </c>
      <c r="C2245" s="3" t="inlineStr">
        <is>
          <t>Assets</t>
        </is>
      </c>
      <c r="D2245" s="3" t="inlineStr">
        <is>
          <t>7620/250</t>
        </is>
      </c>
      <c r="E2245" s="3" t="inlineStr">
        <is>
          <t>Heron View CIP Land Surveyor</t>
        </is>
      </c>
      <c r="F2245" s="3" t="n">
        <v>11650</v>
      </c>
      <c r="G2245" s="3" t="n">
        <v>11650</v>
      </c>
    </row>
    <row r="2246">
      <c r="A2246" s="3" t="inlineStr">
        <is>
          <t>Heron Fields (Pty) Ltd</t>
        </is>
      </c>
      <c r="B2246" s="4" t="n">
        <v>44895</v>
      </c>
      <c r="C2246" s="3" t="inlineStr">
        <is>
          <t>Assets</t>
        </is>
      </c>
      <c r="D2246" s="3" t="inlineStr">
        <is>
          <t>7620/255</t>
        </is>
      </c>
      <c r="E2246" s="3" t="inlineStr">
        <is>
          <t>HF CIP Landscaping</t>
        </is>
      </c>
      <c r="F2246" s="3" t="n">
        <v>0</v>
      </c>
      <c r="G2246" s="3" t="n">
        <v>7500</v>
      </c>
    </row>
    <row r="2247">
      <c r="A2247" s="3" t="inlineStr">
        <is>
          <t>Heron Fields (Pty) Ltd</t>
        </is>
      </c>
      <c r="B2247" s="4" t="n">
        <v>44895</v>
      </c>
      <c r="C2247" s="3" t="inlineStr">
        <is>
          <t>Assets</t>
        </is>
      </c>
      <c r="D2247" s="3" t="inlineStr">
        <is>
          <t>7620/260</t>
        </is>
      </c>
      <c r="E2247" s="3" t="inlineStr">
        <is>
          <t>HF CIP Mechanical Engineers</t>
        </is>
      </c>
      <c r="F2247" s="3" t="n">
        <v>0</v>
      </c>
      <c r="G2247" s="3" t="n">
        <v>67400</v>
      </c>
    </row>
    <row r="2248">
      <c r="A2248" s="3" t="inlineStr">
        <is>
          <t>Heron Fields (Pty) Ltd</t>
        </is>
      </c>
      <c r="B2248" s="4" t="n">
        <v>44895</v>
      </c>
      <c r="C2248" s="3" t="inlineStr">
        <is>
          <t>Assets</t>
        </is>
      </c>
      <c r="D2248" s="3" t="inlineStr">
        <is>
          <t>7620/265</t>
        </is>
      </c>
      <c r="E2248" s="3" t="inlineStr">
        <is>
          <t>HF CIP Health &amp; Safety</t>
        </is>
      </c>
      <c r="F2248" s="3" t="n">
        <v>1400</v>
      </c>
      <c r="G2248" s="3" t="n">
        <v>19200</v>
      </c>
    </row>
    <row r="2249">
      <c r="A2249" s="3" t="inlineStr">
        <is>
          <t>Heron Fields (Pty) Ltd</t>
        </is>
      </c>
      <c r="B2249" s="4" t="n">
        <v>44895</v>
      </c>
      <c r="C2249" s="3" t="inlineStr">
        <is>
          <t>Assets</t>
        </is>
      </c>
      <c r="D2249" s="3" t="inlineStr">
        <is>
          <t>7620/270</t>
        </is>
      </c>
      <c r="E2249" s="3" t="inlineStr">
        <is>
          <t>HF CIP Geotechnical</t>
        </is>
      </c>
      <c r="F2249" s="3" t="n">
        <v>0</v>
      </c>
      <c r="G2249" s="3" t="n">
        <v>15175</v>
      </c>
    </row>
    <row r="2250">
      <c r="A2250" s="3" t="inlineStr">
        <is>
          <t>Heron Fields (Pty) Ltd</t>
        </is>
      </c>
      <c r="B2250" s="4" t="n">
        <v>44895</v>
      </c>
      <c r="C2250" s="3" t="inlineStr">
        <is>
          <t>Assets</t>
        </is>
      </c>
      <c r="D2250" s="3" t="inlineStr">
        <is>
          <t>7620/275</t>
        </is>
      </c>
      <c r="E2250" s="3" t="inlineStr">
        <is>
          <t>HF CIP Retaining Wall</t>
        </is>
      </c>
      <c r="F2250" s="3" t="n">
        <v>0</v>
      </c>
      <c r="G2250" s="3" t="n">
        <v>570856.08</v>
      </c>
    </row>
    <row r="2251">
      <c r="A2251" s="3" t="inlineStr">
        <is>
          <t>Heron Fields (Pty) Ltd</t>
        </is>
      </c>
      <c r="B2251" s="4" t="n">
        <v>44895</v>
      </c>
      <c r="C2251" s="3" t="inlineStr">
        <is>
          <t>Assets</t>
        </is>
      </c>
      <c r="D2251" s="3" t="inlineStr">
        <is>
          <t>7620/280</t>
        </is>
      </c>
      <c r="E2251" s="3" t="inlineStr">
        <is>
          <t>HF CIP Site Establishment</t>
        </is>
      </c>
      <c r="F2251" s="3" t="n">
        <v>4324809.2</v>
      </c>
      <c r="G2251" s="3" t="n">
        <v>43331891.02</v>
      </c>
    </row>
    <row r="2252">
      <c r="A2252" s="3" t="inlineStr">
        <is>
          <t>Heron Fields (Pty) Ltd</t>
        </is>
      </c>
      <c r="B2252" s="4" t="n">
        <v>44895</v>
      </c>
      <c r="C2252" s="3" t="inlineStr">
        <is>
          <t>Assets</t>
        </is>
      </c>
      <c r="D2252" s="3" t="inlineStr">
        <is>
          <t>7620/285</t>
        </is>
      </c>
      <c r="E2252" s="3" t="inlineStr">
        <is>
          <t>HF CIP Structuring Fee - Invest</t>
        </is>
      </c>
      <c r="F2252" s="3" t="n">
        <v>0</v>
      </c>
      <c r="G2252" s="3" t="n">
        <v>3396905</v>
      </c>
    </row>
    <row r="2253">
      <c r="A2253" s="3" t="inlineStr">
        <is>
          <t>Heron Fields (Pty) Ltd</t>
        </is>
      </c>
      <c r="B2253" s="4" t="n">
        <v>44895</v>
      </c>
      <c r="C2253" s="3" t="inlineStr">
        <is>
          <t>Assets</t>
        </is>
      </c>
      <c r="D2253" s="3" t="inlineStr">
        <is>
          <t>7620/287</t>
        </is>
      </c>
      <c r="E2253" s="3" t="inlineStr">
        <is>
          <t>HF CIP Structuring Fee - Development</t>
        </is>
      </c>
      <c r="F2253" s="3" t="n">
        <v>0</v>
      </c>
      <c r="G2253" s="3" t="n">
        <v>782608.0699999999</v>
      </c>
    </row>
    <row r="2254">
      <c r="A2254" s="3" t="inlineStr">
        <is>
          <t>Heron Fields (Pty) Ltd</t>
        </is>
      </c>
      <c r="B2254" s="4" t="n">
        <v>44895</v>
      </c>
      <c r="C2254" s="3" t="inlineStr">
        <is>
          <t>Assets</t>
        </is>
      </c>
      <c r="D2254" s="3" t="inlineStr">
        <is>
          <t>7620/290</t>
        </is>
      </c>
      <c r="E2254" s="3" t="inlineStr">
        <is>
          <t>HF CIP Town Planning</t>
        </is>
      </c>
      <c r="F2254" s="3" t="n">
        <v>3000</v>
      </c>
      <c r="G2254" s="3" t="n">
        <v>166550</v>
      </c>
    </row>
    <row r="2255">
      <c r="A2255" s="3" t="inlineStr">
        <is>
          <t>Heron Fields (Pty) Ltd</t>
        </is>
      </c>
      <c r="B2255" s="4" t="n">
        <v>44895</v>
      </c>
      <c r="C2255" s="3" t="inlineStr">
        <is>
          <t>Assets</t>
        </is>
      </c>
      <c r="D2255" s="3" t="inlineStr">
        <is>
          <t>7620/295</t>
        </is>
      </c>
      <c r="E2255" s="3" t="inlineStr">
        <is>
          <t>HF CIP Traffic Planning</t>
        </is>
      </c>
      <c r="F2255" s="3" t="n">
        <v>0</v>
      </c>
      <c r="G2255" s="3" t="n">
        <v>45000</v>
      </c>
    </row>
    <row r="2256">
      <c r="A2256" s="3" t="inlineStr">
        <is>
          <t>Heron Fields (Pty) Ltd</t>
        </is>
      </c>
      <c r="B2256" s="4" t="n">
        <v>44895</v>
      </c>
      <c r="C2256" s="3" t="inlineStr">
        <is>
          <t>Assets</t>
        </is>
      </c>
      <c r="D2256" s="3" t="inlineStr">
        <is>
          <t>7620/600</t>
        </is>
      </c>
      <c r="E2256" s="3" t="inlineStr">
        <is>
          <t>HF CIP Eco work</t>
        </is>
      </c>
      <c r="F2256" s="3" t="n">
        <v>6000</v>
      </c>
      <c r="G2256" s="3" t="n">
        <v>113000</v>
      </c>
    </row>
    <row r="2257">
      <c r="A2257" s="3" t="inlineStr">
        <is>
          <t>Heron View (Pty) Ltd</t>
        </is>
      </c>
      <c r="B2257" s="4" t="n">
        <v>44895</v>
      </c>
      <c r="C2257" s="3" t="inlineStr">
        <is>
          <t>Assets</t>
        </is>
      </c>
      <c r="D2257" s="3" t="inlineStr">
        <is>
          <t>7620/610</t>
        </is>
      </c>
      <c r="E2257" s="3" t="inlineStr">
        <is>
          <t>HV CIP Retaining wall</t>
        </is>
      </c>
      <c r="F2257" s="3" t="n">
        <v>66190.11</v>
      </c>
      <c r="G2257" s="3" t="n">
        <v>66190.11</v>
      </c>
    </row>
    <row r="2258">
      <c r="A2258" s="3" t="inlineStr">
        <is>
          <t>Heron Fields (Pty) Ltd</t>
        </is>
      </c>
      <c r="B2258" s="4" t="n">
        <v>44895</v>
      </c>
      <c r="C2258" s="3" t="inlineStr">
        <is>
          <t>Assets</t>
        </is>
      </c>
      <c r="D2258" s="3" t="inlineStr">
        <is>
          <t>7620/630</t>
        </is>
      </c>
      <c r="E2258" s="3" t="inlineStr">
        <is>
          <t>HF CIP CoCT development contribution</t>
        </is>
      </c>
      <c r="F2258" s="3" t="n">
        <v>0</v>
      </c>
      <c r="G2258" s="3" t="n">
        <v>1021325.63</v>
      </c>
    </row>
    <row r="2259">
      <c r="A2259" s="3" t="inlineStr">
        <is>
          <t>Heron View (Pty) Ltd</t>
        </is>
      </c>
      <c r="B2259" s="4" t="n">
        <v>44895</v>
      </c>
      <c r="C2259" s="3" t="inlineStr">
        <is>
          <t>Assets</t>
        </is>
      </c>
      <c r="D2259" s="3" t="inlineStr">
        <is>
          <t>7620/630</t>
        </is>
      </c>
      <c r="E2259" s="3" t="inlineStr">
        <is>
          <t>Heron CIP - CoCT development contribution</t>
        </is>
      </c>
      <c r="F2259" s="3" t="n">
        <v>0</v>
      </c>
      <c r="G2259" s="3" t="n">
        <v>1238365.93</v>
      </c>
    </row>
    <row r="2260">
      <c r="A2260" s="3" t="inlineStr">
        <is>
          <t>Heron Fields (Pty) Ltd</t>
        </is>
      </c>
      <c r="B2260" s="4" t="n">
        <v>44895</v>
      </c>
      <c r="C2260" s="3" t="inlineStr">
        <is>
          <t>Assets</t>
        </is>
      </c>
      <c r="D2260" s="3" t="inlineStr">
        <is>
          <t>7620/640</t>
        </is>
      </c>
      <c r="E2260" s="3" t="inlineStr">
        <is>
          <t>HF CIP Project costs</t>
        </is>
      </c>
      <c r="F2260" s="3" t="n">
        <v>0</v>
      </c>
      <c r="G2260" s="3" t="n">
        <v>622274.51</v>
      </c>
    </row>
    <row r="2261">
      <c r="A2261" s="3" t="inlineStr">
        <is>
          <t>Heron View (Pty) Ltd</t>
        </is>
      </c>
      <c r="B2261" s="4" t="n">
        <v>44895</v>
      </c>
      <c r="C2261" s="3" t="inlineStr">
        <is>
          <t>Assets</t>
        </is>
      </c>
      <c r="D2261" s="3" t="inlineStr">
        <is>
          <t>7620/650</t>
        </is>
      </c>
      <c r="E2261" s="3" t="inlineStr">
        <is>
          <t>CIP - Construction Management</t>
        </is>
      </c>
      <c r="F2261" s="3" t="n">
        <v>4500</v>
      </c>
      <c r="G2261" s="3" t="n">
        <v>12030</v>
      </c>
    </row>
    <row r="2262">
      <c r="A2262" s="3" t="inlineStr">
        <is>
          <t>Heron Fields (Pty) Ltd</t>
        </is>
      </c>
      <c r="B2262" s="4" t="n">
        <v>44895</v>
      </c>
      <c r="C2262" s="3" t="inlineStr">
        <is>
          <t>Assets</t>
        </is>
      </c>
      <c r="D2262" s="3" t="inlineStr">
        <is>
          <t>7620/650</t>
        </is>
      </c>
      <c r="E2262" s="3" t="inlineStr">
        <is>
          <t>HF CIP Electrical</t>
        </is>
      </c>
      <c r="F2262" s="3" t="n">
        <v>0</v>
      </c>
      <c r="G2262" s="3" t="n">
        <v>985049.6800000001</v>
      </c>
    </row>
    <row r="2263">
      <c r="A2263" s="3" t="inlineStr">
        <is>
          <t>Heron View (Pty) Ltd</t>
        </is>
      </c>
      <c r="B2263" s="4" t="n">
        <v>44895</v>
      </c>
      <c r="C2263" s="3" t="inlineStr">
        <is>
          <t>Assets</t>
        </is>
      </c>
      <c r="D2263" s="3" t="inlineStr">
        <is>
          <t>7620/660</t>
        </is>
      </c>
      <c r="E2263" s="3" t="inlineStr">
        <is>
          <t>HV CIP Health &amp; Safety</t>
        </is>
      </c>
      <c r="F2263" s="3" t="n">
        <v>1100</v>
      </c>
      <c r="G2263" s="3" t="n">
        <v>11800</v>
      </c>
    </row>
    <row r="2264">
      <c r="A2264" s="3" t="inlineStr">
        <is>
          <t>Heron View (Pty) Ltd</t>
        </is>
      </c>
      <c r="B2264" s="4" t="n">
        <v>44895</v>
      </c>
      <c r="C2264" s="3" t="inlineStr">
        <is>
          <t>Assets</t>
        </is>
      </c>
      <c r="D2264" s="3" t="inlineStr">
        <is>
          <t>7620/670</t>
        </is>
      </c>
      <c r="E2264" s="3" t="inlineStr">
        <is>
          <t>HV CIP - Project costs CPSD</t>
        </is>
      </c>
      <c r="F2264" s="3" t="n">
        <v>0</v>
      </c>
      <c r="G2264" s="3" t="n">
        <v>250000</v>
      </c>
    </row>
    <row r="2265">
      <c r="A2265" s="3" t="inlineStr">
        <is>
          <t>Heron Fields (Pty) Ltd</t>
        </is>
      </c>
      <c r="B2265" s="4" t="n">
        <v>44895</v>
      </c>
      <c r="C2265" s="3" t="inlineStr">
        <is>
          <t>Assets</t>
        </is>
      </c>
      <c r="D2265" s="3" t="inlineStr">
        <is>
          <t>7620/700</t>
        </is>
      </c>
      <c r="E2265" s="3" t="inlineStr">
        <is>
          <t>HF CIP - P&amp;G recoveries - Endulini&amp;Heron Fields/View</t>
        </is>
      </c>
      <c r="F2265" s="3" t="n">
        <v>0</v>
      </c>
      <c r="G2265" s="3" t="n">
        <v>3023829.42</v>
      </c>
    </row>
    <row r="2266">
      <c r="A2266" s="3" t="inlineStr">
        <is>
          <t>Heron Fields (Pty) Ltd</t>
        </is>
      </c>
      <c r="B2266" s="4" t="n">
        <v>44895</v>
      </c>
      <c r="C2266" s="3" t="inlineStr">
        <is>
          <t>Assets</t>
        </is>
      </c>
      <c r="D2266" s="3" t="inlineStr">
        <is>
          <t>7620/750</t>
        </is>
      </c>
      <c r="E2266" s="3" t="inlineStr">
        <is>
          <t>HF CIP Project costs CPSD</t>
        </is>
      </c>
      <c r="F2266" s="3" t="n">
        <v>0</v>
      </c>
      <c r="G2266" s="3" t="n">
        <v>850000</v>
      </c>
    </row>
    <row r="2267">
      <c r="A2267" s="3" t="inlineStr">
        <is>
          <t>Cape Projects Construction (Pty) Ltd</t>
        </is>
      </c>
      <c r="B2267" s="4" t="n">
        <v>44895</v>
      </c>
      <c r="C2267" s="3" t="inlineStr">
        <is>
          <t>Assets</t>
        </is>
      </c>
      <c r="D2267" s="3" t="inlineStr">
        <is>
          <t>7800/000</t>
        </is>
      </c>
      <c r="E2267" s="3" t="inlineStr">
        <is>
          <t>Deposits paid</t>
        </is>
      </c>
      <c r="F2267" s="3" t="n">
        <v>0</v>
      </c>
      <c r="G2267" s="3" t="n">
        <v>8387.950000000001</v>
      </c>
    </row>
    <row r="2268">
      <c r="A2268" s="3" t="inlineStr">
        <is>
          <t>Cape Projects Construction (Pty) Ltd</t>
        </is>
      </c>
      <c r="B2268" s="4" t="n">
        <v>44895</v>
      </c>
      <c r="C2268" s="3" t="inlineStr">
        <is>
          <t>Assets</t>
        </is>
      </c>
      <c r="D2268" s="3" t="inlineStr">
        <is>
          <t>8000/000</t>
        </is>
      </c>
      <c r="E2268" s="3" t="inlineStr">
        <is>
          <t>Customer Control Account</t>
        </is>
      </c>
      <c r="F2268" s="3" t="n">
        <v>-373642.24</v>
      </c>
      <c r="G2268" s="3" t="n">
        <v>3713632.21</v>
      </c>
    </row>
    <row r="2269">
      <c r="A2269" s="3" t="inlineStr">
        <is>
          <t>Heron Fields (Pty) Ltd</t>
        </is>
      </c>
      <c r="B2269" s="4" t="n">
        <v>44895</v>
      </c>
      <c r="C2269" s="3" t="inlineStr">
        <is>
          <t>Assets</t>
        </is>
      </c>
      <c r="D2269" s="3" t="inlineStr">
        <is>
          <t>8000/000</t>
        </is>
      </c>
      <c r="E2269" s="3" t="inlineStr">
        <is>
          <t>Customer Control Account</t>
        </is>
      </c>
      <c r="F2269" s="3" t="n">
        <v>10000</v>
      </c>
      <c r="G2269" s="3" t="n">
        <v>10000</v>
      </c>
    </row>
    <row r="2270">
      <c r="A2270" s="3" t="inlineStr">
        <is>
          <t>Cape Projects Construction (Pty) Ltd</t>
        </is>
      </c>
      <c r="B2270" s="4" t="n">
        <v>44895</v>
      </c>
      <c r="C2270" s="3" t="inlineStr">
        <is>
          <t>Assets</t>
        </is>
      </c>
      <c r="D2270" s="3" t="inlineStr">
        <is>
          <t>8200/010</t>
        </is>
      </c>
      <c r="E2270" s="3" t="inlineStr">
        <is>
          <t>Prepayments / Prepaid Expenses</t>
        </is>
      </c>
      <c r="F2270" s="3" t="n">
        <v>-2719.44</v>
      </c>
      <c r="G2270" s="3" t="n">
        <v>10877.75</v>
      </c>
    </row>
    <row r="2271">
      <c r="A2271" s="3" t="inlineStr">
        <is>
          <t>Heron Fields (Pty) Ltd</t>
        </is>
      </c>
      <c r="B2271" s="4" t="n">
        <v>44895</v>
      </c>
      <c r="C2271" s="3" t="inlineStr">
        <is>
          <t>Assets</t>
        </is>
      </c>
      <c r="D2271" s="3" t="inlineStr">
        <is>
          <t>8400/000</t>
        </is>
      </c>
      <c r="E2271" s="3" t="inlineStr">
        <is>
          <t>RMB - 62882379087</t>
        </is>
      </c>
      <c r="F2271" s="3" t="n">
        <v>1348338.4</v>
      </c>
      <c r="G2271" s="3" t="n">
        <v>1669217.49</v>
      </c>
    </row>
    <row r="2272">
      <c r="A2272" s="3" t="inlineStr">
        <is>
          <t>Cape Projects Construction (Pty) Ltd</t>
        </is>
      </c>
      <c r="B2272" s="4" t="n">
        <v>44895</v>
      </c>
      <c r="C2272" s="3" t="inlineStr">
        <is>
          <t>Assets</t>
        </is>
      </c>
      <c r="D2272" s="3" t="inlineStr">
        <is>
          <t>8400/000</t>
        </is>
      </c>
      <c r="E2272" s="3" t="inlineStr">
        <is>
          <t>RMB 62275138470</t>
        </is>
      </c>
      <c r="F2272" s="3" t="n">
        <v>1709176.01</v>
      </c>
      <c r="G2272" s="3" t="n">
        <v>1813733.65</v>
      </c>
    </row>
    <row r="2273">
      <c r="A2273" s="3" t="inlineStr">
        <is>
          <t>Cape Projects Construction (Pty) Ltd</t>
        </is>
      </c>
      <c r="B2273" s="4" t="n">
        <v>44895</v>
      </c>
      <c r="C2273" s="3" t="inlineStr">
        <is>
          <t>Assets</t>
        </is>
      </c>
      <c r="D2273" s="3" t="inlineStr">
        <is>
          <t>8420/000</t>
        </is>
      </c>
      <c r="E2273" s="3" t="inlineStr">
        <is>
          <t>Momentum Priv Acc RU502230981</t>
        </is>
      </c>
      <c r="F2273" s="3" t="n">
        <v>0</v>
      </c>
      <c r="G2273" s="3" t="n">
        <v>527.86</v>
      </c>
    </row>
    <row r="2274">
      <c r="A2274" s="3" t="inlineStr">
        <is>
          <t>Heron Fields (Pty) Ltd</t>
        </is>
      </c>
      <c r="B2274" s="4" t="n">
        <v>44895</v>
      </c>
      <c r="C2274" s="3" t="inlineStr">
        <is>
          <t>Assets</t>
        </is>
      </c>
      <c r="D2274" s="3" t="inlineStr">
        <is>
          <t>8430/000</t>
        </is>
      </c>
      <c r="E2274" s="3" t="inlineStr">
        <is>
          <t>Momentum Private Account RU502230151</t>
        </is>
      </c>
      <c r="F2274" s="3" t="n">
        <v>4.03</v>
      </c>
      <c r="G2274" s="3" t="n">
        <v>813.9400000000001</v>
      </c>
    </row>
    <row r="2275">
      <c r="A2275" s="3" t="inlineStr">
        <is>
          <t>Heron Fields (Pty) Ltd</t>
        </is>
      </c>
      <c r="B2275" s="4" t="n">
        <v>44895</v>
      </c>
      <c r="C2275" s="3" t="inlineStr">
        <is>
          <t>Assets</t>
        </is>
      </c>
      <c r="D2275" s="3" t="inlineStr">
        <is>
          <t>8440/000</t>
        </is>
      </c>
      <c r="E2275" s="3" t="inlineStr">
        <is>
          <t>Momentum Investors Account RU502229930</t>
        </is>
      </c>
      <c r="F2275" s="3" t="n">
        <v>869537.73</v>
      </c>
      <c r="G2275" s="3" t="n">
        <v>9715961.609999999</v>
      </c>
    </row>
    <row r="2276">
      <c r="A2276" s="3" t="inlineStr">
        <is>
          <t>Cape Projects Construction (Pty) Ltd</t>
        </is>
      </c>
      <c r="B2276" s="4" t="n">
        <v>44895</v>
      </c>
      <c r="C2276" s="3" t="inlineStr">
        <is>
          <t>Liabilities</t>
        </is>
      </c>
      <c r="D2276" s="3" t="inlineStr">
        <is>
          <t>860</t>
        </is>
      </c>
      <c r="E2276" s="3" t="inlineStr">
        <is>
          <t>Rounding</t>
        </is>
      </c>
      <c r="F2276" s="3" t="n">
        <v>-0.17</v>
      </c>
      <c r="G2276" s="3" t="n">
        <v>-0.49</v>
      </c>
    </row>
    <row r="2277">
      <c r="A2277" s="3" t="inlineStr">
        <is>
          <t>Cape Projects Construction (Pty) Ltd</t>
        </is>
      </c>
      <c r="B2277" s="4" t="n">
        <v>44895</v>
      </c>
      <c r="C2277" s="3" t="inlineStr">
        <is>
          <t>Liabilities</t>
        </is>
      </c>
      <c r="D2277" s="3" t="inlineStr">
        <is>
          <t>9000/000</t>
        </is>
      </c>
      <c r="E2277" s="3" t="inlineStr">
        <is>
          <t>Supplier Control Account</t>
        </is>
      </c>
      <c r="F2277" s="3" t="n">
        <v>-1189280.17</v>
      </c>
      <c r="G2277" s="3" t="n">
        <v>-4705629.72</v>
      </c>
    </row>
    <row r="2278">
      <c r="A2278" s="3" t="inlineStr">
        <is>
          <t>Heron Fields (Pty) Ltd</t>
        </is>
      </c>
      <c r="B2278" s="4" t="n">
        <v>44895</v>
      </c>
      <c r="C2278" s="3" t="inlineStr">
        <is>
          <t>Liabilities</t>
        </is>
      </c>
      <c r="D2278" s="3" t="inlineStr">
        <is>
          <t>9000/000</t>
        </is>
      </c>
      <c r="E2278" s="3" t="inlineStr">
        <is>
          <t>Supplier Control Account</t>
        </is>
      </c>
      <c r="F2278" s="3" t="n">
        <v>5520573.29</v>
      </c>
      <c r="G2278" s="3" t="n">
        <v>-103763296.33</v>
      </c>
    </row>
    <row r="2279">
      <c r="A2279" s="3" t="inlineStr">
        <is>
          <t>Heron View (Pty) Ltd</t>
        </is>
      </c>
      <c r="B2279" s="4" t="n">
        <v>44895</v>
      </c>
      <c r="C2279" s="3" t="inlineStr">
        <is>
          <t>Liabilities</t>
        </is>
      </c>
      <c r="D2279" s="3" t="inlineStr">
        <is>
          <t>9000/000</t>
        </is>
      </c>
      <c r="E2279" s="3" t="inlineStr">
        <is>
          <t>Supplier Control Account</t>
        </is>
      </c>
      <c r="F2279" s="3" t="n">
        <v>-542058.72</v>
      </c>
      <c r="G2279" s="3" t="n">
        <v>-715858.53</v>
      </c>
    </row>
    <row r="2280">
      <c r="A2280" s="3" t="inlineStr">
        <is>
          <t>Cape Projects Construction (Pty) Ltd</t>
        </is>
      </c>
      <c r="B2280" s="4" t="n">
        <v>44895</v>
      </c>
      <c r="C2280" s="3" t="inlineStr">
        <is>
          <t>Liabilities</t>
        </is>
      </c>
      <c r="D2280" s="3" t="inlineStr">
        <is>
          <t>9200/000</t>
        </is>
      </c>
      <c r="E2280" s="3" t="inlineStr">
        <is>
          <t>Sundry Suppliers</t>
        </is>
      </c>
      <c r="F2280" s="3" t="n">
        <v>0</v>
      </c>
      <c r="G2280" s="3" t="n">
        <v>1186.13</v>
      </c>
    </row>
    <row r="2281">
      <c r="A2281" s="3" t="inlineStr">
        <is>
          <t>Cape Projects Construction (Pty) Ltd</t>
        </is>
      </c>
      <c r="B2281" s="4" t="n">
        <v>44895</v>
      </c>
      <c r="C2281" s="3" t="inlineStr">
        <is>
          <t>Liabilities</t>
        </is>
      </c>
      <c r="D2281" s="3" t="inlineStr">
        <is>
          <t>9250/010</t>
        </is>
      </c>
      <c r="E2281" s="3" t="inlineStr">
        <is>
          <t>SALARY CONTROL</t>
        </is>
      </c>
      <c r="F2281" s="3" t="n">
        <v>0</v>
      </c>
      <c r="G2281" s="3" t="n">
        <v>20758.55</v>
      </c>
    </row>
    <row r="2282">
      <c r="A2282" s="3" t="inlineStr">
        <is>
          <t>Cape Projects Construction (Pty) Ltd</t>
        </is>
      </c>
      <c r="B2282" s="4" t="n">
        <v>44895</v>
      </c>
      <c r="C2282" s="3" t="inlineStr">
        <is>
          <t>Liabilities</t>
        </is>
      </c>
      <c r="D2282" s="3" t="inlineStr">
        <is>
          <t>9250/020</t>
        </is>
      </c>
      <c r="E2282" s="3" t="inlineStr">
        <is>
          <t>PAYE, UIF AND SDL CONTROL</t>
        </is>
      </c>
      <c r="F2282" s="3" t="n">
        <v>7816.97</v>
      </c>
      <c r="G2282" s="3" t="n">
        <v>-29956.55</v>
      </c>
    </row>
    <row r="2283">
      <c r="A2283" s="3" t="inlineStr">
        <is>
          <t>Cape Projects Construction (Pty) Ltd</t>
        </is>
      </c>
      <c r="B2283" s="4" t="n">
        <v>44895</v>
      </c>
      <c r="C2283" s="3" t="inlineStr">
        <is>
          <t>Liabilities</t>
        </is>
      </c>
      <c r="D2283" s="3" t="inlineStr">
        <is>
          <t>9250/030</t>
        </is>
      </c>
      <c r="E2283" s="3" t="inlineStr">
        <is>
          <t>BIBC CONTROL</t>
        </is>
      </c>
      <c r="F2283" s="3" t="n">
        <v>2562.95</v>
      </c>
      <c r="G2283" s="3" t="n">
        <v>-11348.75</v>
      </c>
    </row>
    <row r="2284">
      <c r="A2284" s="3" t="inlineStr">
        <is>
          <t>Cape Projects Construction (Pty) Ltd</t>
        </is>
      </c>
      <c r="B2284" s="4" t="n">
        <v>44895</v>
      </c>
      <c r="C2284" s="3" t="inlineStr">
        <is>
          <t>Liabilities</t>
        </is>
      </c>
      <c r="D2284" s="3" t="inlineStr">
        <is>
          <t>9500/000</t>
        </is>
      </c>
      <c r="E2284" s="3" t="inlineStr">
        <is>
          <t>VAT Control Account</t>
        </is>
      </c>
      <c r="F2284" s="3" t="n">
        <v>-181396.47</v>
      </c>
      <c r="G2284" s="3" t="n">
        <v>-255924.7</v>
      </c>
    </row>
    <row r="2285">
      <c r="A2285" s="3" t="inlineStr">
        <is>
          <t>Heron Fields (Pty) Ltd</t>
        </is>
      </c>
      <c r="B2285" s="4" t="n">
        <v>44895</v>
      </c>
      <c r="C2285" s="3" t="inlineStr">
        <is>
          <t>Liabilities</t>
        </is>
      </c>
      <c r="D2285" s="3" t="inlineStr">
        <is>
          <t>9500/000</t>
        </is>
      </c>
      <c r="E2285" s="3" t="inlineStr">
        <is>
          <t>Vat / Tax Control Account</t>
        </is>
      </c>
      <c r="F2285" s="3" t="n">
        <v>-6589202.67</v>
      </c>
      <c r="G2285" s="3" t="n">
        <v>-1488130.97</v>
      </c>
    </row>
    <row r="2286">
      <c r="A2286" s="3" t="inlineStr">
        <is>
          <t>Heron View (Pty) Ltd</t>
        </is>
      </c>
      <c r="B2286" s="4" t="n">
        <v>44895</v>
      </c>
      <c r="C2286" s="3" t="inlineStr">
        <is>
          <t>Liabilities</t>
        </is>
      </c>
      <c r="D2286" s="3" t="inlineStr">
        <is>
          <t>9500/000</t>
        </is>
      </c>
      <c r="E2286" s="3" t="inlineStr">
        <is>
          <t>Vat / Tax Control Account</t>
        </is>
      </c>
      <c r="F2286" s="3" t="n">
        <v>47646.59</v>
      </c>
      <c r="G2286" s="3" t="n">
        <v>294976.54</v>
      </c>
    </row>
    <row r="2287">
      <c r="A2287" s="3" t="inlineStr">
        <is>
          <t>Heron Fields (Pty) Ltd</t>
        </is>
      </c>
      <c r="B2287" s="4" t="n">
        <v>44895</v>
      </c>
      <c r="C2287" s="3" t="inlineStr">
        <is>
          <t>Liabilities</t>
        </is>
      </c>
      <c r="D2287" s="3" t="inlineStr">
        <is>
          <t>9899/A101</t>
        </is>
      </c>
      <c r="E2287" s="3" t="inlineStr">
        <is>
          <t>Sales - Unit Reg Control A101</t>
        </is>
      </c>
      <c r="F2287" s="3" t="n">
        <v>74995</v>
      </c>
      <c r="G2287" s="3" t="n">
        <v>74995</v>
      </c>
    </row>
    <row r="2288">
      <c r="A2288" s="3" t="inlineStr">
        <is>
          <t>Heron Fields (Pty) Ltd</t>
        </is>
      </c>
      <c r="B2288" s="4" t="n">
        <v>44895</v>
      </c>
      <c r="C2288" s="3" t="inlineStr">
        <is>
          <t>Liabilities</t>
        </is>
      </c>
      <c r="D2288" s="3" t="inlineStr">
        <is>
          <t>9899/A102</t>
        </is>
      </c>
      <c r="E2288" s="3" t="inlineStr">
        <is>
          <t>Sales - Unit Reg Control A102</t>
        </is>
      </c>
      <c r="F2288" s="3" t="n">
        <v>74995</v>
      </c>
      <c r="G2288" s="3" t="n">
        <v>74995</v>
      </c>
    </row>
    <row r="2289">
      <c r="A2289" s="3" t="inlineStr">
        <is>
          <t>Heron Fields (Pty) Ltd</t>
        </is>
      </c>
      <c r="B2289" s="4" t="n">
        <v>44895</v>
      </c>
      <c r="C2289" s="3" t="inlineStr">
        <is>
          <t>Liabilities</t>
        </is>
      </c>
      <c r="D2289" s="3" t="inlineStr">
        <is>
          <t>9899/A103</t>
        </is>
      </c>
      <c r="E2289" s="3" t="inlineStr">
        <is>
          <t>Sales - Unit Reg Control A103</t>
        </is>
      </c>
      <c r="F2289" s="3" t="n">
        <v>77495</v>
      </c>
      <c r="G2289" s="3" t="n">
        <v>77495</v>
      </c>
    </row>
    <row r="2290">
      <c r="A2290" s="3" t="inlineStr">
        <is>
          <t>Heron Fields (Pty) Ltd</t>
        </is>
      </c>
      <c r="B2290" s="4" t="n">
        <v>44895</v>
      </c>
      <c r="C2290" s="3" t="inlineStr">
        <is>
          <t>Liabilities</t>
        </is>
      </c>
      <c r="D2290" s="3" t="inlineStr">
        <is>
          <t>9899/A105</t>
        </is>
      </c>
      <c r="E2290" s="3" t="inlineStr">
        <is>
          <t>Sales - Unit Reg Control A105</t>
        </is>
      </c>
      <c r="F2290" s="3" t="n">
        <v>76995</v>
      </c>
      <c r="G2290" s="3" t="n">
        <v>76995</v>
      </c>
    </row>
    <row r="2291">
      <c r="A2291" s="3" t="inlineStr">
        <is>
          <t>Heron Fields (Pty) Ltd</t>
        </is>
      </c>
      <c r="B2291" s="4" t="n">
        <v>44895</v>
      </c>
      <c r="C2291" s="3" t="inlineStr">
        <is>
          <t>Liabilities</t>
        </is>
      </c>
      <c r="D2291" s="3" t="inlineStr">
        <is>
          <t>9899/A106</t>
        </is>
      </c>
      <c r="E2291" s="3" t="inlineStr">
        <is>
          <t>Sales - Unit Reg Control A106</t>
        </is>
      </c>
      <c r="F2291" s="3" t="n">
        <v>77495</v>
      </c>
      <c r="G2291" s="3" t="n">
        <v>77495</v>
      </c>
    </row>
    <row r="2292">
      <c r="A2292" s="3" t="inlineStr">
        <is>
          <t>Heron Fields (Pty) Ltd</t>
        </is>
      </c>
      <c r="B2292" s="4" t="n">
        <v>44895</v>
      </c>
      <c r="C2292" s="3" t="inlineStr">
        <is>
          <t>Liabilities</t>
        </is>
      </c>
      <c r="D2292" s="3" t="inlineStr">
        <is>
          <t>9899/A201</t>
        </is>
      </c>
      <c r="E2292" s="3" t="inlineStr">
        <is>
          <t>Sales - Unit Reg Control A201</t>
        </is>
      </c>
      <c r="F2292" s="3" t="n">
        <v>62495</v>
      </c>
      <c r="G2292" s="3" t="n">
        <v>62495</v>
      </c>
    </row>
    <row r="2293">
      <c r="A2293" s="3" t="inlineStr">
        <is>
          <t>Heron Fields (Pty) Ltd</t>
        </is>
      </c>
      <c r="B2293" s="4" t="n">
        <v>44895</v>
      </c>
      <c r="C2293" s="3" t="inlineStr">
        <is>
          <t>Liabilities</t>
        </is>
      </c>
      <c r="D2293" s="3" t="inlineStr">
        <is>
          <t>9899/A204</t>
        </is>
      </c>
      <c r="E2293" s="3" t="inlineStr">
        <is>
          <t>Sales - Unit Reg Control A204</t>
        </is>
      </c>
      <c r="F2293" s="3" t="n">
        <v>64995</v>
      </c>
      <c r="G2293" s="3" t="n">
        <v>64995</v>
      </c>
    </row>
    <row r="2294">
      <c r="A2294" s="3" t="inlineStr">
        <is>
          <t>Heron Fields (Pty) Ltd</t>
        </is>
      </c>
      <c r="B2294" s="4" t="n">
        <v>44895</v>
      </c>
      <c r="C2294" s="3" t="inlineStr">
        <is>
          <t>Liabilities</t>
        </is>
      </c>
      <c r="D2294" s="3" t="inlineStr">
        <is>
          <t>9899/A206</t>
        </is>
      </c>
      <c r="E2294" s="3" t="inlineStr">
        <is>
          <t>Sales - Unit Reg Control A206</t>
        </is>
      </c>
      <c r="F2294" s="3" t="n">
        <v>67495</v>
      </c>
      <c r="G2294" s="3" t="n">
        <v>67495</v>
      </c>
    </row>
    <row r="2295">
      <c r="A2295" s="3" t="inlineStr">
        <is>
          <t>Heron Fields (Pty) Ltd</t>
        </is>
      </c>
      <c r="B2295" s="4" t="n">
        <v>44895</v>
      </c>
      <c r="C2295" s="3" t="inlineStr">
        <is>
          <t>Liabilities</t>
        </is>
      </c>
      <c r="D2295" s="3" t="inlineStr">
        <is>
          <t>9899/B103</t>
        </is>
      </c>
      <c r="E2295" s="3" t="inlineStr">
        <is>
          <t>Sales - Unit Reg Control B103</t>
        </is>
      </c>
      <c r="F2295" s="3" t="n">
        <v>76745</v>
      </c>
      <c r="G2295" s="3" t="n">
        <v>76745</v>
      </c>
    </row>
    <row r="2296">
      <c r="A2296" s="3" t="inlineStr">
        <is>
          <t>Cape Projects Construction (Pty) Ltd</t>
        </is>
      </c>
      <c r="B2296" s="4" t="n">
        <v>44895</v>
      </c>
      <c r="C2296" s="3" t="inlineStr">
        <is>
          <t>Liabilities</t>
        </is>
      </c>
      <c r="D2296" s="3" t="inlineStr">
        <is>
          <t>B/S</t>
        </is>
      </c>
      <c r="E2296" s="3" t="inlineStr">
        <is>
          <t>Taxation Payable</t>
        </is>
      </c>
      <c r="F2296" s="3" t="n">
        <v>0</v>
      </c>
      <c r="G2296" s="3" t="n">
        <v>1869.8</v>
      </c>
    </row>
    <row r="2297">
      <c r="A2297" s="3" t="inlineStr">
        <is>
          <t>Cape Projects Construction (Pty) Ltd</t>
        </is>
      </c>
      <c r="B2297" s="4" t="n">
        <v>44895</v>
      </c>
      <c r="C2297" s="3" t="inlineStr">
        <is>
          <t>Liabilities</t>
        </is>
      </c>
      <c r="D2297" s="3" t="inlineStr">
        <is>
          <t>TEMP/ACC</t>
        </is>
      </c>
      <c r="E2297" s="3" t="inlineStr">
        <is>
          <t>Conversion Account</t>
        </is>
      </c>
      <c r="F2297" s="3" t="n">
        <v>0</v>
      </c>
      <c r="G2297" s="3" t="n">
        <v>-254.99</v>
      </c>
    </row>
    <row r="2298">
      <c r="A2298" s="3" t="inlineStr">
        <is>
          <t>Heron Fields (Pty) Ltd</t>
        </is>
      </c>
      <c r="B2298" s="4" t="n">
        <v>44926</v>
      </c>
      <c r="C2298" s="3" t="inlineStr">
        <is>
          <t>Revenue</t>
        </is>
      </c>
      <c r="D2298" s="3" t="inlineStr">
        <is>
          <t>1000/100</t>
        </is>
      </c>
      <c r="E2298" s="3" t="inlineStr">
        <is>
          <t>Sales - Heron Fields</t>
        </is>
      </c>
      <c r="F2298" s="3" t="n">
        <v>-8891565.23</v>
      </c>
      <c r="G2298" s="3" t="n">
        <v>-22716695.67</v>
      </c>
    </row>
    <row r="2299">
      <c r="A2299" s="3" t="inlineStr">
        <is>
          <t>Heron Fields (Pty) Ltd</t>
        </is>
      </c>
      <c r="B2299" s="4" t="n">
        <v>44926</v>
      </c>
      <c r="C2299" s="3" t="inlineStr">
        <is>
          <t>Revenue</t>
        </is>
      </c>
      <c r="D2299" s="3" t="inlineStr">
        <is>
          <t>1000/101</t>
        </is>
      </c>
      <c r="E2299" s="3" t="inlineStr">
        <is>
          <t>Sales - Heron Fields occupational rent</t>
        </is>
      </c>
      <c r="F2299" s="3" t="n">
        <v>-22499.99</v>
      </c>
      <c r="G2299" s="3" t="n">
        <v>-89091.39</v>
      </c>
    </row>
    <row r="2300">
      <c r="A2300" s="3" t="inlineStr">
        <is>
          <t>Cape Projects Construction (Pty) Ltd</t>
        </is>
      </c>
      <c r="B2300" s="4" t="n">
        <v>44926</v>
      </c>
      <c r="C2300" s="3" t="inlineStr">
        <is>
          <t>Revenue</t>
        </is>
      </c>
      <c r="D2300" s="3" t="inlineStr">
        <is>
          <t>1040/100</t>
        </is>
      </c>
      <c r="E2300" s="3" t="inlineStr">
        <is>
          <t>Fees - Construction - Heron</t>
        </is>
      </c>
      <c r="F2300" s="3" t="n">
        <v>-4857562.08</v>
      </c>
      <c r="G2300" s="3" t="n">
        <v>-45832766.89</v>
      </c>
    </row>
    <row r="2301">
      <c r="A2301" s="3" t="inlineStr">
        <is>
          <t>Cape Projects Construction (Pty) Ltd</t>
        </is>
      </c>
      <c r="B2301" s="4" t="n">
        <v>44926</v>
      </c>
      <c r="C2301" s="3" t="inlineStr">
        <is>
          <t>Revenue</t>
        </is>
      </c>
      <c r="D2301" s="3" t="inlineStr">
        <is>
          <t>1050/030</t>
        </is>
      </c>
      <c r="E2301" s="3" t="inlineStr">
        <is>
          <t>Fees - Construction - Endulini</t>
        </is>
      </c>
      <c r="F2301" s="3" t="n">
        <v>0</v>
      </c>
      <c r="G2301" s="3" t="n">
        <v>-12046638.06</v>
      </c>
    </row>
    <row r="2302">
      <c r="A2302" s="3" t="inlineStr">
        <is>
          <t>Cape Projects Construction (Pty) Ltd</t>
        </is>
      </c>
      <c r="B2302" s="4" t="n">
        <v>44926</v>
      </c>
      <c r="C2302" s="3" t="inlineStr">
        <is>
          <t>Revenue</t>
        </is>
      </c>
      <c r="D2302" s="3" t="inlineStr">
        <is>
          <t>1051/100</t>
        </is>
      </c>
      <c r="E2302" s="3" t="inlineStr">
        <is>
          <t>Fees - Construction - Heron Fields</t>
        </is>
      </c>
      <c r="F2302" s="3" t="n">
        <v>0</v>
      </c>
      <c r="G2302" s="3" t="n">
        <v>-1782369.8</v>
      </c>
    </row>
    <row r="2303">
      <c r="A2303" s="3" t="inlineStr">
        <is>
          <t>Cape Projects Construction (Pty) Ltd</t>
        </is>
      </c>
      <c r="B2303" s="4" t="n">
        <v>44926</v>
      </c>
      <c r="C2303" s="3" t="inlineStr">
        <is>
          <t>Revenue</t>
        </is>
      </c>
      <c r="D2303" s="3" t="inlineStr">
        <is>
          <t>1051/200</t>
        </is>
      </c>
      <c r="E2303" s="3" t="inlineStr">
        <is>
          <t>Fees - Construction - Heron Fields P&amp;G</t>
        </is>
      </c>
      <c r="F2303" s="3" t="n">
        <v>0</v>
      </c>
      <c r="G2303" s="3" t="n">
        <v>1616.91</v>
      </c>
    </row>
    <row r="2304">
      <c r="A2304" s="3" t="inlineStr">
        <is>
          <t>Cape Projects Construction (Pty) Ltd</t>
        </is>
      </c>
      <c r="B2304" s="4" t="n">
        <v>44926</v>
      </c>
      <c r="C2304" s="3" t="inlineStr">
        <is>
          <t>Revenue</t>
        </is>
      </c>
      <c r="D2304" s="3" t="inlineStr">
        <is>
          <t>1060/000</t>
        </is>
      </c>
      <c r="E2304" s="3" t="inlineStr">
        <is>
          <t>Insurance recovery</t>
        </is>
      </c>
      <c r="F2304" s="3" t="n">
        <v>0</v>
      </c>
      <c r="G2304" s="3" t="n">
        <v>-2839.7</v>
      </c>
    </row>
    <row r="2305">
      <c r="A2305" s="3" t="inlineStr">
        <is>
          <t>Cape Projects Construction (Pty) Ltd</t>
        </is>
      </c>
      <c r="B2305" s="4" t="n">
        <v>44926</v>
      </c>
      <c r="C2305" s="3" t="inlineStr">
        <is>
          <t>Revenue</t>
        </is>
      </c>
      <c r="D2305" s="3" t="inlineStr">
        <is>
          <t>1070/000</t>
        </is>
      </c>
      <c r="E2305" s="3" t="inlineStr">
        <is>
          <t>Rent - CT Office</t>
        </is>
      </c>
      <c r="F2305" s="3" t="n">
        <v>0</v>
      </c>
      <c r="G2305" s="3" t="n">
        <v>-31418.46</v>
      </c>
    </row>
    <row r="2306">
      <c r="A2306" s="3" t="inlineStr">
        <is>
          <t>Heron View (Pty) Ltd</t>
        </is>
      </c>
      <c r="B2306" s="4" t="n">
        <v>44926</v>
      </c>
      <c r="C2306" s="3" t="inlineStr">
        <is>
          <t>Expenses</t>
        </is>
      </c>
      <c r="D2306" s="3" t="inlineStr">
        <is>
          <t>2000/010</t>
        </is>
      </c>
      <c r="E2306" s="3" t="inlineStr">
        <is>
          <t>COS - Heron View</t>
        </is>
      </c>
      <c r="F2306" s="3" t="n">
        <v>0</v>
      </c>
      <c r="G2306" s="3" t="n">
        <v>678.59</v>
      </c>
    </row>
    <row r="2307">
      <c r="A2307" s="3" t="inlineStr">
        <is>
          <t>Heron Fields (Pty) Ltd</t>
        </is>
      </c>
      <c r="B2307" s="4" t="n">
        <v>44926</v>
      </c>
      <c r="C2307" s="3" t="inlineStr">
        <is>
          <t>Expenses</t>
        </is>
      </c>
      <c r="D2307" s="3" t="inlineStr">
        <is>
          <t>2000/030</t>
        </is>
      </c>
      <c r="E2307" s="3" t="inlineStr">
        <is>
          <t>COS - Commission Heron Fields investors</t>
        </is>
      </c>
      <c r="F2307" s="3" t="n">
        <v>0</v>
      </c>
      <c r="G2307" s="3" t="n">
        <v>86956.52</v>
      </c>
    </row>
    <row r="2308">
      <c r="A2308" s="3" t="inlineStr">
        <is>
          <t>Heron Fields (Pty) Ltd</t>
        </is>
      </c>
      <c r="B2308" s="4" t="n">
        <v>44926</v>
      </c>
      <c r="C2308" s="3" t="inlineStr">
        <is>
          <t>Expenses</t>
        </is>
      </c>
      <c r="D2308" s="3" t="inlineStr">
        <is>
          <t>2000/040</t>
        </is>
      </c>
      <c r="E2308" s="3" t="inlineStr">
        <is>
          <t>COS - Legal Fees</t>
        </is>
      </c>
      <c r="F2308" s="3" t="n">
        <v>157031.19</v>
      </c>
      <c r="G2308" s="3" t="n">
        <v>590147.95</v>
      </c>
    </row>
    <row r="2309">
      <c r="A2309" s="3" t="inlineStr">
        <is>
          <t>Heron Fields (Pty) Ltd</t>
        </is>
      </c>
      <c r="B2309" s="4" t="n">
        <v>44926</v>
      </c>
      <c r="C2309" s="3" t="inlineStr">
        <is>
          <t>Expenses</t>
        </is>
      </c>
      <c r="D2309" s="3" t="inlineStr">
        <is>
          <t>2000/050</t>
        </is>
      </c>
      <c r="E2309" s="3" t="inlineStr">
        <is>
          <t>COS - Rates clearance</t>
        </is>
      </c>
      <c r="F2309" s="3" t="n">
        <v>0</v>
      </c>
      <c r="G2309" s="3" t="n">
        <v>9738.91</v>
      </c>
    </row>
    <row r="2310">
      <c r="A2310" s="3" t="inlineStr">
        <is>
          <t>Heron Fields (Pty) Ltd</t>
        </is>
      </c>
      <c r="B2310" s="4" t="n">
        <v>44926</v>
      </c>
      <c r="C2310" s="3" t="inlineStr">
        <is>
          <t>Expenses</t>
        </is>
      </c>
      <c r="D2310" s="3" t="inlineStr">
        <is>
          <t>2000/060</t>
        </is>
      </c>
      <c r="E2310" s="3" t="inlineStr">
        <is>
          <t>COS - Levies</t>
        </is>
      </c>
      <c r="F2310" s="3" t="n">
        <v>175176.84</v>
      </c>
      <c r="G2310" s="3" t="n">
        <v>202650.48</v>
      </c>
    </row>
    <row r="2311">
      <c r="A2311" s="3" t="inlineStr">
        <is>
          <t>Heron Fields (Pty) Ltd</t>
        </is>
      </c>
      <c r="B2311" s="4" t="n">
        <v>44926</v>
      </c>
      <c r="C2311" s="3" t="inlineStr">
        <is>
          <t>Expenses</t>
        </is>
      </c>
      <c r="D2311" s="3" t="inlineStr">
        <is>
          <t>2000/070</t>
        </is>
      </c>
      <c r="E2311" s="3" t="inlineStr">
        <is>
          <t>COS - Commission HF Units</t>
        </is>
      </c>
      <c r="F2311" s="3" t="n">
        <v>257634.78</v>
      </c>
      <c r="G2311" s="3" t="n">
        <v>381539.13</v>
      </c>
    </row>
    <row r="2312">
      <c r="A2312" s="3" t="inlineStr">
        <is>
          <t>Cape Projects Construction (Pty) Ltd</t>
        </is>
      </c>
      <c r="B2312" s="4" t="n">
        <v>44926</v>
      </c>
      <c r="C2312" s="3" t="inlineStr">
        <is>
          <t>Expenses</t>
        </is>
      </c>
      <c r="D2312" s="3" t="inlineStr">
        <is>
          <t>2001/054</t>
        </is>
      </c>
      <c r="E2312" s="3" t="inlineStr">
        <is>
          <t>COS - Units - Cement</t>
        </is>
      </c>
      <c r="F2312" s="3" t="n">
        <v>6160.34</v>
      </c>
      <c r="G2312" s="3" t="n">
        <v>6160.34</v>
      </c>
    </row>
    <row r="2313">
      <c r="A2313" s="3" t="inlineStr">
        <is>
          <t>Cape Projects Construction (Pty) Ltd</t>
        </is>
      </c>
      <c r="B2313" s="4" t="n">
        <v>44926</v>
      </c>
      <c r="C2313" s="3" t="inlineStr">
        <is>
          <t>Expenses</t>
        </is>
      </c>
      <c r="D2313" s="3" t="inlineStr">
        <is>
          <t>2001/063</t>
        </is>
      </c>
      <c r="E2313" s="3" t="inlineStr">
        <is>
          <t>COS - Units Plumbing Supply_AND_Fit</t>
        </is>
      </c>
      <c r="F2313" s="3" t="n">
        <v>250</v>
      </c>
      <c r="G2313" s="3" t="n">
        <v>250</v>
      </c>
    </row>
    <row r="2314">
      <c r="A2314" s="3" t="inlineStr">
        <is>
          <t>Cape Projects Construction (Pty) Ltd</t>
        </is>
      </c>
      <c r="B2314" s="4" t="n">
        <v>44926</v>
      </c>
      <c r="C2314" s="3" t="inlineStr">
        <is>
          <t>Expenses</t>
        </is>
      </c>
      <c r="D2314" s="3" t="inlineStr">
        <is>
          <t>2001/064</t>
        </is>
      </c>
      <c r="E2314" s="3" t="inlineStr">
        <is>
          <t>COS - Plumbing Sanware</t>
        </is>
      </c>
      <c r="F2314" s="3" t="n">
        <v>1876.17</v>
      </c>
      <c r="G2314" s="3" t="n">
        <v>1876.17</v>
      </c>
    </row>
    <row r="2315">
      <c r="A2315" s="3" t="inlineStr">
        <is>
          <t>Cape Projects Construction (Pty) Ltd</t>
        </is>
      </c>
      <c r="B2315" s="4" t="n">
        <v>44926</v>
      </c>
      <c r="C2315" s="3" t="inlineStr">
        <is>
          <t>Expenses</t>
        </is>
      </c>
      <c r="D2315" s="3" t="inlineStr">
        <is>
          <t>2001/085</t>
        </is>
      </c>
      <c r="E2315" s="3" t="inlineStr">
        <is>
          <t>COS - Units - Outside work - Paving</t>
        </is>
      </c>
      <c r="F2315" s="3" t="n">
        <v>4440.61</v>
      </c>
      <c r="G2315" s="3" t="n">
        <v>4440.61</v>
      </c>
    </row>
    <row r="2316">
      <c r="A2316" s="3" t="inlineStr">
        <is>
          <t>Cape Projects Construction (Pty) Ltd</t>
        </is>
      </c>
      <c r="B2316" s="4" t="n">
        <v>44926</v>
      </c>
      <c r="C2316" s="3" t="inlineStr">
        <is>
          <t>Expenses</t>
        </is>
      </c>
      <c r="D2316" s="3" t="inlineStr">
        <is>
          <t>2003/081</t>
        </is>
      </c>
      <c r="E2316" s="3" t="inlineStr">
        <is>
          <t>COS - Internet - Fibre SUPPLY _AND_ FIT</t>
        </is>
      </c>
      <c r="F2316" s="3" t="n">
        <v>31736.5</v>
      </c>
      <c r="G2316" s="3" t="n">
        <v>31736.5</v>
      </c>
    </row>
    <row r="2317">
      <c r="A2317" s="3" t="inlineStr">
        <is>
          <t>Cape Projects Construction (Pty) Ltd</t>
        </is>
      </c>
      <c r="B2317" s="4" t="n">
        <v>44926</v>
      </c>
      <c r="C2317" s="3" t="inlineStr">
        <is>
          <t>Expenses</t>
        </is>
      </c>
      <c r="D2317" s="3" t="inlineStr">
        <is>
          <t>2005/000</t>
        </is>
      </c>
      <c r="E2317" s="3" t="inlineStr">
        <is>
          <t>Cost of Sales</t>
        </is>
      </c>
      <c r="F2317" s="3" t="n">
        <v>0</v>
      </c>
      <c r="G2317" s="3" t="n">
        <v>-762078.59</v>
      </c>
    </row>
    <row r="2318">
      <c r="A2318" s="3" t="inlineStr">
        <is>
          <t>Cape Projects Construction (Pty) Ltd</t>
        </is>
      </c>
      <c r="B2318" s="4" t="n">
        <v>44926</v>
      </c>
      <c r="C2318" s="3" t="inlineStr">
        <is>
          <t>Expenses</t>
        </is>
      </c>
      <c r="D2318" s="3" t="inlineStr">
        <is>
          <t>2005/200</t>
        </is>
      </c>
      <c r="E2318" s="3" t="inlineStr">
        <is>
          <t>COS - External Works</t>
        </is>
      </c>
      <c r="F2318" s="3" t="n">
        <v>0</v>
      </c>
      <c r="G2318" s="3" t="n">
        <v>957.28</v>
      </c>
    </row>
    <row r="2319">
      <c r="A2319" s="3" t="inlineStr">
        <is>
          <t>Cape Projects Construction (Pty) Ltd</t>
        </is>
      </c>
      <c r="B2319" s="4" t="n">
        <v>44926</v>
      </c>
      <c r="C2319" s="3" t="inlineStr">
        <is>
          <t>Expenses</t>
        </is>
      </c>
      <c r="D2319" s="3" t="inlineStr">
        <is>
          <t>2006/000</t>
        </is>
      </c>
      <c r="E2319" s="3" t="inlineStr">
        <is>
          <t>COS - Endulini Construction</t>
        </is>
      </c>
      <c r="F2319" s="3" t="n">
        <v>74843.46000000001</v>
      </c>
      <c r="G2319" s="3" t="n">
        <v>16461302.98</v>
      </c>
    </row>
    <row r="2320">
      <c r="A2320" s="3" t="inlineStr">
        <is>
          <t>Cape Projects Construction (Pty) Ltd</t>
        </is>
      </c>
      <c r="B2320" s="4" t="n">
        <v>44926</v>
      </c>
      <c r="C2320" s="3" t="inlineStr">
        <is>
          <t>Expenses</t>
        </is>
      </c>
      <c r="D2320" s="3" t="inlineStr">
        <is>
          <t>2006/100</t>
        </is>
      </c>
      <c r="E2320" s="3" t="inlineStr">
        <is>
          <t>COS - Endulini P and G</t>
        </is>
      </c>
      <c r="F2320" s="3" t="n">
        <v>38000</v>
      </c>
      <c r="G2320" s="3" t="n">
        <v>989744.35</v>
      </c>
    </row>
    <row r="2321">
      <c r="A2321" s="3" t="inlineStr">
        <is>
          <t>Cape Projects Construction (Pty) Ltd</t>
        </is>
      </c>
      <c r="B2321" s="4" t="n">
        <v>44926</v>
      </c>
      <c r="C2321" s="3" t="inlineStr">
        <is>
          <t>Expenses</t>
        </is>
      </c>
      <c r="D2321" s="3" t="inlineStr">
        <is>
          <t>2006/200</t>
        </is>
      </c>
      <c r="E2321" s="3" t="inlineStr">
        <is>
          <t>COS - Insurance</t>
        </is>
      </c>
      <c r="F2321" s="3" t="n">
        <v>2719.44</v>
      </c>
      <c r="G2321" s="3" t="n">
        <v>40170.13</v>
      </c>
    </row>
    <row r="2322">
      <c r="A2322" s="3" t="inlineStr">
        <is>
          <t>Cape Projects Construction (Pty) Ltd</t>
        </is>
      </c>
      <c r="B2322" s="4" t="n">
        <v>44926</v>
      </c>
      <c r="C2322" s="3" t="inlineStr">
        <is>
          <t>Expenses</t>
        </is>
      </c>
      <c r="D2322" s="3" t="inlineStr">
        <is>
          <t>2006/300</t>
        </is>
      </c>
      <c r="E2322" s="3" t="inlineStr">
        <is>
          <t>COS - Endulini - Printing &amp; Stationary</t>
        </is>
      </c>
      <c r="F2322" s="3" t="n">
        <v>0</v>
      </c>
      <c r="G2322" s="3" t="n">
        <v>269.65</v>
      </c>
    </row>
    <row r="2323">
      <c r="A2323" s="3" t="inlineStr">
        <is>
          <t>Cape Projects Construction (Pty) Ltd</t>
        </is>
      </c>
      <c r="B2323" s="4" t="n">
        <v>44926</v>
      </c>
      <c r="C2323" s="3" t="inlineStr">
        <is>
          <t>Expenses</t>
        </is>
      </c>
      <c r="D2323" s="3" t="inlineStr">
        <is>
          <t>2006/350</t>
        </is>
      </c>
      <c r="E2323" s="3" t="inlineStr">
        <is>
          <t>COS - Endulini - Security</t>
        </is>
      </c>
      <c r="F2323" s="3" t="n">
        <v>0</v>
      </c>
      <c r="G2323" s="3" t="n">
        <v>11000</v>
      </c>
    </row>
    <row r="2324">
      <c r="A2324" s="3" t="inlineStr">
        <is>
          <t>Cape Projects Construction (Pty) Ltd</t>
        </is>
      </c>
      <c r="B2324" s="4" t="n">
        <v>44926</v>
      </c>
      <c r="C2324" s="3" t="inlineStr">
        <is>
          <t>Expenses</t>
        </is>
      </c>
      <c r="D2324" s="3" t="inlineStr">
        <is>
          <t>2006/400</t>
        </is>
      </c>
      <c r="E2324" s="3" t="inlineStr">
        <is>
          <t>COS - Endulini - Health &amp; Safety</t>
        </is>
      </c>
      <c r="F2324" s="3" t="n">
        <v>0</v>
      </c>
      <c r="G2324" s="3" t="n">
        <v>19600</v>
      </c>
    </row>
    <row r="2325">
      <c r="A2325" s="3" t="inlineStr">
        <is>
          <t>Cape Projects Construction (Pty) Ltd</t>
        </is>
      </c>
      <c r="B2325" s="4" t="n">
        <v>44926</v>
      </c>
      <c r="C2325" s="3" t="inlineStr">
        <is>
          <t>Expenses</t>
        </is>
      </c>
      <c r="D2325" s="3" t="inlineStr">
        <is>
          <t>2006/700</t>
        </is>
      </c>
      <c r="E2325" s="3" t="inlineStr">
        <is>
          <t>COS - Endulini - Fuel</t>
        </is>
      </c>
      <c r="F2325" s="3" t="n">
        <v>0</v>
      </c>
      <c r="G2325" s="3" t="n">
        <v>2473.65</v>
      </c>
    </row>
    <row r="2326">
      <c r="A2326" s="3" t="inlineStr">
        <is>
          <t>Cape Projects Construction (Pty) Ltd</t>
        </is>
      </c>
      <c r="B2326" s="4" t="n">
        <v>44926</v>
      </c>
      <c r="C2326" s="3" t="inlineStr">
        <is>
          <t>Expenses</t>
        </is>
      </c>
      <c r="D2326" s="3" t="inlineStr">
        <is>
          <t>2006/800</t>
        </is>
      </c>
      <c r="E2326" s="3" t="inlineStr">
        <is>
          <t>COS - Endulini - Telephone &amp; Internet</t>
        </is>
      </c>
      <c r="F2326" s="3" t="n">
        <v>0</v>
      </c>
      <c r="G2326" s="3" t="n">
        <v>937.39</v>
      </c>
    </row>
    <row r="2327">
      <c r="A2327" s="3" t="inlineStr">
        <is>
          <t>Cape Projects Construction (Pty) Ltd</t>
        </is>
      </c>
      <c r="B2327" s="4" t="n">
        <v>44926</v>
      </c>
      <c r="C2327" s="3" t="inlineStr">
        <is>
          <t>Expenses</t>
        </is>
      </c>
      <c r="D2327" s="3" t="inlineStr">
        <is>
          <t>2007/000</t>
        </is>
      </c>
      <c r="E2327" s="3" t="inlineStr">
        <is>
          <t>COS - Repairs &amp; Maintenance - SW Southwark</t>
        </is>
      </c>
      <c r="F2327" s="3" t="n">
        <v>0</v>
      </c>
      <c r="G2327" s="3" t="n">
        <v>4661.74</v>
      </c>
    </row>
    <row r="2328">
      <c r="A2328" s="3" t="inlineStr">
        <is>
          <t>Cape Projects Construction (Pty) Ltd</t>
        </is>
      </c>
      <c r="B2328" s="4" t="n">
        <v>44926</v>
      </c>
      <c r="C2328" s="3" t="inlineStr">
        <is>
          <t>Expenses</t>
        </is>
      </c>
      <c r="D2328" s="3" t="inlineStr">
        <is>
          <t>2011/300</t>
        </is>
      </c>
      <c r="E2328" s="3" t="inlineStr">
        <is>
          <t>COS - Heron Fields - Printing &amp; Stationary</t>
        </is>
      </c>
      <c r="F2328" s="3" t="n">
        <v>0</v>
      </c>
      <c r="G2328" s="3" t="n">
        <v>2952.7</v>
      </c>
    </row>
    <row r="2329">
      <c r="A2329" s="3" t="inlineStr">
        <is>
          <t>Cape Projects Construction (Pty) Ltd</t>
        </is>
      </c>
      <c r="B2329" s="4" t="n">
        <v>44926</v>
      </c>
      <c r="C2329" s="3" t="inlineStr">
        <is>
          <t>Expenses</t>
        </is>
      </c>
      <c r="D2329" s="3" t="inlineStr">
        <is>
          <t>2011/500</t>
        </is>
      </c>
      <c r="E2329" s="3" t="inlineStr">
        <is>
          <t>COS - Heron Fields - Construction</t>
        </is>
      </c>
      <c r="F2329" s="3" t="n">
        <v>2454778.69</v>
      </c>
      <c r="G2329" s="3" t="n">
        <v>30228526</v>
      </c>
    </row>
    <row r="2330">
      <c r="A2330" s="3" t="inlineStr">
        <is>
          <t>Cape Projects Construction (Pty) Ltd</t>
        </is>
      </c>
      <c r="B2330" s="4" t="n">
        <v>44926</v>
      </c>
      <c r="C2330" s="3" t="inlineStr">
        <is>
          <t>Expenses</t>
        </is>
      </c>
      <c r="D2330" s="3" t="inlineStr">
        <is>
          <t>2011/600</t>
        </is>
      </c>
      <c r="E2330" s="3" t="inlineStr">
        <is>
          <t>COS - Heron Fields - P &amp; G</t>
        </is>
      </c>
      <c r="F2330" s="3" t="n">
        <v>313402.61</v>
      </c>
      <c r="G2330" s="3" t="n">
        <v>2673191.55</v>
      </c>
    </row>
    <row r="2331">
      <c r="A2331" s="3" t="inlineStr">
        <is>
          <t>Cape Projects Construction (Pty) Ltd</t>
        </is>
      </c>
      <c r="B2331" s="4" t="n">
        <v>44926</v>
      </c>
      <c r="C2331" s="3" t="inlineStr">
        <is>
          <t>Expenses</t>
        </is>
      </c>
      <c r="D2331" s="3" t="inlineStr">
        <is>
          <t>2011/700</t>
        </is>
      </c>
      <c r="E2331" s="3" t="inlineStr">
        <is>
          <t>COS - Heron Fields - Health &amp; Safety</t>
        </is>
      </c>
      <c r="F2331" s="3" t="n">
        <v>0</v>
      </c>
      <c r="G2331" s="3" t="n">
        <v>22286.3</v>
      </c>
    </row>
    <row r="2332">
      <c r="A2332" s="3" t="inlineStr">
        <is>
          <t>Cape Projects Construction (Pty) Ltd</t>
        </is>
      </c>
      <c r="B2332" s="4" t="n">
        <v>44926</v>
      </c>
      <c r="C2332" s="3" t="inlineStr">
        <is>
          <t>Expenses</t>
        </is>
      </c>
      <c r="D2332" s="3" t="inlineStr">
        <is>
          <t>2011/900</t>
        </is>
      </c>
      <c r="E2332" s="3" t="inlineStr">
        <is>
          <t>COS - Heron - Internet</t>
        </is>
      </c>
      <c r="F2332" s="3" t="n">
        <v>607.83</v>
      </c>
      <c r="G2332" s="3" t="n">
        <v>5885.62</v>
      </c>
    </row>
    <row r="2333">
      <c r="A2333" s="3" t="inlineStr">
        <is>
          <t>Cape Projects Construction (Pty) Ltd</t>
        </is>
      </c>
      <c r="B2333" s="4" t="n">
        <v>44926</v>
      </c>
      <c r="C2333" s="3" t="inlineStr">
        <is>
          <t>Expenses</t>
        </is>
      </c>
      <c r="D2333" s="3" t="inlineStr">
        <is>
          <t>2011/950</t>
        </is>
      </c>
      <c r="E2333" s="3" t="inlineStr">
        <is>
          <t>COS - Heron Fields - Security</t>
        </is>
      </c>
      <c r="F2333" s="3" t="n">
        <v>0</v>
      </c>
      <c r="G2333" s="3" t="n">
        <v>20565.22</v>
      </c>
    </row>
    <row r="2334">
      <c r="A2334" s="3" t="inlineStr">
        <is>
          <t>Cape Projects Construction (Pty) Ltd</t>
        </is>
      </c>
      <c r="B2334" s="4" t="n">
        <v>44926</v>
      </c>
      <c r="C2334" s="3" t="inlineStr">
        <is>
          <t>Expenses</t>
        </is>
      </c>
      <c r="D2334" s="3" t="inlineStr">
        <is>
          <t>2012/002</t>
        </is>
      </c>
      <c r="E2334" s="3" t="inlineStr">
        <is>
          <t>COS - Heron View - Construction</t>
        </is>
      </c>
      <c r="F2334" s="3" t="n">
        <v>1439041.06</v>
      </c>
      <c r="G2334" s="3" t="n">
        <v>4164274.85</v>
      </c>
    </row>
    <row r="2335">
      <c r="A2335" s="3" t="inlineStr">
        <is>
          <t>Cape Projects Construction (Pty) Ltd</t>
        </is>
      </c>
      <c r="B2335" s="4" t="n">
        <v>44926</v>
      </c>
      <c r="C2335" s="3" t="inlineStr">
        <is>
          <t>Expenses</t>
        </is>
      </c>
      <c r="D2335" s="3" t="inlineStr">
        <is>
          <t>2012/003</t>
        </is>
      </c>
      <c r="E2335" s="3" t="inlineStr">
        <is>
          <t>COS - Heron View - P&amp;G</t>
        </is>
      </c>
      <c r="F2335" s="3" t="n">
        <v>10636.8</v>
      </c>
      <c r="G2335" s="3" t="n">
        <v>196549.59</v>
      </c>
    </row>
    <row r="2336">
      <c r="A2336" s="3" t="inlineStr">
        <is>
          <t>Cape Projects Construction (Pty) Ltd</t>
        </is>
      </c>
      <c r="B2336" s="4" t="n">
        <v>44926</v>
      </c>
      <c r="C2336" s="3" t="inlineStr">
        <is>
          <t>Expenses</t>
        </is>
      </c>
      <c r="D2336" s="3" t="inlineStr">
        <is>
          <t>2013/000</t>
        </is>
      </c>
      <c r="E2336" s="3" t="inlineStr">
        <is>
          <t>COS - Bakhoven</t>
        </is>
      </c>
      <c r="F2336" s="3" t="n">
        <v>0</v>
      </c>
      <c r="G2336" s="3" t="n">
        <v>32261.99</v>
      </c>
    </row>
    <row r="2337">
      <c r="A2337" s="3" t="inlineStr">
        <is>
          <t>Cape Projects Construction (Pty) Ltd</t>
        </is>
      </c>
      <c r="B2337" s="4" t="n">
        <v>44926</v>
      </c>
      <c r="C2337" s="3" t="inlineStr">
        <is>
          <t>Expenses</t>
        </is>
      </c>
      <c r="D2337" s="3" t="inlineStr">
        <is>
          <t>2014/000</t>
        </is>
      </c>
      <c r="E2337" s="3" t="inlineStr">
        <is>
          <t>COS - Heron Projects insurance</t>
        </is>
      </c>
      <c r="F2337" s="3" t="n">
        <v>0</v>
      </c>
      <c r="G2337" s="3" t="n">
        <v>11169.12</v>
      </c>
    </row>
    <row r="2338">
      <c r="A2338" s="3" t="inlineStr">
        <is>
          <t>Cape Projects Construction (Pty) Ltd</t>
        </is>
      </c>
      <c r="B2338" s="4" t="n">
        <v>44926</v>
      </c>
      <c r="C2338" s="3" t="inlineStr">
        <is>
          <t>Revenue</t>
        </is>
      </c>
      <c r="D2338" s="3" t="inlineStr">
        <is>
          <t>2750/000</t>
        </is>
      </c>
      <c r="E2338" s="3" t="inlineStr">
        <is>
          <t>Interest Received - FNB</t>
        </is>
      </c>
      <c r="F2338" s="3" t="n">
        <v>-705.27</v>
      </c>
      <c r="G2338" s="3" t="n">
        <v>-1704.67</v>
      </c>
    </row>
    <row r="2339">
      <c r="A2339" s="3" t="inlineStr">
        <is>
          <t>Cape Projects Construction (Pty) Ltd</t>
        </is>
      </c>
      <c r="B2339" s="4" t="n">
        <v>44926</v>
      </c>
      <c r="C2339" s="3" t="inlineStr">
        <is>
          <t>Revenue</t>
        </is>
      </c>
      <c r="D2339" s="3" t="inlineStr">
        <is>
          <t>2751/001</t>
        </is>
      </c>
      <c r="E2339" s="3" t="inlineStr">
        <is>
          <t>Interest received - Momentum</t>
        </is>
      </c>
      <c r="F2339" s="3" t="n">
        <v>0</v>
      </c>
      <c r="G2339" s="3" t="n">
        <v>-18.22</v>
      </c>
    </row>
    <row r="2340">
      <c r="A2340" s="3" t="inlineStr">
        <is>
          <t>Heron Fields (Pty) Ltd</t>
        </is>
      </c>
      <c r="B2340" s="4" t="n">
        <v>44926</v>
      </c>
      <c r="C2340" s="3" t="inlineStr">
        <is>
          <t>Revenue</t>
        </is>
      </c>
      <c r="D2340" s="3" t="inlineStr">
        <is>
          <t>2755/001</t>
        </is>
      </c>
      <c r="E2340" s="3" t="inlineStr">
        <is>
          <t>Interest Received - Momentum</t>
        </is>
      </c>
      <c r="F2340" s="3" t="n">
        <v>-49646.57</v>
      </c>
      <c r="G2340" s="3" t="n">
        <v>-390601.82</v>
      </c>
    </row>
    <row r="2341">
      <c r="A2341" s="3" t="inlineStr">
        <is>
          <t>Heron Fields (Pty) Ltd</t>
        </is>
      </c>
      <c r="B2341" s="4" t="n">
        <v>44926</v>
      </c>
      <c r="C2341" s="3" t="inlineStr">
        <is>
          <t>Expenses</t>
        </is>
      </c>
      <c r="D2341" s="3" t="inlineStr">
        <is>
          <t>3000/100</t>
        </is>
      </c>
      <c r="E2341" s="3" t="inlineStr">
        <is>
          <t>Accounting - CIPC</t>
        </is>
      </c>
      <c r="F2341" s="3" t="n">
        <v>0</v>
      </c>
      <c r="G2341" s="3" t="n">
        <v>150</v>
      </c>
    </row>
    <row r="2342">
      <c r="A2342" s="3" t="inlineStr">
        <is>
          <t>Cape Projects Construction (Pty) Ltd</t>
        </is>
      </c>
      <c r="B2342" s="4" t="n">
        <v>44926</v>
      </c>
      <c r="C2342" s="3" t="inlineStr">
        <is>
          <t>Expenses</t>
        </is>
      </c>
      <c r="D2342" s="3" t="inlineStr">
        <is>
          <t>3002/000</t>
        </is>
      </c>
      <c r="E2342" s="3" t="inlineStr">
        <is>
          <t>Accounting Fees - Audit</t>
        </is>
      </c>
      <c r="F2342" s="3" t="n">
        <v>0</v>
      </c>
      <c r="G2342" s="3" t="n">
        <v>10600</v>
      </c>
    </row>
    <row r="2343">
      <c r="A2343" s="3" t="inlineStr">
        <is>
          <t>Cape Projects Construction (Pty) Ltd</t>
        </is>
      </c>
      <c r="B2343" s="4" t="n">
        <v>44926</v>
      </c>
      <c r="C2343" s="3" t="inlineStr">
        <is>
          <t>Expenses</t>
        </is>
      </c>
      <c r="D2343" s="3" t="inlineStr">
        <is>
          <t>3020/100</t>
        </is>
      </c>
      <c r="E2343" s="3" t="inlineStr">
        <is>
          <t>Admin - Subcontractors</t>
        </is>
      </c>
      <c r="F2343" s="3" t="n">
        <v>0</v>
      </c>
      <c r="G2343" s="3" t="n">
        <v>14139.13</v>
      </c>
    </row>
    <row r="2344">
      <c r="A2344" s="3" t="inlineStr">
        <is>
          <t>Cape Projects Construction (Pty) Ltd</t>
        </is>
      </c>
      <c r="B2344" s="4" t="n">
        <v>44926</v>
      </c>
      <c r="C2344" s="3" t="inlineStr">
        <is>
          <t>Expenses</t>
        </is>
      </c>
      <c r="D2344" s="3" t="inlineStr">
        <is>
          <t>3050/000</t>
        </is>
      </c>
      <c r="E2344" s="3" t="inlineStr">
        <is>
          <t>Advertising _AND_ Promotions</t>
        </is>
      </c>
      <c r="F2344" s="3" t="n">
        <v>20519.53</v>
      </c>
      <c r="G2344" s="3" t="n">
        <v>24197.03</v>
      </c>
    </row>
    <row r="2345">
      <c r="A2345" s="3" t="inlineStr">
        <is>
          <t>Heron Fields (Pty) Ltd</t>
        </is>
      </c>
      <c r="B2345" s="4" t="n">
        <v>44926</v>
      </c>
      <c r="C2345" s="3" t="inlineStr">
        <is>
          <t>Expenses</t>
        </is>
      </c>
      <c r="D2345" s="3" t="inlineStr">
        <is>
          <t>3050/000</t>
        </is>
      </c>
      <c r="E2345" s="3" t="inlineStr">
        <is>
          <t>Advertising _AND_ Promotions</t>
        </is>
      </c>
      <c r="F2345" s="3" t="n">
        <v>550</v>
      </c>
      <c r="G2345" s="3" t="n">
        <v>107333.86</v>
      </c>
    </row>
    <row r="2346">
      <c r="A2346" s="3" t="inlineStr">
        <is>
          <t>Heron View (Pty) Ltd</t>
        </is>
      </c>
      <c r="B2346" s="4" t="n">
        <v>44926</v>
      </c>
      <c r="C2346" s="3" t="inlineStr">
        <is>
          <t>Expenses</t>
        </is>
      </c>
      <c r="D2346" s="3" t="inlineStr">
        <is>
          <t>3050/000</t>
        </is>
      </c>
      <c r="E2346" s="3" t="inlineStr">
        <is>
          <t>Advertising _AND_ Promotions</t>
        </is>
      </c>
      <c r="F2346" s="3" t="n">
        <v>5750</v>
      </c>
      <c r="G2346" s="3" t="n">
        <v>15250</v>
      </c>
    </row>
    <row r="2347">
      <c r="A2347" s="3" t="inlineStr">
        <is>
          <t>Heron Fields (Pty) Ltd</t>
        </is>
      </c>
      <c r="B2347" s="4" t="n">
        <v>44926</v>
      </c>
      <c r="C2347" s="3" t="inlineStr">
        <is>
          <t>Expenses</t>
        </is>
      </c>
      <c r="D2347" s="3" t="inlineStr">
        <is>
          <t>3050/100</t>
        </is>
      </c>
      <c r="E2347" s="3" t="inlineStr">
        <is>
          <t>Advertising - Property24</t>
        </is>
      </c>
      <c r="F2347" s="3" t="n">
        <v>11556</v>
      </c>
      <c r="G2347" s="3" t="n">
        <v>115560</v>
      </c>
    </row>
    <row r="2348">
      <c r="A2348" s="3" t="inlineStr">
        <is>
          <t>Cape Projects Construction (Pty) Ltd</t>
        </is>
      </c>
      <c r="B2348" s="4" t="n">
        <v>44926</v>
      </c>
      <c r="C2348" s="3" t="inlineStr">
        <is>
          <t>Expenses</t>
        </is>
      </c>
      <c r="D2348" s="3" t="inlineStr">
        <is>
          <t>3050/450</t>
        </is>
      </c>
      <c r="E2348" s="3" t="inlineStr">
        <is>
          <t>Advertising - Other</t>
        </is>
      </c>
      <c r="F2348" s="3" t="n">
        <v>0</v>
      </c>
      <c r="G2348" s="3" t="n">
        <v>137.5</v>
      </c>
    </row>
    <row r="2349">
      <c r="A2349" s="3" t="inlineStr">
        <is>
          <t>Cape Projects Construction (Pty) Ltd</t>
        </is>
      </c>
      <c r="B2349" s="4" t="n">
        <v>44926</v>
      </c>
      <c r="C2349" s="3" t="inlineStr">
        <is>
          <t>Expenses</t>
        </is>
      </c>
      <c r="D2349" s="3" t="inlineStr">
        <is>
          <t>3200/000</t>
        </is>
      </c>
      <c r="E2349" s="3" t="inlineStr">
        <is>
          <t>Bank Charges</t>
        </is>
      </c>
      <c r="F2349" s="3" t="n">
        <v>-14064.1</v>
      </c>
      <c r="G2349" s="3" t="n">
        <v>27231.41</v>
      </c>
    </row>
    <row r="2350">
      <c r="A2350" s="3" t="inlineStr">
        <is>
          <t>Heron Fields (Pty) Ltd</t>
        </is>
      </c>
      <c r="B2350" s="4" t="n">
        <v>44926</v>
      </c>
      <c r="C2350" s="3" t="inlineStr">
        <is>
          <t>Expenses</t>
        </is>
      </c>
      <c r="D2350" s="3" t="inlineStr">
        <is>
          <t>3200/000</t>
        </is>
      </c>
      <c r="E2350" s="3" t="inlineStr">
        <is>
          <t>Bank Charges</t>
        </is>
      </c>
      <c r="F2350" s="3" t="n">
        <v>242.38</v>
      </c>
      <c r="G2350" s="3" t="n">
        <v>6271.73</v>
      </c>
    </row>
    <row r="2351">
      <c r="A2351" s="3" t="inlineStr">
        <is>
          <t>Cape Projects Construction (Pty) Ltd</t>
        </is>
      </c>
      <c r="B2351" s="4" t="n">
        <v>44926</v>
      </c>
      <c r="C2351" s="3" t="inlineStr">
        <is>
          <t>Expenses</t>
        </is>
      </c>
      <c r="D2351" s="3" t="inlineStr">
        <is>
          <t>3250/000</t>
        </is>
      </c>
      <c r="E2351" s="3" t="inlineStr">
        <is>
          <t>Cleaning</t>
        </is>
      </c>
      <c r="F2351" s="3" t="n">
        <v>366.9</v>
      </c>
      <c r="G2351" s="3" t="n">
        <v>2353.79</v>
      </c>
    </row>
    <row r="2352">
      <c r="A2352" s="3" t="inlineStr">
        <is>
          <t>Cape Projects Construction (Pty) Ltd</t>
        </is>
      </c>
      <c r="B2352" s="4" t="n">
        <v>44926</v>
      </c>
      <c r="C2352" s="3" t="inlineStr">
        <is>
          <t>Expenses</t>
        </is>
      </c>
      <c r="D2352" s="3" t="inlineStr">
        <is>
          <t>3256/000</t>
        </is>
      </c>
      <c r="E2352" s="3" t="inlineStr">
        <is>
          <t>Cell Phone - Nick Morgan</t>
        </is>
      </c>
      <c r="F2352" s="3" t="n">
        <v>956.25</v>
      </c>
      <c r="G2352" s="3" t="n">
        <v>7144.13</v>
      </c>
    </row>
    <row r="2353">
      <c r="A2353" s="3" t="inlineStr">
        <is>
          <t>Cape Projects Construction (Pty) Ltd</t>
        </is>
      </c>
      <c r="B2353" s="4" t="n">
        <v>44926</v>
      </c>
      <c r="C2353" s="3" t="inlineStr">
        <is>
          <t>Expenses</t>
        </is>
      </c>
      <c r="D2353" s="3" t="inlineStr">
        <is>
          <t>3300/000</t>
        </is>
      </c>
      <c r="E2353" s="3" t="inlineStr">
        <is>
          <t>Computer Expenses</t>
        </is>
      </c>
      <c r="F2353" s="3" t="n">
        <v>0</v>
      </c>
      <c r="G2353" s="3" t="n">
        <v>4848.56</v>
      </c>
    </row>
    <row r="2354">
      <c r="A2354" s="3" t="inlineStr">
        <is>
          <t>Cape Projects Construction (Pty) Ltd</t>
        </is>
      </c>
      <c r="B2354" s="4" t="n">
        <v>44926</v>
      </c>
      <c r="C2354" s="3" t="inlineStr">
        <is>
          <t>Expenses</t>
        </is>
      </c>
      <c r="D2354" s="3" t="inlineStr">
        <is>
          <t>3300/100</t>
        </is>
      </c>
      <c r="E2354" s="3" t="inlineStr">
        <is>
          <t>Computer Exp - IT, Internet/Hosting Fee</t>
        </is>
      </c>
      <c r="F2354" s="3" t="n">
        <v>3130</v>
      </c>
      <c r="G2354" s="3" t="n">
        <v>38579</v>
      </c>
    </row>
    <row r="2355">
      <c r="A2355" s="3" t="inlineStr">
        <is>
          <t>Heron Fields (Pty) Ltd</t>
        </is>
      </c>
      <c r="B2355" s="4" t="n">
        <v>44926</v>
      </c>
      <c r="C2355" s="3" t="inlineStr">
        <is>
          <t>Expenses</t>
        </is>
      </c>
      <c r="D2355" s="3" t="inlineStr">
        <is>
          <t>3350/100</t>
        </is>
      </c>
      <c r="E2355" s="3" t="inlineStr">
        <is>
          <t>Consulting Fees - Admin and Finance</t>
        </is>
      </c>
      <c r="F2355" s="3" t="n">
        <v>102812.43</v>
      </c>
      <c r="G2355" s="3" t="n">
        <v>854353.11</v>
      </c>
    </row>
    <row r="2356">
      <c r="A2356" s="3" t="inlineStr">
        <is>
          <t>Cape Projects Construction (Pty) Ltd</t>
        </is>
      </c>
      <c r="B2356" s="4" t="n">
        <v>44926</v>
      </c>
      <c r="C2356" s="3" t="inlineStr">
        <is>
          <t>Expenses</t>
        </is>
      </c>
      <c r="D2356" s="3" t="inlineStr">
        <is>
          <t>3350/100</t>
        </is>
      </c>
      <c r="E2356" s="3" t="inlineStr">
        <is>
          <t>Consulting fees - Herbert du Plessis</t>
        </is>
      </c>
      <c r="F2356" s="3" t="n">
        <v>0</v>
      </c>
      <c r="G2356" s="3" t="n">
        <v>318572.45</v>
      </c>
    </row>
    <row r="2357">
      <c r="A2357" s="3" t="inlineStr">
        <is>
          <t>Cape Projects Construction (Pty) Ltd</t>
        </is>
      </c>
      <c r="B2357" s="4" t="n">
        <v>44926</v>
      </c>
      <c r="C2357" s="3" t="inlineStr">
        <is>
          <t>Expenses</t>
        </is>
      </c>
      <c r="D2357" s="3" t="inlineStr">
        <is>
          <t>3350/300</t>
        </is>
      </c>
      <c r="E2357" s="3" t="inlineStr">
        <is>
          <t>Consulting Fees - Admin and Finance</t>
        </is>
      </c>
      <c r="F2357" s="3" t="n">
        <v>145076.46</v>
      </c>
      <c r="G2357" s="3" t="n">
        <v>1273298.33</v>
      </c>
    </row>
    <row r="2358">
      <c r="A2358" s="3" t="inlineStr">
        <is>
          <t>Heron Fields (Pty) Ltd</t>
        </is>
      </c>
      <c r="B2358" s="4" t="n">
        <v>44926</v>
      </c>
      <c r="C2358" s="3" t="inlineStr">
        <is>
          <t>Expenses</t>
        </is>
      </c>
      <c r="D2358" s="3" t="inlineStr">
        <is>
          <t>3351/000</t>
        </is>
      </c>
      <c r="E2358" s="3" t="inlineStr">
        <is>
          <t>Consulting fees - Trustee</t>
        </is>
      </c>
      <c r="F2358" s="3" t="n">
        <v>4000</v>
      </c>
      <c r="G2358" s="3" t="n">
        <v>60000</v>
      </c>
    </row>
    <row r="2359">
      <c r="A2359" s="3" t="inlineStr">
        <is>
          <t>Cape Projects Construction (Pty) Ltd</t>
        </is>
      </c>
      <c r="B2359" s="4" t="n">
        <v>44926</v>
      </c>
      <c r="C2359" s="3" t="inlineStr">
        <is>
          <t>Expenses</t>
        </is>
      </c>
      <c r="D2359" s="3" t="inlineStr">
        <is>
          <t>3400/000</t>
        </is>
      </c>
      <c r="E2359" s="3" t="inlineStr">
        <is>
          <t>Courier _AND_ Postage</t>
        </is>
      </c>
      <c r="F2359" s="3" t="n">
        <v>0</v>
      </c>
      <c r="G2359" s="3" t="n">
        <v>1378.26</v>
      </c>
    </row>
    <row r="2360">
      <c r="A2360" s="3" t="inlineStr">
        <is>
          <t>Cape Projects Construction (Pty) Ltd</t>
        </is>
      </c>
      <c r="B2360" s="4" t="n">
        <v>44926</v>
      </c>
      <c r="C2360" s="3" t="inlineStr">
        <is>
          <t>Expenses</t>
        </is>
      </c>
      <c r="D2360" s="3" t="inlineStr">
        <is>
          <t>3450/001</t>
        </is>
      </c>
      <c r="E2360" s="3" t="inlineStr">
        <is>
          <t>Depreciation - Computer Equipment</t>
        </is>
      </c>
      <c r="F2360" s="3" t="n">
        <v>2165.83</v>
      </c>
      <c r="G2360" s="3" t="n">
        <v>19450.21</v>
      </c>
    </row>
    <row r="2361">
      <c r="A2361" s="3" t="inlineStr">
        <is>
          <t>Cape Projects Construction (Pty) Ltd</t>
        </is>
      </c>
      <c r="B2361" s="4" t="n">
        <v>44926</v>
      </c>
      <c r="C2361" s="3" t="inlineStr">
        <is>
          <t>Expenses</t>
        </is>
      </c>
      <c r="D2361" s="3" t="inlineStr">
        <is>
          <t>3450/002</t>
        </is>
      </c>
      <c r="E2361" s="3" t="inlineStr">
        <is>
          <t>Depreciation - Generator Fixed Asset</t>
        </is>
      </c>
      <c r="F2361" s="3" t="n">
        <v>193.33</v>
      </c>
      <c r="G2361" s="3" t="n">
        <v>1933.33</v>
      </c>
    </row>
    <row r="2362">
      <c r="A2362" s="3" t="inlineStr">
        <is>
          <t>Cape Projects Construction (Pty) Ltd</t>
        </is>
      </c>
      <c r="B2362" s="4" t="n">
        <v>44926</v>
      </c>
      <c r="C2362" s="3" t="inlineStr">
        <is>
          <t>Expenses</t>
        </is>
      </c>
      <c r="D2362" s="3" t="inlineStr">
        <is>
          <t>3450/003</t>
        </is>
      </c>
      <c r="E2362" s="3" t="inlineStr">
        <is>
          <t>Depreciation - Motor vehicle</t>
        </is>
      </c>
      <c r="F2362" s="3" t="n">
        <v>0</v>
      </c>
      <c r="G2362" s="3" t="n">
        <v>39610.1</v>
      </c>
    </row>
    <row r="2363">
      <c r="A2363" s="3" t="inlineStr">
        <is>
          <t>Cape Projects Construction (Pty) Ltd</t>
        </is>
      </c>
      <c r="B2363" s="4" t="n">
        <v>44926</v>
      </c>
      <c r="C2363" s="3" t="inlineStr">
        <is>
          <t>Expenses</t>
        </is>
      </c>
      <c r="D2363" s="3" t="inlineStr">
        <is>
          <t>3450/030</t>
        </is>
      </c>
      <c r="E2363" s="3" t="inlineStr">
        <is>
          <t>Depreciation - Furniture and Fittings</t>
        </is>
      </c>
      <c r="F2363" s="3" t="n">
        <v>547.6799999999999</v>
      </c>
      <c r="G2363" s="3" t="n">
        <v>4392.53</v>
      </c>
    </row>
    <row r="2364">
      <c r="A2364" s="3" t="inlineStr">
        <is>
          <t>Heron Fields (Pty) Ltd</t>
        </is>
      </c>
      <c r="B2364" s="4" t="n">
        <v>44926</v>
      </c>
      <c r="C2364" s="3" t="inlineStr">
        <is>
          <t>Expenses</t>
        </is>
      </c>
      <c r="D2364" s="3" t="inlineStr">
        <is>
          <t>3650/000</t>
        </is>
      </c>
      <c r="E2364" s="3" t="inlineStr">
        <is>
          <t>CoCT - Electricity</t>
        </is>
      </c>
      <c r="F2364" s="3" t="n">
        <v>0</v>
      </c>
      <c r="G2364" s="3" t="n">
        <v>26707.66</v>
      </c>
    </row>
    <row r="2365">
      <c r="A2365" s="3" t="inlineStr">
        <is>
          <t>Cape Projects Construction (Pty) Ltd</t>
        </is>
      </c>
      <c r="B2365" s="4" t="n">
        <v>44926</v>
      </c>
      <c r="C2365" s="3" t="inlineStr">
        <is>
          <t>Expenses</t>
        </is>
      </c>
      <c r="D2365" s="3" t="inlineStr">
        <is>
          <t>3650/000</t>
        </is>
      </c>
      <c r="E2365" s="3" t="inlineStr">
        <is>
          <t>Electricity _AND_ Water</t>
        </is>
      </c>
      <c r="F2365" s="3" t="n">
        <v>5575.9</v>
      </c>
      <c r="G2365" s="3" t="n">
        <v>50429.51</v>
      </c>
    </row>
    <row r="2366">
      <c r="A2366" s="3" t="inlineStr">
        <is>
          <t>Heron Fields (Pty) Ltd</t>
        </is>
      </c>
      <c r="B2366" s="4" t="n">
        <v>44926</v>
      </c>
      <c r="C2366" s="3" t="inlineStr">
        <is>
          <t>Expenses</t>
        </is>
      </c>
      <c r="D2366" s="3" t="inlineStr">
        <is>
          <t>3660/000</t>
        </is>
      </c>
      <c r="E2366" s="3" t="inlineStr">
        <is>
          <t>CoCT - Water</t>
        </is>
      </c>
      <c r="F2366" s="3" t="n">
        <v>0</v>
      </c>
      <c r="G2366" s="3" t="n">
        <v>51881.47</v>
      </c>
    </row>
    <row r="2367">
      <c r="A2367" s="3" t="inlineStr">
        <is>
          <t>Heron Fields (Pty) Ltd</t>
        </is>
      </c>
      <c r="B2367" s="4" t="n">
        <v>44926</v>
      </c>
      <c r="C2367" s="3" t="inlineStr">
        <is>
          <t>Expenses</t>
        </is>
      </c>
      <c r="D2367" s="3" t="inlineStr">
        <is>
          <t>3670/000</t>
        </is>
      </c>
      <c r="E2367" s="3" t="inlineStr">
        <is>
          <t>CoCT - Refuse</t>
        </is>
      </c>
      <c r="F2367" s="3" t="n">
        <v>0</v>
      </c>
      <c r="G2367" s="3" t="n">
        <v>3563.4</v>
      </c>
    </row>
    <row r="2368">
      <c r="A2368" s="3" t="inlineStr">
        <is>
          <t>Cape Projects Construction (Pty) Ltd</t>
        </is>
      </c>
      <c r="B2368" s="4" t="n">
        <v>44926</v>
      </c>
      <c r="C2368" s="3" t="inlineStr">
        <is>
          <t>Expenses</t>
        </is>
      </c>
      <c r="D2368" s="3" t="inlineStr">
        <is>
          <t>3700/000</t>
        </is>
      </c>
      <c r="E2368" s="3" t="inlineStr">
        <is>
          <t>Entertainment Expenses</t>
        </is>
      </c>
      <c r="F2368" s="3" t="n">
        <v>0</v>
      </c>
      <c r="G2368" s="3" t="n">
        <v>7651.52</v>
      </c>
    </row>
    <row r="2369">
      <c r="A2369" s="3" t="inlineStr">
        <is>
          <t>Cape Projects Construction (Pty) Ltd</t>
        </is>
      </c>
      <c r="B2369" s="4" t="n">
        <v>44926</v>
      </c>
      <c r="C2369" s="3" t="inlineStr">
        <is>
          <t>Expenses</t>
        </is>
      </c>
      <c r="D2369" s="3" t="inlineStr">
        <is>
          <t>3850/000</t>
        </is>
      </c>
      <c r="E2369" s="3" t="inlineStr">
        <is>
          <t>Insurance</t>
        </is>
      </c>
      <c r="F2369" s="3" t="n">
        <v>0</v>
      </c>
      <c r="G2369" s="3" t="n">
        <v>819.63</v>
      </c>
    </row>
    <row r="2370">
      <c r="A2370" s="3" t="inlineStr">
        <is>
          <t>Heron Fields (Pty) Ltd</t>
        </is>
      </c>
      <c r="B2370" s="4" t="n">
        <v>44926</v>
      </c>
      <c r="C2370" s="3" t="inlineStr">
        <is>
          <t>Expenses</t>
        </is>
      </c>
      <c r="D2370" s="3" t="inlineStr">
        <is>
          <t>3850/000</t>
        </is>
      </c>
      <c r="E2370" s="3" t="inlineStr">
        <is>
          <t>Insurance</t>
        </is>
      </c>
      <c r="F2370" s="3" t="n">
        <v>4467.96</v>
      </c>
      <c r="G2370" s="3" t="n">
        <v>12702.82</v>
      </c>
    </row>
    <row r="2371">
      <c r="A2371" s="3" t="inlineStr">
        <is>
          <t>Cape Projects Construction (Pty) Ltd</t>
        </is>
      </c>
      <c r="B2371" s="4" t="n">
        <v>44926</v>
      </c>
      <c r="C2371" s="3" t="inlineStr">
        <is>
          <t>Expenses</t>
        </is>
      </c>
      <c r="D2371" s="3" t="inlineStr">
        <is>
          <t>3850/001</t>
        </is>
      </c>
      <c r="E2371" s="3" t="inlineStr">
        <is>
          <t>Insurance - Santam</t>
        </is>
      </c>
      <c r="F2371" s="3" t="n">
        <v>2668.36</v>
      </c>
      <c r="G2371" s="3" t="n">
        <v>13626.33</v>
      </c>
    </row>
    <row r="2372">
      <c r="A2372" s="3" t="inlineStr">
        <is>
          <t>Cape Projects Construction (Pty) Ltd</t>
        </is>
      </c>
      <c r="B2372" s="4" t="n">
        <v>44926</v>
      </c>
      <c r="C2372" s="3" t="inlineStr">
        <is>
          <t>Expenses</t>
        </is>
      </c>
      <c r="D2372" s="3" t="inlineStr">
        <is>
          <t>3850/002</t>
        </is>
      </c>
      <c r="E2372" s="3" t="inlineStr">
        <is>
          <t>Insurance - RBS</t>
        </is>
      </c>
      <c r="F2372" s="3" t="n">
        <v>0</v>
      </c>
      <c r="G2372" s="3" t="n">
        <v>1425.42</v>
      </c>
    </row>
    <row r="2373">
      <c r="A2373" s="3" t="inlineStr">
        <is>
          <t>Heron Fields (Pty) Ltd</t>
        </is>
      </c>
      <c r="B2373" s="4" t="n">
        <v>44926</v>
      </c>
      <c r="C2373" s="3" t="inlineStr">
        <is>
          <t>Expenses</t>
        </is>
      </c>
      <c r="D2373" s="3" t="inlineStr">
        <is>
          <t>3900/000</t>
        </is>
      </c>
      <c r="E2373" s="3" t="inlineStr">
        <is>
          <t>Interest Paid</t>
        </is>
      </c>
      <c r="F2373" s="3" t="n">
        <v>0</v>
      </c>
      <c r="G2373" s="3" t="n">
        <v>588.4400000000001</v>
      </c>
    </row>
    <row r="2374">
      <c r="A2374" s="3" t="inlineStr">
        <is>
          <t>Heron Fields (Pty) Ltd</t>
        </is>
      </c>
      <c r="B2374" s="4" t="n">
        <v>44926</v>
      </c>
      <c r="C2374" s="3" t="inlineStr">
        <is>
          <t>Expenses</t>
        </is>
      </c>
      <c r="D2374" s="3" t="inlineStr">
        <is>
          <t>3900/111</t>
        </is>
      </c>
      <c r="E2374" s="3" t="inlineStr">
        <is>
          <t>Interest Paid - Investors @ 6.25%</t>
        </is>
      </c>
      <c r="F2374" s="3" t="n">
        <v>146097.55</v>
      </c>
      <c r="G2374" s="3" t="n">
        <v>364402.86</v>
      </c>
    </row>
    <row r="2375">
      <c r="A2375" s="3" t="inlineStr">
        <is>
          <t>Heron Fields (Pty) Ltd</t>
        </is>
      </c>
      <c r="B2375" s="4" t="n">
        <v>44926</v>
      </c>
      <c r="C2375" s="3" t="inlineStr">
        <is>
          <t>Expenses</t>
        </is>
      </c>
      <c r="D2375" s="3" t="inlineStr">
        <is>
          <t>3900/115</t>
        </is>
      </c>
      <c r="E2375" s="3" t="inlineStr">
        <is>
          <t>Interest Paid - Investors @ 6.5%</t>
        </is>
      </c>
      <c r="F2375" s="3" t="n">
        <v>2920.55</v>
      </c>
      <c r="G2375" s="3" t="n">
        <v>32232.89</v>
      </c>
    </row>
    <row r="2376">
      <c r="A2376" s="3" t="inlineStr">
        <is>
          <t>Heron Fields (Pty) Ltd</t>
        </is>
      </c>
      <c r="B2376" s="4" t="n">
        <v>44926</v>
      </c>
      <c r="C2376" s="3" t="inlineStr">
        <is>
          <t>Expenses</t>
        </is>
      </c>
      <c r="D2376" s="3" t="inlineStr">
        <is>
          <t>3900/117</t>
        </is>
      </c>
      <c r="E2376" s="3" t="inlineStr">
        <is>
          <t>Interest Paid - Investors @ 6.75%</t>
        </is>
      </c>
      <c r="F2376" s="3" t="n">
        <v>1091.1</v>
      </c>
      <c r="G2376" s="3" t="n">
        <v>1652.07</v>
      </c>
    </row>
    <row r="2377">
      <c r="A2377" s="3" t="inlineStr">
        <is>
          <t>Heron Fields (Pty) Ltd</t>
        </is>
      </c>
      <c r="B2377" s="4" t="n">
        <v>44926</v>
      </c>
      <c r="C2377" s="3" t="inlineStr">
        <is>
          <t>Expenses</t>
        </is>
      </c>
      <c r="D2377" s="3" t="inlineStr">
        <is>
          <t>3900/120</t>
        </is>
      </c>
      <c r="E2377" s="3" t="inlineStr">
        <is>
          <t>Interest Paid - Investors @ 7%</t>
        </is>
      </c>
      <c r="F2377" s="3" t="n">
        <v>249.32</v>
      </c>
      <c r="G2377" s="3" t="n">
        <v>249.32</v>
      </c>
    </row>
    <row r="2378">
      <c r="A2378" s="3" t="inlineStr">
        <is>
          <t>Heron Fields (Pty) Ltd</t>
        </is>
      </c>
      <c r="B2378" s="4" t="n">
        <v>44926</v>
      </c>
      <c r="C2378" s="3" t="inlineStr">
        <is>
          <t>Expenses</t>
        </is>
      </c>
      <c r="D2378" s="3" t="inlineStr">
        <is>
          <t>3900/190</t>
        </is>
      </c>
      <c r="E2378" s="3" t="inlineStr">
        <is>
          <t>Interest Paid - Investors @ 14%</t>
        </is>
      </c>
      <c r="F2378" s="3" t="n">
        <v>53315.08</v>
      </c>
      <c r="G2378" s="3" t="n">
        <v>63632.89</v>
      </c>
    </row>
    <row r="2379">
      <c r="A2379" s="3" t="inlineStr">
        <is>
          <t>Heron Fields (Pty) Ltd</t>
        </is>
      </c>
      <c r="B2379" s="4" t="n">
        <v>44926</v>
      </c>
      <c r="C2379" s="3" t="inlineStr">
        <is>
          <t>Expenses</t>
        </is>
      </c>
      <c r="D2379" s="3" t="inlineStr">
        <is>
          <t>3900/200</t>
        </is>
      </c>
      <c r="E2379" s="3" t="inlineStr">
        <is>
          <t>Interest Paid - Investors @ 15%</t>
        </is>
      </c>
      <c r="F2379" s="3" t="n">
        <v>324986.28</v>
      </c>
      <c r="G2379" s="3" t="n">
        <v>701712.29</v>
      </c>
    </row>
    <row r="2380">
      <c r="A2380" s="3" t="inlineStr">
        <is>
          <t>Heron Fields (Pty) Ltd</t>
        </is>
      </c>
      <c r="B2380" s="4" t="n">
        <v>44926</v>
      </c>
      <c r="C2380" s="3" t="inlineStr">
        <is>
          <t>Expenses</t>
        </is>
      </c>
      <c r="D2380" s="3" t="inlineStr">
        <is>
          <t>3900/230</t>
        </is>
      </c>
      <c r="E2380" s="3" t="inlineStr">
        <is>
          <t>Interest Paid - Investors @ 18%</t>
        </is>
      </c>
      <c r="F2380" s="3" t="n">
        <v>1199211.5</v>
      </c>
      <c r="G2380" s="3" t="n">
        <v>3234321.06</v>
      </c>
    </row>
    <row r="2381">
      <c r="A2381" s="3" t="inlineStr">
        <is>
          <t>Cape Projects Construction (Pty) Ltd</t>
        </is>
      </c>
      <c r="B2381" s="4" t="n">
        <v>44926</v>
      </c>
      <c r="C2381" s="3" t="inlineStr">
        <is>
          <t>Expenses</t>
        </is>
      </c>
      <c r="D2381" s="3" t="inlineStr">
        <is>
          <t>3904/000</t>
        </is>
      </c>
      <c r="E2381" s="3" t="inlineStr">
        <is>
          <t>Interest Paid - BIBC</t>
        </is>
      </c>
      <c r="F2381" s="3" t="n">
        <v>0</v>
      </c>
      <c r="G2381" s="3" t="n">
        <v>1209.87</v>
      </c>
    </row>
    <row r="2382">
      <c r="A2382" s="3" t="inlineStr">
        <is>
          <t>Heron Fields (Pty) Ltd</t>
        </is>
      </c>
      <c r="B2382" s="4" t="n">
        <v>44926</v>
      </c>
      <c r="C2382" s="3" t="inlineStr">
        <is>
          <t>Expenses</t>
        </is>
      </c>
      <c r="D2382" s="3" t="inlineStr">
        <is>
          <t>4070/000</t>
        </is>
      </c>
      <c r="E2382" s="3" t="inlineStr">
        <is>
          <t>Management fees - OMH</t>
        </is>
      </c>
      <c r="F2382" s="3" t="n">
        <v>0</v>
      </c>
      <c r="G2382" s="3" t="n">
        <v>400000</v>
      </c>
    </row>
    <row r="2383">
      <c r="A2383" s="3" t="inlineStr">
        <is>
          <t>Heron Fields (Pty) Ltd</t>
        </is>
      </c>
      <c r="B2383" s="4" t="n">
        <v>44926</v>
      </c>
      <c r="C2383" s="3" t="inlineStr">
        <is>
          <t>Expenses</t>
        </is>
      </c>
      <c r="D2383" s="3" t="inlineStr">
        <is>
          <t>4100/001</t>
        </is>
      </c>
      <c r="E2383" s="3" t="inlineStr">
        <is>
          <t>Momentum Admin Fee</t>
        </is>
      </c>
      <c r="F2383" s="3" t="n">
        <v>2354.45</v>
      </c>
      <c r="G2383" s="3" t="n">
        <v>245456.71</v>
      </c>
    </row>
    <row r="2384">
      <c r="A2384" s="3" t="inlineStr">
        <is>
          <t>Cape Projects Construction (Pty) Ltd</t>
        </is>
      </c>
      <c r="B2384" s="4" t="n">
        <v>44926</v>
      </c>
      <c r="C2384" s="3" t="inlineStr">
        <is>
          <t>Expenses</t>
        </is>
      </c>
      <c r="D2384" s="3" t="inlineStr">
        <is>
          <t>4150/020</t>
        </is>
      </c>
      <c r="E2384" s="3" t="inlineStr">
        <is>
          <t>Motor Vehicle - Repairs _AND_ Maint.</t>
        </is>
      </c>
      <c r="F2384" s="3" t="n">
        <v>0</v>
      </c>
      <c r="G2384" s="3" t="n">
        <v>4033.01</v>
      </c>
    </row>
    <row r="2385">
      <c r="A2385" s="3" t="inlineStr">
        <is>
          <t>Cape Projects Construction (Pty) Ltd</t>
        </is>
      </c>
      <c r="B2385" s="4" t="n">
        <v>44926</v>
      </c>
      <c r="C2385" s="3" t="inlineStr">
        <is>
          <t>Expenses</t>
        </is>
      </c>
      <c r="D2385" s="3" t="inlineStr">
        <is>
          <t>4150/030</t>
        </is>
      </c>
      <c r="E2385" s="3" t="inlineStr">
        <is>
          <t>Motor Vehicle - Insurance _AND_ Licence</t>
        </is>
      </c>
      <c r="F2385" s="3" t="n">
        <v>0</v>
      </c>
      <c r="G2385" s="3" t="n">
        <v>1200</v>
      </c>
    </row>
    <row r="2386">
      <c r="A2386" s="3" t="inlineStr">
        <is>
          <t>Cape Projects Construction (Pty) Ltd</t>
        </is>
      </c>
      <c r="B2386" s="4" t="n">
        <v>44926</v>
      </c>
      <c r="C2386" s="3" t="inlineStr">
        <is>
          <t>Expenses</t>
        </is>
      </c>
      <c r="D2386" s="3" t="inlineStr">
        <is>
          <t>4200/000</t>
        </is>
      </c>
      <c r="E2386" s="3" t="inlineStr">
        <is>
          <t>Printing _AND_ Stationery</t>
        </is>
      </c>
      <c r="F2386" s="3" t="n">
        <v>736.17</v>
      </c>
      <c r="G2386" s="3" t="n">
        <v>12583.46</v>
      </c>
    </row>
    <row r="2387">
      <c r="A2387" s="3" t="inlineStr">
        <is>
          <t>Heron View (Pty) Ltd</t>
        </is>
      </c>
      <c r="B2387" s="4" t="n">
        <v>44926</v>
      </c>
      <c r="C2387" s="3" t="inlineStr">
        <is>
          <t>Expenses</t>
        </is>
      </c>
      <c r="D2387" s="3" t="inlineStr">
        <is>
          <t>4200/000</t>
        </is>
      </c>
      <c r="E2387" s="3" t="inlineStr">
        <is>
          <t>Printing _AND_ Stationery</t>
        </is>
      </c>
      <c r="F2387" s="3" t="n">
        <v>0</v>
      </c>
      <c r="G2387" s="3" t="n">
        <v>3404.62</v>
      </c>
    </row>
    <row r="2388">
      <c r="A2388" s="3" t="inlineStr">
        <is>
          <t>Cape Projects Construction (Pty) Ltd</t>
        </is>
      </c>
      <c r="B2388" s="4" t="n">
        <v>44926</v>
      </c>
      <c r="C2388" s="3" t="inlineStr">
        <is>
          <t>Expenses</t>
        </is>
      </c>
      <c r="D2388" s="3" t="inlineStr">
        <is>
          <t>4201/000</t>
        </is>
      </c>
      <c r="E2388" s="3" t="inlineStr">
        <is>
          <t>Printing - Printer rental</t>
        </is>
      </c>
      <c r="F2388" s="3" t="n">
        <v>0</v>
      </c>
      <c r="G2388" s="3" t="n">
        <v>6198.89</v>
      </c>
    </row>
    <row r="2389">
      <c r="A2389" s="3" t="inlineStr">
        <is>
          <t>Cape Projects Construction (Pty) Ltd</t>
        </is>
      </c>
      <c r="B2389" s="4" t="n">
        <v>44926</v>
      </c>
      <c r="C2389" s="3" t="inlineStr">
        <is>
          <t>Expenses</t>
        </is>
      </c>
      <c r="D2389" s="3" t="inlineStr">
        <is>
          <t>4300/000</t>
        </is>
      </c>
      <c r="E2389" s="3" t="inlineStr">
        <is>
          <t>Rent Paid</t>
        </is>
      </c>
      <c r="F2389" s="3" t="n">
        <v>29600</v>
      </c>
      <c r="G2389" s="3" t="n">
        <v>282891.67</v>
      </c>
    </row>
    <row r="2390">
      <c r="A2390" s="3" t="inlineStr">
        <is>
          <t>Cape Projects Construction (Pty) Ltd</t>
        </is>
      </c>
      <c r="B2390" s="4" t="n">
        <v>44926</v>
      </c>
      <c r="C2390" s="3" t="inlineStr">
        <is>
          <t>Expenses</t>
        </is>
      </c>
      <c r="D2390" s="3" t="inlineStr">
        <is>
          <t>4310/000</t>
        </is>
      </c>
      <c r="E2390" s="3" t="inlineStr">
        <is>
          <t>Rates</t>
        </is>
      </c>
      <c r="F2390" s="3" t="n">
        <v>843.6</v>
      </c>
      <c r="G2390" s="3" t="n">
        <v>8436</v>
      </c>
    </row>
    <row r="2391">
      <c r="A2391" s="3" t="inlineStr">
        <is>
          <t>Heron Fields (Pty) Ltd</t>
        </is>
      </c>
      <c r="B2391" s="4" t="n">
        <v>44926</v>
      </c>
      <c r="C2391" s="3" t="inlineStr">
        <is>
          <t>Expenses</t>
        </is>
      </c>
      <c r="D2391" s="3" t="inlineStr">
        <is>
          <t>4310/000</t>
        </is>
      </c>
      <c r="E2391" s="3" t="inlineStr">
        <is>
          <t>Rates - Heron</t>
        </is>
      </c>
      <c r="F2391" s="3" t="n">
        <v>0</v>
      </c>
      <c r="G2391" s="3" t="n">
        <v>29104.79</v>
      </c>
    </row>
    <row r="2392">
      <c r="A2392" s="3" t="inlineStr">
        <is>
          <t>Cape Projects Construction (Pty) Ltd</t>
        </is>
      </c>
      <c r="B2392" s="4" t="n">
        <v>44926</v>
      </c>
      <c r="C2392" s="3" t="inlineStr">
        <is>
          <t>Expenses</t>
        </is>
      </c>
      <c r="D2392" s="3" t="inlineStr">
        <is>
          <t>4350/000</t>
        </is>
      </c>
      <c r="E2392" s="3" t="inlineStr">
        <is>
          <t>Repairs _AND_ Maintenance</t>
        </is>
      </c>
      <c r="F2392" s="3" t="n">
        <v>3390</v>
      </c>
      <c r="G2392" s="3" t="n">
        <v>24423.01</v>
      </c>
    </row>
    <row r="2393">
      <c r="A2393" s="3" t="inlineStr">
        <is>
          <t>Heron Fields (Pty) Ltd</t>
        </is>
      </c>
      <c r="B2393" s="4" t="n">
        <v>44926</v>
      </c>
      <c r="C2393" s="3" t="inlineStr">
        <is>
          <t>Expenses</t>
        </is>
      </c>
      <c r="D2393" s="3" t="inlineStr">
        <is>
          <t>4350/000</t>
        </is>
      </c>
      <c r="E2393" s="3" t="inlineStr">
        <is>
          <t>Repairs _AND_ Maintenance</t>
        </is>
      </c>
      <c r="F2393" s="3" t="n">
        <v>0</v>
      </c>
      <c r="G2393" s="3" t="n">
        <v>22719.99</v>
      </c>
    </row>
    <row r="2394">
      <c r="A2394" s="3" t="inlineStr">
        <is>
          <t>Cape Projects Construction (Pty) Ltd</t>
        </is>
      </c>
      <c r="B2394" s="4" t="n">
        <v>44926</v>
      </c>
      <c r="C2394" s="3" t="inlineStr">
        <is>
          <t>Expenses</t>
        </is>
      </c>
      <c r="D2394" s="3" t="inlineStr">
        <is>
          <t>4400/000</t>
        </is>
      </c>
      <c r="E2394" s="3" t="inlineStr">
        <is>
          <t>Salaries _AND_ Wages</t>
        </is>
      </c>
      <c r="F2394" s="3" t="n">
        <v>193482.22</v>
      </c>
      <c r="G2394" s="3" t="n">
        <v>2131135.58</v>
      </c>
    </row>
    <row r="2395">
      <c r="A2395" s="3" t="inlineStr">
        <is>
          <t>Cape Projects Construction (Pty) Ltd</t>
        </is>
      </c>
      <c r="B2395" s="4" t="n">
        <v>44926</v>
      </c>
      <c r="C2395" s="3" t="inlineStr">
        <is>
          <t>Expenses</t>
        </is>
      </c>
      <c r="D2395" s="3" t="inlineStr">
        <is>
          <t>4402</t>
        </is>
      </c>
      <c r="E2395" s="3" t="inlineStr">
        <is>
          <t>Salaries &amp; Wages - WCA</t>
        </is>
      </c>
      <c r="F2395" s="3" t="n">
        <v>0</v>
      </c>
      <c r="G2395" s="3" t="n">
        <v>3746.27</v>
      </c>
    </row>
    <row r="2396">
      <c r="A2396" s="3" t="inlineStr">
        <is>
          <t>Cape Projects Construction (Pty) Ltd</t>
        </is>
      </c>
      <c r="B2396" s="4" t="n">
        <v>44926</v>
      </c>
      <c r="C2396" s="3" t="inlineStr">
        <is>
          <t>Expenses</t>
        </is>
      </c>
      <c r="D2396" s="3" t="inlineStr">
        <is>
          <t>4403/000</t>
        </is>
      </c>
      <c r="E2396" s="3" t="inlineStr">
        <is>
          <t>Security</t>
        </is>
      </c>
      <c r="F2396" s="3" t="n">
        <v>177.33</v>
      </c>
      <c r="G2396" s="3" t="n">
        <v>1518.09</v>
      </c>
    </row>
    <row r="2397">
      <c r="A2397" s="3" t="inlineStr">
        <is>
          <t>Cape Projects Construction (Pty) Ltd</t>
        </is>
      </c>
      <c r="B2397" s="4" t="n">
        <v>44926</v>
      </c>
      <c r="C2397" s="3" t="inlineStr">
        <is>
          <t>Expenses</t>
        </is>
      </c>
      <c r="D2397" s="3" t="inlineStr">
        <is>
          <t>4420/000</t>
        </is>
      </c>
      <c r="E2397" s="3" t="inlineStr">
        <is>
          <t>Small Assets</t>
        </is>
      </c>
      <c r="F2397" s="3" t="n">
        <v>0</v>
      </c>
      <c r="G2397" s="3" t="n">
        <v>9013.48</v>
      </c>
    </row>
    <row r="2398">
      <c r="A2398" s="3" t="inlineStr">
        <is>
          <t>Heron Fields (Pty) Ltd</t>
        </is>
      </c>
      <c r="B2398" s="4" t="n">
        <v>44926</v>
      </c>
      <c r="C2398" s="3" t="inlineStr">
        <is>
          <t>Expenses</t>
        </is>
      </c>
      <c r="D2398" s="3" t="inlineStr">
        <is>
          <t>4420/001</t>
        </is>
      </c>
      <c r="E2398" s="3" t="inlineStr">
        <is>
          <t>Security - ADT</t>
        </is>
      </c>
      <c r="F2398" s="3" t="n">
        <v>665.1900000000001</v>
      </c>
      <c r="G2398" s="3" t="n">
        <v>4921.03</v>
      </c>
    </row>
    <row r="2399">
      <c r="A2399" s="3" t="inlineStr">
        <is>
          <t>Cape Projects Construction (Pty) Ltd</t>
        </is>
      </c>
      <c r="B2399" s="4" t="n">
        <v>44926</v>
      </c>
      <c r="C2399" s="3" t="inlineStr">
        <is>
          <t>Expenses</t>
        </is>
      </c>
      <c r="D2399" s="3" t="inlineStr">
        <is>
          <t>4450/000</t>
        </is>
      </c>
      <c r="E2399" s="3" t="inlineStr">
        <is>
          <t>Staff Training</t>
        </is>
      </c>
      <c r="F2399" s="3" t="n">
        <v>0</v>
      </c>
      <c r="G2399" s="3" t="n">
        <v>6800</v>
      </c>
    </row>
    <row r="2400">
      <c r="A2400" s="3" t="inlineStr">
        <is>
          <t>Cape Projects Construction (Pty) Ltd</t>
        </is>
      </c>
      <c r="B2400" s="4" t="n">
        <v>44926</v>
      </c>
      <c r="C2400" s="3" t="inlineStr">
        <is>
          <t>Expenses</t>
        </is>
      </c>
      <c r="D2400" s="3" t="inlineStr">
        <is>
          <t>4500/000</t>
        </is>
      </c>
      <c r="E2400" s="3" t="inlineStr">
        <is>
          <t>Staff Welfare _AND_ Refreshmts</t>
        </is>
      </c>
      <c r="F2400" s="3" t="n">
        <v>0</v>
      </c>
      <c r="G2400" s="3" t="n">
        <v>4770.66</v>
      </c>
    </row>
    <row r="2401">
      <c r="A2401" s="3" t="inlineStr">
        <is>
          <t>Cape Projects Construction (Pty) Ltd</t>
        </is>
      </c>
      <c r="B2401" s="4" t="n">
        <v>44926</v>
      </c>
      <c r="C2401" s="3" t="inlineStr">
        <is>
          <t>Expenses</t>
        </is>
      </c>
      <c r="D2401" s="3" t="inlineStr">
        <is>
          <t>4550/000</t>
        </is>
      </c>
      <c r="E2401" s="3" t="inlineStr">
        <is>
          <t>Subscriptions / Licenses</t>
        </is>
      </c>
      <c r="F2401" s="3" t="n">
        <v>0</v>
      </c>
      <c r="G2401" s="3" t="n">
        <v>526.3200000000001</v>
      </c>
    </row>
    <row r="2402">
      <c r="A2402" s="3" t="inlineStr">
        <is>
          <t>Cape Projects Construction (Pty) Ltd</t>
        </is>
      </c>
      <c r="B2402" s="4" t="n">
        <v>44926</v>
      </c>
      <c r="C2402" s="3" t="inlineStr">
        <is>
          <t>Expenses</t>
        </is>
      </c>
      <c r="D2402" s="3" t="inlineStr">
        <is>
          <t>4550/001</t>
        </is>
      </c>
      <c r="E2402" s="3" t="inlineStr">
        <is>
          <t>Subscriptions &amp; Licenses - Sage payroll</t>
        </is>
      </c>
      <c r="F2402" s="3" t="n">
        <v>686</v>
      </c>
      <c r="G2402" s="3" t="n">
        <v>6080</v>
      </c>
    </row>
    <row r="2403">
      <c r="A2403" s="3" t="inlineStr">
        <is>
          <t>Cape Projects Construction (Pty) Ltd</t>
        </is>
      </c>
      <c r="B2403" s="4" t="n">
        <v>44926</v>
      </c>
      <c r="C2403" s="3" t="inlineStr">
        <is>
          <t>Expenses</t>
        </is>
      </c>
      <c r="D2403" s="3" t="inlineStr">
        <is>
          <t>4550/003</t>
        </is>
      </c>
      <c r="E2403" s="3" t="inlineStr">
        <is>
          <t>Subscriptions &amp; Licenses - Xero</t>
        </is>
      </c>
      <c r="F2403" s="3" t="n">
        <v>600</v>
      </c>
      <c r="G2403" s="3" t="n">
        <v>6000</v>
      </c>
    </row>
    <row r="2404">
      <c r="A2404" s="3" t="inlineStr">
        <is>
          <t>Cape Projects Construction (Pty) Ltd</t>
        </is>
      </c>
      <c r="B2404" s="4" t="n">
        <v>44926</v>
      </c>
      <c r="C2404" s="3" t="inlineStr">
        <is>
          <t>Expenses</t>
        </is>
      </c>
      <c r="D2404" s="3" t="inlineStr">
        <is>
          <t>4550/004</t>
        </is>
      </c>
      <c r="E2404" s="3" t="inlineStr">
        <is>
          <t>Subscriptions - Smartsheet</t>
        </is>
      </c>
      <c r="F2404" s="3" t="n">
        <v>484</v>
      </c>
      <c r="G2404" s="3" t="n">
        <v>4286.6</v>
      </c>
    </row>
    <row r="2405">
      <c r="A2405" s="3" t="inlineStr">
        <is>
          <t>Cape Projects Construction (Pty) Ltd</t>
        </is>
      </c>
      <c r="B2405" s="4" t="n">
        <v>44926</v>
      </c>
      <c r="C2405" s="3" t="inlineStr">
        <is>
          <t>Expenses</t>
        </is>
      </c>
      <c r="D2405" s="3" t="inlineStr">
        <is>
          <t>4550/006</t>
        </is>
      </c>
      <c r="E2405" s="3" t="inlineStr">
        <is>
          <t>Subscription - Candy software</t>
        </is>
      </c>
      <c r="F2405" s="3" t="n">
        <v>0</v>
      </c>
      <c r="G2405" s="3" t="n">
        <v>13765</v>
      </c>
    </row>
    <row r="2406">
      <c r="A2406" s="3" t="inlineStr">
        <is>
          <t>Heron Fields (Pty) Ltd</t>
        </is>
      </c>
      <c r="B2406" s="4" t="n">
        <v>44926</v>
      </c>
      <c r="C2406" s="3" t="inlineStr">
        <is>
          <t>Expenses</t>
        </is>
      </c>
      <c r="D2406" s="3" t="inlineStr">
        <is>
          <t>4550/100</t>
        </is>
      </c>
      <c r="E2406" s="3" t="inlineStr">
        <is>
          <t>Subscriptions - Xero</t>
        </is>
      </c>
      <c r="F2406" s="3" t="n">
        <v>600</v>
      </c>
      <c r="G2406" s="3" t="n">
        <v>6000</v>
      </c>
    </row>
    <row r="2407">
      <c r="A2407" s="3" t="inlineStr">
        <is>
          <t>Heron View (Pty) Ltd</t>
        </is>
      </c>
      <c r="B2407" s="4" t="n">
        <v>44926</v>
      </c>
      <c r="C2407" s="3" t="inlineStr">
        <is>
          <t>Expenses</t>
        </is>
      </c>
      <c r="D2407" s="3" t="inlineStr">
        <is>
          <t>4550/100</t>
        </is>
      </c>
      <c r="E2407" s="3" t="inlineStr">
        <is>
          <t>Subscriptions - Xero</t>
        </is>
      </c>
      <c r="F2407" s="3" t="n">
        <v>600</v>
      </c>
      <c r="G2407" s="3" t="n">
        <v>9600</v>
      </c>
    </row>
    <row r="2408">
      <c r="A2408" s="3" t="inlineStr">
        <is>
          <t>Heron Fields (Pty) Ltd</t>
        </is>
      </c>
      <c r="B2408" s="4" t="n">
        <v>44926</v>
      </c>
      <c r="C2408" s="3" t="inlineStr">
        <is>
          <t>Expenses</t>
        </is>
      </c>
      <c r="D2408" s="3" t="inlineStr">
        <is>
          <t>4550/200</t>
        </is>
      </c>
      <c r="E2408" s="3" t="inlineStr">
        <is>
          <t>Subscription - NHBRC</t>
        </is>
      </c>
      <c r="F2408" s="3" t="n">
        <v>0</v>
      </c>
      <c r="G2408" s="3" t="n">
        <v>788.4299999999999</v>
      </c>
    </row>
    <row r="2409">
      <c r="A2409" s="3" t="inlineStr">
        <is>
          <t>Cape Projects Construction (Pty) Ltd</t>
        </is>
      </c>
      <c r="B2409" s="4" t="n">
        <v>44926</v>
      </c>
      <c r="C2409" s="3" t="inlineStr">
        <is>
          <t>Expenses</t>
        </is>
      </c>
      <c r="D2409" s="3" t="inlineStr">
        <is>
          <t>4560</t>
        </is>
      </c>
      <c r="E2409" s="3" t="inlineStr">
        <is>
          <t>Secretarial fees - CIPC</t>
        </is>
      </c>
      <c r="F2409" s="3" t="n">
        <v>0</v>
      </c>
      <c r="G2409" s="3" t="n">
        <v>2500</v>
      </c>
    </row>
    <row r="2410">
      <c r="A2410" s="3" t="inlineStr">
        <is>
          <t>Cape Projects Construction (Pty) Ltd</t>
        </is>
      </c>
      <c r="B2410" s="4" t="n">
        <v>44926</v>
      </c>
      <c r="C2410" s="3" t="inlineStr">
        <is>
          <t>Expenses</t>
        </is>
      </c>
      <c r="D2410" s="3" t="inlineStr">
        <is>
          <t>4650/010</t>
        </is>
      </c>
      <c r="E2410" s="3" t="inlineStr">
        <is>
          <t>Travel - Local</t>
        </is>
      </c>
      <c r="F2410" s="3" t="n">
        <v>0</v>
      </c>
      <c r="G2410" s="3" t="n">
        <v>13.04</v>
      </c>
    </row>
    <row r="2411">
      <c r="A2411" s="3" t="inlineStr">
        <is>
          <t>Cape Projects Construction (Pty) Ltd</t>
        </is>
      </c>
      <c r="B2411" s="4" t="n">
        <v>44926</v>
      </c>
      <c r="C2411" s="3" t="inlineStr">
        <is>
          <t>Expenses</t>
        </is>
      </c>
      <c r="D2411" s="3" t="inlineStr">
        <is>
          <t>4700/000</t>
        </is>
      </c>
      <c r="E2411" s="3" t="inlineStr">
        <is>
          <t>PAYE Contributions</t>
        </is>
      </c>
      <c r="F2411" s="3" t="n">
        <v>23916.38</v>
      </c>
      <c r="G2411" s="3" t="n">
        <v>319356.68</v>
      </c>
    </row>
    <row r="2412">
      <c r="A2412" s="3" t="inlineStr">
        <is>
          <t>Cape Projects Construction (Pty) Ltd</t>
        </is>
      </c>
      <c r="B2412" s="4" t="n">
        <v>44926</v>
      </c>
      <c r="C2412" s="3" t="inlineStr">
        <is>
          <t>Expenses</t>
        </is>
      </c>
      <c r="D2412" s="3" t="inlineStr">
        <is>
          <t>4720/000</t>
        </is>
      </c>
      <c r="E2412" s="3" t="inlineStr">
        <is>
          <t>SDL Contributions</t>
        </is>
      </c>
      <c r="F2412" s="3" t="n">
        <v>1953.67</v>
      </c>
      <c r="G2412" s="3" t="n">
        <v>23352.39</v>
      </c>
    </row>
    <row r="2413">
      <c r="A2413" s="3" t="inlineStr">
        <is>
          <t>Cape Projects Construction (Pty) Ltd</t>
        </is>
      </c>
      <c r="B2413" s="4" t="n">
        <v>44926</v>
      </c>
      <c r="C2413" s="3" t="inlineStr">
        <is>
          <t>Expenses</t>
        </is>
      </c>
      <c r="D2413" s="3" t="inlineStr">
        <is>
          <t>4730/000</t>
        </is>
      </c>
      <c r="E2413" s="3" t="inlineStr">
        <is>
          <t>UIF Company Contributions</t>
        </is>
      </c>
      <c r="F2413" s="3" t="n">
        <v>1473.9</v>
      </c>
      <c r="G2413" s="3" t="n">
        <v>16938.61</v>
      </c>
    </row>
    <row r="2414">
      <c r="A2414" s="3" t="inlineStr">
        <is>
          <t>Cape Projects Construction (Pty) Ltd</t>
        </is>
      </c>
      <c r="B2414" s="4" t="n">
        <v>44926</v>
      </c>
      <c r="C2414" s="3" t="inlineStr">
        <is>
          <t>Expenses</t>
        </is>
      </c>
      <c r="D2414" s="3" t="inlineStr">
        <is>
          <t>4731/000</t>
        </is>
      </c>
      <c r="E2414" s="3" t="inlineStr">
        <is>
          <t>UIF Employee Contribution</t>
        </is>
      </c>
      <c r="F2414" s="3" t="n">
        <v>1473.9</v>
      </c>
      <c r="G2414" s="3" t="n">
        <v>16938.61</v>
      </c>
    </row>
    <row r="2415">
      <c r="A2415" s="3" t="inlineStr">
        <is>
          <t>Cape Projects Construction (Pty) Ltd</t>
        </is>
      </c>
      <c r="B2415" s="4" t="n">
        <v>44926</v>
      </c>
      <c r="C2415" s="3" t="inlineStr">
        <is>
          <t>Expenses</t>
        </is>
      </c>
      <c r="D2415" s="3" t="inlineStr">
        <is>
          <t>4740/000</t>
        </is>
      </c>
      <c r="E2415" s="3" t="inlineStr">
        <is>
          <t>BIBC Company Contribution</t>
        </is>
      </c>
      <c r="F2415" s="3" t="n">
        <v>5034</v>
      </c>
      <c r="G2415" s="3" t="n">
        <v>71031.64</v>
      </c>
    </row>
    <row r="2416">
      <c r="A2416" s="3" t="inlineStr">
        <is>
          <t>Cape Projects Construction (Pty) Ltd</t>
        </is>
      </c>
      <c r="B2416" s="4" t="n">
        <v>44926</v>
      </c>
      <c r="C2416" s="3" t="inlineStr">
        <is>
          <t>Expenses</t>
        </is>
      </c>
      <c r="D2416" s="3" t="inlineStr">
        <is>
          <t>4741/000</t>
        </is>
      </c>
      <c r="E2416" s="3" t="inlineStr">
        <is>
          <t>BIBC Employee Contribution</t>
        </is>
      </c>
      <c r="F2416" s="3" t="n">
        <v>1775.25</v>
      </c>
      <c r="G2416" s="3" t="n">
        <v>23849.05</v>
      </c>
    </row>
    <row r="2417">
      <c r="A2417" s="3" t="inlineStr">
        <is>
          <t>Heron Fields (Pty) Ltd</t>
        </is>
      </c>
      <c r="B2417" s="4" t="n">
        <v>44926</v>
      </c>
      <c r="C2417" s="3" t="inlineStr">
        <is>
          <t>Equity</t>
        </is>
      </c>
      <c r="D2417" s="3" t="inlineStr">
        <is>
          <t>5100-000</t>
        </is>
      </c>
      <c r="E2417" s="3" t="inlineStr">
        <is>
          <t>Share Capital</t>
        </is>
      </c>
      <c r="F2417" s="3" t="n">
        <v>0</v>
      </c>
      <c r="G2417" s="3" t="n">
        <v>-100</v>
      </c>
    </row>
    <row r="2418">
      <c r="A2418" s="3" t="inlineStr">
        <is>
          <t>Cape Projects Construction (Pty) Ltd</t>
        </is>
      </c>
      <c r="B2418" s="4" t="n">
        <v>44926</v>
      </c>
      <c r="C2418" s="3" t="inlineStr">
        <is>
          <t>Equity</t>
        </is>
      </c>
      <c r="D2418" s="3" t="inlineStr">
        <is>
          <t>5100/000</t>
        </is>
      </c>
      <c r="E2418" s="3" t="inlineStr">
        <is>
          <t>Share Capital / Members Contribution</t>
        </is>
      </c>
      <c r="F2418" s="3" t="n">
        <v>0</v>
      </c>
      <c r="G2418" s="3" t="n">
        <v>-120</v>
      </c>
    </row>
    <row r="2419">
      <c r="A2419" s="3" t="inlineStr">
        <is>
          <t>Cape Projects Construction (Pty) Ltd</t>
        </is>
      </c>
      <c r="B2419" s="4" t="n">
        <v>44926</v>
      </c>
      <c r="C2419" s="3" t="inlineStr">
        <is>
          <t>Equity</t>
        </is>
      </c>
      <c r="D2419" s="3" t="inlineStr">
        <is>
          <t>5200/000</t>
        </is>
      </c>
      <c r="E2419" s="3" t="inlineStr">
        <is>
          <t>Retained Earnings / Loss</t>
        </is>
      </c>
      <c r="F2419" s="3" t="n">
        <v>0</v>
      </c>
      <c r="G2419" s="3" t="n">
        <v>247347.05</v>
      </c>
    </row>
    <row r="2420">
      <c r="A2420" s="3" t="inlineStr">
        <is>
          <t>Heron Fields (Pty) Ltd</t>
        </is>
      </c>
      <c r="B2420" s="4" t="n">
        <v>44926</v>
      </c>
      <c r="C2420" s="3" t="inlineStr">
        <is>
          <t>Equity</t>
        </is>
      </c>
      <c r="D2420" s="3" t="inlineStr">
        <is>
          <t>5200/000</t>
        </is>
      </c>
      <c r="E2420" s="3" t="inlineStr">
        <is>
          <t>Retained Earnings / Loss</t>
        </is>
      </c>
      <c r="F2420" s="3" t="n">
        <v>0</v>
      </c>
      <c r="G2420" s="3" t="n">
        <v>-17080353.05</v>
      </c>
    </row>
    <row r="2421">
      <c r="A2421" s="3" t="inlineStr">
        <is>
          <t>Heron Fields (Pty) Ltd</t>
        </is>
      </c>
      <c r="B2421" s="4" t="n">
        <v>44926</v>
      </c>
      <c r="C2421" s="3" t="inlineStr">
        <is>
          <t>Assets</t>
        </is>
      </c>
      <c r="D2421" s="3" t="inlineStr">
        <is>
          <t>5300/001</t>
        </is>
      </c>
      <c r="E2421" s="3" t="inlineStr">
        <is>
          <t>Revaluation of Land stock</t>
        </is>
      </c>
      <c r="F2421" s="3" t="n">
        <v>0</v>
      </c>
      <c r="G2421" s="3" t="n">
        <v>17562360.85</v>
      </c>
    </row>
    <row r="2422">
      <c r="A2422" s="3" t="inlineStr">
        <is>
          <t>Cape Projects Construction (Pty) Ltd</t>
        </is>
      </c>
      <c r="B2422" s="4" t="n">
        <v>44926</v>
      </c>
      <c r="C2422" s="3" t="inlineStr">
        <is>
          <t>Assets</t>
        </is>
      </c>
      <c r="D2422" s="3" t="inlineStr">
        <is>
          <t>5400/150</t>
        </is>
      </c>
      <c r="E2422" s="3" t="inlineStr">
        <is>
          <t>Loan - Quinate</t>
        </is>
      </c>
      <c r="F2422" s="3" t="n">
        <v>225000</v>
      </c>
      <c r="G2422" s="3" t="n">
        <v>6796187.4</v>
      </c>
    </row>
    <row r="2423">
      <c r="A2423" s="3" t="inlineStr">
        <is>
          <t>Cape Projects Construction (Pty) Ltd</t>
        </is>
      </c>
      <c r="B2423" s="4" t="n">
        <v>44926</v>
      </c>
      <c r="C2423" s="3" t="inlineStr">
        <is>
          <t>Assets</t>
        </is>
      </c>
      <c r="D2423" s="3" t="inlineStr">
        <is>
          <t>5400/450</t>
        </is>
      </c>
      <c r="E2423" s="3" t="inlineStr">
        <is>
          <t>Loan - Opportunity Investment</t>
        </is>
      </c>
      <c r="F2423" s="3" t="n">
        <v>-271000</v>
      </c>
      <c r="G2423" s="3" t="n">
        <v>-271000</v>
      </c>
    </row>
    <row r="2424">
      <c r="A2424" s="3" t="inlineStr">
        <is>
          <t>Cape Projects Construction (Pty) Ltd</t>
        </is>
      </c>
      <c r="B2424" s="4" t="n">
        <v>44926</v>
      </c>
      <c r="C2424" s="3" t="inlineStr">
        <is>
          <t>Assets</t>
        </is>
      </c>
      <c r="D2424" s="3" t="inlineStr">
        <is>
          <t>5400/550</t>
        </is>
      </c>
      <c r="E2424" s="3" t="inlineStr">
        <is>
          <t>Loan - Trademark</t>
        </is>
      </c>
      <c r="F2424" s="3" t="n">
        <v>600</v>
      </c>
      <c r="G2424" s="3" t="n">
        <v>600</v>
      </c>
    </row>
    <row r="2425">
      <c r="A2425" s="3" t="inlineStr">
        <is>
          <t>Cape Projects Construction (Pty) Ltd</t>
        </is>
      </c>
      <c r="B2425" s="4" t="n">
        <v>44926</v>
      </c>
      <c r="C2425" s="3" t="inlineStr">
        <is>
          <t>Assets</t>
        </is>
      </c>
      <c r="D2425" s="3" t="inlineStr">
        <is>
          <t>5400/600</t>
        </is>
      </c>
      <c r="E2425" s="3" t="inlineStr">
        <is>
          <t>Loan - Heron Projects</t>
        </is>
      </c>
      <c r="F2425" s="3" t="n">
        <v>0</v>
      </c>
      <c r="G2425" s="3" t="n">
        <v>-8226138.5</v>
      </c>
    </row>
    <row r="2426">
      <c r="A2426" s="3" t="inlineStr">
        <is>
          <t>Cape Projects Construction (Pty) Ltd</t>
        </is>
      </c>
      <c r="B2426" s="4" t="n">
        <v>44926</v>
      </c>
      <c r="C2426" s="3" t="inlineStr">
        <is>
          <t>Assets</t>
        </is>
      </c>
      <c r="D2426" s="3" t="inlineStr">
        <is>
          <t>5400/650</t>
        </is>
      </c>
      <c r="E2426" s="3" t="inlineStr">
        <is>
          <t>Loan - Noble Shield</t>
        </is>
      </c>
      <c r="F2426" s="3" t="n">
        <v>600</v>
      </c>
      <c r="G2426" s="3" t="n">
        <v>600</v>
      </c>
    </row>
    <row r="2427">
      <c r="A2427" s="3" t="inlineStr">
        <is>
          <t>Cape Projects Construction (Pty) Ltd</t>
        </is>
      </c>
      <c r="B2427" s="4" t="n">
        <v>44926</v>
      </c>
      <c r="C2427" s="3" t="inlineStr">
        <is>
          <t>Assets</t>
        </is>
      </c>
      <c r="D2427" s="3" t="inlineStr">
        <is>
          <t>5400/750</t>
        </is>
      </c>
      <c r="E2427" s="3" t="inlineStr">
        <is>
          <t>Loan - Endulini</t>
        </is>
      </c>
      <c r="F2427" s="3" t="n">
        <v>4692000</v>
      </c>
      <c r="G2427" s="3" t="n">
        <v>6059000</v>
      </c>
    </row>
    <row r="2428">
      <c r="A2428" s="3" t="inlineStr">
        <is>
          <t>Cape Projects Construction (Pty) Ltd</t>
        </is>
      </c>
      <c r="B2428" s="4" t="n">
        <v>44926</v>
      </c>
      <c r="C2428" s="3" t="inlineStr">
        <is>
          <t>Assets</t>
        </is>
      </c>
      <c r="D2428" s="3" t="inlineStr">
        <is>
          <t>5400/800</t>
        </is>
      </c>
      <c r="E2428" s="3" t="inlineStr">
        <is>
          <t>Loan - Opportunity Management Holdings</t>
        </is>
      </c>
      <c r="F2428" s="3" t="n">
        <v>-120000</v>
      </c>
      <c r="G2428" s="3" t="n">
        <v>-120000</v>
      </c>
    </row>
    <row r="2429">
      <c r="A2429" s="3" t="inlineStr">
        <is>
          <t>Heron View (Pty) Ltd</t>
        </is>
      </c>
      <c r="B2429" s="4" t="n">
        <v>44926</v>
      </c>
      <c r="C2429" s="3" t="inlineStr">
        <is>
          <t>Liabilities</t>
        </is>
      </c>
      <c r="D2429" s="3" t="inlineStr">
        <is>
          <t>5500/001</t>
        </is>
      </c>
      <c r="E2429" s="3" t="inlineStr">
        <is>
          <t>Loan - Heron Fields</t>
        </is>
      </c>
      <c r="F2429" s="3" t="n">
        <v>-269534.38</v>
      </c>
      <c r="G2429" s="3" t="n">
        <v>-2299447.39</v>
      </c>
    </row>
    <row r="2430">
      <c r="A2430" s="3" t="inlineStr">
        <is>
          <t>Heron Fields (Pty) Ltd</t>
        </is>
      </c>
      <c r="B2430" s="4" t="n">
        <v>44926</v>
      </c>
      <c r="C2430" s="3" t="inlineStr">
        <is>
          <t>Liabilities</t>
        </is>
      </c>
      <c r="D2430" s="3" t="inlineStr">
        <is>
          <t>5500/020</t>
        </is>
      </c>
      <c r="E2430" s="3" t="inlineStr">
        <is>
          <t>Loan - Cape Projects Construction</t>
        </is>
      </c>
      <c r="F2430" s="3" t="n">
        <v>0</v>
      </c>
      <c r="G2430" s="3" t="n">
        <v>8226138.5</v>
      </c>
    </row>
    <row r="2431">
      <c r="A2431" s="3" t="inlineStr">
        <is>
          <t>Heron Fields (Pty) Ltd</t>
        </is>
      </c>
      <c r="B2431" s="4" t="n">
        <v>44926</v>
      </c>
      <c r="C2431" s="3" t="inlineStr">
        <is>
          <t>Liabilities</t>
        </is>
      </c>
      <c r="D2431" s="3" t="inlineStr">
        <is>
          <t>5500/030</t>
        </is>
      </c>
      <c r="E2431" s="3" t="inlineStr">
        <is>
          <t>Loan - Opportunity Global Investments</t>
        </is>
      </c>
      <c r="F2431" s="3" t="n">
        <v>-60000</v>
      </c>
      <c r="G2431" s="3" t="n">
        <v>-60000</v>
      </c>
    </row>
    <row r="2432">
      <c r="A2432" s="3" t="inlineStr">
        <is>
          <t>Heron Fields (Pty) Ltd</t>
        </is>
      </c>
      <c r="B2432" s="4" t="n">
        <v>44926</v>
      </c>
      <c r="C2432" s="3" t="inlineStr">
        <is>
          <t>Liabilities</t>
        </is>
      </c>
      <c r="D2432" s="3" t="inlineStr">
        <is>
          <t>5500/050</t>
        </is>
      </c>
      <c r="E2432" s="3" t="inlineStr">
        <is>
          <t>Loan - Heron View</t>
        </is>
      </c>
      <c r="F2432" s="3" t="n">
        <v>6186594.55</v>
      </c>
      <c r="G2432" s="3" t="n">
        <v>8216507.56</v>
      </c>
    </row>
    <row r="2433">
      <c r="A2433" s="3" t="inlineStr">
        <is>
          <t>Cape Projects Construction (Pty) Ltd</t>
        </is>
      </c>
      <c r="B2433" s="4" t="n">
        <v>44926</v>
      </c>
      <c r="C2433" s="3" t="inlineStr">
        <is>
          <t>Liabilities</t>
        </is>
      </c>
      <c r="D2433" s="3" t="inlineStr">
        <is>
          <t>5600/100</t>
        </is>
      </c>
      <c r="E2433" s="3" t="inlineStr">
        <is>
          <t>Motor Vehical Car Repaymts - Toyota</t>
        </is>
      </c>
      <c r="F2433" s="3" t="n">
        <v>5233.24</v>
      </c>
      <c r="G2433" s="3" t="n">
        <v>52131.2</v>
      </c>
    </row>
    <row r="2434">
      <c r="A2434" s="3" t="inlineStr">
        <is>
          <t>Cape Projects Construction (Pty) Ltd</t>
        </is>
      </c>
      <c r="B2434" s="4" t="n">
        <v>44926</v>
      </c>
      <c r="C2434" s="3" t="inlineStr">
        <is>
          <t>Liabilities</t>
        </is>
      </c>
      <c r="D2434" s="3" t="inlineStr">
        <is>
          <t>5600/200</t>
        </is>
      </c>
      <c r="E2434" s="3" t="inlineStr">
        <is>
          <t>Motor Vehicle Car Repayments - Toyota Shortterm</t>
        </is>
      </c>
      <c r="F2434" s="3" t="n">
        <v>0</v>
      </c>
      <c r="G2434" s="3" t="n">
        <v>-58920.1</v>
      </c>
    </row>
    <row r="2435">
      <c r="A2435" s="3" t="inlineStr">
        <is>
          <t>Cape Projects Construction (Pty) Ltd</t>
        </is>
      </c>
      <c r="B2435" s="4" t="n">
        <v>44926</v>
      </c>
      <c r="C2435" s="3" t="inlineStr">
        <is>
          <t>Assets</t>
        </is>
      </c>
      <c r="D2435" s="3" t="inlineStr">
        <is>
          <t>6200/010</t>
        </is>
      </c>
      <c r="E2435" s="3" t="inlineStr">
        <is>
          <t>Motor Vehicles - @ Cost</t>
        </is>
      </c>
      <c r="F2435" s="3" t="n">
        <v>0</v>
      </c>
      <c r="G2435" s="3" t="n">
        <v>216064.1</v>
      </c>
    </row>
    <row r="2436">
      <c r="A2436" s="3" t="inlineStr">
        <is>
          <t>Cape Projects Construction (Pty) Ltd</t>
        </is>
      </c>
      <c r="B2436" s="4" t="n">
        <v>44926</v>
      </c>
      <c r="C2436" s="3" t="inlineStr">
        <is>
          <t>Assets</t>
        </is>
      </c>
      <c r="D2436" s="3" t="inlineStr">
        <is>
          <t>6200/020</t>
        </is>
      </c>
      <c r="E2436" s="3" t="inlineStr">
        <is>
          <t>Motor Vehicles - Accum Depre</t>
        </is>
      </c>
      <c r="F2436" s="3" t="n">
        <v>0</v>
      </c>
      <c r="G2436" s="3" t="n">
        <v>-216063.1</v>
      </c>
    </row>
    <row r="2437">
      <c r="A2437" s="3" t="inlineStr">
        <is>
          <t>Cape Projects Construction (Pty) Ltd</t>
        </is>
      </c>
      <c r="B2437" s="4" t="n">
        <v>44926</v>
      </c>
      <c r="C2437" s="3" t="inlineStr">
        <is>
          <t>Assets</t>
        </is>
      </c>
      <c r="D2437" s="3" t="inlineStr">
        <is>
          <t>6250/010</t>
        </is>
      </c>
      <c r="E2437" s="3" t="inlineStr">
        <is>
          <t>Computer Equipment - @ Cost</t>
        </is>
      </c>
      <c r="F2437" s="3" t="n">
        <v>0</v>
      </c>
      <c r="G2437" s="3" t="n">
        <v>92100.13</v>
      </c>
    </row>
    <row r="2438">
      <c r="A2438" s="3" t="inlineStr">
        <is>
          <t>Cape Projects Construction (Pty) Ltd</t>
        </is>
      </c>
      <c r="B2438" s="4" t="n">
        <v>44926</v>
      </c>
      <c r="C2438" s="3" t="inlineStr">
        <is>
          <t>Assets</t>
        </is>
      </c>
      <c r="D2438" s="3" t="inlineStr">
        <is>
          <t>6250/020</t>
        </is>
      </c>
      <c r="E2438" s="3" t="inlineStr">
        <is>
          <t>Computer Equipment - Accum Depre</t>
        </is>
      </c>
      <c r="F2438" s="3" t="n">
        <v>-2165.83</v>
      </c>
      <c r="G2438" s="3" t="n">
        <v>-38591.3</v>
      </c>
    </row>
    <row r="2439">
      <c r="A2439" s="3" t="inlineStr">
        <is>
          <t>Cape Projects Construction (Pty) Ltd</t>
        </is>
      </c>
      <c r="B2439" s="4" t="n">
        <v>44926</v>
      </c>
      <c r="C2439" s="3" t="inlineStr">
        <is>
          <t>Assets</t>
        </is>
      </c>
      <c r="D2439" s="3" t="inlineStr">
        <is>
          <t>6350/010</t>
        </is>
      </c>
      <c r="E2439" s="3" t="inlineStr">
        <is>
          <t>Furniture _AND_ Fittings - @ Cost</t>
        </is>
      </c>
      <c r="F2439" s="3" t="n">
        <v>0</v>
      </c>
      <c r="G2439" s="3" t="n">
        <v>37955.3</v>
      </c>
    </row>
    <row r="2440">
      <c r="A2440" s="3" t="inlineStr">
        <is>
          <t>Cape Projects Construction (Pty) Ltd</t>
        </is>
      </c>
      <c r="B2440" s="4" t="n">
        <v>44926</v>
      </c>
      <c r="C2440" s="3" t="inlineStr">
        <is>
          <t>Assets</t>
        </is>
      </c>
      <c r="D2440" s="3" t="inlineStr">
        <is>
          <t>6350/020</t>
        </is>
      </c>
      <c r="E2440" s="3" t="inlineStr">
        <is>
          <t>Furniture _AND_ Fittings - Accum Depre</t>
        </is>
      </c>
      <c r="F2440" s="3" t="n">
        <v>-547.6799999999999</v>
      </c>
      <c r="G2440" s="3" t="n">
        <v>-4799.22</v>
      </c>
    </row>
    <row r="2441">
      <c r="A2441" s="3" t="inlineStr">
        <is>
          <t>Cape Projects Construction (Pty) Ltd</t>
        </is>
      </c>
      <c r="B2441" s="4" t="n">
        <v>44926</v>
      </c>
      <c r="C2441" s="3" t="inlineStr">
        <is>
          <t>Assets</t>
        </is>
      </c>
      <c r="D2441" s="3" t="inlineStr">
        <is>
          <t>6600/010</t>
        </is>
      </c>
      <c r="E2441" s="3" t="inlineStr">
        <is>
          <t>Generator Fixed Asset - @ Cost</t>
        </is>
      </c>
      <c r="F2441" s="3" t="n">
        <v>0</v>
      </c>
      <c r="G2441" s="3" t="n">
        <v>11600</v>
      </c>
    </row>
    <row r="2442">
      <c r="A2442" s="3" t="inlineStr">
        <is>
          <t>Cape Projects Construction (Pty) Ltd</t>
        </is>
      </c>
      <c r="B2442" s="4" t="n">
        <v>44926</v>
      </c>
      <c r="C2442" s="3" t="inlineStr">
        <is>
          <t>Assets</t>
        </is>
      </c>
      <c r="D2442" s="3" t="inlineStr">
        <is>
          <t>6600/020</t>
        </is>
      </c>
      <c r="E2442" s="3" t="inlineStr">
        <is>
          <t>Generator Fixed Asset - Accum Depre</t>
        </is>
      </c>
      <c r="F2442" s="3" t="n">
        <v>-193.33</v>
      </c>
      <c r="G2442" s="3" t="n">
        <v>-2738.89</v>
      </c>
    </row>
    <row r="2443">
      <c r="A2443" s="3" t="inlineStr">
        <is>
          <t>Heron Fields (Pty) Ltd</t>
        </is>
      </c>
      <c r="B2443" s="4" t="n">
        <v>44926</v>
      </c>
      <c r="C2443" s="3" t="inlineStr">
        <is>
          <t>Assets</t>
        </is>
      </c>
      <c r="D2443" s="3" t="inlineStr">
        <is>
          <t>7610/395</t>
        </is>
      </c>
      <c r="E2443" s="3" t="inlineStr">
        <is>
          <t>HF CIP NHBRC</t>
        </is>
      </c>
      <c r="F2443" s="3" t="n">
        <v>0</v>
      </c>
      <c r="G2443" s="3" t="n">
        <v>874505.75</v>
      </c>
    </row>
    <row r="2444">
      <c r="A2444" s="3" t="inlineStr">
        <is>
          <t>Heron View (Pty) Ltd</t>
        </is>
      </c>
      <c r="B2444" s="4" t="n">
        <v>44926</v>
      </c>
      <c r="C2444" s="3" t="inlineStr">
        <is>
          <t>Assets</t>
        </is>
      </c>
      <c r="D2444" s="3" t="inlineStr">
        <is>
          <t>7610/395</t>
        </is>
      </c>
      <c r="E2444" s="3" t="inlineStr">
        <is>
          <t>Heron CIP NHBRC</t>
        </is>
      </c>
      <c r="F2444" s="3" t="n">
        <v>0</v>
      </c>
      <c r="G2444" s="3" t="n">
        <v>439254.75</v>
      </c>
    </row>
    <row r="2445">
      <c r="A2445" s="3" t="inlineStr">
        <is>
          <t>Heron Fields (Pty) Ltd</t>
        </is>
      </c>
      <c r="B2445" s="4" t="n">
        <v>44926</v>
      </c>
      <c r="C2445" s="3" t="inlineStr">
        <is>
          <t>Assets</t>
        </is>
      </c>
      <c r="D2445" s="3" t="inlineStr">
        <is>
          <t>7620/100</t>
        </is>
      </c>
      <c r="E2445" s="3" t="inlineStr">
        <is>
          <t>Heron View Land</t>
        </is>
      </c>
      <c r="F2445" s="3" t="n">
        <v>0</v>
      </c>
      <c r="G2445" s="3" t="n">
        <v>26200000</v>
      </c>
    </row>
    <row r="2446">
      <c r="A2446" s="3" t="inlineStr">
        <is>
          <t>Heron Fields (Pty) Ltd</t>
        </is>
      </c>
      <c r="B2446" s="4" t="n">
        <v>44926</v>
      </c>
      <c r="C2446" s="3" t="inlineStr">
        <is>
          <t>Assets</t>
        </is>
      </c>
      <c r="D2446" s="3" t="inlineStr">
        <is>
          <t>7620/101</t>
        </is>
      </c>
      <c r="E2446" s="3" t="inlineStr">
        <is>
          <t>HF CIP Bond Registration Fee</t>
        </is>
      </c>
      <c r="F2446" s="3" t="n">
        <v>0</v>
      </c>
      <c r="G2446" s="3" t="n">
        <v>68427</v>
      </c>
    </row>
    <row r="2447">
      <c r="A2447" s="3" t="inlineStr">
        <is>
          <t>Heron Fields (Pty) Ltd</t>
        </is>
      </c>
      <c r="B2447" s="4" t="n">
        <v>44926</v>
      </c>
      <c r="C2447" s="3" t="inlineStr">
        <is>
          <t>Assets</t>
        </is>
      </c>
      <c r="D2447" s="3" t="inlineStr">
        <is>
          <t>7620/102</t>
        </is>
      </c>
      <c r="E2447" s="3" t="inlineStr">
        <is>
          <t>HF CIP Transfer Fee</t>
        </is>
      </c>
      <c r="F2447" s="3" t="n">
        <v>0</v>
      </c>
      <c r="G2447" s="3" t="n">
        <v>103812</v>
      </c>
    </row>
    <row r="2448">
      <c r="A2448" s="3" t="inlineStr">
        <is>
          <t>Heron Fields (Pty) Ltd</t>
        </is>
      </c>
      <c r="B2448" s="4" t="n">
        <v>44926</v>
      </c>
      <c r="C2448" s="3" t="inlineStr">
        <is>
          <t>Assets</t>
        </is>
      </c>
      <c r="D2448" s="3" t="inlineStr">
        <is>
          <t>7620/220</t>
        </is>
      </c>
      <c r="E2448" s="3" t="inlineStr">
        <is>
          <t>HF CIP Architectural Designs</t>
        </is>
      </c>
      <c r="F2448" s="3" t="n">
        <v>2500</v>
      </c>
      <c r="G2448" s="3" t="n">
        <v>847438</v>
      </c>
    </row>
    <row r="2449">
      <c r="A2449" s="3" t="inlineStr">
        <is>
          <t>Heron View (Pty) Ltd</t>
        </is>
      </c>
      <c r="B2449" s="4" t="n">
        <v>44926</v>
      </c>
      <c r="C2449" s="3" t="inlineStr">
        <is>
          <t>Assets</t>
        </is>
      </c>
      <c r="D2449" s="3" t="inlineStr">
        <is>
          <t>7620/220</t>
        </is>
      </c>
      <c r="E2449" s="3" t="inlineStr">
        <is>
          <t>Heron View CIP Architectural Designs</t>
        </is>
      </c>
      <c r="F2449" s="3" t="n">
        <v>0</v>
      </c>
      <c r="G2449" s="3" t="n">
        <v>398921</v>
      </c>
    </row>
    <row r="2450">
      <c r="A2450" s="3" t="inlineStr">
        <is>
          <t>Heron Fields (Pty) Ltd</t>
        </is>
      </c>
      <c r="B2450" s="4" t="n">
        <v>44926</v>
      </c>
      <c r="C2450" s="3" t="inlineStr">
        <is>
          <t>Assets</t>
        </is>
      </c>
      <c r="D2450" s="3" t="inlineStr">
        <is>
          <t>7620/230</t>
        </is>
      </c>
      <c r="E2450" s="3" t="inlineStr">
        <is>
          <t>HF CIP Construction Management</t>
        </is>
      </c>
      <c r="F2450" s="3" t="n">
        <v>12250</v>
      </c>
      <c r="G2450" s="3" t="n">
        <v>132500</v>
      </c>
    </row>
    <row r="2451">
      <c r="A2451" s="3" t="inlineStr">
        <is>
          <t>Heron Fields (Pty) Ltd</t>
        </is>
      </c>
      <c r="B2451" s="4" t="n">
        <v>44926</v>
      </c>
      <c r="C2451" s="3" t="inlineStr">
        <is>
          <t>Assets</t>
        </is>
      </c>
      <c r="D2451" s="3" t="inlineStr">
        <is>
          <t>7620/240</t>
        </is>
      </c>
      <c r="E2451" s="3" t="inlineStr">
        <is>
          <t>HF CIP Civil Engineering</t>
        </is>
      </c>
      <c r="F2451" s="3" t="n">
        <v>430000</v>
      </c>
      <c r="G2451" s="3" t="n">
        <v>8557641.800000001</v>
      </c>
    </row>
    <row r="2452">
      <c r="A2452" s="3" t="inlineStr">
        <is>
          <t>Heron Fields (Pty) Ltd</t>
        </is>
      </c>
      <c r="B2452" s="4" t="n">
        <v>44926</v>
      </c>
      <c r="C2452" s="3" t="inlineStr">
        <is>
          <t>Assets</t>
        </is>
      </c>
      <c r="D2452" s="3" t="inlineStr">
        <is>
          <t>7620/245</t>
        </is>
      </c>
      <c r="E2452" s="3" t="inlineStr">
        <is>
          <t>HF CIP Development fee</t>
        </is>
      </c>
      <c r="F2452" s="3" t="n">
        <v>0</v>
      </c>
      <c r="G2452" s="3" t="n">
        <v>13807.78</v>
      </c>
    </row>
    <row r="2453">
      <c r="A2453" s="3" t="inlineStr">
        <is>
          <t>Heron Fields (Pty) Ltd</t>
        </is>
      </c>
      <c r="B2453" s="4" t="n">
        <v>44926</v>
      </c>
      <c r="C2453" s="3" t="inlineStr">
        <is>
          <t>Assets</t>
        </is>
      </c>
      <c r="D2453" s="3" t="inlineStr">
        <is>
          <t>7620/250</t>
        </is>
      </c>
      <c r="E2453" s="3" t="inlineStr">
        <is>
          <t>HF CIP Land Surveyor</t>
        </is>
      </c>
      <c r="F2453" s="3" t="n">
        <v>0</v>
      </c>
      <c r="G2453" s="3" t="n">
        <v>152123.09</v>
      </c>
    </row>
    <row r="2454">
      <c r="A2454" s="3" t="inlineStr">
        <is>
          <t>Heron View (Pty) Ltd</t>
        </is>
      </c>
      <c r="B2454" s="4" t="n">
        <v>44926</v>
      </c>
      <c r="C2454" s="3" t="inlineStr">
        <is>
          <t>Assets</t>
        </is>
      </c>
      <c r="D2454" s="3" t="inlineStr">
        <is>
          <t>7620/250</t>
        </is>
      </c>
      <c r="E2454" s="3" t="inlineStr">
        <is>
          <t>Heron View CIP Land Surveyor</t>
        </is>
      </c>
      <c r="F2454" s="3" t="n">
        <v>0</v>
      </c>
      <c r="G2454" s="3" t="n">
        <v>11650</v>
      </c>
    </row>
    <row r="2455">
      <c r="A2455" s="3" t="inlineStr">
        <is>
          <t>Heron Fields (Pty) Ltd</t>
        </is>
      </c>
      <c r="B2455" s="4" t="n">
        <v>44926</v>
      </c>
      <c r="C2455" s="3" t="inlineStr">
        <is>
          <t>Assets</t>
        </is>
      </c>
      <c r="D2455" s="3" t="inlineStr">
        <is>
          <t>7620/255</t>
        </is>
      </c>
      <c r="E2455" s="3" t="inlineStr">
        <is>
          <t>HF CIP Landscaping</t>
        </is>
      </c>
      <c r="F2455" s="3" t="n">
        <v>0</v>
      </c>
      <c r="G2455" s="3" t="n">
        <v>7500</v>
      </c>
    </row>
    <row r="2456">
      <c r="A2456" s="3" t="inlineStr">
        <is>
          <t>Heron Fields (Pty) Ltd</t>
        </is>
      </c>
      <c r="B2456" s="4" t="n">
        <v>44926</v>
      </c>
      <c r="C2456" s="3" t="inlineStr">
        <is>
          <t>Assets</t>
        </is>
      </c>
      <c r="D2456" s="3" t="inlineStr">
        <is>
          <t>7620/260</t>
        </is>
      </c>
      <c r="E2456" s="3" t="inlineStr">
        <is>
          <t>HF CIP Mechanical Engineers</t>
        </is>
      </c>
      <c r="F2456" s="3" t="n">
        <v>0</v>
      </c>
      <c r="G2456" s="3" t="n">
        <v>67400</v>
      </c>
    </row>
    <row r="2457">
      <c r="A2457" s="3" t="inlineStr">
        <is>
          <t>Heron Fields (Pty) Ltd</t>
        </is>
      </c>
      <c r="B2457" s="4" t="n">
        <v>44926</v>
      </c>
      <c r="C2457" s="3" t="inlineStr">
        <is>
          <t>Assets</t>
        </is>
      </c>
      <c r="D2457" s="3" t="inlineStr">
        <is>
          <t>7620/265</t>
        </is>
      </c>
      <c r="E2457" s="3" t="inlineStr">
        <is>
          <t>HF CIP Health &amp; Safety</t>
        </is>
      </c>
      <c r="F2457" s="3" t="n">
        <v>0</v>
      </c>
      <c r="G2457" s="3" t="n">
        <v>19200</v>
      </c>
    </row>
    <row r="2458">
      <c r="A2458" s="3" t="inlineStr">
        <is>
          <t>Heron Fields (Pty) Ltd</t>
        </is>
      </c>
      <c r="B2458" s="4" t="n">
        <v>44926</v>
      </c>
      <c r="C2458" s="3" t="inlineStr">
        <is>
          <t>Assets</t>
        </is>
      </c>
      <c r="D2458" s="3" t="inlineStr">
        <is>
          <t>7620/270</t>
        </is>
      </c>
      <c r="E2458" s="3" t="inlineStr">
        <is>
          <t>HF CIP Geotechnical</t>
        </is>
      </c>
      <c r="F2458" s="3" t="n">
        <v>0</v>
      </c>
      <c r="G2458" s="3" t="n">
        <v>15175</v>
      </c>
    </row>
    <row r="2459">
      <c r="A2459" s="3" t="inlineStr">
        <is>
          <t>Heron Fields (Pty) Ltd</t>
        </is>
      </c>
      <c r="B2459" s="4" t="n">
        <v>44926</v>
      </c>
      <c r="C2459" s="3" t="inlineStr">
        <is>
          <t>Assets</t>
        </is>
      </c>
      <c r="D2459" s="3" t="inlineStr">
        <is>
          <t>7620/275</t>
        </is>
      </c>
      <c r="E2459" s="3" t="inlineStr">
        <is>
          <t>HF CIP Retaining Wall</t>
        </is>
      </c>
      <c r="F2459" s="3" t="n">
        <v>0</v>
      </c>
      <c r="G2459" s="3" t="n">
        <v>570856.08</v>
      </c>
    </row>
    <row r="2460">
      <c r="A2460" s="3" t="inlineStr">
        <is>
          <t>Heron Fields (Pty) Ltd</t>
        </is>
      </c>
      <c r="B2460" s="4" t="n">
        <v>44926</v>
      </c>
      <c r="C2460" s="3" t="inlineStr">
        <is>
          <t>Assets</t>
        </is>
      </c>
      <c r="D2460" s="3" t="inlineStr">
        <is>
          <t>7620/280</t>
        </is>
      </c>
      <c r="E2460" s="3" t="inlineStr">
        <is>
          <t>HF CIP Site Establishment</t>
        </is>
      </c>
      <c r="F2460" s="3" t="n">
        <v>4857562.08</v>
      </c>
      <c r="G2460" s="3" t="n">
        <v>48189453.1</v>
      </c>
    </row>
    <row r="2461">
      <c r="A2461" s="3" t="inlineStr">
        <is>
          <t>Heron Fields (Pty) Ltd</t>
        </is>
      </c>
      <c r="B2461" s="4" t="n">
        <v>44926</v>
      </c>
      <c r="C2461" s="3" t="inlineStr">
        <is>
          <t>Assets</t>
        </is>
      </c>
      <c r="D2461" s="3" t="inlineStr">
        <is>
          <t>7620/285</t>
        </is>
      </c>
      <c r="E2461" s="3" t="inlineStr">
        <is>
          <t>HF CIP Structuring Fee - Invest</t>
        </is>
      </c>
      <c r="F2461" s="3" t="n">
        <v>280000</v>
      </c>
      <c r="G2461" s="3" t="n">
        <v>3676905</v>
      </c>
    </row>
    <row r="2462">
      <c r="A2462" s="3" t="inlineStr">
        <is>
          <t>Heron Fields (Pty) Ltd</t>
        </is>
      </c>
      <c r="B2462" s="4" t="n">
        <v>44926</v>
      </c>
      <c r="C2462" s="3" t="inlineStr">
        <is>
          <t>Assets</t>
        </is>
      </c>
      <c r="D2462" s="3" t="inlineStr">
        <is>
          <t>7620/287</t>
        </is>
      </c>
      <c r="E2462" s="3" t="inlineStr">
        <is>
          <t>HF CIP Structuring Fee - Development</t>
        </is>
      </c>
      <c r="F2462" s="3" t="n">
        <v>0</v>
      </c>
      <c r="G2462" s="3" t="n">
        <v>782608.0699999999</v>
      </c>
    </row>
    <row r="2463">
      <c r="A2463" s="3" t="inlineStr">
        <is>
          <t>Heron Fields (Pty) Ltd</t>
        </is>
      </c>
      <c r="B2463" s="4" t="n">
        <v>44926</v>
      </c>
      <c r="C2463" s="3" t="inlineStr">
        <is>
          <t>Assets</t>
        </is>
      </c>
      <c r="D2463" s="3" t="inlineStr">
        <is>
          <t>7620/290</t>
        </is>
      </c>
      <c r="E2463" s="3" t="inlineStr">
        <is>
          <t>HF CIP Town Planning</t>
        </is>
      </c>
      <c r="F2463" s="3" t="n">
        <v>0</v>
      </c>
      <c r="G2463" s="3" t="n">
        <v>166550</v>
      </c>
    </row>
    <row r="2464">
      <c r="A2464" s="3" t="inlineStr">
        <is>
          <t>Heron Fields (Pty) Ltd</t>
        </is>
      </c>
      <c r="B2464" s="4" t="n">
        <v>44926</v>
      </c>
      <c r="C2464" s="3" t="inlineStr">
        <is>
          <t>Assets</t>
        </is>
      </c>
      <c r="D2464" s="3" t="inlineStr">
        <is>
          <t>7620/295</t>
        </is>
      </c>
      <c r="E2464" s="3" t="inlineStr">
        <is>
          <t>HF CIP Traffic Planning</t>
        </is>
      </c>
      <c r="F2464" s="3" t="n">
        <v>0</v>
      </c>
      <c r="G2464" s="3" t="n">
        <v>45000</v>
      </c>
    </row>
    <row r="2465">
      <c r="A2465" s="3" t="inlineStr">
        <is>
          <t>Heron Fields (Pty) Ltd</t>
        </is>
      </c>
      <c r="B2465" s="4" t="n">
        <v>44926</v>
      </c>
      <c r="C2465" s="3" t="inlineStr">
        <is>
          <t>Assets</t>
        </is>
      </c>
      <c r="D2465" s="3" t="inlineStr">
        <is>
          <t>7620/600</t>
        </is>
      </c>
      <c r="E2465" s="3" t="inlineStr">
        <is>
          <t>HF CIP Eco work</t>
        </is>
      </c>
      <c r="F2465" s="3" t="n">
        <v>6000</v>
      </c>
      <c r="G2465" s="3" t="n">
        <v>119000</v>
      </c>
    </row>
    <row r="2466">
      <c r="A2466" s="3" t="inlineStr">
        <is>
          <t>Heron View (Pty) Ltd</t>
        </is>
      </c>
      <c r="B2466" s="4" t="n">
        <v>44926</v>
      </c>
      <c r="C2466" s="3" t="inlineStr">
        <is>
          <t>Assets</t>
        </is>
      </c>
      <c r="D2466" s="3" t="inlineStr">
        <is>
          <t>7620/610</t>
        </is>
      </c>
      <c r="E2466" s="3" t="inlineStr">
        <is>
          <t>HV CIP Retaining wall</t>
        </is>
      </c>
      <c r="F2466" s="3" t="n">
        <v>0</v>
      </c>
      <c r="G2466" s="3" t="n">
        <v>66190.11</v>
      </c>
    </row>
    <row r="2467">
      <c r="A2467" s="3" t="inlineStr">
        <is>
          <t>Heron Fields (Pty) Ltd</t>
        </is>
      </c>
      <c r="B2467" s="4" t="n">
        <v>44926</v>
      </c>
      <c r="C2467" s="3" t="inlineStr">
        <is>
          <t>Assets</t>
        </is>
      </c>
      <c r="D2467" s="3" t="inlineStr">
        <is>
          <t>7620/630</t>
        </is>
      </c>
      <c r="E2467" s="3" t="inlineStr">
        <is>
          <t>HF CIP CoCT development contribution</t>
        </is>
      </c>
      <c r="F2467" s="3" t="n">
        <v>0</v>
      </c>
      <c r="G2467" s="3" t="n">
        <v>1021325.63</v>
      </c>
    </row>
    <row r="2468">
      <c r="A2468" s="3" t="inlineStr">
        <is>
          <t>Heron View (Pty) Ltd</t>
        </is>
      </c>
      <c r="B2468" s="4" t="n">
        <v>44926</v>
      </c>
      <c r="C2468" s="3" t="inlineStr">
        <is>
          <t>Assets</t>
        </is>
      </c>
      <c r="D2468" s="3" t="inlineStr">
        <is>
          <t>7620/630</t>
        </is>
      </c>
      <c r="E2468" s="3" t="inlineStr">
        <is>
          <t>Heron CIP - CoCT development contribution</t>
        </is>
      </c>
      <c r="F2468" s="3" t="n">
        <v>0</v>
      </c>
      <c r="G2468" s="3" t="n">
        <v>1238365.93</v>
      </c>
    </row>
    <row r="2469">
      <c r="A2469" s="3" t="inlineStr">
        <is>
          <t>Heron Fields (Pty) Ltd</t>
        </is>
      </c>
      <c r="B2469" s="4" t="n">
        <v>44926</v>
      </c>
      <c r="C2469" s="3" t="inlineStr">
        <is>
          <t>Assets</t>
        </is>
      </c>
      <c r="D2469" s="3" t="inlineStr">
        <is>
          <t>7620/640</t>
        </is>
      </c>
      <c r="E2469" s="3" t="inlineStr">
        <is>
          <t>HF CIP Project costs</t>
        </is>
      </c>
      <c r="F2469" s="3" t="n">
        <v>0</v>
      </c>
      <c r="G2469" s="3" t="n">
        <v>622274.51</v>
      </c>
    </row>
    <row r="2470">
      <c r="A2470" s="3" t="inlineStr">
        <is>
          <t>Heron View (Pty) Ltd</t>
        </is>
      </c>
      <c r="B2470" s="4" t="n">
        <v>44926</v>
      </c>
      <c r="C2470" s="3" t="inlineStr">
        <is>
          <t>Assets</t>
        </is>
      </c>
      <c r="D2470" s="3" t="inlineStr">
        <is>
          <t>7620/650</t>
        </is>
      </c>
      <c r="E2470" s="3" t="inlineStr">
        <is>
          <t>CIP - Construction Management</t>
        </is>
      </c>
      <c r="F2470" s="3" t="n">
        <v>3750</v>
      </c>
      <c r="G2470" s="3" t="n">
        <v>15780</v>
      </c>
    </row>
    <row r="2471">
      <c r="A2471" s="3" t="inlineStr">
        <is>
          <t>Heron Fields (Pty) Ltd</t>
        </is>
      </c>
      <c r="B2471" s="4" t="n">
        <v>44926</v>
      </c>
      <c r="C2471" s="3" t="inlineStr">
        <is>
          <t>Assets</t>
        </is>
      </c>
      <c r="D2471" s="3" t="inlineStr">
        <is>
          <t>7620/650</t>
        </is>
      </c>
      <c r="E2471" s="3" t="inlineStr">
        <is>
          <t>HF CIP Electrical</t>
        </is>
      </c>
      <c r="F2471" s="3" t="n">
        <v>0</v>
      </c>
      <c r="G2471" s="3" t="n">
        <v>985049.6800000001</v>
      </c>
    </row>
    <row r="2472">
      <c r="A2472" s="3" t="inlineStr">
        <is>
          <t>Heron View (Pty) Ltd</t>
        </is>
      </c>
      <c r="B2472" s="4" t="n">
        <v>44926</v>
      </c>
      <c r="C2472" s="3" t="inlineStr">
        <is>
          <t>Assets</t>
        </is>
      </c>
      <c r="D2472" s="3" t="inlineStr">
        <is>
          <t>7620/660</t>
        </is>
      </c>
      <c r="E2472" s="3" t="inlineStr">
        <is>
          <t>HV CIP Health &amp; Safety</t>
        </is>
      </c>
      <c r="F2472" s="3" t="n">
        <v>0</v>
      </c>
      <c r="G2472" s="3" t="n">
        <v>11800</v>
      </c>
    </row>
    <row r="2473">
      <c r="A2473" s="3" t="inlineStr">
        <is>
          <t>Heron View (Pty) Ltd</t>
        </is>
      </c>
      <c r="B2473" s="4" t="n">
        <v>44926</v>
      </c>
      <c r="C2473" s="3" t="inlineStr">
        <is>
          <t>Assets</t>
        </is>
      </c>
      <c r="D2473" s="3" t="inlineStr">
        <is>
          <t>7620/670</t>
        </is>
      </c>
      <c r="E2473" s="3" t="inlineStr">
        <is>
          <t>HV CIP - Project costs CPSD</t>
        </is>
      </c>
      <c r="F2473" s="3" t="n">
        <v>0</v>
      </c>
      <c r="G2473" s="3" t="n">
        <v>250000</v>
      </c>
    </row>
    <row r="2474">
      <c r="A2474" s="3" t="inlineStr">
        <is>
          <t>Heron View (Pty) Ltd</t>
        </is>
      </c>
      <c r="B2474" s="4" t="n">
        <v>44926</v>
      </c>
      <c r="C2474" s="3" t="inlineStr">
        <is>
          <t>Assets</t>
        </is>
      </c>
      <c r="D2474" s="3" t="inlineStr">
        <is>
          <t>7620/680</t>
        </is>
      </c>
      <c r="E2474" s="3" t="inlineStr">
        <is>
          <t>HV CIP Elextrical</t>
        </is>
      </c>
      <c r="F2474" s="3" t="n">
        <v>812587.84</v>
      </c>
      <c r="G2474" s="3" t="n">
        <v>812587.84</v>
      </c>
    </row>
    <row r="2475">
      <c r="A2475" s="3" t="inlineStr">
        <is>
          <t>Heron Fields (Pty) Ltd</t>
        </is>
      </c>
      <c r="B2475" s="4" t="n">
        <v>44926</v>
      </c>
      <c r="C2475" s="3" t="inlineStr">
        <is>
          <t>Assets</t>
        </is>
      </c>
      <c r="D2475" s="3" t="inlineStr">
        <is>
          <t>7620/700</t>
        </is>
      </c>
      <c r="E2475" s="3" t="inlineStr">
        <is>
          <t>HF CIP - P&amp;G recoveries - Endulini&amp;Heron Fields/View</t>
        </is>
      </c>
      <c r="F2475" s="3" t="n">
        <v>0</v>
      </c>
      <c r="G2475" s="3" t="n">
        <v>3023829.42</v>
      </c>
    </row>
    <row r="2476">
      <c r="A2476" s="3" t="inlineStr">
        <is>
          <t>Heron Fields (Pty) Ltd</t>
        </is>
      </c>
      <c r="B2476" s="4" t="n">
        <v>44926</v>
      </c>
      <c r="C2476" s="3" t="inlineStr">
        <is>
          <t>Assets</t>
        </is>
      </c>
      <c r="D2476" s="3" t="inlineStr">
        <is>
          <t>7620/750</t>
        </is>
      </c>
      <c r="E2476" s="3" t="inlineStr">
        <is>
          <t>HF CIP Project costs CPSD</t>
        </is>
      </c>
      <c r="F2476" s="3" t="n">
        <v>400000</v>
      </c>
      <c r="G2476" s="3" t="n">
        <v>1250000</v>
      </c>
    </row>
    <row r="2477">
      <c r="A2477" s="3" t="inlineStr">
        <is>
          <t>Cape Projects Construction (Pty) Ltd</t>
        </is>
      </c>
      <c r="B2477" s="4" t="n">
        <v>44926</v>
      </c>
      <c r="C2477" s="3" t="inlineStr">
        <is>
          <t>Assets</t>
        </is>
      </c>
      <c r="D2477" s="3" t="inlineStr">
        <is>
          <t>7800/000</t>
        </is>
      </c>
      <c r="E2477" s="3" t="inlineStr">
        <is>
          <t>Deposits paid</t>
        </is>
      </c>
      <c r="F2477" s="3" t="n">
        <v>0</v>
      </c>
      <c r="G2477" s="3" t="n">
        <v>8387.950000000001</v>
      </c>
    </row>
    <row r="2478">
      <c r="A2478" s="3" t="inlineStr">
        <is>
          <t>Cape Projects Construction (Pty) Ltd</t>
        </is>
      </c>
      <c r="B2478" s="4" t="n">
        <v>44926</v>
      </c>
      <c r="C2478" s="3" t="inlineStr">
        <is>
          <t>Assets</t>
        </is>
      </c>
      <c r="D2478" s="3" t="inlineStr">
        <is>
          <t>8000/000</t>
        </is>
      </c>
      <c r="E2478" s="3" t="inlineStr">
        <is>
          <t>Customer Control Account</t>
        </is>
      </c>
      <c r="F2478" s="3" t="n">
        <v>-6868531.61</v>
      </c>
      <c r="G2478" s="3" t="n">
        <v>-3154899.4</v>
      </c>
    </row>
    <row r="2479">
      <c r="A2479" s="3" t="inlineStr">
        <is>
          <t>Heron Fields (Pty) Ltd</t>
        </is>
      </c>
      <c r="B2479" s="4" t="n">
        <v>44926</v>
      </c>
      <c r="C2479" s="3" t="inlineStr">
        <is>
          <t>Assets</t>
        </is>
      </c>
      <c r="D2479" s="3" t="inlineStr">
        <is>
          <t>8000/000</t>
        </is>
      </c>
      <c r="E2479" s="3" t="inlineStr">
        <is>
          <t>Customer Control Account</t>
        </is>
      </c>
      <c r="F2479" s="3" t="n">
        <v>-10000</v>
      </c>
      <c r="G2479" s="3" t="n">
        <v>0</v>
      </c>
    </row>
    <row r="2480">
      <c r="A2480" s="3" t="inlineStr">
        <is>
          <t>Cape Projects Construction (Pty) Ltd</t>
        </is>
      </c>
      <c r="B2480" s="4" t="n">
        <v>44926</v>
      </c>
      <c r="C2480" s="3" t="inlineStr">
        <is>
          <t>Assets</t>
        </is>
      </c>
      <c r="D2480" s="3" t="inlineStr">
        <is>
          <t>8200/010</t>
        </is>
      </c>
      <c r="E2480" s="3" t="inlineStr">
        <is>
          <t>Prepayments / Prepaid Expenses</t>
        </is>
      </c>
      <c r="F2480" s="3" t="n">
        <v>-2719.44</v>
      </c>
      <c r="G2480" s="3" t="n">
        <v>8158.31</v>
      </c>
    </row>
    <row r="2481">
      <c r="A2481" s="3" t="inlineStr">
        <is>
          <t>Heron Fields (Pty) Ltd</t>
        </is>
      </c>
      <c r="B2481" s="4" t="n">
        <v>44926</v>
      </c>
      <c r="C2481" s="3" t="inlineStr">
        <is>
          <t>Assets</t>
        </is>
      </c>
      <c r="D2481" s="3" t="inlineStr">
        <is>
          <t>8400/000</t>
        </is>
      </c>
      <c r="E2481" s="3" t="inlineStr">
        <is>
          <t>RMB - 62882379087</t>
        </is>
      </c>
      <c r="F2481" s="3" t="n">
        <v>-632783.25</v>
      </c>
      <c r="G2481" s="3" t="n">
        <v>1036434.24</v>
      </c>
    </row>
    <row r="2482">
      <c r="A2482" s="3" t="inlineStr">
        <is>
          <t>Cape Projects Construction (Pty) Ltd</t>
        </is>
      </c>
      <c r="B2482" s="4" t="n">
        <v>44926</v>
      </c>
      <c r="C2482" s="3" t="inlineStr">
        <is>
          <t>Assets</t>
        </is>
      </c>
      <c r="D2482" s="3" t="inlineStr">
        <is>
          <t>8400/000</t>
        </is>
      </c>
      <c r="E2482" s="3" t="inlineStr">
        <is>
          <t>RMB 62275138470</t>
        </is>
      </c>
      <c r="F2482" s="3" t="n">
        <v>-907077.23</v>
      </c>
      <c r="G2482" s="3" t="n">
        <v>906656.42</v>
      </c>
    </row>
    <row r="2483">
      <c r="A2483" s="3" t="inlineStr">
        <is>
          <t>Cape Projects Construction (Pty) Ltd</t>
        </is>
      </c>
      <c r="B2483" s="4" t="n">
        <v>44926</v>
      </c>
      <c r="C2483" s="3" t="inlineStr">
        <is>
          <t>Assets</t>
        </is>
      </c>
      <c r="D2483" s="3" t="inlineStr">
        <is>
          <t>8420/000</t>
        </is>
      </c>
      <c r="E2483" s="3" t="inlineStr">
        <is>
          <t>Momentum Priv Acc RU502230981</t>
        </is>
      </c>
      <c r="F2483" s="3" t="n">
        <v>0</v>
      </c>
      <c r="G2483" s="3" t="n">
        <v>527.86</v>
      </c>
    </row>
    <row r="2484">
      <c r="A2484" s="3" t="inlineStr">
        <is>
          <t>Heron Fields (Pty) Ltd</t>
        </is>
      </c>
      <c r="B2484" s="4" t="n">
        <v>44926</v>
      </c>
      <c r="C2484" s="3" t="inlineStr">
        <is>
          <t>Assets</t>
        </is>
      </c>
      <c r="D2484" s="3" t="inlineStr">
        <is>
          <t>8430/000</t>
        </is>
      </c>
      <c r="E2484" s="3" t="inlineStr">
        <is>
          <t>Momentum Private Account RU502230151</t>
        </is>
      </c>
      <c r="F2484" s="3" t="n">
        <v>4.53</v>
      </c>
      <c r="G2484" s="3" t="n">
        <v>818.47</v>
      </c>
    </row>
    <row r="2485">
      <c r="A2485" s="3" t="inlineStr">
        <is>
          <t>Heron Fields (Pty) Ltd</t>
        </is>
      </c>
      <c r="B2485" s="4" t="n">
        <v>44926</v>
      </c>
      <c r="C2485" s="3" t="inlineStr">
        <is>
          <t>Assets</t>
        </is>
      </c>
      <c r="D2485" s="3" t="inlineStr">
        <is>
          <t>8440/000</t>
        </is>
      </c>
      <c r="E2485" s="3" t="inlineStr">
        <is>
          <t>Momentum Investors Account RU502229930</t>
        </is>
      </c>
      <c r="F2485" s="3" t="n">
        <v>40316.31</v>
      </c>
      <c r="G2485" s="3" t="n">
        <v>9756277.92</v>
      </c>
    </row>
    <row r="2486">
      <c r="A2486" s="3" t="inlineStr">
        <is>
          <t>Cape Projects Construction (Pty) Ltd</t>
        </is>
      </c>
      <c r="B2486" s="4" t="n">
        <v>44926</v>
      </c>
      <c r="C2486" s="3" t="inlineStr">
        <is>
          <t>Liabilities</t>
        </is>
      </c>
      <c r="D2486" s="3" t="inlineStr">
        <is>
          <t>860</t>
        </is>
      </c>
      <c r="E2486" s="3" t="inlineStr">
        <is>
          <t>Rounding</t>
        </is>
      </c>
      <c r="F2486" s="3" t="n">
        <v>123.93</v>
      </c>
      <c r="G2486" s="3" t="n">
        <v>123.44</v>
      </c>
    </row>
    <row r="2487">
      <c r="A2487" s="3" t="inlineStr">
        <is>
          <t>Heron Fields (Pty) Ltd</t>
        </is>
      </c>
      <c r="B2487" s="4" t="n">
        <v>44926</v>
      </c>
      <c r="C2487" s="3" t="inlineStr">
        <is>
          <t>Liabilities</t>
        </is>
      </c>
      <c r="D2487" s="3" t="inlineStr">
        <is>
          <t>860</t>
        </is>
      </c>
      <c r="E2487" s="3" t="inlineStr">
        <is>
          <t>Rounding</t>
        </is>
      </c>
      <c r="F2487" s="3" t="n">
        <v>0.03</v>
      </c>
      <c r="G2487" s="3" t="n">
        <v>0.03</v>
      </c>
    </row>
    <row r="2488">
      <c r="A2488" s="3" t="inlineStr">
        <is>
          <t>Cape Projects Construction (Pty) Ltd</t>
        </is>
      </c>
      <c r="B2488" s="4" t="n">
        <v>44926</v>
      </c>
      <c r="C2488" s="3" t="inlineStr">
        <is>
          <t>Liabilities</t>
        </is>
      </c>
      <c r="D2488" s="3" t="inlineStr">
        <is>
          <t>9000/000</t>
        </is>
      </c>
      <c r="E2488" s="3" t="inlineStr">
        <is>
          <t>Supplier Control Account</t>
        </is>
      </c>
      <c r="F2488" s="3" t="n">
        <v>3238614.62</v>
      </c>
      <c r="G2488" s="3" t="n">
        <v>-1467015.1</v>
      </c>
    </row>
    <row r="2489">
      <c r="A2489" s="3" t="inlineStr">
        <is>
          <t>Heron Fields (Pty) Ltd</t>
        </is>
      </c>
      <c r="B2489" s="4" t="n">
        <v>44926</v>
      </c>
      <c r="C2489" s="3" t="inlineStr">
        <is>
          <t>Liabilities</t>
        </is>
      </c>
      <c r="D2489" s="3" t="inlineStr">
        <is>
          <t>9000/000</t>
        </is>
      </c>
      <c r="E2489" s="3" t="inlineStr">
        <is>
          <t>Supplier Control Account</t>
        </is>
      </c>
      <c r="F2489" s="3" t="n">
        <v>-4846247.79</v>
      </c>
      <c r="G2489" s="3" t="n">
        <v>-108609544.12</v>
      </c>
    </row>
    <row r="2490">
      <c r="A2490" s="3" t="inlineStr">
        <is>
          <t>Heron View (Pty) Ltd</t>
        </is>
      </c>
      <c r="B2490" s="4" t="n">
        <v>44926</v>
      </c>
      <c r="C2490" s="3" t="inlineStr">
        <is>
          <t>Liabilities</t>
        </is>
      </c>
      <c r="D2490" s="3" t="inlineStr">
        <is>
          <t>9000/000</t>
        </is>
      </c>
      <c r="E2490" s="3" t="inlineStr">
        <is>
          <t>Supplier Control Account</t>
        </is>
      </c>
      <c r="F2490" s="3" t="n">
        <v>-675041.64</v>
      </c>
      <c r="G2490" s="3" t="n">
        <v>-1390900.17</v>
      </c>
    </row>
    <row r="2491">
      <c r="A2491" s="3" t="inlineStr">
        <is>
          <t>Cape Projects Construction (Pty) Ltd</t>
        </is>
      </c>
      <c r="B2491" s="4" t="n">
        <v>44926</v>
      </c>
      <c r="C2491" s="3" t="inlineStr">
        <is>
          <t>Liabilities</t>
        </is>
      </c>
      <c r="D2491" s="3" t="inlineStr">
        <is>
          <t>9200/000</t>
        </is>
      </c>
      <c r="E2491" s="3" t="inlineStr">
        <is>
          <t>Sundry Suppliers</t>
        </is>
      </c>
      <c r="F2491" s="3" t="n">
        <v>0</v>
      </c>
      <c r="G2491" s="3" t="n">
        <v>1186.13</v>
      </c>
    </row>
    <row r="2492">
      <c r="A2492" s="3" t="inlineStr">
        <is>
          <t>Cape Projects Construction (Pty) Ltd</t>
        </is>
      </c>
      <c r="B2492" s="4" t="n">
        <v>44926</v>
      </c>
      <c r="C2492" s="3" t="inlineStr">
        <is>
          <t>Liabilities</t>
        </is>
      </c>
      <c r="D2492" s="3" t="inlineStr">
        <is>
          <t>9250/010</t>
        </is>
      </c>
      <c r="E2492" s="3" t="inlineStr">
        <is>
          <t>SALARY CONTROL</t>
        </is>
      </c>
      <c r="F2492" s="3" t="n">
        <v>0</v>
      </c>
      <c r="G2492" s="3" t="n">
        <v>20758.55</v>
      </c>
    </row>
    <row r="2493">
      <c r="A2493" s="3" t="inlineStr">
        <is>
          <t>Cape Projects Construction (Pty) Ltd</t>
        </is>
      </c>
      <c r="B2493" s="4" t="n">
        <v>44926</v>
      </c>
      <c r="C2493" s="3" t="inlineStr">
        <is>
          <t>Liabilities</t>
        </is>
      </c>
      <c r="D2493" s="3" t="inlineStr">
        <is>
          <t>9250/020</t>
        </is>
      </c>
      <c r="E2493" s="3" t="inlineStr">
        <is>
          <t>PAYE, UIF AND SDL CONTROL</t>
        </is>
      </c>
      <c r="F2493" s="3" t="n">
        <v>-473.45</v>
      </c>
      <c r="G2493" s="3" t="n">
        <v>-30430</v>
      </c>
    </row>
    <row r="2494">
      <c r="A2494" s="3" t="inlineStr">
        <is>
          <t>Cape Projects Construction (Pty) Ltd</t>
        </is>
      </c>
      <c r="B2494" s="4" t="n">
        <v>44926</v>
      </c>
      <c r="C2494" s="3" t="inlineStr">
        <is>
          <t>Liabilities</t>
        </is>
      </c>
      <c r="D2494" s="3" t="inlineStr">
        <is>
          <t>9250/030</t>
        </is>
      </c>
      <c r="E2494" s="3" t="inlineStr">
        <is>
          <t>BIBC CONTROL</t>
        </is>
      </c>
      <c r="F2494" s="3" t="n">
        <v>-6809.25</v>
      </c>
      <c r="G2494" s="3" t="n">
        <v>-18158</v>
      </c>
    </row>
    <row r="2495">
      <c r="A2495" s="3" t="inlineStr">
        <is>
          <t>Cape Projects Construction (Pty) Ltd</t>
        </is>
      </c>
      <c r="B2495" s="4" t="n">
        <v>44926</v>
      </c>
      <c r="C2495" s="3" t="inlineStr">
        <is>
          <t>Liabilities</t>
        </is>
      </c>
      <c r="D2495" s="3" t="inlineStr">
        <is>
          <t>9500/000</t>
        </is>
      </c>
      <c r="E2495" s="3" t="inlineStr">
        <is>
          <t>VAT Control Account</t>
        </is>
      </c>
      <c r="F2495" s="3" t="n">
        <v>64357.31</v>
      </c>
      <c r="G2495" s="3" t="n">
        <v>-191567.39</v>
      </c>
    </row>
    <row r="2496">
      <c r="A2496" s="3" t="inlineStr">
        <is>
          <t>Heron Fields (Pty) Ltd</t>
        </is>
      </c>
      <c r="B2496" s="4" t="n">
        <v>44926</v>
      </c>
      <c r="C2496" s="3" t="inlineStr">
        <is>
          <t>Liabilities</t>
        </is>
      </c>
      <c r="D2496" s="3" t="inlineStr">
        <is>
          <t>9500/000</t>
        </is>
      </c>
      <c r="E2496" s="3" t="inlineStr">
        <is>
          <t>Vat / Tax Control Account</t>
        </is>
      </c>
      <c r="F2496" s="3" t="n">
        <v>-362432.27</v>
      </c>
      <c r="G2496" s="3" t="n">
        <v>-1850563.24</v>
      </c>
    </row>
    <row r="2497">
      <c r="A2497" s="3" t="inlineStr">
        <is>
          <t>Heron View (Pty) Ltd</t>
        </is>
      </c>
      <c r="B2497" s="4" t="n">
        <v>44926</v>
      </c>
      <c r="C2497" s="3" t="inlineStr">
        <is>
          <t>Liabilities</t>
        </is>
      </c>
      <c r="D2497" s="3" t="inlineStr">
        <is>
          <t>9500/000</t>
        </is>
      </c>
      <c r="E2497" s="3" t="inlineStr">
        <is>
          <t>Vat / Tax Control Account</t>
        </is>
      </c>
      <c r="F2497" s="3" t="n">
        <v>121888.18</v>
      </c>
      <c r="G2497" s="3" t="n">
        <v>416864.72</v>
      </c>
    </row>
    <row r="2498">
      <c r="A2498" s="3" t="inlineStr">
        <is>
          <t>Heron Fields (Pty) Ltd</t>
        </is>
      </c>
      <c r="B2498" s="4" t="n">
        <v>44926</v>
      </c>
      <c r="C2498" s="3" t="inlineStr">
        <is>
          <t>Liabilities</t>
        </is>
      </c>
      <c r="D2498" s="3" t="inlineStr">
        <is>
          <t>9899/A101</t>
        </is>
      </c>
      <c r="E2498" s="3" t="inlineStr">
        <is>
          <t>Sales - Unit Reg Control A101</t>
        </is>
      </c>
      <c r="F2498" s="3" t="n">
        <v>0</v>
      </c>
      <c r="G2498" s="3" t="n">
        <v>74995</v>
      </c>
    </row>
    <row r="2499">
      <c r="A2499" s="3" t="inlineStr">
        <is>
          <t>Heron Fields (Pty) Ltd</t>
        </is>
      </c>
      <c r="B2499" s="4" t="n">
        <v>44926</v>
      </c>
      <c r="C2499" s="3" t="inlineStr">
        <is>
          <t>Liabilities</t>
        </is>
      </c>
      <c r="D2499" s="3" t="inlineStr">
        <is>
          <t>9899/A102</t>
        </is>
      </c>
      <c r="E2499" s="3" t="inlineStr">
        <is>
          <t>Sales - Unit Reg Control A102</t>
        </is>
      </c>
      <c r="F2499" s="3" t="n">
        <v>0</v>
      </c>
      <c r="G2499" s="3" t="n">
        <v>74995</v>
      </c>
    </row>
    <row r="2500">
      <c r="A2500" s="3" t="inlineStr">
        <is>
          <t>Heron Fields (Pty) Ltd</t>
        </is>
      </c>
      <c r="B2500" s="4" t="n">
        <v>44926</v>
      </c>
      <c r="C2500" s="3" t="inlineStr">
        <is>
          <t>Liabilities</t>
        </is>
      </c>
      <c r="D2500" s="3" t="inlineStr">
        <is>
          <t>9899/A103</t>
        </is>
      </c>
      <c r="E2500" s="3" t="inlineStr">
        <is>
          <t>Sales - Unit Reg Control A103</t>
        </is>
      </c>
      <c r="F2500" s="3" t="n">
        <v>0</v>
      </c>
      <c r="G2500" s="3" t="n">
        <v>77495</v>
      </c>
    </row>
    <row r="2501">
      <c r="A2501" s="3" t="inlineStr">
        <is>
          <t>Heron Fields (Pty) Ltd</t>
        </is>
      </c>
      <c r="B2501" s="4" t="n">
        <v>44926</v>
      </c>
      <c r="C2501" s="3" t="inlineStr">
        <is>
          <t>Liabilities</t>
        </is>
      </c>
      <c r="D2501" s="3" t="inlineStr">
        <is>
          <t>9899/A105</t>
        </is>
      </c>
      <c r="E2501" s="3" t="inlineStr">
        <is>
          <t>Sales - Unit Reg Control A105</t>
        </is>
      </c>
      <c r="F2501" s="3" t="n">
        <v>0</v>
      </c>
      <c r="G2501" s="3" t="n">
        <v>76995</v>
      </c>
    </row>
    <row r="2502">
      <c r="A2502" s="3" t="inlineStr">
        <is>
          <t>Heron Fields (Pty) Ltd</t>
        </is>
      </c>
      <c r="B2502" s="4" t="n">
        <v>44926</v>
      </c>
      <c r="C2502" s="3" t="inlineStr">
        <is>
          <t>Liabilities</t>
        </is>
      </c>
      <c r="D2502" s="3" t="inlineStr">
        <is>
          <t>9899/A106</t>
        </is>
      </c>
      <c r="E2502" s="3" t="inlineStr">
        <is>
          <t>Sales - Unit Reg Control A106</t>
        </is>
      </c>
      <c r="F2502" s="3" t="n">
        <v>0</v>
      </c>
      <c r="G2502" s="3" t="n">
        <v>77495</v>
      </c>
    </row>
    <row r="2503">
      <c r="A2503" s="3" t="inlineStr">
        <is>
          <t>Heron Fields (Pty) Ltd</t>
        </is>
      </c>
      <c r="B2503" s="4" t="n">
        <v>44926</v>
      </c>
      <c r="C2503" s="3" t="inlineStr">
        <is>
          <t>Liabilities</t>
        </is>
      </c>
      <c r="D2503" s="3" t="inlineStr">
        <is>
          <t>9899/A201</t>
        </is>
      </c>
      <c r="E2503" s="3" t="inlineStr">
        <is>
          <t>Sales - Unit Reg Control A201</t>
        </is>
      </c>
      <c r="F2503" s="3" t="n">
        <v>0</v>
      </c>
      <c r="G2503" s="3" t="n">
        <v>62495</v>
      </c>
    </row>
    <row r="2504">
      <c r="A2504" s="3" t="inlineStr">
        <is>
          <t>Heron Fields (Pty) Ltd</t>
        </is>
      </c>
      <c r="B2504" s="4" t="n">
        <v>44926</v>
      </c>
      <c r="C2504" s="3" t="inlineStr">
        <is>
          <t>Liabilities</t>
        </is>
      </c>
      <c r="D2504" s="3" t="inlineStr">
        <is>
          <t>9899/A204</t>
        </is>
      </c>
      <c r="E2504" s="3" t="inlineStr">
        <is>
          <t>Sales - Unit Reg Control A204</t>
        </is>
      </c>
      <c r="F2504" s="3" t="n">
        <v>0</v>
      </c>
      <c r="G2504" s="3" t="n">
        <v>64995</v>
      </c>
    </row>
    <row r="2505">
      <c r="A2505" s="3" t="inlineStr">
        <is>
          <t>Heron Fields (Pty) Ltd</t>
        </is>
      </c>
      <c r="B2505" s="4" t="n">
        <v>44926</v>
      </c>
      <c r="C2505" s="3" t="inlineStr">
        <is>
          <t>Liabilities</t>
        </is>
      </c>
      <c r="D2505" s="3" t="inlineStr">
        <is>
          <t>9899/A206</t>
        </is>
      </c>
      <c r="E2505" s="3" t="inlineStr">
        <is>
          <t>Sales - Unit Reg Control A206</t>
        </is>
      </c>
      <c r="F2505" s="3" t="n">
        <v>0</v>
      </c>
      <c r="G2505" s="3" t="n">
        <v>67495</v>
      </c>
    </row>
    <row r="2506">
      <c r="A2506" s="3" t="inlineStr">
        <is>
          <t>Heron Fields (Pty) Ltd</t>
        </is>
      </c>
      <c r="B2506" s="4" t="n">
        <v>44926</v>
      </c>
      <c r="C2506" s="3" t="inlineStr">
        <is>
          <t>Liabilities</t>
        </is>
      </c>
      <c r="D2506" s="3" t="inlineStr">
        <is>
          <t>9899/A303</t>
        </is>
      </c>
      <c r="E2506" s="3" t="inlineStr">
        <is>
          <t>Sales - Unit Reg Control A303</t>
        </is>
      </c>
      <c r="F2506" s="3" t="n">
        <v>67495</v>
      </c>
      <c r="G2506" s="3" t="n">
        <v>67495</v>
      </c>
    </row>
    <row r="2507">
      <c r="A2507" s="3" t="inlineStr">
        <is>
          <t>Heron Fields (Pty) Ltd</t>
        </is>
      </c>
      <c r="B2507" s="4" t="n">
        <v>44926</v>
      </c>
      <c r="C2507" s="3" t="inlineStr">
        <is>
          <t>Liabilities</t>
        </is>
      </c>
      <c r="D2507" s="3" t="inlineStr">
        <is>
          <t>9899/A306</t>
        </is>
      </c>
      <c r="E2507" s="3" t="inlineStr">
        <is>
          <t>Sales - Unit Reg Control A306</t>
        </is>
      </c>
      <c r="F2507" s="3" t="n">
        <v>69495</v>
      </c>
      <c r="G2507" s="3" t="n">
        <v>69495</v>
      </c>
    </row>
    <row r="2508">
      <c r="A2508" s="3" t="inlineStr">
        <is>
          <t>Heron Fields (Pty) Ltd</t>
        </is>
      </c>
      <c r="B2508" s="4" t="n">
        <v>44926</v>
      </c>
      <c r="C2508" s="3" t="inlineStr">
        <is>
          <t>Liabilities</t>
        </is>
      </c>
      <c r="D2508" s="3" t="inlineStr">
        <is>
          <t>9899/B102</t>
        </is>
      </c>
      <c r="E2508" s="3" t="inlineStr">
        <is>
          <t>Sales - Unit Reg Control B102</t>
        </is>
      </c>
      <c r="F2508" s="3" t="n">
        <v>77995</v>
      </c>
      <c r="G2508" s="3" t="n">
        <v>77995</v>
      </c>
    </row>
    <row r="2509">
      <c r="A2509" s="3" t="inlineStr">
        <is>
          <t>Heron Fields (Pty) Ltd</t>
        </is>
      </c>
      <c r="B2509" s="4" t="n">
        <v>44926</v>
      </c>
      <c r="C2509" s="3" t="inlineStr">
        <is>
          <t>Liabilities</t>
        </is>
      </c>
      <c r="D2509" s="3" t="inlineStr">
        <is>
          <t>9899/B103</t>
        </is>
      </c>
      <c r="E2509" s="3" t="inlineStr">
        <is>
          <t>Sales - Unit Reg Control B103</t>
        </is>
      </c>
      <c r="F2509" s="3" t="n">
        <v>0</v>
      </c>
      <c r="G2509" s="3" t="n">
        <v>76745</v>
      </c>
    </row>
    <row r="2510">
      <c r="A2510" s="3" t="inlineStr">
        <is>
          <t>Cape Projects Construction (Pty) Ltd</t>
        </is>
      </c>
      <c r="B2510" s="4" t="n">
        <v>44926</v>
      </c>
      <c r="C2510" s="3" t="inlineStr">
        <is>
          <t>Liabilities</t>
        </is>
      </c>
      <c r="D2510" s="3" t="inlineStr">
        <is>
          <t>B/S</t>
        </is>
      </c>
      <c r="E2510" s="3" t="inlineStr">
        <is>
          <t>Taxation Payable</t>
        </is>
      </c>
      <c r="F2510" s="3" t="n">
        <v>0</v>
      </c>
      <c r="G2510" s="3" t="n">
        <v>1869.8</v>
      </c>
    </row>
    <row r="2511">
      <c r="A2511" s="3" t="inlineStr">
        <is>
          <t>Cape Projects Construction (Pty) Ltd</t>
        </is>
      </c>
      <c r="B2511" s="4" t="n">
        <v>44926</v>
      </c>
      <c r="C2511" s="3" t="inlineStr">
        <is>
          <t>Liabilities</t>
        </is>
      </c>
      <c r="D2511" s="3" t="inlineStr">
        <is>
          <t>TEMP/ACC</t>
        </is>
      </c>
      <c r="E2511" s="3" t="inlineStr">
        <is>
          <t>Conversion Account</t>
        </is>
      </c>
      <c r="F2511" s="3" t="n">
        <v>0</v>
      </c>
      <c r="G2511" s="3" t="n">
        <v>-254.99</v>
      </c>
    </row>
    <row r="2512">
      <c r="A2512" s="3" t="inlineStr">
        <is>
          <t>Heron Fields (Pty) Ltd</t>
        </is>
      </c>
      <c r="B2512" s="4" t="n">
        <v>44957</v>
      </c>
      <c r="C2512" s="3" t="inlineStr">
        <is>
          <t>Revenue</t>
        </is>
      </c>
      <c r="D2512" s="3" t="inlineStr">
        <is>
          <t>1000/100</t>
        </is>
      </c>
      <c r="E2512" s="3" t="inlineStr">
        <is>
          <t>Sales - Heron Fields</t>
        </is>
      </c>
      <c r="F2512" s="3" t="n">
        <v>-10938347.82</v>
      </c>
      <c r="G2512" s="3" t="n">
        <v>-33655043.49</v>
      </c>
    </row>
    <row r="2513">
      <c r="A2513" s="3" t="inlineStr">
        <is>
          <t>Heron Fields (Pty) Ltd</t>
        </is>
      </c>
      <c r="B2513" s="4" t="n">
        <v>44957</v>
      </c>
      <c r="C2513" s="3" t="inlineStr">
        <is>
          <t>Revenue</t>
        </is>
      </c>
      <c r="D2513" s="3" t="inlineStr">
        <is>
          <t>1000/101</t>
        </is>
      </c>
      <c r="E2513" s="3" t="inlineStr">
        <is>
          <t>Sales - Heron Fields occupational rent</t>
        </is>
      </c>
      <c r="F2513" s="3" t="n">
        <v>-23741.94</v>
      </c>
      <c r="G2513" s="3" t="n">
        <v>-112833.33</v>
      </c>
    </row>
    <row r="2514">
      <c r="A2514" s="3" t="inlineStr">
        <is>
          <t>Heron Fields (Pty) Ltd</t>
        </is>
      </c>
      <c r="B2514" s="4" t="n">
        <v>44957</v>
      </c>
      <c r="C2514" s="3" t="inlineStr">
        <is>
          <t>Revenue</t>
        </is>
      </c>
      <c r="D2514" s="3" t="inlineStr">
        <is>
          <t>1005/100</t>
        </is>
      </c>
      <c r="E2514" s="3" t="inlineStr">
        <is>
          <t>Bond Origination</t>
        </is>
      </c>
      <c r="F2514" s="3" t="n">
        <v>-35916.78</v>
      </c>
      <c r="G2514" s="3" t="n">
        <v>-35916.78</v>
      </c>
    </row>
    <row r="2515">
      <c r="A2515" s="3" t="inlineStr">
        <is>
          <t>Cape Projects Construction (Pty) Ltd</t>
        </is>
      </c>
      <c r="B2515" s="4" t="n">
        <v>44957</v>
      </c>
      <c r="C2515" s="3" t="inlineStr">
        <is>
          <t>Revenue</t>
        </is>
      </c>
      <c r="D2515" s="3" t="inlineStr">
        <is>
          <t>1040/100</t>
        </is>
      </c>
      <c r="E2515" s="3" t="inlineStr">
        <is>
          <t>Fees - Construction - Heron</t>
        </is>
      </c>
      <c r="F2515" s="3" t="n">
        <v>-1980000</v>
      </c>
      <c r="G2515" s="3" t="n">
        <v>-47812766.89</v>
      </c>
    </row>
    <row r="2516">
      <c r="A2516" s="3" t="inlineStr">
        <is>
          <t>Cape Projects Construction (Pty) Ltd</t>
        </is>
      </c>
      <c r="B2516" s="4" t="n">
        <v>44957</v>
      </c>
      <c r="C2516" s="3" t="inlineStr">
        <is>
          <t>Revenue</t>
        </is>
      </c>
      <c r="D2516" s="3" t="inlineStr">
        <is>
          <t>1050/030</t>
        </is>
      </c>
      <c r="E2516" s="3" t="inlineStr">
        <is>
          <t>Fees - Construction - Endulini</t>
        </is>
      </c>
      <c r="F2516" s="3" t="n">
        <v>0</v>
      </c>
      <c r="G2516" s="3" t="n">
        <v>-12046638.06</v>
      </c>
    </row>
    <row r="2517">
      <c r="A2517" s="3" t="inlineStr">
        <is>
          <t>Cape Projects Construction (Pty) Ltd</t>
        </is>
      </c>
      <c r="B2517" s="4" t="n">
        <v>44957</v>
      </c>
      <c r="C2517" s="3" t="inlineStr">
        <is>
          <t>Revenue</t>
        </is>
      </c>
      <c r="D2517" s="3" t="inlineStr">
        <is>
          <t>1051/100</t>
        </is>
      </c>
      <c r="E2517" s="3" t="inlineStr">
        <is>
          <t>Fees - Construction - Heron Fields</t>
        </is>
      </c>
      <c r="F2517" s="3" t="n">
        <v>0</v>
      </c>
      <c r="G2517" s="3" t="n">
        <v>-1782369.8</v>
      </c>
    </row>
    <row r="2518">
      <c r="A2518" s="3" t="inlineStr">
        <is>
          <t>Cape Projects Construction (Pty) Ltd</t>
        </is>
      </c>
      <c r="B2518" s="4" t="n">
        <v>44957</v>
      </c>
      <c r="C2518" s="3" t="inlineStr">
        <is>
          <t>Revenue</t>
        </is>
      </c>
      <c r="D2518" s="3" t="inlineStr">
        <is>
          <t>1051/200</t>
        </is>
      </c>
      <c r="E2518" s="3" t="inlineStr">
        <is>
          <t>Fees - Construction - Heron Fields P&amp;G</t>
        </is>
      </c>
      <c r="F2518" s="3" t="n">
        <v>0</v>
      </c>
      <c r="G2518" s="3" t="n">
        <v>1616.91</v>
      </c>
    </row>
    <row r="2519">
      <c r="A2519" s="3" t="inlineStr">
        <is>
          <t>Cape Projects Construction (Pty) Ltd</t>
        </is>
      </c>
      <c r="B2519" s="4" t="n">
        <v>44957</v>
      </c>
      <c r="C2519" s="3" t="inlineStr">
        <is>
          <t>Revenue</t>
        </is>
      </c>
      <c r="D2519" s="3" t="inlineStr">
        <is>
          <t>1060/000</t>
        </is>
      </c>
      <c r="E2519" s="3" t="inlineStr">
        <is>
          <t>Insurance recovery</t>
        </is>
      </c>
      <c r="F2519" s="3" t="n">
        <v>0</v>
      </c>
      <c r="G2519" s="3" t="n">
        <v>-2839.7</v>
      </c>
    </row>
    <row r="2520">
      <c r="A2520" s="3" t="inlineStr">
        <is>
          <t>Cape Projects Construction (Pty) Ltd</t>
        </is>
      </c>
      <c r="B2520" s="4" t="n">
        <v>44957</v>
      </c>
      <c r="C2520" s="3" t="inlineStr">
        <is>
          <t>Revenue</t>
        </is>
      </c>
      <c r="D2520" s="3" t="inlineStr">
        <is>
          <t>1070/000</t>
        </is>
      </c>
      <c r="E2520" s="3" t="inlineStr">
        <is>
          <t>Rent - CT Office</t>
        </is>
      </c>
      <c r="F2520" s="3" t="n">
        <v>0</v>
      </c>
      <c r="G2520" s="3" t="n">
        <v>-31418.46</v>
      </c>
    </row>
    <row r="2521">
      <c r="A2521" s="3" t="inlineStr">
        <is>
          <t>Heron View (Pty) Ltd</t>
        </is>
      </c>
      <c r="B2521" s="4" t="n">
        <v>44957</v>
      </c>
      <c r="C2521" s="3" t="inlineStr">
        <is>
          <t>Expenses</t>
        </is>
      </c>
      <c r="D2521" s="3" t="inlineStr">
        <is>
          <t>2000/010</t>
        </is>
      </c>
      <c r="E2521" s="3" t="inlineStr">
        <is>
          <t>COS - Heron View</t>
        </is>
      </c>
      <c r="F2521" s="3" t="n">
        <v>0</v>
      </c>
      <c r="G2521" s="3" t="n">
        <v>678.59</v>
      </c>
    </row>
    <row r="2522">
      <c r="A2522" s="3" t="inlineStr">
        <is>
          <t>Heron Fields (Pty) Ltd</t>
        </is>
      </c>
      <c r="B2522" s="4" t="n">
        <v>44957</v>
      </c>
      <c r="C2522" s="3" t="inlineStr">
        <is>
          <t>Expenses</t>
        </is>
      </c>
      <c r="D2522" s="3" t="inlineStr">
        <is>
          <t>2000/030</t>
        </is>
      </c>
      <c r="E2522" s="3" t="inlineStr">
        <is>
          <t>COS - Commission Heron Fields investors</t>
        </is>
      </c>
      <c r="F2522" s="3" t="n">
        <v>0</v>
      </c>
      <c r="G2522" s="3" t="n">
        <v>86956.52</v>
      </c>
    </row>
    <row r="2523">
      <c r="A2523" s="3" t="inlineStr">
        <is>
          <t>Heron Fields (Pty) Ltd</t>
        </is>
      </c>
      <c r="B2523" s="4" t="n">
        <v>44957</v>
      </c>
      <c r="C2523" s="3" t="inlineStr">
        <is>
          <t>Expenses</t>
        </is>
      </c>
      <c r="D2523" s="3" t="inlineStr">
        <is>
          <t>2000/040</t>
        </is>
      </c>
      <c r="E2523" s="3" t="inlineStr">
        <is>
          <t>COS - Legal Fees</t>
        </is>
      </c>
      <c r="F2523" s="3" t="n">
        <v>190695.35</v>
      </c>
      <c r="G2523" s="3" t="n">
        <v>780843.3</v>
      </c>
    </row>
    <row r="2524">
      <c r="A2524" s="3" t="inlineStr">
        <is>
          <t>Heron Fields (Pty) Ltd</t>
        </is>
      </c>
      <c r="B2524" s="4" t="n">
        <v>44957</v>
      </c>
      <c r="C2524" s="3" t="inlineStr">
        <is>
          <t>Expenses</t>
        </is>
      </c>
      <c r="D2524" s="3" t="inlineStr">
        <is>
          <t>2000/050</t>
        </is>
      </c>
      <c r="E2524" s="3" t="inlineStr">
        <is>
          <t>COS - Rates clearance</t>
        </is>
      </c>
      <c r="F2524" s="3" t="n">
        <v>0</v>
      </c>
      <c r="G2524" s="3" t="n">
        <v>9738.91</v>
      </c>
    </row>
    <row r="2525">
      <c r="A2525" s="3" t="inlineStr">
        <is>
          <t>Heron Fields (Pty) Ltd</t>
        </is>
      </c>
      <c r="B2525" s="4" t="n">
        <v>44957</v>
      </c>
      <c r="C2525" s="3" t="inlineStr">
        <is>
          <t>Expenses</t>
        </is>
      </c>
      <c r="D2525" s="3" t="inlineStr">
        <is>
          <t>2000/060</t>
        </is>
      </c>
      <c r="E2525" s="3" t="inlineStr">
        <is>
          <t>COS - Levies</t>
        </is>
      </c>
      <c r="F2525" s="3" t="n">
        <v>14453.64</v>
      </c>
      <c r="G2525" s="3" t="n">
        <v>217104.12</v>
      </c>
    </row>
    <row r="2526">
      <c r="A2526" s="3" t="inlineStr">
        <is>
          <t>Heron Fields (Pty) Ltd</t>
        </is>
      </c>
      <c r="B2526" s="4" t="n">
        <v>44957</v>
      </c>
      <c r="C2526" s="3" t="inlineStr">
        <is>
          <t>Expenses</t>
        </is>
      </c>
      <c r="D2526" s="3" t="inlineStr">
        <is>
          <t>2000/070</t>
        </is>
      </c>
      <c r="E2526" s="3" t="inlineStr">
        <is>
          <t>COS - Commission HF Units</t>
        </is>
      </c>
      <c r="F2526" s="3" t="n">
        <v>974495.64</v>
      </c>
      <c r="G2526" s="3" t="n">
        <v>1356034.77</v>
      </c>
    </row>
    <row r="2527">
      <c r="A2527" s="3" t="inlineStr">
        <is>
          <t>Cape Projects Construction (Pty) Ltd</t>
        </is>
      </c>
      <c r="B2527" s="4" t="n">
        <v>44957</v>
      </c>
      <c r="C2527" s="3" t="inlineStr">
        <is>
          <t>Expenses</t>
        </is>
      </c>
      <c r="D2527" s="3" t="inlineStr">
        <is>
          <t>2001/054</t>
        </is>
      </c>
      <c r="E2527" s="3" t="inlineStr">
        <is>
          <t>COS - Units - Cement</t>
        </is>
      </c>
      <c r="F2527" s="3" t="n">
        <v>0</v>
      </c>
      <c r="G2527" s="3" t="n">
        <v>6160.34</v>
      </c>
    </row>
    <row r="2528">
      <c r="A2528" s="3" t="inlineStr">
        <is>
          <t>Cape Projects Construction (Pty) Ltd</t>
        </is>
      </c>
      <c r="B2528" s="4" t="n">
        <v>44957</v>
      </c>
      <c r="C2528" s="3" t="inlineStr">
        <is>
          <t>Expenses</t>
        </is>
      </c>
      <c r="D2528" s="3" t="inlineStr">
        <is>
          <t>2001/063</t>
        </is>
      </c>
      <c r="E2528" s="3" t="inlineStr">
        <is>
          <t>COS - Units Plumbing Supply_AND_Fit</t>
        </is>
      </c>
      <c r="F2528" s="3" t="n">
        <v>0</v>
      </c>
      <c r="G2528" s="3" t="n">
        <v>250</v>
      </c>
    </row>
    <row r="2529">
      <c r="A2529" s="3" t="inlineStr">
        <is>
          <t>Cape Projects Construction (Pty) Ltd</t>
        </is>
      </c>
      <c r="B2529" s="4" t="n">
        <v>44957</v>
      </c>
      <c r="C2529" s="3" t="inlineStr">
        <is>
          <t>Expenses</t>
        </is>
      </c>
      <c r="D2529" s="3" t="inlineStr">
        <is>
          <t>2001/064</t>
        </is>
      </c>
      <c r="E2529" s="3" t="inlineStr">
        <is>
          <t>COS - Plumbing Sanware</t>
        </is>
      </c>
      <c r="F2529" s="3" t="n">
        <v>0</v>
      </c>
      <c r="G2529" s="3" t="n">
        <v>1876.17</v>
      </c>
    </row>
    <row r="2530">
      <c r="A2530" s="3" t="inlineStr">
        <is>
          <t>Cape Projects Construction (Pty) Ltd</t>
        </is>
      </c>
      <c r="B2530" s="4" t="n">
        <v>44957</v>
      </c>
      <c r="C2530" s="3" t="inlineStr">
        <is>
          <t>Expenses</t>
        </is>
      </c>
      <c r="D2530" s="3" t="inlineStr">
        <is>
          <t>2001/085</t>
        </is>
      </c>
      <c r="E2530" s="3" t="inlineStr">
        <is>
          <t>COS - Units - Outside work - Paving</t>
        </is>
      </c>
      <c r="F2530" s="3" t="n">
        <v>0</v>
      </c>
      <c r="G2530" s="3" t="n">
        <v>4440.61</v>
      </c>
    </row>
    <row r="2531">
      <c r="A2531" s="3" t="inlineStr">
        <is>
          <t>Cape Projects Construction (Pty) Ltd</t>
        </is>
      </c>
      <c r="B2531" s="4" t="n">
        <v>44957</v>
      </c>
      <c r="C2531" s="3" t="inlineStr">
        <is>
          <t>Expenses</t>
        </is>
      </c>
      <c r="D2531" s="3" t="inlineStr">
        <is>
          <t>2003/081</t>
        </is>
      </c>
      <c r="E2531" s="3" t="inlineStr">
        <is>
          <t>COS - Internet - Fibre SUPPLY _AND_ FIT</t>
        </is>
      </c>
      <c r="F2531" s="3" t="n">
        <v>0</v>
      </c>
      <c r="G2531" s="3" t="n">
        <v>31736.5</v>
      </c>
    </row>
    <row r="2532">
      <c r="A2532" s="3" t="inlineStr">
        <is>
          <t>Cape Projects Construction (Pty) Ltd</t>
        </is>
      </c>
      <c r="B2532" s="4" t="n">
        <v>44957</v>
      </c>
      <c r="C2532" s="3" t="inlineStr">
        <is>
          <t>Expenses</t>
        </is>
      </c>
      <c r="D2532" s="3" t="inlineStr">
        <is>
          <t>2005/000</t>
        </is>
      </c>
      <c r="E2532" s="3" t="inlineStr">
        <is>
          <t>Cost of Sales</t>
        </is>
      </c>
      <c r="F2532" s="3" t="n">
        <v>0</v>
      </c>
      <c r="G2532" s="3" t="n">
        <v>-762078.59</v>
      </c>
    </row>
    <row r="2533">
      <c r="A2533" s="3" t="inlineStr">
        <is>
          <t>Cape Projects Construction (Pty) Ltd</t>
        </is>
      </c>
      <c r="B2533" s="4" t="n">
        <v>44957</v>
      </c>
      <c r="C2533" s="3" t="inlineStr">
        <is>
          <t>Expenses</t>
        </is>
      </c>
      <c r="D2533" s="3" t="inlineStr">
        <is>
          <t>2005/200</t>
        </is>
      </c>
      <c r="E2533" s="3" t="inlineStr">
        <is>
          <t>COS - External Works</t>
        </is>
      </c>
      <c r="F2533" s="3" t="n">
        <v>0</v>
      </c>
      <c r="G2533" s="3" t="n">
        <v>957.28</v>
      </c>
    </row>
    <row r="2534">
      <c r="A2534" s="3" t="inlineStr">
        <is>
          <t>Cape Projects Construction (Pty) Ltd</t>
        </is>
      </c>
      <c r="B2534" s="4" t="n">
        <v>44957</v>
      </c>
      <c r="C2534" s="3" t="inlineStr">
        <is>
          <t>Expenses</t>
        </is>
      </c>
      <c r="D2534" s="3" t="inlineStr">
        <is>
          <t>2006/000</t>
        </is>
      </c>
      <c r="E2534" s="3" t="inlineStr">
        <is>
          <t>COS - Endulini Construction</t>
        </is>
      </c>
      <c r="F2534" s="3" t="n">
        <v>287574.43</v>
      </c>
      <c r="G2534" s="3" t="n">
        <v>16748877.41</v>
      </c>
    </row>
    <row r="2535">
      <c r="A2535" s="3" t="inlineStr">
        <is>
          <t>Cape Projects Construction (Pty) Ltd</t>
        </is>
      </c>
      <c r="B2535" s="4" t="n">
        <v>44957</v>
      </c>
      <c r="C2535" s="3" t="inlineStr">
        <is>
          <t>Expenses</t>
        </is>
      </c>
      <c r="D2535" s="3" t="inlineStr">
        <is>
          <t>2006/100</t>
        </is>
      </c>
      <c r="E2535" s="3" t="inlineStr">
        <is>
          <t>COS - Endulini P and G</t>
        </is>
      </c>
      <c r="F2535" s="3" t="n">
        <v>4500</v>
      </c>
      <c r="G2535" s="3" t="n">
        <v>994244.35</v>
      </c>
    </row>
    <row r="2536">
      <c r="A2536" s="3" t="inlineStr">
        <is>
          <t>Cape Projects Construction (Pty) Ltd</t>
        </is>
      </c>
      <c r="B2536" s="4" t="n">
        <v>44957</v>
      </c>
      <c r="C2536" s="3" t="inlineStr">
        <is>
          <t>Expenses</t>
        </is>
      </c>
      <c r="D2536" s="3" t="inlineStr">
        <is>
          <t>2006/200</t>
        </is>
      </c>
      <c r="E2536" s="3" t="inlineStr">
        <is>
          <t>COS - Insurance</t>
        </is>
      </c>
      <c r="F2536" s="3" t="n">
        <v>2719.44</v>
      </c>
      <c r="G2536" s="3" t="n">
        <v>42889.57</v>
      </c>
    </row>
    <row r="2537">
      <c r="A2537" s="3" t="inlineStr">
        <is>
          <t>Cape Projects Construction (Pty) Ltd</t>
        </is>
      </c>
      <c r="B2537" s="4" t="n">
        <v>44957</v>
      </c>
      <c r="C2537" s="3" t="inlineStr">
        <is>
          <t>Expenses</t>
        </is>
      </c>
      <c r="D2537" s="3" t="inlineStr">
        <is>
          <t>2006/300</t>
        </is>
      </c>
      <c r="E2537" s="3" t="inlineStr">
        <is>
          <t>COS - Endulini - Printing &amp; Stationary</t>
        </is>
      </c>
      <c r="F2537" s="3" t="n">
        <v>0</v>
      </c>
      <c r="G2537" s="3" t="n">
        <v>269.65</v>
      </c>
    </row>
    <row r="2538">
      <c r="A2538" s="3" t="inlineStr">
        <is>
          <t>Cape Projects Construction (Pty) Ltd</t>
        </is>
      </c>
      <c r="B2538" s="4" t="n">
        <v>44957</v>
      </c>
      <c r="C2538" s="3" t="inlineStr">
        <is>
          <t>Expenses</t>
        </is>
      </c>
      <c r="D2538" s="3" t="inlineStr">
        <is>
          <t>2006/350</t>
        </is>
      </c>
      <c r="E2538" s="3" t="inlineStr">
        <is>
          <t>COS - Endulini - Security</t>
        </is>
      </c>
      <c r="F2538" s="3" t="n">
        <v>0</v>
      </c>
      <c r="G2538" s="3" t="n">
        <v>11000</v>
      </c>
    </row>
    <row r="2539">
      <c r="A2539" s="3" t="inlineStr">
        <is>
          <t>Cape Projects Construction (Pty) Ltd</t>
        </is>
      </c>
      <c r="B2539" s="4" t="n">
        <v>44957</v>
      </c>
      <c r="C2539" s="3" t="inlineStr">
        <is>
          <t>Expenses</t>
        </is>
      </c>
      <c r="D2539" s="3" t="inlineStr">
        <is>
          <t>2006/400</t>
        </is>
      </c>
      <c r="E2539" s="3" t="inlineStr">
        <is>
          <t>COS - Endulini - Health &amp; Safety</t>
        </is>
      </c>
      <c r="F2539" s="3" t="n">
        <v>0</v>
      </c>
      <c r="G2539" s="3" t="n">
        <v>19600</v>
      </c>
    </row>
    <row r="2540">
      <c r="A2540" s="3" t="inlineStr">
        <is>
          <t>Cape Projects Construction (Pty) Ltd</t>
        </is>
      </c>
      <c r="B2540" s="4" t="n">
        <v>44957</v>
      </c>
      <c r="C2540" s="3" t="inlineStr">
        <is>
          <t>Expenses</t>
        </is>
      </c>
      <c r="D2540" s="3" t="inlineStr">
        <is>
          <t>2006/700</t>
        </is>
      </c>
      <c r="E2540" s="3" t="inlineStr">
        <is>
          <t>COS - Endulini - Fuel</t>
        </is>
      </c>
      <c r="F2540" s="3" t="n">
        <v>0</v>
      </c>
      <c r="G2540" s="3" t="n">
        <v>2473.65</v>
      </c>
    </row>
    <row r="2541">
      <c r="A2541" s="3" t="inlineStr">
        <is>
          <t>Cape Projects Construction (Pty) Ltd</t>
        </is>
      </c>
      <c r="B2541" s="4" t="n">
        <v>44957</v>
      </c>
      <c r="C2541" s="3" t="inlineStr">
        <is>
          <t>Expenses</t>
        </is>
      </c>
      <c r="D2541" s="3" t="inlineStr">
        <is>
          <t>2006/800</t>
        </is>
      </c>
      <c r="E2541" s="3" t="inlineStr">
        <is>
          <t>COS - Endulini - Telephone &amp; Internet</t>
        </is>
      </c>
      <c r="F2541" s="3" t="n">
        <v>0</v>
      </c>
      <c r="G2541" s="3" t="n">
        <v>937.39</v>
      </c>
    </row>
    <row r="2542">
      <c r="A2542" s="3" t="inlineStr">
        <is>
          <t>Cape Projects Construction (Pty) Ltd</t>
        </is>
      </c>
      <c r="B2542" s="4" t="n">
        <v>44957</v>
      </c>
      <c r="C2542" s="3" t="inlineStr">
        <is>
          <t>Expenses</t>
        </is>
      </c>
      <c r="D2542" s="3" t="inlineStr">
        <is>
          <t>2007/000</t>
        </is>
      </c>
      <c r="E2542" s="3" t="inlineStr">
        <is>
          <t>COS - Repairs &amp; Maintenance - SW Southwark</t>
        </is>
      </c>
      <c r="F2542" s="3" t="n">
        <v>0</v>
      </c>
      <c r="G2542" s="3" t="n">
        <v>4661.74</v>
      </c>
    </row>
    <row r="2543">
      <c r="A2543" s="3" t="inlineStr">
        <is>
          <t>Cape Projects Construction (Pty) Ltd</t>
        </is>
      </c>
      <c r="B2543" s="4" t="n">
        <v>44957</v>
      </c>
      <c r="C2543" s="3" t="inlineStr">
        <is>
          <t>Expenses</t>
        </is>
      </c>
      <c r="D2543" s="3" t="inlineStr">
        <is>
          <t>2011/300</t>
        </is>
      </c>
      <c r="E2543" s="3" t="inlineStr">
        <is>
          <t>COS - Heron Fields - Printing &amp; Stationary</t>
        </is>
      </c>
      <c r="F2543" s="3" t="n">
        <v>0</v>
      </c>
      <c r="G2543" s="3" t="n">
        <v>2952.7</v>
      </c>
    </row>
    <row r="2544">
      <c r="A2544" s="3" t="inlineStr">
        <is>
          <t>Cape Projects Construction (Pty) Ltd</t>
        </is>
      </c>
      <c r="B2544" s="4" t="n">
        <v>44957</v>
      </c>
      <c r="C2544" s="3" t="inlineStr">
        <is>
          <t>Expenses</t>
        </is>
      </c>
      <c r="D2544" s="3" t="inlineStr">
        <is>
          <t>2011/500</t>
        </is>
      </c>
      <c r="E2544" s="3" t="inlineStr">
        <is>
          <t>COS - Heron Fields - Construction</t>
        </is>
      </c>
      <c r="F2544" s="3" t="n">
        <v>290144.51</v>
      </c>
      <c r="G2544" s="3" t="n">
        <v>30518670.51</v>
      </c>
    </row>
    <row r="2545">
      <c r="A2545" s="3" t="inlineStr">
        <is>
          <t>Cape Projects Construction (Pty) Ltd</t>
        </is>
      </c>
      <c r="B2545" s="4" t="n">
        <v>44957</v>
      </c>
      <c r="C2545" s="3" t="inlineStr">
        <is>
          <t>Expenses</t>
        </is>
      </c>
      <c r="D2545" s="3" t="inlineStr">
        <is>
          <t>2011/600</t>
        </is>
      </c>
      <c r="E2545" s="3" t="inlineStr">
        <is>
          <t>COS - Heron Fields - P &amp; G</t>
        </is>
      </c>
      <c r="F2545" s="3" t="n">
        <v>103191.35</v>
      </c>
      <c r="G2545" s="3" t="n">
        <v>2776382.9</v>
      </c>
    </row>
    <row r="2546">
      <c r="A2546" s="3" t="inlineStr">
        <is>
          <t>Cape Projects Construction (Pty) Ltd</t>
        </is>
      </c>
      <c r="B2546" s="4" t="n">
        <v>44957</v>
      </c>
      <c r="C2546" s="3" t="inlineStr">
        <is>
          <t>Expenses</t>
        </is>
      </c>
      <c r="D2546" s="3" t="inlineStr">
        <is>
          <t>2011/700</t>
        </is>
      </c>
      <c r="E2546" s="3" t="inlineStr">
        <is>
          <t>COS - Heron Fields - Health &amp; Safety</t>
        </is>
      </c>
      <c r="F2546" s="3" t="n">
        <v>0</v>
      </c>
      <c r="G2546" s="3" t="n">
        <v>22286.3</v>
      </c>
    </row>
    <row r="2547">
      <c r="A2547" s="3" t="inlineStr">
        <is>
          <t>Cape Projects Construction (Pty) Ltd</t>
        </is>
      </c>
      <c r="B2547" s="4" t="n">
        <v>44957</v>
      </c>
      <c r="C2547" s="3" t="inlineStr">
        <is>
          <t>Expenses</t>
        </is>
      </c>
      <c r="D2547" s="3" t="inlineStr">
        <is>
          <t>2011/900</t>
        </is>
      </c>
      <c r="E2547" s="3" t="inlineStr">
        <is>
          <t>COS - Heron - Internet</t>
        </is>
      </c>
      <c r="F2547" s="3" t="n">
        <v>831.8099999999999</v>
      </c>
      <c r="G2547" s="3" t="n">
        <v>6717.43</v>
      </c>
    </row>
    <row r="2548">
      <c r="A2548" s="3" t="inlineStr">
        <is>
          <t>Cape Projects Construction (Pty) Ltd</t>
        </is>
      </c>
      <c r="B2548" s="4" t="n">
        <v>44957</v>
      </c>
      <c r="C2548" s="3" t="inlineStr">
        <is>
          <t>Expenses</t>
        </is>
      </c>
      <c r="D2548" s="3" t="inlineStr">
        <is>
          <t>2011/950</t>
        </is>
      </c>
      <c r="E2548" s="3" t="inlineStr">
        <is>
          <t>COS - Heron Fields - Security</t>
        </is>
      </c>
      <c r="F2548" s="3" t="n">
        <v>0</v>
      </c>
      <c r="G2548" s="3" t="n">
        <v>20565.22</v>
      </c>
    </row>
    <row r="2549">
      <c r="A2549" s="3" t="inlineStr">
        <is>
          <t>Cape Projects Construction (Pty) Ltd</t>
        </is>
      </c>
      <c r="B2549" s="4" t="n">
        <v>44957</v>
      </c>
      <c r="C2549" s="3" t="inlineStr">
        <is>
          <t>Expenses</t>
        </is>
      </c>
      <c r="D2549" s="3" t="inlineStr">
        <is>
          <t>2012/001</t>
        </is>
      </c>
      <c r="E2549" s="3" t="inlineStr">
        <is>
          <t>COS - Heron View - Printing &amp; Stationary</t>
        </is>
      </c>
      <c r="F2549" s="3" t="n">
        <v>1404.78</v>
      </c>
      <c r="G2549" s="3" t="n">
        <v>1404.78</v>
      </c>
    </row>
    <row r="2550">
      <c r="A2550" s="3" t="inlineStr">
        <is>
          <t>Cape Projects Construction (Pty) Ltd</t>
        </is>
      </c>
      <c r="B2550" s="4" t="n">
        <v>44957</v>
      </c>
      <c r="C2550" s="3" t="inlineStr">
        <is>
          <t>Expenses</t>
        </is>
      </c>
      <c r="D2550" s="3" t="inlineStr">
        <is>
          <t>2012/002</t>
        </is>
      </c>
      <c r="E2550" s="3" t="inlineStr">
        <is>
          <t>COS - Heron View - Construction</t>
        </is>
      </c>
      <c r="F2550" s="3" t="n">
        <v>695304.12</v>
      </c>
      <c r="G2550" s="3" t="n">
        <v>4859578.97</v>
      </c>
    </row>
    <row r="2551">
      <c r="A2551" s="3" t="inlineStr">
        <is>
          <t>Cape Projects Construction (Pty) Ltd</t>
        </is>
      </c>
      <c r="B2551" s="4" t="n">
        <v>44957</v>
      </c>
      <c r="C2551" s="3" t="inlineStr">
        <is>
          <t>Expenses</t>
        </is>
      </c>
      <c r="D2551" s="3" t="inlineStr">
        <is>
          <t>2012/003</t>
        </is>
      </c>
      <c r="E2551" s="3" t="inlineStr">
        <is>
          <t>COS - Heron View - P&amp;G</t>
        </is>
      </c>
      <c r="F2551" s="3" t="n">
        <v>40096.92</v>
      </c>
      <c r="G2551" s="3" t="n">
        <v>236646.51</v>
      </c>
    </row>
    <row r="2552">
      <c r="A2552" s="3" t="inlineStr">
        <is>
          <t>Cape Projects Construction (Pty) Ltd</t>
        </is>
      </c>
      <c r="B2552" s="4" t="n">
        <v>44957</v>
      </c>
      <c r="C2552" s="3" t="inlineStr">
        <is>
          <t>Expenses</t>
        </is>
      </c>
      <c r="D2552" s="3" t="inlineStr">
        <is>
          <t>2013/000</t>
        </is>
      </c>
      <c r="E2552" s="3" t="inlineStr">
        <is>
          <t>COS - Bakhoven</t>
        </is>
      </c>
      <c r="F2552" s="3" t="n">
        <v>0</v>
      </c>
      <c r="G2552" s="3" t="n">
        <v>32261.99</v>
      </c>
    </row>
    <row r="2553">
      <c r="A2553" s="3" t="inlineStr">
        <is>
          <t>Cape Projects Construction (Pty) Ltd</t>
        </is>
      </c>
      <c r="B2553" s="4" t="n">
        <v>44957</v>
      </c>
      <c r="C2553" s="3" t="inlineStr">
        <is>
          <t>Expenses</t>
        </is>
      </c>
      <c r="D2553" s="3" t="inlineStr">
        <is>
          <t>2014/000</t>
        </is>
      </c>
      <c r="E2553" s="3" t="inlineStr">
        <is>
          <t>COS - Heron Projects insurance</t>
        </is>
      </c>
      <c r="F2553" s="3" t="n">
        <v>0</v>
      </c>
      <c r="G2553" s="3" t="n">
        <v>11169.12</v>
      </c>
    </row>
    <row r="2554">
      <c r="A2554" s="3" t="inlineStr">
        <is>
          <t>Cape Projects Construction (Pty) Ltd</t>
        </is>
      </c>
      <c r="B2554" s="4" t="n">
        <v>44957</v>
      </c>
      <c r="C2554" s="3" t="inlineStr">
        <is>
          <t>Revenue</t>
        </is>
      </c>
      <c r="D2554" s="3" t="inlineStr">
        <is>
          <t>2750/000</t>
        </is>
      </c>
      <c r="E2554" s="3" t="inlineStr">
        <is>
          <t>Interest Received - FNB</t>
        </is>
      </c>
      <c r="F2554" s="3" t="n">
        <v>-845.51</v>
      </c>
      <c r="G2554" s="3" t="n">
        <v>-2550.18</v>
      </c>
    </row>
    <row r="2555">
      <c r="A2555" s="3" t="inlineStr">
        <is>
          <t>Cape Projects Construction (Pty) Ltd</t>
        </is>
      </c>
      <c r="B2555" s="4" t="n">
        <v>44957</v>
      </c>
      <c r="C2555" s="3" t="inlineStr">
        <is>
          <t>Revenue</t>
        </is>
      </c>
      <c r="D2555" s="3" t="inlineStr">
        <is>
          <t>2751/001</t>
        </is>
      </c>
      <c r="E2555" s="3" t="inlineStr">
        <is>
          <t>Interest received - Momentum</t>
        </is>
      </c>
      <c r="F2555" s="3" t="n">
        <v>-9.460000000000001</v>
      </c>
      <c r="G2555" s="3" t="n">
        <v>-27.68</v>
      </c>
    </row>
    <row r="2556">
      <c r="A2556" s="3" t="inlineStr">
        <is>
          <t>Heron Fields (Pty) Ltd</t>
        </is>
      </c>
      <c r="B2556" s="4" t="n">
        <v>44957</v>
      </c>
      <c r="C2556" s="3" t="inlineStr">
        <is>
          <t>Revenue</t>
        </is>
      </c>
      <c r="D2556" s="3" t="inlineStr">
        <is>
          <t>2755/001</t>
        </is>
      </c>
      <c r="E2556" s="3" t="inlineStr">
        <is>
          <t>Interest Received - Momentum</t>
        </is>
      </c>
      <c r="F2556" s="3" t="n">
        <v>-71924.81</v>
      </c>
      <c r="G2556" s="3" t="n">
        <v>-462526.63</v>
      </c>
    </row>
    <row r="2557">
      <c r="A2557" s="3" t="inlineStr">
        <is>
          <t>Heron Fields (Pty) Ltd</t>
        </is>
      </c>
      <c r="B2557" s="4" t="n">
        <v>44957</v>
      </c>
      <c r="C2557" s="3" t="inlineStr">
        <is>
          <t>Expenses</t>
        </is>
      </c>
      <c r="D2557" s="3" t="inlineStr">
        <is>
          <t>3000/100</t>
        </is>
      </c>
      <c r="E2557" s="3" t="inlineStr">
        <is>
          <t>Accounting - CIPC</t>
        </is>
      </c>
      <c r="F2557" s="3" t="n">
        <v>0</v>
      </c>
      <c r="G2557" s="3" t="n">
        <v>150</v>
      </c>
    </row>
    <row r="2558">
      <c r="A2558" s="3" t="inlineStr">
        <is>
          <t>Cape Projects Construction (Pty) Ltd</t>
        </is>
      </c>
      <c r="B2558" s="4" t="n">
        <v>44957</v>
      </c>
      <c r="C2558" s="3" t="inlineStr">
        <is>
          <t>Expenses</t>
        </is>
      </c>
      <c r="D2558" s="3" t="inlineStr">
        <is>
          <t>3002/000</t>
        </is>
      </c>
      <c r="E2558" s="3" t="inlineStr">
        <is>
          <t>Accounting Fees - Audit</t>
        </is>
      </c>
      <c r="F2558" s="3" t="n">
        <v>0</v>
      </c>
      <c r="G2558" s="3" t="n">
        <v>10600</v>
      </c>
    </row>
    <row r="2559">
      <c r="A2559" s="3" t="inlineStr">
        <is>
          <t>Cape Projects Construction (Pty) Ltd</t>
        </is>
      </c>
      <c r="B2559" s="4" t="n">
        <v>44957</v>
      </c>
      <c r="C2559" s="3" t="inlineStr">
        <is>
          <t>Expenses</t>
        </is>
      </c>
      <c r="D2559" s="3" t="inlineStr">
        <is>
          <t>3020/100</t>
        </is>
      </c>
      <c r="E2559" s="3" t="inlineStr">
        <is>
          <t>Admin - Subcontractors</t>
        </is>
      </c>
      <c r="F2559" s="3" t="n">
        <v>0</v>
      </c>
      <c r="G2559" s="3" t="n">
        <v>14139.13</v>
      </c>
    </row>
    <row r="2560">
      <c r="A2560" s="3" t="inlineStr">
        <is>
          <t>Cape Projects Construction (Pty) Ltd</t>
        </is>
      </c>
      <c r="B2560" s="4" t="n">
        <v>44957</v>
      </c>
      <c r="C2560" s="3" t="inlineStr">
        <is>
          <t>Expenses</t>
        </is>
      </c>
      <c r="D2560" s="3" t="inlineStr">
        <is>
          <t>3050/000</t>
        </is>
      </c>
      <c r="E2560" s="3" t="inlineStr">
        <is>
          <t>Advertising _AND_ Promotions</t>
        </is>
      </c>
      <c r="F2560" s="3" t="n">
        <v>71.76000000000001</v>
      </c>
      <c r="G2560" s="3" t="n">
        <v>24268.79</v>
      </c>
    </row>
    <row r="2561">
      <c r="A2561" s="3" t="inlineStr">
        <is>
          <t>Heron Fields (Pty) Ltd</t>
        </is>
      </c>
      <c r="B2561" s="4" t="n">
        <v>44957</v>
      </c>
      <c r="C2561" s="3" t="inlineStr">
        <is>
          <t>Expenses</t>
        </is>
      </c>
      <c r="D2561" s="3" t="inlineStr">
        <is>
          <t>3050/000</t>
        </is>
      </c>
      <c r="E2561" s="3" t="inlineStr">
        <is>
          <t>Advertising _AND_ Promotions</t>
        </is>
      </c>
      <c r="F2561" s="3" t="n">
        <v>0</v>
      </c>
      <c r="G2561" s="3" t="n">
        <v>107333.86</v>
      </c>
    </row>
    <row r="2562">
      <c r="A2562" s="3" t="inlineStr">
        <is>
          <t>Heron View (Pty) Ltd</t>
        </is>
      </c>
      <c r="B2562" s="4" t="n">
        <v>44957</v>
      </c>
      <c r="C2562" s="3" t="inlineStr">
        <is>
          <t>Expenses</t>
        </is>
      </c>
      <c r="D2562" s="3" t="inlineStr">
        <is>
          <t>3050/000</t>
        </is>
      </c>
      <c r="E2562" s="3" t="inlineStr">
        <is>
          <t>Advertising _AND_ Promotions</t>
        </is>
      </c>
      <c r="F2562" s="3" t="n">
        <v>0</v>
      </c>
      <c r="G2562" s="3" t="n">
        <v>15250</v>
      </c>
    </row>
    <row r="2563">
      <c r="A2563" s="3" t="inlineStr">
        <is>
          <t>Heron Fields (Pty) Ltd</t>
        </is>
      </c>
      <c r="B2563" s="4" t="n">
        <v>44957</v>
      </c>
      <c r="C2563" s="3" t="inlineStr">
        <is>
          <t>Expenses</t>
        </is>
      </c>
      <c r="D2563" s="3" t="inlineStr">
        <is>
          <t>3050/100</t>
        </is>
      </c>
      <c r="E2563" s="3" t="inlineStr">
        <is>
          <t>Advertising - Property24</t>
        </is>
      </c>
      <c r="F2563" s="3" t="n">
        <v>11556</v>
      </c>
      <c r="G2563" s="3" t="n">
        <v>127116</v>
      </c>
    </row>
    <row r="2564">
      <c r="A2564" s="3" t="inlineStr">
        <is>
          <t>Heron View (Pty) Ltd</t>
        </is>
      </c>
      <c r="B2564" s="4" t="n">
        <v>44957</v>
      </c>
      <c r="C2564" s="3" t="inlineStr">
        <is>
          <t>Expenses</t>
        </is>
      </c>
      <c r="D2564" s="3" t="inlineStr">
        <is>
          <t>3050/200</t>
        </is>
      </c>
      <c r="E2564" s="3" t="inlineStr">
        <is>
          <t>Advertising - Media24</t>
        </is>
      </c>
      <c r="F2564" s="3" t="n">
        <v>13500</v>
      </c>
      <c r="G2564" s="3" t="n">
        <v>13500</v>
      </c>
    </row>
    <row r="2565">
      <c r="A2565" s="3" t="inlineStr">
        <is>
          <t>Heron View (Pty) Ltd</t>
        </is>
      </c>
      <c r="B2565" s="4" t="n">
        <v>44957</v>
      </c>
      <c r="C2565" s="3" t="inlineStr">
        <is>
          <t>Expenses</t>
        </is>
      </c>
      <c r="D2565" s="3" t="inlineStr">
        <is>
          <t>3050/300</t>
        </is>
      </c>
      <c r="E2565" s="3" t="inlineStr">
        <is>
          <t>Advertising - Thinkink</t>
        </is>
      </c>
      <c r="F2565" s="3" t="n">
        <v>8263.91</v>
      </c>
      <c r="G2565" s="3" t="n">
        <v>8263.91</v>
      </c>
    </row>
    <row r="2566">
      <c r="A2566" s="3" t="inlineStr">
        <is>
          <t>Cape Projects Construction (Pty) Ltd</t>
        </is>
      </c>
      <c r="B2566" s="4" t="n">
        <v>44957</v>
      </c>
      <c r="C2566" s="3" t="inlineStr">
        <is>
          <t>Expenses</t>
        </is>
      </c>
      <c r="D2566" s="3" t="inlineStr">
        <is>
          <t>3050/450</t>
        </is>
      </c>
      <c r="E2566" s="3" t="inlineStr">
        <is>
          <t>Advertising - Other</t>
        </is>
      </c>
      <c r="F2566" s="3" t="n">
        <v>0</v>
      </c>
      <c r="G2566" s="3" t="n">
        <v>137.5</v>
      </c>
    </row>
    <row r="2567">
      <c r="A2567" s="3" t="inlineStr">
        <is>
          <t>Cape Projects Construction (Pty) Ltd</t>
        </is>
      </c>
      <c r="B2567" s="4" t="n">
        <v>44957</v>
      </c>
      <c r="C2567" s="3" t="inlineStr">
        <is>
          <t>Expenses</t>
        </is>
      </c>
      <c r="D2567" s="3" t="inlineStr">
        <is>
          <t>3200/000</t>
        </is>
      </c>
      <c r="E2567" s="3" t="inlineStr">
        <is>
          <t>Bank Charges</t>
        </is>
      </c>
      <c r="F2567" s="3" t="n">
        <v>2215.09</v>
      </c>
      <c r="G2567" s="3" t="n">
        <v>29446.5</v>
      </c>
    </row>
    <row r="2568">
      <c r="A2568" s="3" t="inlineStr">
        <is>
          <t>Heron Fields (Pty) Ltd</t>
        </is>
      </c>
      <c r="B2568" s="4" t="n">
        <v>44957</v>
      </c>
      <c r="C2568" s="3" t="inlineStr">
        <is>
          <t>Expenses</t>
        </is>
      </c>
      <c r="D2568" s="3" t="inlineStr">
        <is>
          <t>3200/000</t>
        </is>
      </c>
      <c r="E2568" s="3" t="inlineStr">
        <is>
          <t>Bank Charges</t>
        </is>
      </c>
      <c r="F2568" s="3" t="n">
        <v>406.48</v>
      </c>
      <c r="G2568" s="3" t="n">
        <v>6678.21</v>
      </c>
    </row>
    <row r="2569">
      <c r="A2569" s="3" t="inlineStr">
        <is>
          <t>Cape Projects Construction (Pty) Ltd</t>
        </is>
      </c>
      <c r="B2569" s="4" t="n">
        <v>44957</v>
      </c>
      <c r="C2569" s="3" t="inlineStr">
        <is>
          <t>Expenses</t>
        </is>
      </c>
      <c r="D2569" s="3" t="inlineStr">
        <is>
          <t>3250/000</t>
        </is>
      </c>
      <c r="E2569" s="3" t="inlineStr">
        <is>
          <t>Cleaning</t>
        </is>
      </c>
      <c r="F2569" s="3" t="n">
        <v>0</v>
      </c>
      <c r="G2569" s="3" t="n">
        <v>2353.79</v>
      </c>
    </row>
    <row r="2570">
      <c r="A2570" s="3" t="inlineStr">
        <is>
          <t>Cape Projects Construction (Pty) Ltd</t>
        </is>
      </c>
      <c r="B2570" s="4" t="n">
        <v>44957</v>
      </c>
      <c r="C2570" s="3" t="inlineStr">
        <is>
          <t>Expenses</t>
        </is>
      </c>
      <c r="D2570" s="3" t="inlineStr">
        <is>
          <t>3256/000</t>
        </is>
      </c>
      <c r="E2570" s="3" t="inlineStr">
        <is>
          <t>Cell Phone - Nick Morgan</t>
        </is>
      </c>
      <c r="F2570" s="3" t="n">
        <v>805.3</v>
      </c>
      <c r="G2570" s="3" t="n">
        <v>7949.43</v>
      </c>
    </row>
    <row r="2571">
      <c r="A2571" s="3" t="inlineStr">
        <is>
          <t>Cape Projects Construction (Pty) Ltd</t>
        </is>
      </c>
      <c r="B2571" s="4" t="n">
        <v>44957</v>
      </c>
      <c r="C2571" s="3" t="inlineStr">
        <is>
          <t>Expenses</t>
        </is>
      </c>
      <c r="D2571" s="3" t="inlineStr">
        <is>
          <t>3300/000</t>
        </is>
      </c>
      <c r="E2571" s="3" t="inlineStr">
        <is>
          <t>Computer Expenses</t>
        </is>
      </c>
      <c r="F2571" s="3" t="n">
        <v>1100</v>
      </c>
      <c r="G2571" s="3" t="n">
        <v>5948.56</v>
      </c>
    </row>
    <row r="2572">
      <c r="A2572" s="3" t="inlineStr">
        <is>
          <t>Cape Projects Construction (Pty) Ltd</t>
        </is>
      </c>
      <c r="B2572" s="4" t="n">
        <v>44957</v>
      </c>
      <c r="C2572" s="3" t="inlineStr">
        <is>
          <t>Expenses</t>
        </is>
      </c>
      <c r="D2572" s="3" t="inlineStr">
        <is>
          <t>3300/100</t>
        </is>
      </c>
      <c r="E2572" s="3" t="inlineStr">
        <is>
          <t>Computer Exp - IT, Internet/Hosting Fee</t>
        </is>
      </c>
      <c r="F2572" s="3" t="n">
        <v>3130</v>
      </c>
      <c r="G2572" s="3" t="n">
        <v>41709</v>
      </c>
    </row>
    <row r="2573">
      <c r="A2573" s="3" t="inlineStr">
        <is>
          <t>Heron Fields (Pty) Ltd</t>
        </is>
      </c>
      <c r="B2573" s="4" t="n">
        <v>44957</v>
      </c>
      <c r="C2573" s="3" t="inlineStr">
        <is>
          <t>Expenses</t>
        </is>
      </c>
      <c r="D2573" s="3" t="inlineStr">
        <is>
          <t>3350/100</t>
        </is>
      </c>
      <c r="E2573" s="3" t="inlineStr">
        <is>
          <t>Consulting Fees - Admin and Finance</t>
        </is>
      </c>
      <c r="F2573" s="3" t="n">
        <v>82812.42999999999</v>
      </c>
      <c r="G2573" s="3" t="n">
        <v>937165.54</v>
      </c>
    </row>
    <row r="2574">
      <c r="A2574" s="3" t="inlineStr">
        <is>
          <t>Cape Projects Construction (Pty) Ltd</t>
        </is>
      </c>
      <c r="B2574" s="4" t="n">
        <v>44957</v>
      </c>
      <c r="C2574" s="3" t="inlineStr">
        <is>
          <t>Expenses</t>
        </is>
      </c>
      <c r="D2574" s="3" t="inlineStr">
        <is>
          <t>3350/100</t>
        </is>
      </c>
      <c r="E2574" s="3" t="inlineStr">
        <is>
          <t>Consulting fees - Herbert du Plessis</t>
        </is>
      </c>
      <c r="F2574" s="3" t="n">
        <v>0</v>
      </c>
      <c r="G2574" s="3" t="n">
        <v>318572.45</v>
      </c>
    </row>
    <row r="2575">
      <c r="A2575" s="3" t="inlineStr">
        <is>
          <t>Cape Projects Construction (Pty) Ltd</t>
        </is>
      </c>
      <c r="B2575" s="4" t="n">
        <v>44957</v>
      </c>
      <c r="C2575" s="3" t="inlineStr">
        <is>
          <t>Expenses</t>
        </is>
      </c>
      <c r="D2575" s="3" t="inlineStr">
        <is>
          <t>3350/300</t>
        </is>
      </c>
      <c r="E2575" s="3" t="inlineStr">
        <is>
          <t>Consulting Fees - Admin and Finance</t>
        </is>
      </c>
      <c r="F2575" s="3" t="n">
        <v>135076.46</v>
      </c>
      <c r="G2575" s="3" t="n">
        <v>1408374.79</v>
      </c>
    </row>
    <row r="2576">
      <c r="A2576" s="3" t="inlineStr">
        <is>
          <t>Heron Fields (Pty) Ltd</t>
        </is>
      </c>
      <c r="B2576" s="4" t="n">
        <v>44957</v>
      </c>
      <c r="C2576" s="3" t="inlineStr">
        <is>
          <t>Expenses</t>
        </is>
      </c>
      <c r="D2576" s="3" t="inlineStr">
        <is>
          <t>3351/000</t>
        </is>
      </c>
      <c r="E2576" s="3" t="inlineStr">
        <is>
          <t>Consulting fees - Trustee</t>
        </is>
      </c>
      <c r="F2576" s="3" t="n">
        <v>0</v>
      </c>
      <c r="G2576" s="3" t="n">
        <v>60000</v>
      </c>
    </row>
    <row r="2577">
      <c r="A2577" s="3" t="inlineStr">
        <is>
          <t>Cape Projects Construction (Pty) Ltd</t>
        </is>
      </c>
      <c r="B2577" s="4" t="n">
        <v>44957</v>
      </c>
      <c r="C2577" s="3" t="inlineStr">
        <is>
          <t>Expenses</t>
        </is>
      </c>
      <c r="D2577" s="3" t="inlineStr">
        <is>
          <t>3400/000</t>
        </is>
      </c>
      <c r="E2577" s="3" t="inlineStr">
        <is>
          <t>Courier _AND_ Postage</t>
        </is>
      </c>
      <c r="F2577" s="3" t="n">
        <v>0</v>
      </c>
      <c r="G2577" s="3" t="n">
        <v>1378.26</v>
      </c>
    </row>
    <row r="2578">
      <c r="A2578" s="3" t="inlineStr">
        <is>
          <t>Cape Projects Construction (Pty) Ltd</t>
        </is>
      </c>
      <c r="B2578" s="4" t="n">
        <v>44957</v>
      </c>
      <c r="C2578" s="3" t="inlineStr">
        <is>
          <t>Expenses</t>
        </is>
      </c>
      <c r="D2578" s="3" t="inlineStr">
        <is>
          <t>3450/001</t>
        </is>
      </c>
      <c r="E2578" s="3" t="inlineStr">
        <is>
          <t>Depreciation - Computer Equipment</t>
        </is>
      </c>
      <c r="F2578" s="3" t="n">
        <v>2165.86</v>
      </c>
      <c r="G2578" s="3" t="n">
        <v>21616.07</v>
      </c>
    </row>
    <row r="2579">
      <c r="A2579" s="3" t="inlineStr">
        <is>
          <t>Cape Projects Construction (Pty) Ltd</t>
        </is>
      </c>
      <c r="B2579" s="4" t="n">
        <v>44957</v>
      </c>
      <c r="C2579" s="3" t="inlineStr">
        <is>
          <t>Expenses</t>
        </is>
      </c>
      <c r="D2579" s="3" t="inlineStr">
        <is>
          <t>3450/002</t>
        </is>
      </c>
      <c r="E2579" s="3" t="inlineStr">
        <is>
          <t>Depreciation - Generator Fixed Asset</t>
        </is>
      </c>
      <c r="F2579" s="3" t="n">
        <v>193.34</v>
      </c>
      <c r="G2579" s="3" t="n">
        <v>2126.67</v>
      </c>
    </row>
    <row r="2580">
      <c r="A2580" s="3" t="inlineStr">
        <is>
          <t>Cape Projects Construction (Pty) Ltd</t>
        </is>
      </c>
      <c r="B2580" s="4" t="n">
        <v>44957</v>
      </c>
      <c r="C2580" s="3" t="inlineStr">
        <is>
          <t>Expenses</t>
        </is>
      </c>
      <c r="D2580" s="3" t="inlineStr">
        <is>
          <t>3450/003</t>
        </is>
      </c>
      <c r="E2580" s="3" t="inlineStr">
        <is>
          <t>Depreciation - Motor vehicle</t>
        </is>
      </c>
      <c r="F2580" s="3" t="n">
        <v>0</v>
      </c>
      <c r="G2580" s="3" t="n">
        <v>39610.1</v>
      </c>
    </row>
    <row r="2581">
      <c r="A2581" s="3" t="inlineStr">
        <is>
          <t>Cape Projects Construction (Pty) Ltd</t>
        </is>
      </c>
      <c r="B2581" s="4" t="n">
        <v>44957</v>
      </c>
      <c r="C2581" s="3" t="inlineStr">
        <is>
          <t>Expenses</t>
        </is>
      </c>
      <c r="D2581" s="3" t="inlineStr">
        <is>
          <t>3450/030</t>
        </is>
      </c>
      <c r="E2581" s="3" t="inlineStr">
        <is>
          <t>Depreciation - Furniture and Fittings</t>
        </is>
      </c>
      <c r="F2581" s="3" t="n">
        <v>547.67</v>
      </c>
      <c r="G2581" s="3" t="n">
        <v>4940.2</v>
      </c>
    </row>
    <row r="2582">
      <c r="A2582" s="3" t="inlineStr">
        <is>
          <t>Heron Fields (Pty) Ltd</t>
        </is>
      </c>
      <c r="B2582" s="4" t="n">
        <v>44957</v>
      </c>
      <c r="C2582" s="3" t="inlineStr">
        <is>
          <t>Expenses</t>
        </is>
      </c>
      <c r="D2582" s="3" t="inlineStr">
        <is>
          <t>3650/000</t>
        </is>
      </c>
      <c r="E2582" s="3" t="inlineStr">
        <is>
          <t>CoCT - Electricity</t>
        </is>
      </c>
      <c r="F2582" s="3" t="n">
        <v>5123.04</v>
      </c>
      <c r="G2582" s="3" t="n">
        <v>31830.7</v>
      </c>
    </row>
    <row r="2583">
      <c r="A2583" s="3" t="inlineStr">
        <is>
          <t>Cape Projects Construction (Pty) Ltd</t>
        </is>
      </c>
      <c r="B2583" s="4" t="n">
        <v>44957</v>
      </c>
      <c r="C2583" s="3" t="inlineStr">
        <is>
          <t>Expenses</t>
        </is>
      </c>
      <c r="D2583" s="3" t="inlineStr">
        <is>
          <t>3650/000</t>
        </is>
      </c>
      <c r="E2583" s="3" t="inlineStr">
        <is>
          <t>Electricity _AND_ Water</t>
        </is>
      </c>
      <c r="F2583" s="3" t="n">
        <v>4667.65</v>
      </c>
      <c r="G2583" s="3" t="n">
        <v>55097.16</v>
      </c>
    </row>
    <row r="2584">
      <c r="A2584" s="3" t="inlineStr">
        <is>
          <t>Heron Fields (Pty) Ltd</t>
        </is>
      </c>
      <c r="B2584" s="4" t="n">
        <v>44957</v>
      </c>
      <c r="C2584" s="3" t="inlineStr">
        <is>
          <t>Expenses</t>
        </is>
      </c>
      <c r="D2584" s="3" t="inlineStr">
        <is>
          <t>3660/000</t>
        </is>
      </c>
      <c r="E2584" s="3" t="inlineStr">
        <is>
          <t>CoCT - Water</t>
        </is>
      </c>
      <c r="F2584" s="3" t="n">
        <v>25749.27</v>
      </c>
      <c r="G2584" s="3" t="n">
        <v>77630.74000000001</v>
      </c>
    </row>
    <row r="2585">
      <c r="A2585" s="3" t="inlineStr">
        <is>
          <t>Heron Fields (Pty) Ltd</t>
        </is>
      </c>
      <c r="B2585" s="4" t="n">
        <v>44957</v>
      </c>
      <c r="C2585" s="3" t="inlineStr">
        <is>
          <t>Expenses</t>
        </is>
      </c>
      <c r="D2585" s="3" t="inlineStr">
        <is>
          <t>3670/000</t>
        </is>
      </c>
      <c r="E2585" s="3" t="inlineStr">
        <is>
          <t>CoCT - Refuse</t>
        </is>
      </c>
      <c r="F2585" s="3" t="n">
        <v>7126.8</v>
      </c>
      <c r="G2585" s="3" t="n">
        <v>10690.2</v>
      </c>
    </row>
    <row r="2586">
      <c r="A2586" s="3" t="inlineStr">
        <is>
          <t>Cape Projects Construction (Pty) Ltd</t>
        </is>
      </c>
      <c r="B2586" s="4" t="n">
        <v>44957</v>
      </c>
      <c r="C2586" s="3" t="inlineStr">
        <is>
          <t>Expenses</t>
        </is>
      </c>
      <c r="D2586" s="3" t="inlineStr">
        <is>
          <t>3700/000</t>
        </is>
      </c>
      <c r="E2586" s="3" t="inlineStr">
        <is>
          <t>Entertainment Expenses</t>
        </is>
      </c>
      <c r="F2586" s="3" t="n">
        <v>0</v>
      </c>
      <c r="G2586" s="3" t="n">
        <v>7651.52</v>
      </c>
    </row>
    <row r="2587">
      <c r="A2587" s="3" t="inlineStr">
        <is>
          <t>Cape Projects Construction (Pty) Ltd</t>
        </is>
      </c>
      <c r="B2587" s="4" t="n">
        <v>44957</v>
      </c>
      <c r="C2587" s="3" t="inlineStr">
        <is>
          <t>Expenses</t>
        </is>
      </c>
      <c r="D2587" s="3" t="inlineStr">
        <is>
          <t>3850/000</t>
        </is>
      </c>
      <c r="E2587" s="3" t="inlineStr">
        <is>
          <t>Insurance</t>
        </is>
      </c>
      <c r="F2587" s="3" t="n">
        <v>0</v>
      </c>
      <c r="G2587" s="3" t="n">
        <v>819.63</v>
      </c>
    </row>
    <row r="2588">
      <c r="A2588" s="3" t="inlineStr">
        <is>
          <t>Heron Fields (Pty) Ltd</t>
        </is>
      </c>
      <c r="B2588" s="4" t="n">
        <v>44957</v>
      </c>
      <c r="C2588" s="3" t="inlineStr">
        <is>
          <t>Expenses</t>
        </is>
      </c>
      <c r="D2588" s="3" t="inlineStr">
        <is>
          <t>3850/000</t>
        </is>
      </c>
      <c r="E2588" s="3" t="inlineStr">
        <is>
          <t>Insurance</t>
        </is>
      </c>
      <c r="F2588" s="3" t="n">
        <v>4379.83</v>
      </c>
      <c r="G2588" s="3" t="n">
        <v>17082.65</v>
      </c>
    </row>
    <row r="2589">
      <c r="A2589" s="3" t="inlineStr">
        <is>
          <t>Cape Projects Construction (Pty) Ltd</t>
        </is>
      </c>
      <c r="B2589" s="4" t="n">
        <v>44957</v>
      </c>
      <c r="C2589" s="3" t="inlineStr">
        <is>
          <t>Expenses</t>
        </is>
      </c>
      <c r="D2589" s="3" t="inlineStr">
        <is>
          <t>3850/001</t>
        </is>
      </c>
      <c r="E2589" s="3" t="inlineStr">
        <is>
          <t>Insurance - Santam</t>
        </is>
      </c>
      <c r="F2589" s="3" t="n">
        <v>0</v>
      </c>
      <c r="G2589" s="3" t="n">
        <v>13626.33</v>
      </c>
    </row>
    <row r="2590">
      <c r="A2590" s="3" t="inlineStr">
        <is>
          <t>Cape Projects Construction (Pty) Ltd</t>
        </is>
      </c>
      <c r="B2590" s="4" t="n">
        <v>44957</v>
      </c>
      <c r="C2590" s="3" t="inlineStr">
        <is>
          <t>Expenses</t>
        </is>
      </c>
      <c r="D2590" s="3" t="inlineStr">
        <is>
          <t>3850/002</t>
        </is>
      </c>
      <c r="E2590" s="3" t="inlineStr">
        <is>
          <t>Insurance - RBS</t>
        </is>
      </c>
      <c r="F2590" s="3" t="n">
        <v>0</v>
      </c>
      <c r="G2590" s="3" t="n">
        <v>1425.42</v>
      </c>
    </row>
    <row r="2591">
      <c r="A2591" s="3" t="inlineStr">
        <is>
          <t>Heron Fields (Pty) Ltd</t>
        </is>
      </c>
      <c r="B2591" s="4" t="n">
        <v>44957</v>
      </c>
      <c r="C2591" s="3" t="inlineStr">
        <is>
          <t>Expenses</t>
        </is>
      </c>
      <c r="D2591" s="3" t="inlineStr">
        <is>
          <t>3900/000</t>
        </is>
      </c>
      <c r="E2591" s="3" t="inlineStr">
        <is>
          <t>Interest Paid</t>
        </is>
      </c>
      <c r="F2591" s="3" t="n">
        <v>0</v>
      </c>
      <c r="G2591" s="3" t="n">
        <v>588.4400000000001</v>
      </c>
    </row>
    <row r="2592">
      <c r="A2592" s="3" t="inlineStr">
        <is>
          <t>Cape Projects Construction (Pty) Ltd</t>
        </is>
      </c>
      <c r="B2592" s="4" t="n">
        <v>44957</v>
      </c>
      <c r="C2592" s="3" t="inlineStr">
        <is>
          <t>Expenses</t>
        </is>
      </c>
      <c r="D2592" s="3" t="inlineStr">
        <is>
          <t>3900/100</t>
        </is>
      </c>
      <c r="E2592" s="3" t="inlineStr">
        <is>
          <t>Interest Paid - Suppliers</t>
        </is>
      </c>
      <c r="F2592" s="3" t="n">
        <v>165.33</v>
      </c>
      <c r="G2592" s="3" t="n">
        <v>165.33</v>
      </c>
    </row>
    <row r="2593">
      <c r="A2593" s="3" t="inlineStr">
        <is>
          <t>Heron Fields (Pty) Ltd</t>
        </is>
      </c>
      <c r="B2593" s="4" t="n">
        <v>44957</v>
      </c>
      <c r="C2593" s="3" t="inlineStr">
        <is>
          <t>Expenses</t>
        </is>
      </c>
      <c r="D2593" s="3" t="inlineStr">
        <is>
          <t>3900/111</t>
        </is>
      </c>
      <c r="E2593" s="3" t="inlineStr">
        <is>
          <t>Interest Paid - Investors @ 6.25%</t>
        </is>
      </c>
      <c r="F2593" s="3" t="n">
        <v>114401.55</v>
      </c>
      <c r="G2593" s="3" t="n">
        <v>478804.41</v>
      </c>
    </row>
    <row r="2594">
      <c r="A2594" s="3" t="inlineStr">
        <is>
          <t>Heron Fields (Pty) Ltd</t>
        </is>
      </c>
      <c r="B2594" s="4" t="n">
        <v>44957</v>
      </c>
      <c r="C2594" s="3" t="inlineStr">
        <is>
          <t>Expenses</t>
        </is>
      </c>
      <c r="D2594" s="3" t="inlineStr">
        <is>
          <t>3900/115</t>
        </is>
      </c>
      <c r="E2594" s="3" t="inlineStr">
        <is>
          <t>Interest Paid - Investors @ 6.5%</t>
        </is>
      </c>
      <c r="F2594" s="3" t="n">
        <v>18431.5</v>
      </c>
      <c r="G2594" s="3" t="n">
        <v>50664.39</v>
      </c>
    </row>
    <row r="2595">
      <c r="A2595" s="3" t="inlineStr">
        <is>
          <t>Heron Fields (Pty) Ltd</t>
        </is>
      </c>
      <c r="B2595" s="4" t="n">
        <v>44957</v>
      </c>
      <c r="C2595" s="3" t="inlineStr">
        <is>
          <t>Expenses</t>
        </is>
      </c>
      <c r="D2595" s="3" t="inlineStr">
        <is>
          <t>3900/117</t>
        </is>
      </c>
      <c r="E2595" s="3" t="inlineStr">
        <is>
          <t>Interest Paid - Investors @ 6.75%</t>
        </is>
      </c>
      <c r="F2595" s="3" t="n">
        <v>13213.35</v>
      </c>
      <c r="G2595" s="3" t="n">
        <v>14865.42</v>
      </c>
    </row>
    <row r="2596">
      <c r="A2596" s="3" t="inlineStr">
        <is>
          <t>Heron Fields (Pty) Ltd</t>
        </is>
      </c>
      <c r="B2596" s="4" t="n">
        <v>44957</v>
      </c>
      <c r="C2596" s="3" t="inlineStr">
        <is>
          <t>Expenses</t>
        </is>
      </c>
      <c r="D2596" s="3" t="inlineStr">
        <is>
          <t>3900/120</t>
        </is>
      </c>
      <c r="E2596" s="3" t="inlineStr">
        <is>
          <t>Interest Paid - Investors @ 7%</t>
        </is>
      </c>
      <c r="F2596" s="3" t="n">
        <v>2493.14</v>
      </c>
      <c r="G2596" s="3" t="n">
        <v>2742.46</v>
      </c>
    </row>
    <row r="2597">
      <c r="A2597" s="3" t="inlineStr">
        <is>
          <t>Heron Fields (Pty) Ltd</t>
        </is>
      </c>
      <c r="B2597" s="4" t="n">
        <v>44957</v>
      </c>
      <c r="C2597" s="3" t="inlineStr">
        <is>
          <t>Expenses</t>
        </is>
      </c>
      <c r="D2597" s="3" t="inlineStr">
        <is>
          <t>3900/126</t>
        </is>
      </c>
      <c r="E2597" s="3" t="inlineStr">
        <is>
          <t>Interest Paid - Investors @ 7.5%</t>
        </is>
      </c>
      <c r="F2597" s="3" t="n">
        <v>48.99</v>
      </c>
      <c r="G2597" s="3" t="n">
        <v>48.99</v>
      </c>
    </row>
    <row r="2598">
      <c r="A2598" s="3" t="inlineStr">
        <is>
          <t>Heron Fields (Pty) Ltd</t>
        </is>
      </c>
      <c r="B2598" s="4" t="n">
        <v>44957</v>
      </c>
      <c r="C2598" s="3" t="inlineStr">
        <is>
          <t>Expenses</t>
        </is>
      </c>
      <c r="D2598" s="3" t="inlineStr">
        <is>
          <t>3900/190</t>
        </is>
      </c>
      <c r="E2598" s="3" t="inlineStr">
        <is>
          <t>Interest Paid - Investors @ 14%</t>
        </is>
      </c>
      <c r="F2598" s="3" t="n">
        <v>79243.86</v>
      </c>
      <c r="G2598" s="3" t="n">
        <v>142876.75</v>
      </c>
    </row>
    <row r="2599">
      <c r="A2599" s="3" t="inlineStr">
        <is>
          <t>Heron Fields (Pty) Ltd</t>
        </is>
      </c>
      <c r="B2599" s="4" t="n">
        <v>44957</v>
      </c>
      <c r="C2599" s="3" t="inlineStr">
        <is>
          <t>Expenses</t>
        </is>
      </c>
      <c r="D2599" s="3" t="inlineStr">
        <is>
          <t>3900/200</t>
        </is>
      </c>
      <c r="E2599" s="3" t="inlineStr">
        <is>
          <t>Interest Paid - Investors @ 15%</t>
        </is>
      </c>
      <c r="F2599" s="3" t="n">
        <v>333904.11</v>
      </c>
      <c r="G2599" s="3" t="n">
        <v>1035616.4</v>
      </c>
    </row>
    <row r="2600">
      <c r="A2600" s="3" t="inlineStr">
        <is>
          <t>Heron Fields (Pty) Ltd</t>
        </is>
      </c>
      <c r="B2600" s="4" t="n">
        <v>44957</v>
      </c>
      <c r="C2600" s="3" t="inlineStr">
        <is>
          <t>Expenses</t>
        </is>
      </c>
      <c r="D2600" s="3" t="inlineStr">
        <is>
          <t>3900/210</t>
        </is>
      </c>
      <c r="E2600" s="3" t="inlineStr">
        <is>
          <t>Interest Paid - Investors @ 16%</t>
        </is>
      </c>
      <c r="F2600" s="3" t="n">
        <v>138082.19</v>
      </c>
      <c r="G2600" s="3" t="n">
        <v>138082.19</v>
      </c>
    </row>
    <row r="2601">
      <c r="A2601" s="3" t="inlineStr">
        <is>
          <t>Heron Fields (Pty) Ltd</t>
        </is>
      </c>
      <c r="B2601" s="4" t="n">
        <v>44957</v>
      </c>
      <c r="C2601" s="3" t="inlineStr">
        <is>
          <t>Expenses</t>
        </is>
      </c>
      <c r="D2601" s="3" t="inlineStr">
        <is>
          <t>3900/230</t>
        </is>
      </c>
      <c r="E2601" s="3" t="inlineStr">
        <is>
          <t>Interest Paid - Investors @ 18%</t>
        </is>
      </c>
      <c r="F2601" s="3" t="n">
        <v>1167405.88</v>
      </c>
      <c r="G2601" s="3" t="n">
        <v>4401726.94</v>
      </c>
    </row>
    <row r="2602">
      <c r="A2602" s="3" t="inlineStr">
        <is>
          <t>Cape Projects Construction (Pty) Ltd</t>
        </is>
      </c>
      <c r="B2602" s="4" t="n">
        <v>44957</v>
      </c>
      <c r="C2602" s="3" t="inlineStr">
        <is>
          <t>Expenses</t>
        </is>
      </c>
      <c r="D2602" s="3" t="inlineStr">
        <is>
          <t>3904/000</t>
        </is>
      </c>
      <c r="E2602" s="3" t="inlineStr">
        <is>
          <t>Interest Paid - BIBC</t>
        </is>
      </c>
      <c r="F2602" s="3" t="n">
        <v>0</v>
      </c>
      <c r="G2602" s="3" t="n">
        <v>1209.87</v>
      </c>
    </row>
    <row r="2603">
      <c r="A2603" s="3" t="inlineStr">
        <is>
          <t>Heron Fields (Pty) Ltd</t>
        </is>
      </c>
      <c r="B2603" s="4" t="n">
        <v>44957</v>
      </c>
      <c r="C2603" s="3" t="inlineStr">
        <is>
          <t>Expenses</t>
        </is>
      </c>
      <c r="D2603" s="3" t="inlineStr">
        <is>
          <t>4070/000</t>
        </is>
      </c>
      <c r="E2603" s="3" t="inlineStr">
        <is>
          <t>Management fees - OMH</t>
        </is>
      </c>
      <c r="F2603" s="3" t="n">
        <v>0</v>
      </c>
      <c r="G2603" s="3" t="n">
        <v>400000</v>
      </c>
    </row>
    <row r="2604">
      <c r="A2604" s="3" t="inlineStr">
        <is>
          <t>Heron Fields (Pty) Ltd</t>
        </is>
      </c>
      <c r="B2604" s="4" t="n">
        <v>44957</v>
      </c>
      <c r="C2604" s="3" t="inlineStr">
        <is>
          <t>Expenses</t>
        </is>
      </c>
      <c r="D2604" s="3" t="inlineStr">
        <is>
          <t>4100/001</t>
        </is>
      </c>
      <c r="E2604" s="3" t="inlineStr">
        <is>
          <t>Momentum Admin Fee</t>
        </is>
      </c>
      <c r="F2604" s="3" t="n">
        <v>1536.81</v>
      </c>
      <c r="G2604" s="3" t="n">
        <v>246993.52</v>
      </c>
    </row>
    <row r="2605">
      <c r="A2605" s="3" t="inlineStr">
        <is>
          <t>Cape Projects Construction (Pty) Ltd</t>
        </is>
      </c>
      <c r="B2605" s="4" t="n">
        <v>44957</v>
      </c>
      <c r="C2605" s="3" t="inlineStr">
        <is>
          <t>Expenses</t>
        </is>
      </c>
      <c r="D2605" s="3" t="inlineStr">
        <is>
          <t>4150/010</t>
        </is>
      </c>
      <c r="E2605" s="3" t="inlineStr">
        <is>
          <t>Motor Vehicle - Petrol _AND_ Oil</t>
        </is>
      </c>
      <c r="F2605" s="3" t="n">
        <v>1532.8</v>
      </c>
      <c r="G2605" s="3" t="n">
        <v>1532.8</v>
      </c>
    </row>
    <row r="2606">
      <c r="A2606" s="3" t="inlineStr">
        <is>
          <t>Cape Projects Construction (Pty) Ltd</t>
        </is>
      </c>
      <c r="B2606" s="4" t="n">
        <v>44957</v>
      </c>
      <c r="C2606" s="3" t="inlineStr">
        <is>
          <t>Expenses</t>
        </is>
      </c>
      <c r="D2606" s="3" t="inlineStr">
        <is>
          <t>4150/020</t>
        </is>
      </c>
      <c r="E2606" s="3" t="inlineStr">
        <is>
          <t>Motor Vehicle - Repairs _AND_ Maint.</t>
        </is>
      </c>
      <c r="F2606" s="3" t="n">
        <v>7037.85</v>
      </c>
      <c r="G2606" s="3" t="n">
        <v>11070.86</v>
      </c>
    </row>
    <row r="2607">
      <c r="A2607" s="3" t="inlineStr">
        <is>
          <t>Cape Projects Construction (Pty) Ltd</t>
        </is>
      </c>
      <c r="B2607" s="4" t="n">
        <v>44957</v>
      </c>
      <c r="C2607" s="3" t="inlineStr">
        <is>
          <t>Expenses</t>
        </is>
      </c>
      <c r="D2607" s="3" t="inlineStr">
        <is>
          <t>4150/030</t>
        </is>
      </c>
      <c r="E2607" s="3" t="inlineStr">
        <is>
          <t>Motor Vehicle - Insurance _AND_ Licence</t>
        </is>
      </c>
      <c r="F2607" s="3" t="n">
        <v>0</v>
      </c>
      <c r="G2607" s="3" t="n">
        <v>1200</v>
      </c>
    </row>
    <row r="2608">
      <c r="A2608" s="3" t="inlineStr">
        <is>
          <t>Cape Projects Construction (Pty) Ltd</t>
        </is>
      </c>
      <c r="B2608" s="4" t="n">
        <v>44957</v>
      </c>
      <c r="C2608" s="3" t="inlineStr">
        <is>
          <t>Expenses</t>
        </is>
      </c>
      <c r="D2608" s="3" t="inlineStr">
        <is>
          <t>4200/000</t>
        </is>
      </c>
      <c r="E2608" s="3" t="inlineStr">
        <is>
          <t>Printing _AND_ Stationery</t>
        </is>
      </c>
      <c r="F2608" s="3" t="n">
        <v>593.99</v>
      </c>
      <c r="G2608" s="3" t="n">
        <v>13177.45</v>
      </c>
    </row>
    <row r="2609">
      <c r="A2609" s="3" t="inlineStr">
        <is>
          <t>Heron View (Pty) Ltd</t>
        </is>
      </c>
      <c r="B2609" s="4" t="n">
        <v>44957</v>
      </c>
      <c r="C2609" s="3" t="inlineStr">
        <is>
          <t>Expenses</t>
        </is>
      </c>
      <c r="D2609" s="3" t="inlineStr">
        <is>
          <t>4200/000</t>
        </is>
      </c>
      <c r="E2609" s="3" t="inlineStr">
        <is>
          <t>Printing _AND_ Stationery</t>
        </is>
      </c>
      <c r="F2609" s="3" t="n">
        <v>0</v>
      </c>
      <c r="G2609" s="3" t="n">
        <v>3404.62</v>
      </c>
    </row>
    <row r="2610">
      <c r="A2610" s="3" t="inlineStr">
        <is>
          <t>Cape Projects Construction (Pty) Ltd</t>
        </is>
      </c>
      <c r="B2610" s="4" t="n">
        <v>44957</v>
      </c>
      <c r="C2610" s="3" t="inlineStr">
        <is>
          <t>Expenses</t>
        </is>
      </c>
      <c r="D2610" s="3" t="inlineStr">
        <is>
          <t>4201/000</t>
        </is>
      </c>
      <c r="E2610" s="3" t="inlineStr">
        <is>
          <t>Printing - Printer rental</t>
        </is>
      </c>
      <c r="F2610" s="3" t="n">
        <v>700.1</v>
      </c>
      <c r="G2610" s="3" t="n">
        <v>6898.99</v>
      </c>
    </row>
    <row r="2611">
      <c r="A2611" s="3" t="inlineStr">
        <is>
          <t>Cape Projects Construction (Pty) Ltd</t>
        </is>
      </c>
      <c r="B2611" s="4" t="n">
        <v>44957</v>
      </c>
      <c r="C2611" s="3" t="inlineStr">
        <is>
          <t>Expenses</t>
        </is>
      </c>
      <c r="D2611" s="3" t="inlineStr">
        <is>
          <t>4300/000</t>
        </is>
      </c>
      <c r="E2611" s="3" t="inlineStr">
        <is>
          <t>Rent Paid</t>
        </is>
      </c>
      <c r="F2611" s="3" t="n">
        <v>29600</v>
      </c>
      <c r="G2611" s="3" t="n">
        <v>312491.67</v>
      </c>
    </row>
    <row r="2612">
      <c r="A2612" s="3" t="inlineStr">
        <is>
          <t>Cape Projects Construction (Pty) Ltd</t>
        </is>
      </c>
      <c r="B2612" s="4" t="n">
        <v>44957</v>
      </c>
      <c r="C2612" s="3" t="inlineStr">
        <is>
          <t>Expenses</t>
        </is>
      </c>
      <c r="D2612" s="3" t="inlineStr">
        <is>
          <t>4310/000</t>
        </is>
      </c>
      <c r="E2612" s="3" t="inlineStr">
        <is>
          <t>Rates</t>
        </is>
      </c>
      <c r="F2612" s="3" t="n">
        <v>843.6</v>
      </c>
      <c r="G2612" s="3" t="n">
        <v>9279.6</v>
      </c>
    </row>
    <row r="2613">
      <c r="A2613" s="3" t="inlineStr">
        <is>
          <t>Heron Fields (Pty) Ltd</t>
        </is>
      </c>
      <c r="B2613" s="4" t="n">
        <v>44957</v>
      </c>
      <c r="C2613" s="3" t="inlineStr">
        <is>
          <t>Expenses</t>
        </is>
      </c>
      <c r="D2613" s="3" t="inlineStr">
        <is>
          <t>4310/000</t>
        </is>
      </c>
      <c r="E2613" s="3" t="inlineStr">
        <is>
          <t>Rates - Heron</t>
        </is>
      </c>
      <c r="F2613" s="3" t="n">
        <v>6778.01</v>
      </c>
      <c r="G2613" s="3" t="n">
        <v>35882.8</v>
      </c>
    </row>
    <row r="2614">
      <c r="A2614" s="3" t="inlineStr">
        <is>
          <t>Cape Projects Construction (Pty) Ltd</t>
        </is>
      </c>
      <c r="B2614" s="4" t="n">
        <v>44957</v>
      </c>
      <c r="C2614" s="3" t="inlineStr">
        <is>
          <t>Expenses</t>
        </is>
      </c>
      <c r="D2614" s="3" t="inlineStr">
        <is>
          <t>4350/000</t>
        </is>
      </c>
      <c r="E2614" s="3" t="inlineStr">
        <is>
          <t>Repairs _AND_ Maintenance</t>
        </is>
      </c>
      <c r="F2614" s="3" t="n">
        <v>0</v>
      </c>
      <c r="G2614" s="3" t="n">
        <v>24423.01</v>
      </c>
    </row>
    <row r="2615">
      <c r="A2615" s="3" t="inlineStr">
        <is>
          <t>Heron Fields (Pty) Ltd</t>
        </is>
      </c>
      <c r="B2615" s="4" t="n">
        <v>44957</v>
      </c>
      <c r="C2615" s="3" t="inlineStr">
        <is>
          <t>Expenses</t>
        </is>
      </c>
      <c r="D2615" s="3" t="inlineStr">
        <is>
          <t>4350/000</t>
        </is>
      </c>
      <c r="E2615" s="3" t="inlineStr">
        <is>
          <t>Repairs _AND_ Maintenance</t>
        </is>
      </c>
      <c r="F2615" s="3" t="n">
        <v>0</v>
      </c>
      <c r="G2615" s="3" t="n">
        <v>22719.99</v>
      </c>
    </row>
    <row r="2616">
      <c r="A2616" s="3" t="inlineStr">
        <is>
          <t>Cape Projects Construction (Pty) Ltd</t>
        </is>
      </c>
      <c r="B2616" s="4" t="n">
        <v>44957</v>
      </c>
      <c r="C2616" s="3" t="inlineStr">
        <is>
          <t>Expenses</t>
        </is>
      </c>
      <c r="D2616" s="3" t="inlineStr">
        <is>
          <t>4400/000</t>
        </is>
      </c>
      <c r="E2616" s="3" t="inlineStr">
        <is>
          <t>Salaries _AND_ Wages</t>
        </is>
      </c>
      <c r="F2616" s="3" t="n">
        <v>249945.83</v>
      </c>
      <c r="G2616" s="3" t="n">
        <v>2381081.41</v>
      </c>
    </row>
    <row r="2617">
      <c r="A2617" s="3" t="inlineStr">
        <is>
          <t>Cape Projects Construction (Pty) Ltd</t>
        </is>
      </c>
      <c r="B2617" s="4" t="n">
        <v>44957</v>
      </c>
      <c r="C2617" s="3" t="inlineStr">
        <is>
          <t>Expenses</t>
        </is>
      </c>
      <c r="D2617" s="3" t="inlineStr">
        <is>
          <t>4402</t>
        </is>
      </c>
      <c r="E2617" s="3" t="inlineStr">
        <is>
          <t>Salaries &amp; Wages - WCA</t>
        </is>
      </c>
      <c r="F2617" s="3" t="n">
        <v>0</v>
      </c>
      <c r="G2617" s="3" t="n">
        <v>3746.27</v>
      </c>
    </row>
    <row r="2618">
      <c r="A2618" s="3" t="inlineStr">
        <is>
          <t>Cape Projects Construction (Pty) Ltd</t>
        </is>
      </c>
      <c r="B2618" s="4" t="n">
        <v>44957</v>
      </c>
      <c r="C2618" s="3" t="inlineStr">
        <is>
          <t>Expenses</t>
        </is>
      </c>
      <c r="D2618" s="3" t="inlineStr">
        <is>
          <t>4403/000</t>
        </is>
      </c>
      <c r="E2618" s="3" t="inlineStr">
        <is>
          <t>Security</t>
        </is>
      </c>
      <c r="F2618" s="3" t="n">
        <v>177.33</v>
      </c>
      <c r="G2618" s="3" t="n">
        <v>1695.42</v>
      </c>
    </row>
    <row r="2619">
      <c r="A2619" s="3" t="inlineStr">
        <is>
          <t>Cape Projects Construction (Pty) Ltd</t>
        </is>
      </c>
      <c r="B2619" s="4" t="n">
        <v>44957</v>
      </c>
      <c r="C2619" s="3" t="inlineStr">
        <is>
          <t>Expenses</t>
        </is>
      </c>
      <c r="D2619" s="3" t="inlineStr">
        <is>
          <t>4420/000</t>
        </is>
      </c>
      <c r="E2619" s="3" t="inlineStr">
        <is>
          <t>Small Assets</t>
        </is>
      </c>
      <c r="F2619" s="3" t="n">
        <v>1564.35</v>
      </c>
      <c r="G2619" s="3" t="n">
        <v>10577.83</v>
      </c>
    </row>
    <row r="2620">
      <c r="A2620" s="3" t="inlineStr">
        <is>
          <t>Heron Fields (Pty) Ltd</t>
        </is>
      </c>
      <c r="B2620" s="4" t="n">
        <v>44957</v>
      </c>
      <c r="C2620" s="3" t="inlineStr">
        <is>
          <t>Expenses</t>
        </is>
      </c>
      <c r="D2620" s="3" t="inlineStr">
        <is>
          <t>4420/001</t>
        </is>
      </c>
      <c r="E2620" s="3" t="inlineStr">
        <is>
          <t>Security - ADT</t>
        </is>
      </c>
      <c r="F2620" s="3" t="n">
        <v>328.38</v>
      </c>
      <c r="G2620" s="3" t="n">
        <v>5249.41</v>
      </c>
    </row>
    <row r="2621">
      <c r="A2621" s="3" t="inlineStr">
        <is>
          <t>Cape Projects Construction (Pty) Ltd</t>
        </is>
      </c>
      <c r="B2621" s="4" t="n">
        <v>44957</v>
      </c>
      <c r="C2621" s="3" t="inlineStr">
        <is>
          <t>Expenses</t>
        </is>
      </c>
      <c r="D2621" s="3" t="inlineStr">
        <is>
          <t>4450/000</t>
        </is>
      </c>
      <c r="E2621" s="3" t="inlineStr">
        <is>
          <t>Staff Training</t>
        </is>
      </c>
      <c r="F2621" s="3" t="n">
        <v>0</v>
      </c>
      <c r="G2621" s="3" t="n">
        <v>6800</v>
      </c>
    </row>
    <row r="2622">
      <c r="A2622" s="3" t="inlineStr">
        <is>
          <t>Cape Projects Construction (Pty) Ltd</t>
        </is>
      </c>
      <c r="B2622" s="4" t="n">
        <v>44957</v>
      </c>
      <c r="C2622" s="3" t="inlineStr">
        <is>
          <t>Expenses</t>
        </is>
      </c>
      <c r="D2622" s="3" t="inlineStr">
        <is>
          <t>4500/000</t>
        </is>
      </c>
      <c r="E2622" s="3" t="inlineStr">
        <is>
          <t>Staff Welfare _AND_ Refreshmts</t>
        </is>
      </c>
      <c r="F2622" s="3" t="n">
        <v>128.48</v>
      </c>
      <c r="G2622" s="3" t="n">
        <v>4899.14</v>
      </c>
    </row>
    <row r="2623">
      <c r="A2623" s="3" t="inlineStr">
        <is>
          <t>Cape Projects Construction (Pty) Ltd</t>
        </is>
      </c>
      <c r="B2623" s="4" t="n">
        <v>44957</v>
      </c>
      <c r="C2623" s="3" t="inlineStr">
        <is>
          <t>Expenses</t>
        </is>
      </c>
      <c r="D2623" s="3" t="inlineStr">
        <is>
          <t>4550/000</t>
        </is>
      </c>
      <c r="E2623" s="3" t="inlineStr">
        <is>
          <t>Subscriptions / Licenses</t>
        </is>
      </c>
      <c r="F2623" s="3" t="n">
        <v>0</v>
      </c>
      <c r="G2623" s="3" t="n">
        <v>526.3200000000001</v>
      </c>
    </row>
    <row r="2624">
      <c r="A2624" s="3" t="inlineStr">
        <is>
          <t>Cape Projects Construction (Pty) Ltd</t>
        </is>
      </c>
      <c r="B2624" s="4" t="n">
        <v>44957</v>
      </c>
      <c r="C2624" s="3" t="inlineStr">
        <is>
          <t>Expenses</t>
        </is>
      </c>
      <c r="D2624" s="3" t="inlineStr">
        <is>
          <t>4550/001</t>
        </is>
      </c>
      <c r="E2624" s="3" t="inlineStr">
        <is>
          <t>Subscriptions &amp; Licenses - Sage payroll</t>
        </is>
      </c>
      <c r="F2624" s="3" t="n">
        <v>747</v>
      </c>
      <c r="G2624" s="3" t="n">
        <v>6827</v>
      </c>
    </row>
    <row r="2625">
      <c r="A2625" s="3" t="inlineStr">
        <is>
          <t>Cape Projects Construction (Pty) Ltd</t>
        </is>
      </c>
      <c r="B2625" s="4" t="n">
        <v>44957</v>
      </c>
      <c r="C2625" s="3" t="inlineStr">
        <is>
          <t>Expenses</t>
        </is>
      </c>
      <c r="D2625" s="3" t="inlineStr">
        <is>
          <t>4550/003</t>
        </is>
      </c>
      <c r="E2625" s="3" t="inlineStr">
        <is>
          <t>Subscriptions &amp; Licenses - Xero</t>
        </is>
      </c>
      <c r="F2625" s="3" t="n">
        <v>600</v>
      </c>
      <c r="G2625" s="3" t="n">
        <v>6600</v>
      </c>
    </row>
    <row r="2626">
      <c r="A2626" s="3" t="inlineStr">
        <is>
          <t>Cape Projects Construction (Pty) Ltd</t>
        </is>
      </c>
      <c r="B2626" s="4" t="n">
        <v>44957</v>
      </c>
      <c r="C2626" s="3" t="inlineStr">
        <is>
          <t>Expenses</t>
        </is>
      </c>
      <c r="D2626" s="3" t="inlineStr">
        <is>
          <t>4550/004</t>
        </is>
      </c>
      <c r="E2626" s="3" t="inlineStr">
        <is>
          <t>Subscriptions - Smartsheet</t>
        </is>
      </c>
      <c r="F2626" s="3" t="n">
        <v>621.16</v>
      </c>
      <c r="G2626" s="3" t="n">
        <v>4907.76</v>
      </c>
    </row>
    <row r="2627">
      <c r="A2627" s="3" t="inlineStr">
        <is>
          <t>Cape Projects Construction (Pty) Ltd</t>
        </is>
      </c>
      <c r="B2627" s="4" t="n">
        <v>44957</v>
      </c>
      <c r="C2627" s="3" t="inlineStr">
        <is>
          <t>Expenses</t>
        </is>
      </c>
      <c r="D2627" s="3" t="inlineStr">
        <is>
          <t>4550/006</t>
        </is>
      </c>
      <c r="E2627" s="3" t="inlineStr">
        <is>
          <t>Subscription - Candy software</t>
        </is>
      </c>
      <c r="F2627" s="3" t="n">
        <v>0</v>
      </c>
      <c r="G2627" s="3" t="n">
        <v>13765</v>
      </c>
    </row>
    <row r="2628">
      <c r="A2628" s="3" t="inlineStr">
        <is>
          <t>Heron Fields (Pty) Ltd</t>
        </is>
      </c>
      <c r="B2628" s="4" t="n">
        <v>44957</v>
      </c>
      <c r="C2628" s="3" t="inlineStr">
        <is>
          <t>Expenses</t>
        </is>
      </c>
      <c r="D2628" s="3" t="inlineStr">
        <is>
          <t>4550/100</t>
        </is>
      </c>
      <c r="E2628" s="3" t="inlineStr">
        <is>
          <t>Subscriptions - Xero</t>
        </is>
      </c>
      <c r="F2628" s="3" t="n">
        <v>600</v>
      </c>
      <c r="G2628" s="3" t="n">
        <v>6600</v>
      </c>
    </row>
    <row r="2629">
      <c r="A2629" s="3" t="inlineStr">
        <is>
          <t>Heron View (Pty) Ltd</t>
        </is>
      </c>
      <c r="B2629" s="4" t="n">
        <v>44957</v>
      </c>
      <c r="C2629" s="3" t="inlineStr">
        <is>
          <t>Expenses</t>
        </is>
      </c>
      <c r="D2629" s="3" t="inlineStr">
        <is>
          <t>4550/100</t>
        </is>
      </c>
      <c r="E2629" s="3" t="inlineStr">
        <is>
          <t>Subscriptions - Xero</t>
        </is>
      </c>
      <c r="F2629" s="3" t="n">
        <v>600</v>
      </c>
      <c r="G2629" s="3" t="n">
        <v>10200</v>
      </c>
    </row>
    <row r="2630">
      <c r="A2630" s="3" t="inlineStr">
        <is>
          <t>Heron Fields (Pty) Ltd</t>
        </is>
      </c>
      <c r="B2630" s="4" t="n">
        <v>44957</v>
      </c>
      <c r="C2630" s="3" t="inlineStr">
        <is>
          <t>Expenses</t>
        </is>
      </c>
      <c r="D2630" s="3" t="inlineStr">
        <is>
          <t>4550/200</t>
        </is>
      </c>
      <c r="E2630" s="3" t="inlineStr">
        <is>
          <t>Subscription - NHBRC</t>
        </is>
      </c>
      <c r="F2630" s="3" t="n">
        <v>0</v>
      </c>
      <c r="G2630" s="3" t="n">
        <v>788.4299999999999</v>
      </c>
    </row>
    <row r="2631">
      <c r="A2631" s="3" t="inlineStr">
        <is>
          <t>Cape Projects Construction (Pty) Ltd</t>
        </is>
      </c>
      <c r="B2631" s="4" t="n">
        <v>44957</v>
      </c>
      <c r="C2631" s="3" t="inlineStr">
        <is>
          <t>Expenses</t>
        </is>
      </c>
      <c r="D2631" s="3" t="inlineStr">
        <is>
          <t>4560</t>
        </is>
      </c>
      <c r="E2631" s="3" t="inlineStr">
        <is>
          <t>Secretarial fees - CIPC</t>
        </is>
      </c>
      <c r="F2631" s="3" t="n">
        <v>0</v>
      </c>
      <c r="G2631" s="3" t="n">
        <v>2500</v>
      </c>
    </row>
    <row r="2632">
      <c r="A2632" s="3" t="inlineStr">
        <is>
          <t>Cape Projects Construction (Pty) Ltd</t>
        </is>
      </c>
      <c r="B2632" s="4" t="n">
        <v>44957</v>
      </c>
      <c r="C2632" s="3" t="inlineStr">
        <is>
          <t>Expenses</t>
        </is>
      </c>
      <c r="D2632" s="3" t="inlineStr">
        <is>
          <t>4650/010</t>
        </is>
      </c>
      <c r="E2632" s="3" t="inlineStr">
        <is>
          <t>Travel - Local</t>
        </is>
      </c>
      <c r="F2632" s="3" t="n">
        <v>0</v>
      </c>
      <c r="G2632" s="3" t="n">
        <v>13.04</v>
      </c>
    </row>
    <row r="2633">
      <c r="A2633" s="3" t="inlineStr">
        <is>
          <t>Cape Projects Construction (Pty) Ltd</t>
        </is>
      </c>
      <c r="B2633" s="4" t="n">
        <v>44957</v>
      </c>
      <c r="C2633" s="3" t="inlineStr">
        <is>
          <t>Expenses</t>
        </is>
      </c>
      <c r="D2633" s="3" t="inlineStr">
        <is>
          <t>4700/000</t>
        </is>
      </c>
      <c r="E2633" s="3" t="inlineStr">
        <is>
          <t>PAYE Contributions</t>
        </is>
      </c>
      <c r="F2633" s="3" t="n">
        <v>65692.16</v>
      </c>
      <c r="G2633" s="3" t="n">
        <v>385048.84</v>
      </c>
    </row>
    <row r="2634">
      <c r="A2634" s="3" t="inlineStr">
        <is>
          <t>Cape Projects Construction (Pty) Ltd</t>
        </is>
      </c>
      <c r="B2634" s="4" t="n">
        <v>44957</v>
      </c>
      <c r="C2634" s="3" t="inlineStr">
        <is>
          <t>Expenses</t>
        </is>
      </c>
      <c r="D2634" s="3" t="inlineStr">
        <is>
          <t>4720/000</t>
        </is>
      </c>
      <c r="E2634" s="3" t="inlineStr">
        <is>
          <t>SDL Contributions</t>
        </is>
      </c>
      <c r="F2634" s="3" t="n">
        <v>3026.06</v>
      </c>
      <c r="G2634" s="3" t="n">
        <v>26378.45</v>
      </c>
    </row>
    <row r="2635">
      <c r="A2635" s="3" t="inlineStr">
        <is>
          <t>Cape Projects Construction (Pty) Ltd</t>
        </is>
      </c>
      <c r="B2635" s="4" t="n">
        <v>44957</v>
      </c>
      <c r="C2635" s="3" t="inlineStr">
        <is>
          <t>Expenses</t>
        </is>
      </c>
      <c r="D2635" s="3" t="inlineStr">
        <is>
          <t>4730/000</t>
        </is>
      </c>
      <c r="E2635" s="3" t="inlineStr">
        <is>
          <t>UIF Company Contributions</t>
        </is>
      </c>
      <c r="F2635" s="3" t="n">
        <v>1472.76</v>
      </c>
      <c r="G2635" s="3" t="n">
        <v>18411.37</v>
      </c>
    </row>
    <row r="2636">
      <c r="A2636" s="3" t="inlineStr">
        <is>
          <t>Cape Projects Construction (Pty) Ltd</t>
        </is>
      </c>
      <c r="B2636" s="4" t="n">
        <v>44957</v>
      </c>
      <c r="C2636" s="3" t="inlineStr">
        <is>
          <t>Expenses</t>
        </is>
      </c>
      <c r="D2636" s="3" t="inlineStr">
        <is>
          <t>4731/000</t>
        </is>
      </c>
      <c r="E2636" s="3" t="inlineStr">
        <is>
          <t>UIF Employee Contribution</t>
        </is>
      </c>
      <c r="F2636" s="3" t="n">
        <v>1472.76</v>
      </c>
      <c r="G2636" s="3" t="n">
        <v>18411.37</v>
      </c>
    </row>
    <row r="2637">
      <c r="A2637" s="3" t="inlineStr">
        <is>
          <t>Cape Projects Construction (Pty) Ltd</t>
        </is>
      </c>
      <c r="B2637" s="4" t="n">
        <v>44957</v>
      </c>
      <c r="C2637" s="3" t="inlineStr">
        <is>
          <t>Expenses</t>
        </is>
      </c>
      <c r="D2637" s="3" t="inlineStr">
        <is>
          <t>4740/000</t>
        </is>
      </c>
      <c r="E2637" s="3" t="inlineStr">
        <is>
          <t>BIBC Company Contribution</t>
        </is>
      </c>
      <c r="F2637" s="3" t="n">
        <v>5034</v>
      </c>
      <c r="G2637" s="3" t="n">
        <v>76065.64</v>
      </c>
    </row>
    <row r="2638">
      <c r="A2638" s="3" t="inlineStr">
        <is>
          <t>Cape Projects Construction (Pty) Ltd</t>
        </is>
      </c>
      <c r="B2638" s="4" t="n">
        <v>44957</v>
      </c>
      <c r="C2638" s="3" t="inlineStr">
        <is>
          <t>Expenses</t>
        </is>
      </c>
      <c r="D2638" s="3" t="inlineStr">
        <is>
          <t>4741/000</t>
        </is>
      </c>
      <c r="E2638" s="3" t="inlineStr">
        <is>
          <t>BIBC Employee Contribution</t>
        </is>
      </c>
      <c r="F2638" s="3" t="n">
        <v>1775.25</v>
      </c>
      <c r="G2638" s="3" t="n">
        <v>25624.3</v>
      </c>
    </row>
    <row r="2639">
      <c r="A2639" s="3" t="inlineStr">
        <is>
          <t>Heron Fields (Pty) Ltd</t>
        </is>
      </c>
      <c r="B2639" s="4" t="n">
        <v>44957</v>
      </c>
      <c r="C2639" s="3" t="inlineStr">
        <is>
          <t>Equity</t>
        </is>
      </c>
      <c r="D2639" s="3" t="inlineStr">
        <is>
          <t>5100-000</t>
        </is>
      </c>
      <c r="E2639" s="3" t="inlineStr">
        <is>
          <t>Share Capital</t>
        </is>
      </c>
      <c r="F2639" s="3" t="n">
        <v>0</v>
      </c>
      <c r="G2639" s="3" t="n">
        <v>-100</v>
      </c>
    </row>
    <row r="2640">
      <c r="A2640" s="3" t="inlineStr">
        <is>
          <t>Cape Projects Construction (Pty) Ltd</t>
        </is>
      </c>
      <c r="B2640" s="4" t="n">
        <v>44957</v>
      </c>
      <c r="C2640" s="3" t="inlineStr">
        <is>
          <t>Equity</t>
        </is>
      </c>
      <c r="D2640" s="3" t="inlineStr">
        <is>
          <t>5100/000</t>
        </is>
      </c>
      <c r="E2640" s="3" t="inlineStr">
        <is>
          <t>Share Capital / Members Contribution</t>
        </is>
      </c>
      <c r="F2640" s="3" t="n">
        <v>0</v>
      </c>
      <c r="G2640" s="3" t="n">
        <v>-120</v>
      </c>
    </row>
    <row r="2641">
      <c r="A2641" s="3" t="inlineStr">
        <is>
          <t>Cape Projects Construction (Pty) Ltd</t>
        </is>
      </c>
      <c r="B2641" s="4" t="n">
        <v>44957</v>
      </c>
      <c r="C2641" s="3" t="inlineStr">
        <is>
          <t>Equity</t>
        </is>
      </c>
      <c r="D2641" s="3" t="inlineStr">
        <is>
          <t>5200/000</t>
        </is>
      </c>
      <c r="E2641" s="3" t="inlineStr">
        <is>
          <t>Retained Earnings / Loss</t>
        </is>
      </c>
      <c r="F2641" s="3" t="n">
        <v>0</v>
      </c>
      <c r="G2641" s="3" t="n">
        <v>247347.05</v>
      </c>
    </row>
    <row r="2642">
      <c r="A2642" s="3" t="inlineStr">
        <is>
          <t>Heron Fields (Pty) Ltd</t>
        </is>
      </c>
      <c r="B2642" s="4" t="n">
        <v>44957</v>
      </c>
      <c r="C2642" s="3" t="inlineStr">
        <is>
          <t>Equity</t>
        </is>
      </c>
      <c r="D2642" s="3" t="inlineStr">
        <is>
          <t>5200/000</t>
        </is>
      </c>
      <c r="E2642" s="3" t="inlineStr">
        <is>
          <t>Retained Earnings / Loss</t>
        </is>
      </c>
      <c r="F2642" s="3" t="n">
        <v>0</v>
      </c>
      <c r="G2642" s="3" t="n">
        <v>-17080353.05</v>
      </c>
    </row>
    <row r="2643">
      <c r="A2643" s="3" t="inlineStr">
        <is>
          <t>Heron Fields (Pty) Ltd</t>
        </is>
      </c>
      <c r="B2643" s="4" t="n">
        <v>44957</v>
      </c>
      <c r="C2643" s="3" t="inlineStr">
        <is>
          <t>Assets</t>
        </is>
      </c>
      <c r="D2643" s="3" t="inlineStr">
        <is>
          <t>5300/001</t>
        </is>
      </c>
      <c r="E2643" s="3" t="inlineStr">
        <is>
          <t>Revaluation of Land stock</t>
        </is>
      </c>
      <c r="F2643" s="3" t="n">
        <v>0</v>
      </c>
      <c r="G2643" s="3" t="n">
        <v>17562360.85</v>
      </c>
    </row>
    <row r="2644">
      <c r="A2644" s="3" t="inlineStr">
        <is>
          <t>Cape Projects Construction (Pty) Ltd</t>
        </is>
      </c>
      <c r="B2644" s="4" t="n">
        <v>44957</v>
      </c>
      <c r="C2644" s="3" t="inlineStr">
        <is>
          <t>Assets</t>
        </is>
      </c>
      <c r="D2644" s="3" t="inlineStr">
        <is>
          <t>5400/150</t>
        </is>
      </c>
      <c r="E2644" s="3" t="inlineStr">
        <is>
          <t>Loan - Quinate</t>
        </is>
      </c>
      <c r="F2644" s="3" t="n">
        <v>370000</v>
      </c>
      <c r="G2644" s="3" t="n">
        <v>7166187.4</v>
      </c>
    </row>
    <row r="2645">
      <c r="A2645" s="3" t="inlineStr">
        <is>
          <t>Cape Projects Construction (Pty) Ltd</t>
        </is>
      </c>
      <c r="B2645" s="4" t="n">
        <v>44957</v>
      </c>
      <c r="C2645" s="3" t="inlineStr">
        <is>
          <t>Assets</t>
        </is>
      </c>
      <c r="D2645" s="3" t="inlineStr">
        <is>
          <t>5400/450</t>
        </is>
      </c>
      <c r="E2645" s="3" t="inlineStr">
        <is>
          <t>Loan - Opportunity Investment</t>
        </is>
      </c>
      <c r="F2645" s="3" t="n">
        <v>0</v>
      </c>
      <c r="G2645" s="3" t="n">
        <v>-271000</v>
      </c>
    </row>
    <row r="2646">
      <c r="A2646" s="3" t="inlineStr">
        <is>
          <t>Cape Projects Construction (Pty) Ltd</t>
        </is>
      </c>
      <c r="B2646" s="4" t="n">
        <v>44957</v>
      </c>
      <c r="C2646" s="3" t="inlineStr">
        <is>
          <t>Assets</t>
        </is>
      </c>
      <c r="D2646" s="3" t="inlineStr">
        <is>
          <t>5400/550</t>
        </is>
      </c>
      <c r="E2646" s="3" t="inlineStr">
        <is>
          <t>Loan - Trademark</t>
        </is>
      </c>
      <c r="F2646" s="3" t="n">
        <v>600</v>
      </c>
      <c r="G2646" s="3" t="n">
        <v>1200</v>
      </c>
    </row>
    <row r="2647">
      <c r="A2647" s="3" t="inlineStr">
        <is>
          <t>Cape Projects Construction (Pty) Ltd</t>
        </is>
      </c>
      <c r="B2647" s="4" t="n">
        <v>44957</v>
      </c>
      <c r="C2647" s="3" t="inlineStr">
        <is>
          <t>Assets</t>
        </is>
      </c>
      <c r="D2647" s="3" t="inlineStr">
        <is>
          <t>5400/600</t>
        </is>
      </c>
      <c r="E2647" s="3" t="inlineStr">
        <is>
          <t>Loan - Heron Projects</t>
        </is>
      </c>
      <c r="F2647" s="3" t="n">
        <v>0</v>
      </c>
      <c r="G2647" s="3" t="n">
        <v>-8226138.5</v>
      </c>
    </row>
    <row r="2648">
      <c r="A2648" s="3" t="inlineStr">
        <is>
          <t>Cape Projects Construction (Pty) Ltd</t>
        </is>
      </c>
      <c r="B2648" s="4" t="n">
        <v>44957</v>
      </c>
      <c r="C2648" s="3" t="inlineStr">
        <is>
          <t>Assets</t>
        </is>
      </c>
      <c r="D2648" s="3" t="inlineStr">
        <is>
          <t>5400/650</t>
        </is>
      </c>
      <c r="E2648" s="3" t="inlineStr">
        <is>
          <t>Loan - Noble Shield</t>
        </is>
      </c>
      <c r="F2648" s="3" t="n">
        <v>600</v>
      </c>
      <c r="G2648" s="3" t="n">
        <v>1200</v>
      </c>
    </row>
    <row r="2649">
      <c r="A2649" s="3" t="inlineStr">
        <is>
          <t>Cape Projects Construction (Pty) Ltd</t>
        </is>
      </c>
      <c r="B2649" s="4" t="n">
        <v>44957</v>
      </c>
      <c r="C2649" s="3" t="inlineStr">
        <is>
          <t>Assets</t>
        </is>
      </c>
      <c r="D2649" s="3" t="inlineStr">
        <is>
          <t>5400/750</t>
        </is>
      </c>
      <c r="E2649" s="3" t="inlineStr">
        <is>
          <t>Loan - Endulini</t>
        </is>
      </c>
      <c r="F2649" s="3" t="n">
        <v>0</v>
      </c>
      <c r="G2649" s="3" t="n">
        <v>6059000</v>
      </c>
    </row>
    <row r="2650">
      <c r="A2650" s="3" t="inlineStr">
        <is>
          <t>Cape Projects Construction (Pty) Ltd</t>
        </is>
      </c>
      <c r="B2650" s="4" t="n">
        <v>44957</v>
      </c>
      <c r="C2650" s="3" t="inlineStr">
        <is>
          <t>Assets</t>
        </is>
      </c>
      <c r="D2650" s="3" t="inlineStr">
        <is>
          <t>5400/800</t>
        </is>
      </c>
      <c r="E2650" s="3" t="inlineStr">
        <is>
          <t>Loan - Opportunity Management Holdings</t>
        </is>
      </c>
      <c r="F2650" s="3" t="n">
        <v>0</v>
      </c>
      <c r="G2650" s="3" t="n">
        <v>-120000</v>
      </c>
    </row>
    <row r="2651">
      <c r="A2651" s="3" t="inlineStr">
        <is>
          <t>Heron View (Pty) Ltd</t>
        </is>
      </c>
      <c r="B2651" s="4" t="n">
        <v>44957</v>
      </c>
      <c r="C2651" s="3" t="inlineStr">
        <is>
          <t>Liabilities</t>
        </is>
      </c>
      <c r="D2651" s="3" t="inlineStr">
        <is>
          <t>5500/001</t>
        </is>
      </c>
      <c r="E2651" s="3" t="inlineStr">
        <is>
          <t>Loan - Heron Fields</t>
        </is>
      </c>
      <c r="F2651" s="3" t="n">
        <v>-306036.3</v>
      </c>
      <c r="G2651" s="3" t="n">
        <v>-2605483.69</v>
      </c>
    </row>
    <row r="2652">
      <c r="A2652" s="3" t="inlineStr">
        <is>
          <t>Heron Fields (Pty) Ltd</t>
        </is>
      </c>
      <c r="B2652" s="4" t="n">
        <v>44957</v>
      </c>
      <c r="C2652" s="3" t="inlineStr">
        <is>
          <t>Liabilities</t>
        </is>
      </c>
      <c r="D2652" s="3" t="inlineStr">
        <is>
          <t>5500/020</t>
        </is>
      </c>
      <c r="E2652" s="3" t="inlineStr">
        <is>
          <t>Loan - Cape Projects Construction</t>
        </is>
      </c>
      <c r="F2652" s="3" t="n">
        <v>0</v>
      </c>
      <c r="G2652" s="3" t="n">
        <v>8226138.5</v>
      </c>
    </row>
    <row r="2653">
      <c r="A2653" s="3" t="inlineStr">
        <is>
          <t>Heron Fields (Pty) Ltd</t>
        </is>
      </c>
      <c r="B2653" s="4" t="n">
        <v>44957</v>
      </c>
      <c r="C2653" s="3" t="inlineStr">
        <is>
          <t>Liabilities</t>
        </is>
      </c>
      <c r="D2653" s="3" t="inlineStr">
        <is>
          <t>5500/030</t>
        </is>
      </c>
      <c r="E2653" s="3" t="inlineStr">
        <is>
          <t>Loan - Opportunity Global Investments</t>
        </is>
      </c>
      <c r="F2653" s="3" t="n">
        <v>437000</v>
      </c>
      <c r="G2653" s="3" t="n">
        <v>377000</v>
      </c>
    </row>
    <row r="2654">
      <c r="A2654" s="3" t="inlineStr">
        <is>
          <t>Heron Fields (Pty) Ltd</t>
        </is>
      </c>
      <c r="B2654" s="4" t="n">
        <v>44957</v>
      </c>
      <c r="C2654" s="3" t="inlineStr">
        <is>
          <t>Liabilities</t>
        </is>
      </c>
      <c r="D2654" s="3" t="inlineStr">
        <is>
          <t>5500/050</t>
        </is>
      </c>
      <c r="E2654" s="3" t="inlineStr">
        <is>
          <t>Loan - Heron View</t>
        </is>
      </c>
      <c r="F2654" s="3" t="n">
        <v>306036.3</v>
      </c>
      <c r="G2654" s="3" t="n">
        <v>8522543.859999999</v>
      </c>
    </row>
    <row r="2655">
      <c r="A2655" s="3" t="inlineStr">
        <is>
          <t>Cape Projects Construction (Pty) Ltd</t>
        </is>
      </c>
      <c r="B2655" s="4" t="n">
        <v>44957</v>
      </c>
      <c r="C2655" s="3" t="inlineStr">
        <is>
          <t>Liabilities</t>
        </is>
      </c>
      <c r="D2655" s="3" t="inlineStr">
        <is>
          <t>5600/100</t>
        </is>
      </c>
      <c r="E2655" s="3" t="inlineStr">
        <is>
          <t>Motor Vehical Car Repaymts - Toyota</t>
        </is>
      </c>
      <c r="F2655" s="3" t="n">
        <v>5239.08</v>
      </c>
      <c r="G2655" s="3" t="n">
        <v>57370.28</v>
      </c>
    </row>
    <row r="2656">
      <c r="A2656" s="3" t="inlineStr">
        <is>
          <t>Cape Projects Construction (Pty) Ltd</t>
        </is>
      </c>
      <c r="B2656" s="4" t="n">
        <v>44957</v>
      </c>
      <c r="C2656" s="3" t="inlineStr">
        <is>
          <t>Liabilities</t>
        </is>
      </c>
      <c r="D2656" s="3" t="inlineStr">
        <is>
          <t>5600/200</t>
        </is>
      </c>
      <c r="E2656" s="3" t="inlineStr">
        <is>
          <t>Motor Vehicle Car Repayments - Toyota Shortterm</t>
        </is>
      </c>
      <c r="F2656" s="3" t="n">
        <v>0</v>
      </c>
      <c r="G2656" s="3" t="n">
        <v>-58920.1</v>
      </c>
    </row>
    <row r="2657">
      <c r="A2657" s="3" t="inlineStr">
        <is>
          <t>Cape Projects Construction (Pty) Ltd</t>
        </is>
      </c>
      <c r="B2657" s="4" t="n">
        <v>44957</v>
      </c>
      <c r="C2657" s="3" t="inlineStr">
        <is>
          <t>Assets</t>
        </is>
      </c>
      <c r="D2657" s="3" t="inlineStr">
        <is>
          <t>6200/010</t>
        </is>
      </c>
      <c r="E2657" s="3" t="inlineStr">
        <is>
          <t>Motor Vehicles - @ Cost</t>
        </is>
      </c>
      <c r="F2657" s="3" t="n">
        <v>0</v>
      </c>
      <c r="G2657" s="3" t="n">
        <v>216064.1</v>
      </c>
    </row>
    <row r="2658">
      <c r="A2658" s="3" t="inlineStr">
        <is>
          <t>Cape Projects Construction (Pty) Ltd</t>
        </is>
      </c>
      <c r="B2658" s="4" t="n">
        <v>44957</v>
      </c>
      <c r="C2658" s="3" t="inlineStr">
        <is>
          <t>Assets</t>
        </is>
      </c>
      <c r="D2658" s="3" t="inlineStr">
        <is>
          <t>6200/020</t>
        </is>
      </c>
      <c r="E2658" s="3" t="inlineStr">
        <is>
          <t>Motor Vehicles - Accum Depre</t>
        </is>
      </c>
      <c r="F2658" s="3" t="n">
        <v>0</v>
      </c>
      <c r="G2658" s="3" t="n">
        <v>-216063.1</v>
      </c>
    </row>
    <row r="2659">
      <c r="A2659" s="3" t="inlineStr">
        <is>
          <t>Cape Projects Construction (Pty) Ltd</t>
        </is>
      </c>
      <c r="B2659" s="4" t="n">
        <v>44957</v>
      </c>
      <c r="C2659" s="3" t="inlineStr">
        <is>
          <t>Assets</t>
        </is>
      </c>
      <c r="D2659" s="3" t="inlineStr">
        <is>
          <t>6250/010</t>
        </is>
      </c>
      <c r="E2659" s="3" t="inlineStr">
        <is>
          <t>Computer Equipment - @ Cost</t>
        </is>
      </c>
      <c r="F2659" s="3" t="n">
        <v>0</v>
      </c>
      <c r="G2659" s="3" t="n">
        <v>92100.13</v>
      </c>
    </row>
    <row r="2660">
      <c r="A2660" s="3" t="inlineStr">
        <is>
          <t>Cape Projects Construction (Pty) Ltd</t>
        </is>
      </c>
      <c r="B2660" s="4" t="n">
        <v>44957</v>
      </c>
      <c r="C2660" s="3" t="inlineStr">
        <is>
          <t>Assets</t>
        </is>
      </c>
      <c r="D2660" s="3" t="inlineStr">
        <is>
          <t>6250/020</t>
        </is>
      </c>
      <c r="E2660" s="3" t="inlineStr">
        <is>
          <t>Computer Equipment - Accum Depre</t>
        </is>
      </c>
      <c r="F2660" s="3" t="n">
        <v>-2165.86</v>
      </c>
      <c r="G2660" s="3" t="n">
        <v>-40757.16</v>
      </c>
    </row>
    <row r="2661">
      <c r="A2661" s="3" t="inlineStr">
        <is>
          <t>Cape Projects Construction (Pty) Ltd</t>
        </is>
      </c>
      <c r="B2661" s="4" t="n">
        <v>44957</v>
      </c>
      <c r="C2661" s="3" t="inlineStr">
        <is>
          <t>Assets</t>
        </is>
      </c>
      <c r="D2661" s="3" t="inlineStr">
        <is>
          <t>6350/010</t>
        </is>
      </c>
      <c r="E2661" s="3" t="inlineStr">
        <is>
          <t>Furniture _AND_ Fittings - @ Cost</t>
        </is>
      </c>
      <c r="F2661" s="3" t="n">
        <v>0</v>
      </c>
      <c r="G2661" s="3" t="n">
        <v>37955.3</v>
      </c>
    </row>
    <row r="2662">
      <c r="A2662" s="3" t="inlineStr">
        <is>
          <t>Cape Projects Construction (Pty) Ltd</t>
        </is>
      </c>
      <c r="B2662" s="4" t="n">
        <v>44957</v>
      </c>
      <c r="C2662" s="3" t="inlineStr">
        <is>
          <t>Assets</t>
        </is>
      </c>
      <c r="D2662" s="3" t="inlineStr">
        <is>
          <t>6350/020</t>
        </is>
      </c>
      <c r="E2662" s="3" t="inlineStr">
        <is>
          <t>Furniture _AND_ Fittings - Accum Depre</t>
        </is>
      </c>
      <c r="F2662" s="3" t="n">
        <v>-547.67</v>
      </c>
      <c r="G2662" s="3" t="n">
        <v>-5346.89</v>
      </c>
    </row>
    <row r="2663">
      <c r="A2663" s="3" t="inlineStr">
        <is>
          <t>Cape Projects Construction (Pty) Ltd</t>
        </is>
      </c>
      <c r="B2663" s="4" t="n">
        <v>44957</v>
      </c>
      <c r="C2663" s="3" t="inlineStr">
        <is>
          <t>Assets</t>
        </is>
      </c>
      <c r="D2663" s="3" t="inlineStr">
        <is>
          <t>6600/010</t>
        </is>
      </c>
      <c r="E2663" s="3" t="inlineStr">
        <is>
          <t>Generator Fixed Asset - @ Cost</t>
        </is>
      </c>
      <c r="F2663" s="3" t="n">
        <v>0</v>
      </c>
      <c r="G2663" s="3" t="n">
        <v>11600</v>
      </c>
    </row>
    <row r="2664">
      <c r="A2664" s="3" t="inlineStr">
        <is>
          <t>Cape Projects Construction (Pty) Ltd</t>
        </is>
      </c>
      <c r="B2664" s="4" t="n">
        <v>44957</v>
      </c>
      <c r="C2664" s="3" t="inlineStr">
        <is>
          <t>Assets</t>
        </is>
      </c>
      <c r="D2664" s="3" t="inlineStr">
        <is>
          <t>6600/020</t>
        </is>
      </c>
      <c r="E2664" s="3" t="inlineStr">
        <is>
          <t>Generator Fixed Asset - Accum Depre</t>
        </is>
      </c>
      <c r="F2664" s="3" t="n">
        <v>-193.34</v>
      </c>
      <c r="G2664" s="3" t="n">
        <v>-2932.23</v>
      </c>
    </row>
    <row r="2665">
      <c r="A2665" s="3" t="inlineStr">
        <is>
          <t>Heron Fields (Pty) Ltd</t>
        </is>
      </c>
      <c r="B2665" s="4" t="n">
        <v>44957</v>
      </c>
      <c r="C2665" s="3" t="inlineStr">
        <is>
          <t>Assets</t>
        </is>
      </c>
      <c r="D2665" s="3" t="inlineStr">
        <is>
          <t>7610/395</t>
        </is>
      </c>
      <c r="E2665" s="3" t="inlineStr">
        <is>
          <t>HF CIP NHBRC</t>
        </is>
      </c>
      <c r="F2665" s="3" t="n">
        <v>0</v>
      </c>
      <c r="G2665" s="3" t="n">
        <v>874505.75</v>
      </c>
    </row>
    <row r="2666">
      <c r="A2666" s="3" t="inlineStr">
        <is>
          <t>Heron View (Pty) Ltd</t>
        </is>
      </c>
      <c r="B2666" s="4" t="n">
        <v>44957</v>
      </c>
      <c r="C2666" s="3" t="inlineStr">
        <is>
          <t>Assets</t>
        </is>
      </c>
      <c r="D2666" s="3" t="inlineStr">
        <is>
          <t>7610/395</t>
        </is>
      </c>
      <c r="E2666" s="3" t="inlineStr">
        <is>
          <t>Heron CIP NHBRC</t>
        </is>
      </c>
      <c r="F2666" s="3" t="n">
        <v>0</v>
      </c>
      <c r="G2666" s="3" t="n">
        <v>439254.75</v>
      </c>
    </row>
    <row r="2667">
      <c r="A2667" s="3" t="inlineStr">
        <is>
          <t>Heron Fields (Pty) Ltd</t>
        </is>
      </c>
      <c r="B2667" s="4" t="n">
        <v>44957</v>
      </c>
      <c r="C2667" s="3" t="inlineStr">
        <is>
          <t>Assets</t>
        </is>
      </c>
      <c r="D2667" s="3" t="inlineStr">
        <is>
          <t>7620/100</t>
        </is>
      </c>
      <c r="E2667" s="3" t="inlineStr">
        <is>
          <t>Heron View Land</t>
        </is>
      </c>
      <c r="F2667" s="3" t="n">
        <v>0</v>
      </c>
      <c r="G2667" s="3" t="n">
        <v>26200000</v>
      </c>
    </row>
    <row r="2668">
      <c r="A2668" s="3" t="inlineStr">
        <is>
          <t>Heron Fields (Pty) Ltd</t>
        </is>
      </c>
      <c r="B2668" s="4" t="n">
        <v>44957</v>
      </c>
      <c r="C2668" s="3" t="inlineStr">
        <is>
          <t>Assets</t>
        </is>
      </c>
      <c r="D2668" s="3" t="inlineStr">
        <is>
          <t>7620/101</t>
        </is>
      </c>
      <c r="E2668" s="3" t="inlineStr">
        <is>
          <t>HF CIP Bond Registration Fee</t>
        </is>
      </c>
      <c r="F2668" s="3" t="n">
        <v>0</v>
      </c>
      <c r="G2668" s="3" t="n">
        <v>68427</v>
      </c>
    </row>
    <row r="2669">
      <c r="A2669" s="3" t="inlineStr">
        <is>
          <t>Heron Fields (Pty) Ltd</t>
        </is>
      </c>
      <c r="B2669" s="4" t="n">
        <v>44957</v>
      </c>
      <c r="C2669" s="3" t="inlineStr">
        <is>
          <t>Assets</t>
        </is>
      </c>
      <c r="D2669" s="3" t="inlineStr">
        <is>
          <t>7620/102</t>
        </is>
      </c>
      <c r="E2669" s="3" t="inlineStr">
        <is>
          <t>HF CIP Transfer Fee</t>
        </is>
      </c>
      <c r="F2669" s="3" t="n">
        <v>0</v>
      </c>
      <c r="G2669" s="3" t="n">
        <v>103812</v>
      </c>
    </row>
    <row r="2670">
      <c r="A2670" s="3" t="inlineStr">
        <is>
          <t>Heron Fields (Pty) Ltd</t>
        </is>
      </c>
      <c r="B2670" s="4" t="n">
        <v>44957</v>
      </c>
      <c r="C2670" s="3" t="inlineStr">
        <is>
          <t>Assets</t>
        </is>
      </c>
      <c r="D2670" s="3" t="inlineStr">
        <is>
          <t>7620/220</t>
        </is>
      </c>
      <c r="E2670" s="3" t="inlineStr">
        <is>
          <t>HF CIP Architectural Designs</t>
        </is>
      </c>
      <c r="F2670" s="3" t="n">
        <v>0</v>
      </c>
      <c r="G2670" s="3" t="n">
        <v>847438</v>
      </c>
    </row>
    <row r="2671">
      <c r="A2671" s="3" t="inlineStr">
        <is>
          <t>Heron View (Pty) Ltd</t>
        </is>
      </c>
      <c r="B2671" s="4" t="n">
        <v>44957</v>
      </c>
      <c r="C2671" s="3" t="inlineStr">
        <is>
          <t>Assets</t>
        </is>
      </c>
      <c r="D2671" s="3" t="inlineStr">
        <is>
          <t>7620/220</t>
        </is>
      </c>
      <c r="E2671" s="3" t="inlineStr">
        <is>
          <t>Heron View CIP Architectural Designs</t>
        </is>
      </c>
      <c r="F2671" s="3" t="n">
        <v>0</v>
      </c>
      <c r="G2671" s="3" t="n">
        <v>398921</v>
      </c>
    </row>
    <row r="2672">
      <c r="A2672" s="3" t="inlineStr">
        <is>
          <t>Heron Fields (Pty) Ltd</t>
        </is>
      </c>
      <c r="B2672" s="4" t="n">
        <v>44957</v>
      </c>
      <c r="C2672" s="3" t="inlineStr">
        <is>
          <t>Assets</t>
        </is>
      </c>
      <c r="D2672" s="3" t="inlineStr">
        <is>
          <t>7620/230</t>
        </is>
      </c>
      <c r="E2672" s="3" t="inlineStr">
        <is>
          <t>HF CIP Construction Management</t>
        </is>
      </c>
      <c r="F2672" s="3" t="n">
        <v>4000</v>
      </c>
      <c r="G2672" s="3" t="n">
        <v>136500</v>
      </c>
    </row>
    <row r="2673">
      <c r="A2673" s="3" t="inlineStr">
        <is>
          <t>Heron Fields (Pty) Ltd</t>
        </is>
      </c>
      <c r="B2673" s="4" t="n">
        <v>44957</v>
      </c>
      <c r="C2673" s="3" t="inlineStr">
        <is>
          <t>Assets</t>
        </is>
      </c>
      <c r="D2673" s="3" t="inlineStr">
        <is>
          <t>7620/240</t>
        </is>
      </c>
      <c r="E2673" s="3" t="inlineStr">
        <is>
          <t>HF CIP Civil Engineering</t>
        </is>
      </c>
      <c r="F2673" s="3" t="n">
        <v>0</v>
      </c>
      <c r="G2673" s="3" t="n">
        <v>8557641.800000001</v>
      </c>
    </row>
    <row r="2674">
      <c r="A2674" s="3" t="inlineStr">
        <is>
          <t>Heron Fields (Pty) Ltd</t>
        </is>
      </c>
      <c r="B2674" s="4" t="n">
        <v>44957</v>
      </c>
      <c r="C2674" s="3" t="inlineStr">
        <is>
          <t>Assets</t>
        </is>
      </c>
      <c r="D2674" s="3" t="inlineStr">
        <is>
          <t>7620/245</t>
        </is>
      </c>
      <c r="E2674" s="3" t="inlineStr">
        <is>
          <t>HF CIP Development fee</t>
        </is>
      </c>
      <c r="F2674" s="3" t="n">
        <v>0</v>
      </c>
      <c r="G2674" s="3" t="n">
        <v>13807.78</v>
      </c>
    </row>
    <row r="2675">
      <c r="A2675" s="3" t="inlineStr">
        <is>
          <t>Heron Fields (Pty) Ltd</t>
        </is>
      </c>
      <c r="B2675" s="4" t="n">
        <v>44957</v>
      </c>
      <c r="C2675" s="3" t="inlineStr">
        <is>
          <t>Assets</t>
        </is>
      </c>
      <c r="D2675" s="3" t="inlineStr">
        <is>
          <t>7620/250</t>
        </is>
      </c>
      <c r="E2675" s="3" t="inlineStr">
        <is>
          <t>HF CIP Land Surveyor</t>
        </is>
      </c>
      <c r="F2675" s="3" t="n">
        <v>0</v>
      </c>
      <c r="G2675" s="3" t="n">
        <v>152123.09</v>
      </c>
    </row>
    <row r="2676">
      <c r="A2676" s="3" t="inlineStr">
        <is>
          <t>Heron View (Pty) Ltd</t>
        </is>
      </c>
      <c r="B2676" s="4" t="n">
        <v>44957</v>
      </c>
      <c r="C2676" s="3" t="inlineStr">
        <is>
          <t>Assets</t>
        </is>
      </c>
      <c r="D2676" s="3" t="inlineStr">
        <is>
          <t>7620/250</t>
        </is>
      </c>
      <c r="E2676" s="3" t="inlineStr">
        <is>
          <t>Heron View CIP Land Surveyor</t>
        </is>
      </c>
      <c r="F2676" s="3" t="n">
        <v>3835</v>
      </c>
      <c r="G2676" s="3" t="n">
        <v>15485</v>
      </c>
    </row>
    <row r="2677">
      <c r="A2677" s="3" t="inlineStr">
        <is>
          <t>Heron Fields (Pty) Ltd</t>
        </is>
      </c>
      <c r="B2677" s="4" t="n">
        <v>44957</v>
      </c>
      <c r="C2677" s="3" t="inlineStr">
        <is>
          <t>Assets</t>
        </is>
      </c>
      <c r="D2677" s="3" t="inlineStr">
        <is>
          <t>7620/255</t>
        </is>
      </c>
      <c r="E2677" s="3" t="inlineStr">
        <is>
          <t>HF CIP Landscaping</t>
        </is>
      </c>
      <c r="F2677" s="3" t="n">
        <v>0</v>
      </c>
      <c r="G2677" s="3" t="n">
        <v>7500</v>
      </c>
    </row>
    <row r="2678">
      <c r="A2678" s="3" t="inlineStr">
        <is>
          <t>Heron Fields (Pty) Ltd</t>
        </is>
      </c>
      <c r="B2678" s="4" t="n">
        <v>44957</v>
      </c>
      <c r="C2678" s="3" t="inlineStr">
        <is>
          <t>Assets</t>
        </is>
      </c>
      <c r="D2678" s="3" t="inlineStr">
        <is>
          <t>7620/260</t>
        </is>
      </c>
      <c r="E2678" s="3" t="inlineStr">
        <is>
          <t>HF CIP Mechanical Engineers</t>
        </is>
      </c>
      <c r="F2678" s="3" t="n">
        <v>0</v>
      </c>
      <c r="G2678" s="3" t="n">
        <v>67400</v>
      </c>
    </row>
    <row r="2679">
      <c r="A2679" s="3" t="inlineStr">
        <is>
          <t>Heron Fields (Pty) Ltd</t>
        </is>
      </c>
      <c r="B2679" s="4" t="n">
        <v>44957</v>
      </c>
      <c r="C2679" s="3" t="inlineStr">
        <is>
          <t>Assets</t>
        </is>
      </c>
      <c r="D2679" s="3" t="inlineStr">
        <is>
          <t>7620/265</t>
        </is>
      </c>
      <c r="E2679" s="3" t="inlineStr">
        <is>
          <t>HF CIP Health &amp; Safety</t>
        </is>
      </c>
      <c r="F2679" s="3" t="n">
        <v>1400</v>
      </c>
      <c r="G2679" s="3" t="n">
        <v>20600</v>
      </c>
    </row>
    <row r="2680">
      <c r="A2680" s="3" t="inlineStr">
        <is>
          <t>Heron Fields (Pty) Ltd</t>
        </is>
      </c>
      <c r="B2680" s="4" t="n">
        <v>44957</v>
      </c>
      <c r="C2680" s="3" t="inlineStr">
        <is>
          <t>Assets</t>
        </is>
      </c>
      <c r="D2680" s="3" t="inlineStr">
        <is>
          <t>7620/270</t>
        </is>
      </c>
      <c r="E2680" s="3" t="inlineStr">
        <is>
          <t>HF CIP Geotechnical</t>
        </is>
      </c>
      <c r="F2680" s="3" t="n">
        <v>0</v>
      </c>
      <c r="G2680" s="3" t="n">
        <v>15175</v>
      </c>
    </row>
    <row r="2681">
      <c r="A2681" s="3" t="inlineStr">
        <is>
          <t>Heron Fields (Pty) Ltd</t>
        </is>
      </c>
      <c r="B2681" s="4" t="n">
        <v>44957</v>
      </c>
      <c r="C2681" s="3" t="inlineStr">
        <is>
          <t>Assets</t>
        </is>
      </c>
      <c r="D2681" s="3" t="inlineStr">
        <is>
          <t>7620/275</t>
        </is>
      </c>
      <c r="E2681" s="3" t="inlineStr">
        <is>
          <t>HF CIP Retaining Wall</t>
        </is>
      </c>
      <c r="F2681" s="3" t="n">
        <v>0</v>
      </c>
      <c r="G2681" s="3" t="n">
        <v>570856.08</v>
      </c>
    </row>
    <row r="2682">
      <c r="A2682" s="3" t="inlineStr">
        <is>
          <t>Heron Fields (Pty) Ltd</t>
        </is>
      </c>
      <c r="B2682" s="4" t="n">
        <v>44957</v>
      </c>
      <c r="C2682" s="3" t="inlineStr">
        <is>
          <t>Assets</t>
        </is>
      </c>
      <c r="D2682" s="3" t="inlineStr">
        <is>
          <t>7620/280</t>
        </is>
      </c>
      <c r="E2682" s="3" t="inlineStr">
        <is>
          <t>HF CIP Site Establishment</t>
        </is>
      </c>
      <c r="F2682" s="3" t="n">
        <v>0</v>
      </c>
      <c r="G2682" s="3" t="n">
        <v>48189453.1</v>
      </c>
    </row>
    <row r="2683">
      <c r="A2683" s="3" t="inlineStr">
        <is>
          <t>Heron View (Pty) Ltd</t>
        </is>
      </c>
      <c r="B2683" s="4" t="n">
        <v>44957</v>
      </c>
      <c r="C2683" s="3" t="inlineStr">
        <is>
          <t>Assets</t>
        </is>
      </c>
      <c r="D2683" s="3" t="inlineStr">
        <is>
          <t>7620/280</t>
        </is>
      </c>
      <c r="E2683" s="3" t="inlineStr">
        <is>
          <t>Heron View CIP Site Establishment</t>
        </is>
      </c>
      <c r="F2683" s="3" t="n">
        <v>1980000</v>
      </c>
      <c r="G2683" s="3" t="n">
        <v>1980000</v>
      </c>
    </row>
    <row r="2684">
      <c r="A2684" s="3" t="inlineStr">
        <is>
          <t>Heron Fields (Pty) Ltd</t>
        </is>
      </c>
      <c r="B2684" s="4" t="n">
        <v>44957</v>
      </c>
      <c r="C2684" s="3" t="inlineStr">
        <is>
          <t>Assets</t>
        </is>
      </c>
      <c r="D2684" s="3" t="inlineStr">
        <is>
          <t>7620/285</t>
        </is>
      </c>
      <c r="E2684" s="3" t="inlineStr">
        <is>
          <t>HF CIP Structuring Fee - Invest</t>
        </is>
      </c>
      <c r="F2684" s="3" t="n">
        <v>0</v>
      </c>
      <c r="G2684" s="3" t="n">
        <v>3676905</v>
      </c>
    </row>
    <row r="2685">
      <c r="A2685" s="3" t="inlineStr">
        <is>
          <t>Heron Fields (Pty) Ltd</t>
        </is>
      </c>
      <c r="B2685" s="4" t="n">
        <v>44957</v>
      </c>
      <c r="C2685" s="3" t="inlineStr">
        <is>
          <t>Assets</t>
        </is>
      </c>
      <c r="D2685" s="3" t="inlineStr">
        <is>
          <t>7620/287</t>
        </is>
      </c>
      <c r="E2685" s="3" t="inlineStr">
        <is>
          <t>HF CIP Structuring Fee - Development</t>
        </is>
      </c>
      <c r="F2685" s="3" t="n">
        <v>0</v>
      </c>
      <c r="G2685" s="3" t="n">
        <v>782608.0699999999</v>
      </c>
    </row>
    <row r="2686">
      <c r="A2686" s="3" t="inlineStr">
        <is>
          <t>Heron Fields (Pty) Ltd</t>
        </is>
      </c>
      <c r="B2686" s="4" t="n">
        <v>44957</v>
      </c>
      <c r="C2686" s="3" t="inlineStr">
        <is>
          <t>Assets</t>
        </is>
      </c>
      <c r="D2686" s="3" t="inlineStr">
        <is>
          <t>7620/290</t>
        </is>
      </c>
      <c r="E2686" s="3" t="inlineStr">
        <is>
          <t>HF CIP Town Planning</t>
        </is>
      </c>
      <c r="F2686" s="3" t="n">
        <v>0</v>
      </c>
      <c r="G2686" s="3" t="n">
        <v>166550</v>
      </c>
    </row>
    <row r="2687">
      <c r="A2687" s="3" t="inlineStr">
        <is>
          <t>Heron Fields (Pty) Ltd</t>
        </is>
      </c>
      <c r="B2687" s="4" t="n">
        <v>44957</v>
      </c>
      <c r="C2687" s="3" t="inlineStr">
        <is>
          <t>Assets</t>
        </is>
      </c>
      <c r="D2687" s="3" t="inlineStr">
        <is>
          <t>7620/295</t>
        </is>
      </c>
      <c r="E2687" s="3" t="inlineStr">
        <is>
          <t>HF CIP Traffic Planning</t>
        </is>
      </c>
      <c r="F2687" s="3" t="n">
        <v>0</v>
      </c>
      <c r="G2687" s="3" t="n">
        <v>45000</v>
      </c>
    </row>
    <row r="2688">
      <c r="A2688" s="3" t="inlineStr">
        <is>
          <t>Heron Fields (Pty) Ltd</t>
        </is>
      </c>
      <c r="B2688" s="4" t="n">
        <v>44957</v>
      </c>
      <c r="C2688" s="3" t="inlineStr">
        <is>
          <t>Assets</t>
        </is>
      </c>
      <c r="D2688" s="3" t="inlineStr">
        <is>
          <t>7620/600</t>
        </is>
      </c>
      <c r="E2688" s="3" t="inlineStr">
        <is>
          <t>HF CIP Eco work</t>
        </is>
      </c>
      <c r="F2688" s="3" t="n">
        <v>6000</v>
      </c>
      <c r="G2688" s="3" t="n">
        <v>125000</v>
      </c>
    </row>
    <row r="2689">
      <c r="A2689" s="3" t="inlineStr">
        <is>
          <t>Heron View (Pty) Ltd</t>
        </is>
      </c>
      <c r="B2689" s="4" t="n">
        <v>44957</v>
      </c>
      <c r="C2689" s="3" t="inlineStr">
        <is>
          <t>Assets</t>
        </is>
      </c>
      <c r="D2689" s="3" t="inlineStr">
        <is>
          <t>7620/610</t>
        </is>
      </c>
      <c r="E2689" s="3" t="inlineStr">
        <is>
          <t>HV CIP Retaining wall</t>
        </is>
      </c>
      <c r="F2689" s="3" t="n">
        <v>0</v>
      </c>
      <c r="G2689" s="3" t="n">
        <v>66190.11</v>
      </c>
    </row>
    <row r="2690">
      <c r="A2690" s="3" t="inlineStr">
        <is>
          <t>Heron Fields (Pty) Ltd</t>
        </is>
      </c>
      <c r="B2690" s="4" t="n">
        <v>44957</v>
      </c>
      <c r="C2690" s="3" t="inlineStr">
        <is>
          <t>Assets</t>
        </is>
      </c>
      <c r="D2690" s="3" t="inlineStr">
        <is>
          <t>7620/630</t>
        </is>
      </c>
      <c r="E2690" s="3" t="inlineStr">
        <is>
          <t>HF CIP CoCT development contribution</t>
        </is>
      </c>
      <c r="F2690" s="3" t="n">
        <v>0</v>
      </c>
      <c r="G2690" s="3" t="n">
        <v>1021325.63</v>
      </c>
    </row>
    <row r="2691">
      <c r="A2691" s="3" t="inlineStr">
        <is>
          <t>Heron View (Pty) Ltd</t>
        </is>
      </c>
      <c r="B2691" s="4" t="n">
        <v>44957</v>
      </c>
      <c r="C2691" s="3" t="inlineStr">
        <is>
          <t>Assets</t>
        </is>
      </c>
      <c r="D2691" s="3" t="inlineStr">
        <is>
          <t>7620/630</t>
        </is>
      </c>
      <c r="E2691" s="3" t="inlineStr">
        <is>
          <t>Heron CIP - CoCT development contribution</t>
        </is>
      </c>
      <c r="F2691" s="3" t="n">
        <v>40335.91</v>
      </c>
      <c r="G2691" s="3" t="n">
        <v>1278701.84</v>
      </c>
    </row>
    <row r="2692">
      <c r="A2692" s="3" t="inlineStr">
        <is>
          <t>Heron Fields (Pty) Ltd</t>
        </is>
      </c>
      <c r="B2692" s="4" t="n">
        <v>44957</v>
      </c>
      <c r="C2692" s="3" t="inlineStr">
        <is>
          <t>Assets</t>
        </is>
      </c>
      <c r="D2692" s="3" t="inlineStr">
        <is>
          <t>7620/640</t>
        </is>
      </c>
      <c r="E2692" s="3" t="inlineStr">
        <is>
          <t>HF CIP Project costs</t>
        </is>
      </c>
      <c r="F2692" s="3" t="n">
        <v>0</v>
      </c>
      <c r="G2692" s="3" t="n">
        <v>622274.51</v>
      </c>
    </row>
    <row r="2693">
      <c r="A2693" s="3" t="inlineStr">
        <is>
          <t>Heron View (Pty) Ltd</t>
        </is>
      </c>
      <c r="B2693" s="4" t="n">
        <v>44957</v>
      </c>
      <c r="C2693" s="3" t="inlineStr">
        <is>
          <t>Assets</t>
        </is>
      </c>
      <c r="D2693" s="3" t="inlineStr">
        <is>
          <t>7620/650</t>
        </is>
      </c>
      <c r="E2693" s="3" t="inlineStr">
        <is>
          <t>CIP - Construction Management</t>
        </is>
      </c>
      <c r="F2693" s="3" t="n">
        <v>3000</v>
      </c>
      <c r="G2693" s="3" t="n">
        <v>18780</v>
      </c>
    </row>
    <row r="2694">
      <c r="A2694" s="3" t="inlineStr">
        <is>
          <t>Heron Fields (Pty) Ltd</t>
        </is>
      </c>
      <c r="B2694" s="4" t="n">
        <v>44957</v>
      </c>
      <c r="C2694" s="3" t="inlineStr">
        <is>
          <t>Assets</t>
        </is>
      </c>
      <c r="D2694" s="3" t="inlineStr">
        <is>
          <t>7620/650</t>
        </is>
      </c>
      <c r="E2694" s="3" t="inlineStr">
        <is>
          <t>HF CIP Electrical</t>
        </is>
      </c>
      <c r="F2694" s="3" t="n">
        <v>0</v>
      </c>
      <c r="G2694" s="3" t="n">
        <v>985049.6800000001</v>
      </c>
    </row>
    <row r="2695">
      <c r="A2695" s="3" t="inlineStr">
        <is>
          <t>Heron View (Pty) Ltd</t>
        </is>
      </c>
      <c r="B2695" s="4" t="n">
        <v>44957</v>
      </c>
      <c r="C2695" s="3" t="inlineStr">
        <is>
          <t>Assets</t>
        </is>
      </c>
      <c r="D2695" s="3" t="inlineStr">
        <is>
          <t>7620/660</t>
        </is>
      </c>
      <c r="E2695" s="3" t="inlineStr">
        <is>
          <t>HV CIP Health &amp; Safety</t>
        </is>
      </c>
      <c r="F2695" s="3" t="n">
        <v>1400</v>
      </c>
      <c r="G2695" s="3" t="n">
        <v>13200</v>
      </c>
    </row>
    <row r="2696">
      <c r="A2696" s="3" t="inlineStr">
        <is>
          <t>Heron View (Pty) Ltd</t>
        </is>
      </c>
      <c r="B2696" s="4" t="n">
        <v>44957</v>
      </c>
      <c r="C2696" s="3" t="inlineStr">
        <is>
          <t>Assets</t>
        </is>
      </c>
      <c r="D2696" s="3" t="inlineStr">
        <is>
          <t>7620/670</t>
        </is>
      </c>
      <c r="E2696" s="3" t="inlineStr">
        <is>
          <t>HV CIP - Project costs CPSD</t>
        </is>
      </c>
      <c r="F2696" s="3" t="n">
        <v>217391.3</v>
      </c>
      <c r="G2696" s="3" t="n">
        <v>467391.3</v>
      </c>
    </row>
    <row r="2697">
      <c r="A2697" s="3" t="inlineStr">
        <is>
          <t>Heron View (Pty) Ltd</t>
        </is>
      </c>
      <c r="B2697" s="4" t="n">
        <v>44957</v>
      </c>
      <c r="C2697" s="3" t="inlineStr">
        <is>
          <t>Assets</t>
        </is>
      </c>
      <c r="D2697" s="3" t="inlineStr">
        <is>
          <t>7620/680</t>
        </is>
      </c>
      <c r="E2697" s="3" t="inlineStr">
        <is>
          <t>HV CIP Elextrical</t>
        </is>
      </c>
      <c r="F2697" s="3" t="n">
        <v>0</v>
      </c>
      <c r="G2697" s="3" t="n">
        <v>812587.84</v>
      </c>
    </row>
    <row r="2698">
      <c r="A2698" s="3" t="inlineStr">
        <is>
          <t>Heron Fields (Pty) Ltd</t>
        </is>
      </c>
      <c r="B2698" s="4" t="n">
        <v>44957</v>
      </c>
      <c r="C2698" s="3" t="inlineStr">
        <is>
          <t>Assets</t>
        </is>
      </c>
      <c r="D2698" s="3" t="inlineStr">
        <is>
          <t>7620/700</t>
        </is>
      </c>
      <c r="E2698" s="3" t="inlineStr">
        <is>
          <t>HF CIP - P&amp;G recoveries - Endulini&amp;Heron Fields/View</t>
        </is>
      </c>
      <c r="F2698" s="3" t="n">
        <v>0</v>
      </c>
      <c r="G2698" s="3" t="n">
        <v>3023829.42</v>
      </c>
    </row>
    <row r="2699">
      <c r="A2699" s="3" t="inlineStr">
        <is>
          <t>Heron Fields (Pty) Ltd</t>
        </is>
      </c>
      <c r="B2699" s="4" t="n">
        <v>44957</v>
      </c>
      <c r="C2699" s="3" t="inlineStr">
        <is>
          <t>Assets</t>
        </is>
      </c>
      <c r="D2699" s="3" t="inlineStr">
        <is>
          <t>7620/750</t>
        </is>
      </c>
      <c r="E2699" s="3" t="inlineStr">
        <is>
          <t>HF CIP Project costs CPSD</t>
        </is>
      </c>
      <c r="F2699" s="3" t="n">
        <v>0</v>
      </c>
      <c r="G2699" s="3" t="n">
        <v>1250000</v>
      </c>
    </row>
    <row r="2700">
      <c r="A2700" s="3" t="inlineStr">
        <is>
          <t>Cape Projects Construction (Pty) Ltd</t>
        </is>
      </c>
      <c r="B2700" s="4" t="n">
        <v>44957</v>
      </c>
      <c r="C2700" s="3" t="inlineStr">
        <is>
          <t>Assets</t>
        </is>
      </c>
      <c r="D2700" s="3" t="inlineStr">
        <is>
          <t>7800/000</t>
        </is>
      </c>
      <c r="E2700" s="3" t="inlineStr">
        <is>
          <t>Deposits paid</t>
        </is>
      </c>
      <c r="F2700" s="3" t="n">
        <v>0</v>
      </c>
      <c r="G2700" s="3" t="n">
        <v>8387.950000000001</v>
      </c>
    </row>
    <row r="2701">
      <c r="A2701" s="3" t="inlineStr">
        <is>
          <t>Cape Projects Construction (Pty) Ltd</t>
        </is>
      </c>
      <c r="B2701" s="4" t="n">
        <v>44957</v>
      </c>
      <c r="C2701" s="3" t="inlineStr">
        <is>
          <t>Assets</t>
        </is>
      </c>
      <c r="D2701" s="3" t="inlineStr">
        <is>
          <t>8000/000</t>
        </is>
      </c>
      <c r="E2701" s="3" t="inlineStr">
        <is>
          <t>Customer Control Account</t>
        </is>
      </c>
      <c r="F2701" s="3" t="n">
        <v>1177000</v>
      </c>
      <c r="G2701" s="3" t="n">
        <v>-1977899.4</v>
      </c>
    </row>
    <row r="2702">
      <c r="A2702" s="3" t="inlineStr">
        <is>
          <t>Heron Fields (Pty) Ltd</t>
        </is>
      </c>
      <c r="B2702" s="4" t="n">
        <v>44957</v>
      </c>
      <c r="C2702" s="3" t="inlineStr">
        <is>
          <t>Assets</t>
        </is>
      </c>
      <c r="D2702" s="3" t="inlineStr">
        <is>
          <t>8000/000</t>
        </is>
      </c>
      <c r="E2702" s="3" t="inlineStr">
        <is>
          <t>Customer Control Account</t>
        </is>
      </c>
      <c r="F2702" s="3" t="n">
        <v>218233.58</v>
      </c>
      <c r="G2702" s="3" t="n">
        <v>218233.58</v>
      </c>
    </row>
    <row r="2703">
      <c r="A2703" s="3" t="inlineStr">
        <is>
          <t>Cape Projects Construction (Pty) Ltd</t>
        </is>
      </c>
      <c r="B2703" s="4" t="n">
        <v>44957</v>
      </c>
      <c r="C2703" s="3" t="inlineStr">
        <is>
          <t>Assets</t>
        </is>
      </c>
      <c r="D2703" s="3" t="inlineStr">
        <is>
          <t>8200/010</t>
        </is>
      </c>
      <c r="E2703" s="3" t="inlineStr">
        <is>
          <t>Prepayments / Prepaid Expenses</t>
        </is>
      </c>
      <c r="F2703" s="3" t="n">
        <v>-2719.44</v>
      </c>
      <c r="G2703" s="3" t="n">
        <v>5438.87</v>
      </c>
    </row>
    <row r="2704">
      <c r="A2704" s="3" t="inlineStr">
        <is>
          <t>Heron Fields (Pty) Ltd</t>
        </is>
      </c>
      <c r="B2704" s="4" t="n">
        <v>44957</v>
      </c>
      <c r="C2704" s="3" t="inlineStr">
        <is>
          <t>Assets</t>
        </is>
      </c>
      <c r="D2704" s="3" t="inlineStr">
        <is>
          <t>8400/000</t>
        </is>
      </c>
      <c r="E2704" s="3" t="inlineStr">
        <is>
          <t>RMB - 62882379087</t>
        </is>
      </c>
      <c r="F2704" s="3" t="n">
        <v>-423382.22</v>
      </c>
      <c r="G2704" s="3" t="n">
        <v>613052.02</v>
      </c>
    </row>
    <row r="2705">
      <c r="A2705" s="3" t="inlineStr">
        <is>
          <t>Cape Projects Construction (Pty) Ltd</t>
        </is>
      </c>
      <c r="B2705" s="4" t="n">
        <v>44957</v>
      </c>
      <c r="C2705" s="3" t="inlineStr">
        <is>
          <t>Assets</t>
        </is>
      </c>
      <c r="D2705" s="3" t="inlineStr">
        <is>
          <t>8400/000</t>
        </is>
      </c>
      <c r="E2705" s="3" t="inlineStr">
        <is>
          <t>RMB 62275138470</t>
        </is>
      </c>
      <c r="F2705" s="3" t="n">
        <v>-832824.9300000001</v>
      </c>
      <c r="G2705" s="3" t="n">
        <v>73831.49000000001</v>
      </c>
    </row>
    <row r="2706">
      <c r="A2706" s="3" t="inlineStr">
        <is>
          <t>Cape Projects Construction (Pty) Ltd</t>
        </is>
      </c>
      <c r="B2706" s="4" t="n">
        <v>44957</v>
      </c>
      <c r="C2706" s="3" t="inlineStr">
        <is>
          <t>Assets</t>
        </is>
      </c>
      <c r="D2706" s="3" t="inlineStr">
        <is>
          <t>8420/000</t>
        </is>
      </c>
      <c r="E2706" s="3" t="inlineStr">
        <is>
          <t>Momentum Priv Acc RU502230981</t>
        </is>
      </c>
      <c r="F2706" s="3" t="n">
        <v>9.460000000000001</v>
      </c>
      <c r="G2706" s="3" t="n">
        <v>537.3200000000001</v>
      </c>
    </row>
    <row r="2707">
      <c r="A2707" s="3" t="inlineStr">
        <is>
          <t>Heron Fields (Pty) Ltd</t>
        </is>
      </c>
      <c r="B2707" s="4" t="n">
        <v>44957</v>
      </c>
      <c r="C2707" s="3" t="inlineStr">
        <is>
          <t>Assets</t>
        </is>
      </c>
      <c r="D2707" s="3" t="inlineStr">
        <is>
          <t>8430/000</t>
        </is>
      </c>
      <c r="E2707" s="3" t="inlineStr">
        <is>
          <t>Momentum Private Account RU502230151</t>
        </is>
      </c>
      <c r="F2707" s="3" t="n">
        <v>4.77</v>
      </c>
      <c r="G2707" s="3" t="n">
        <v>823.24</v>
      </c>
    </row>
    <row r="2708">
      <c r="A2708" s="3" t="inlineStr">
        <is>
          <t>Heron Fields (Pty) Ltd</t>
        </is>
      </c>
      <c r="B2708" s="4" t="n">
        <v>44957</v>
      </c>
      <c r="C2708" s="3" t="inlineStr">
        <is>
          <t>Assets</t>
        </is>
      </c>
      <c r="D2708" s="3" t="inlineStr">
        <is>
          <t>8440/000</t>
        </is>
      </c>
      <c r="E2708" s="3" t="inlineStr">
        <is>
          <t>Momentum Investors Account RU502229930</t>
        </is>
      </c>
      <c r="F2708" s="3" t="n">
        <v>12840006.93</v>
      </c>
      <c r="G2708" s="3" t="n">
        <v>22596284.85</v>
      </c>
    </row>
    <row r="2709">
      <c r="A2709" s="3" t="inlineStr">
        <is>
          <t>Cape Projects Construction (Pty) Ltd</t>
        </is>
      </c>
      <c r="B2709" s="4" t="n">
        <v>44957</v>
      </c>
      <c r="C2709" s="3" t="inlineStr">
        <is>
          <t>Liabilities</t>
        </is>
      </c>
      <c r="D2709" s="3" t="inlineStr">
        <is>
          <t>860</t>
        </is>
      </c>
      <c r="E2709" s="3" t="inlineStr">
        <is>
          <t>Rounding</t>
        </is>
      </c>
      <c r="F2709" s="3" t="n">
        <v>-0.02</v>
      </c>
      <c r="G2709" s="3" t="n">
        <v>123.42</v>
      </c>
    </row>
    <row r="2710">
      <c r="A2710" s="3" t="inlineStr">
        <is>
          <t>Heron Fields (Pty) Ltd</t>
        </is>
      </c>
      <c r="B2710" s="4" t="n">
        <v>44957</v>
      </c>
      <c r="C2710" s="3" t="inlineStr">
        <is>
          <t>Liabilities</t>
        </is>
      </c>
      <c r="D2710" s="3" t="inlineStr">
        <is>
          <t>860</t>
        </is>
      </c>
      <c r="E2710" s="3" t="inlineStr">
        <is>
          <t>Rounding</t>
        </is>
      </c>
      <c r="F2710" s="3" t="n">
        <v>0</v>
      </c>
      <c r="G2710" s="3" t="n">
        <v>0.03</v>
      </c>
    </row>
    <row r="2711">
      <c r="A2711" s="3" t="inlineStr">
        <is>
          <t>Cape Projects Construction (Pty) Ltd</t>
        </is>
      </c>
      <c r="B2711" s="4" t="n">
        <v>44957</v>
      </c>
      <c r="C2711" s="3" t="inlineStr">
        <is>
          <t>Liabilities</t>
        </is>
      </c>
      <c r="D2711" s="3" t="inlineStr">
        <is>
          <t>9000/000</t>
        </is>
      </c>
      <c r="E2711" s="3" t="inlineStr">
        <is>
          <t>Supplier Control Account</t>
        </is>
      </c>
      <c r="F2711" s="3" t="n">
        <v>-533669.78</v>
      </c>
      <c r="G2711" s="3" t="n">
        <v>-2000684.88</v>
      </c>
    </row>
    <row r="2712">
      <c r="A2712" s="3" t="inlineStr">
        <is>
          <t>Heron Fields (Pty) Ltd</t>
        </is>
      </c>
      <c r="B2712" s="4" t="n">
        <v>44957</v>
      </c>
      <c r="C2712" s="3" t="inlineStr">
        <is>
          <t>Liabilities</t>
        </is>
      </c>
      <c r="D2712" s="3" t="inlineStr">
        <is>
          <t>9000/000</t>
        </is>
      </c>
      <c r="E2712" s="3" t="inlineStr">
        <is>
          <t>Supplier Control Account</t>
        </is>
      </c>
      <c r="F2712" s="3" t="n">
        <v>-5134699.75</v>
      </c>
      <c r="G2712" s="3" t="n">
        <v>-113744243.87</v>
      </c>
    </row>
    <row r="2713">
      <c r="A2713" s="3" t="inlineStr">
        <is>
          <t>Heron View (Pty) Ltd</t>
        </is>
      </c>
      <c r="B2713" s="4" t="n">
        <v>44957</v>
      </c>
      <c r="C2713" s="3" t="inlineStr">
        <is>
          <t>Liabilities</t>
        </is>
      </c>
      <c r="D2713" s="3" t="inlineStr">
        <is>
          <t>9000/000</t>
        </is>
      </c>
      <c r="E2713" s="3" t="inlineStr">
        <is>
          <t>Supplier Control Account</t>
        </is>
      </c>
      <c r="F2713" s="3" t="n">
        <v>-2301788.75</v>
      </c>
      <c r="G2713" s="3" t="n">
        <v>-3692688.92</v>
      </c>
    </row>
    <row r="2714">
      <c r="A2714" s="3" t="inlineStr">
        <is>
          <t>Cape Projects Construction (Pty) Ltd</t>
        </is>
      </c>
      <c r="B2714" s="4" t="n">
        <v>44957</v>
      </c>
      <c r="C2714" s="3" t="inlineStr">
        <is>
          <t>Liabilities</t>
        </is>
      </c>
      <c r="D2714" s="3" t="inlineStr">
        <is>
          <t>9200/000</t>
        </is>
      </c>
      <c r="E2714" s="3" t="inlineStr">
        <is>
          <t>Sundry Suppliers</t>
        </is>
      </c>
      <c r="F2714" s="3" t="n">
        <v>0</v>
      </c>
      <c r="G2714" s="3" t="n">
        <v>1186.13</v>
      </c>
    </row>
    <row r="2715">
      <c r="A2715" s="3" t="inlineStr">
        <is>
          <t>Cape Projects Construction (Pty) Ltd</t>
        </is>
      </c>
      <c r="B2715" s="4" t="n">
        <v>44957</v>
      </c>
      <c r="C2715" s="3" t="inlineStr">
        <is>
          <t>Liabilities</t>
        </is>
      </c>
      <c r="D2715" s="3" t="inlineStr">
        <is>
          <t>9250/010</t>
        </is>
      </c>
      <c r="E2715" s="3" t="inlineStr">
        <is>
          <t>SALARY CONTROL</t>
        </is>
      </c>
      <c r="F2715" s="3" t="n">
        <v>0</v>
      </c>
      <c r="G2715" s="3" t="n">
        <v>20758.55</v>
      </c>
    </row>
    <row r="2716">
      <c r="A2716" s="3" t="inlineStr">
        <is>
          <t>Cape Projects Construction (Pty) Ltd</t>
        </is>
      </c>
      <c r="B2716" s="4" t="n">
        <v>44957</v>
      </c>
      <c r="C2716" s="3" t="inlineStr">
        <is>
          <t>Liabilities</t>
        </is>
      </c>
      <c r="D2716" s="3" t="inlineStr">
        <is>
          <t>9250/020</t>
        </is>
      </c>
      <c r="E2716" s="3" t="inlineStr">
        <is>
          <t>PAYE, UIF AND SDL CONTROL</t>
        </is>
      </c>
      <c r="F2716" s="3" t="n">
        <v>-42845.89</v>
      </c>
      <c r="G2716" s="3" t="n">
        <v>-73275.89</v>
      </c>
    </row>
    <row r="2717">
      <c r="A2717" s="3" t="inlineStr">
        <is>
          <t>Cape Projects Construction (Pty) Ltd</t>
        </is>
      </c>
      <c r="B2717" s="4" t="n">
        <v>44957</v>
      </c>
      <c r="C2717" s="3" t="inlineStr">
        <is>
          <t>Liabilities</t>
        </is>
      </c>
      <c r="D2717" s="3" t="inlineStr">
        <is>
          <t>9250/030</t>
        </is>
      </c>
      <c r="E2717" s="3" t="inlineStr">
        <is>
          <t>BIBC CONTROL</t>
        </is>
      </c>
      <c r="F2717" s="3" t="n">
        <v>-6809.25</v>
      </c>
      <c r="G2717" s="3" t="n">
        <v>-24967.25</v>
      </c>
    </row>
    <row r="2718">
      <c r="A2718" s="3" t="inlineStr">
        <is>
          <t>Cape Projects Construction (Pty) Ltd</t>
        </is>
      </c>
      <c r="B2718" s="4" t="n">
        <v>44957</v>
      </c>
      <c r="C2718" s="3" t="inlineStr">
        <is>
          <t>Liabilities</t>
        </is>
      </c>
      <c r="D2718" s="3" t="inlineStr">
        <is>
          <t>9500/000</t>
        </is>
      </c>
      <c r="E2718" s="3" t="inlineStr">
        <is>
          <t>VAT Control Account</t>
        </is>
      </c>
      <c r="F2718" s="3" t="n">
        <v>-99288.69</v>
      </c>
      <c r="G2718" s="3" t="n">
        <v>-290856.08</v>
      </c>
    </row>
    <row r="2719">
      <c r="A2719" s="3" t="inlineStr">
        <is>
          <t>Heron Fields (Pty) Ltd</t>
        </is>
      </c>
      <c r="B2719" s="4" t="n">
        <v>44957</v>
      </c>
      <c r="C2719" s="3" t="inlineStr">
        <is>
          <t>Liabilities</t>
        </is>
      </c>
      <c r="D2719" s="3" t="inlineStr">
        <is>
          <t>9500/000</t>
        </is>
      </c>
      <c r="E2719" s="3" t="inlineStr">
        <is>
          <t>Vat / Tax Control Account</t>
        </is>
      </c>
      <c r="F2719" s="3" t="n">
        <v>33334.91</v>
      </c>
      <c r="G2719" s="3" t="n">
        <v>-1817228.33</v>
      </c>
    </row>
    <row r="2720">
      <c r="A2720" s="3" t="inlineStr">
        <is>
          <t>Heron View (Pty) Ltd</t>
        </is>
      </c>
      <c r="B2720" s="4" t="n">
        <v>44957</v>
      </c>
      <c r="C2720" s="3" t="inlineStr">
        <is>
          <t>Liabilities</t>
        </is>
      </c>
      <c r="D2720" s="3" t="inlineStr">
        <is>
          <t>9500/000</t>
        </is>
      </c>
      <c r="E2720" s="3" t="inlineStr">
        <is>
          <t>Vat / Tax Control Account</t>
        </is>
      </c>
      <c r="F2720" s="3" t="n">
        <v>339498.93</v>
      </c>
      <c r="G2720" s="3" t="n">
        <v>756363.65</v>
      </c>
    </row>
    <row r="2721">
      <c r="A2721" s="3" t="inlineStr">
        <is>
          <t>Heron Fields (Pty) Ltd</t>
        </is>
      </c>
      <c r="B2721" s="4" t="n">
        <v>44957</v>
      </c>
      <c r="C2721" s="3" t="inlineStr">
        <is>
          <t>Liabilities</t>
        </is>
      </c>
      <c r="D2721" s="3" t="inlineStr">
        <is>
          <t>9899/A101</t>
        </is>
      </c>
      <c r="E2721" s="3" t="inlineStr">
        <is>
          <t>Sales - Unit Reg Control A101</t>
        </is>
      </c>
      <c r="F2721" s="3" t="n">
        <v>0</v>
      </c>
      <c r="G2721" s="3" t="n">
        <v>74995</v>
      </c>
    </row>
    <row r="2722">
      <c r="A2722" s="3" t="inlineStr">
        <is>
          <t>Heron Fields (Pty) Ltd</t>
        </is>
      </c>
      <c r="B2722" s="4" t="n">
        <v>44957</v>
      </c>
      <c r="C2722" s="3" t="inlineStr">
        <is>
          <t>Liabilities</t>
        </is>
      </c>
      <c r="D2722" s="3" t="inlineStr">
        <is>
          <t>9899/A102</t>
        </is>
      </c>
      <c r="E2722" s="3" t="inlineStr">
        <is>
          <t>Sales - Unit Reg Control A102</t>
        </is>
      </c>
      <c r="F2722" s="3" t="n">
        <v>-74995</v>
      </c>
      <c r="G2722" s="3" t="n">
        <v>0</v>
      </c>
    </row>
    <row r="2723">
      <c r="A2723" s="3" t="inlineStr">
        <is>
          <t>Heron Fields (Pty) Ltd</t>
        </is>
      </c>
      <c r="B2723" s="4" t="n">
        <v>44957</v>
      </c>
      <c r="C2723" s="3" t="inlineStr">
        <is>
          <t>Liabilities</t>
        </is>
      </c>
      <c r="D2723" s="3" t="inlineStr">
        <is>
          <t>9899/A103</t>
        </is>
      </c>
      <c r="E2723" s="3" t="inlineStr">
        <is>
          <t>Sales - Unit Reg Control A103</t>
        </is>
      </c>
      <c r="F2723" s="3" t="n">
        <v>-77495</v>
      </c>
      <c r="G2723" s="3" t="n">
        <v>0</v>
      </c>
    </row>
    <row r="2724">
      <c r="A2724" s="3" t="inlineStr">
        <is>
          <t>Heron Fields (Pty) Ltd</t>
        </is>
      </c>
      <c r="B2724" s="4" t="n">
        <v>44957</v>
      </c>
      <c r="C2724" s="3" t="inlineStr">
        <is>
          <t>Liabilities</t>
        </is>
      </c>
      <c r="D2724" s="3" t="inlineStr">
        <is>
          <t>9899/A105</t>
        </is>
      </c>
      <c r="E2724" s="3" t="inlineStr">
        <is>
          <t>Sales - Unit Reg Control A105</t>
        </is>
      </c>
      <c r="F2724" s="3" t="n">
        <v>0</v>
      </c>
      <c r="G2724" s="3" t="n">
        <v>76995</v>
      </c>
    </row>
    <row r="2725">
      <c r="A2725" s="3" t="inlineStr">
        <is>
          <t>Heron Fields (Pty) Ltd</t>
        </is>
      </c>
      <c r="B2725" s="4" t="n">
        <v>44957</v>
      </c>
      <c r="C2725" s="3" t="inlineStr">
        <is>
          <t>Liabilities</t>
        </is>
      </c>
      <c r="D2725" s="3" t="inlineStr">
        <is>
          <t>9899/A106</t>
        </is>
      </c>
      <c r="E2725" s="3" t="inlineStr">
        <is>
          <t>Sales - Unit Reg Control A106</t>
        </is>
      </c>
      <c r="F2725" s="3" t="n">
        <v>0</v>
      </c>
      <c r="G2725" s="3" t="n">
        <v>77495</v>
      </c>
    </row>
    <row r="2726">
      <c r="A2726" s="3" t="inlineStr">
        <is>
          <t>Heron Fields (Pty) Ltd</t>
        </is>
      </c>
      <c r="B2726" s="4" t="n">
        <v>44957</v>
      </c>
      <c r="C2726" s="3" t="inlineStr">
        <is>
          <t>Liabilities</t>
        </is>
      </c>
      <c r="D2726" s="3" t="inlineStr">
        <is>
          <t>9899/A201</t>
        </is>
      </c>
      <c r="E2726" s="3" t="inlineStr">
        <is>
          <t>Sales - Unit Reg Control A201</t>
        </is>
      </c>
      <c r="F2726" s="3" t="n">
        <v>-62495</v>
      </c>
      <c r="G2726" s="3" t="n">
        <v>0</v>
      </c>
    </row>
    <row r="2727">
      <c r="A2727" s="3" t="inlineStr">
        <is>
          <t>Heron Fields (Pty) Ltd</t>
        </is>
      </c>
      <c r="B2727" s="4" t="n">
        <v>44957</v>
      </c>
      <c r="C2727" s="3" t="inlineStr">
        <is>
          <t>Liabilities</t>
        </is>
      </c>
      <c r="D2727" s="3" t="inlineStr">
        <is>
          <t>9899/A204</t>
        </is>
      </c>
      <c r="E2727" s="3" t="inlineStr">
        <is>
          <t>Sales - Unit Reg Control A204</t>
        </is>
      </c>
      <c r="F2727" s="3" t="n">
        <v>-64995</v>
      </c>
      <c r="G2727" s="3" t="n">
        <v>0</v>
      </c>
    </row>
    <row r="2728">
      <c r="A2728" s="3" t="inlineStr">
        <is>
          <t>Heron Fields (Pty) Ltd</t>
        </is>
      </c>
      <c r="B2728" s="4" t="n">
        <v>44957</v>
      </c>
      <c r="C2728" s="3" t="inlineStr">
        <is>
          <t>Liabilities</t>
        </is>
      </c>
      <c r="D2728" s="3" t="inlineStr">
        <is>
          <t>9899/A206</t>
        </is>
      </c>
      <c r="E2728" s="3" t="inlineStr">
        <is>
          <t>Sales - Unit Reg Control A206</t>
        </is>
      </c>
      <c r="F2728" s="3" t="n">
        <v>-67495</v>
      </c>
      <c r="G2728" s="3" t="n">
        <v>0</v>
      </c>
    </row>
    <row r="2729">
      <c r="A2729" s="3" t="inlineStr">
        <is>
          <t>Heron Fields (Pty) Ltd</t>
        </is>
      </c>
      <c r="B2729" s="4" t="n">
        <v>44957</v>
      </c>
      <c r="C2729" s="3" t="inlineStr">
        <is>
          <t>Liabilities</t>
        </is>
      </c>
      <c r="D2729" s="3" t="inlineStr">
        <is>
          <t>9899/A303</t>
        </is>
      </c>
      <c r="E2729" s="3" t="inlineStr">
        <is>
          <t>Sales - Unit Reg Control A303</t>
        </is>
      </c>
      <c r="F2729" s="3" t="n">
        <v>-67495</v>
      </c>
      <c r="G2729" s="3" t="n">
        <v>0</v>
      </c>
    </row>
    <row r="2730">
      <c r="A2730" s="3" t="inlineStr">
        <is>
          <t>Heron Fields (Pty) Ltd</t>
        </is>
      </c>
      <c r="B2730" s="4" t="n">
        <v>44957</v>
      </c>
      <c r="C2730" s="3" t="inlineStr">
        <is>
          <t>Liabilities</t>
        </is>
      </c>
      <c r="D2730" s="3" t="inlineStr">
        <is>
          <t>9899/A306</t>
        </is>
      </c>
      <c r="E2730" s="3" t="inlineStr">
        <is>
          <t>Sales - Unit Reg Control A306</t>
        </is>
      </c>
      <c r="F2730" s="3" t="n">
        <v>0</v>
      </c>
      <c r="G2730" s="3" t="n">
        <v>69495</v>
      </c>
    </row>
    <row r="2731">
      <c r="A2731" s="3" t="inlineStr">
        <is>
          <t>Heron Fields (Pty) Ltd</t>
        </is>
      </c>
      <c r="B2731" s="4" t="n">
        <v>44957</v>
      </c>
      <c r="C2731" s="3" t="inlineStr">
        <is>
          <t>Liabilities</t>
        </is>
      </c>
      <c r="D2731" s="3" t="inlineStr">
        <is>
          <t>9899/B102</t>
        </is>
      </c>
      <c r="E2731" s="3" t="inlineStr">
        <is>
          <t>Sales - Unit Reg Control B102</t>
        </is>
      </c>
      <c r="F2731" s="3" t="n">
        <v>0</v>
      </c>
      <c r="G2731" s="3" t="n">
        <v>77995</v>
      </c>
    </row>
    <row r="2732">
      <c r="A2732" s="3" t="inlineStr">
        <is>
          <t>Heron Fields (Pty) Ltd</t>
        </is>
      </c>
      <c r="B2732" s="4" t="n">
        <v>44957</v>
      </c>
      <c r="C2732" s="3" t="inlineStr">
        <is>
          <t>Liabilities</t>
        </is>
      </c>
      <c r="D2732" s="3" t="inlineStr">
        <is>
          <t>9899/B103</t>
        </is>
      </c>
      <c r="E2732" s="3" t="inlineStr">
        <is>
          <t>Sales - Unit Reg Control B103</t>
        </is>
      </c>
      <c r="F2732" s="3" t="n">
        <v>-76745</v>
      </c>
      <c r="G2732" s="3" t="n">
        <v>0</v>
      </c>
    </row>
    <row r="2733">
      <c r="A2733" s="3" t="inlineStr">
        <is>
          <t>Heron Fields (Pty) Ltd</t>
        </is>
      </c>
      <c r="B2733" s="4" t="n">
        <v>44957</v>
      </c>
      <c r="C2733" s="3" t="inlineStr">
        <is>
          <t>Liabilities</t>
        </is>
      </c>
      <c r="D2733" s="3" t="inlineStr">
        <is>
          <t>9899/B106</t>
        </is>
      </c>
      <c r="E2733" s="3" t="inlineStr">
        <is>
          <t>Sales - Unit Reg Control B106</t>
        </is>
      </c>
      <c r="F2733" s="3" t="n">
        <v>20814.5</v>
      </c>
      <c r="G2733" s="3" t="n">
        <v>20814.5</v>
      </c>
    </row>
    <row r="2734">
      <c r="A2734" s="3" t="inlineStr">
        <is>
          <t>Heron Fields (Pty) Ltd</t>
        </is>
      </c>
      <c r="B2734" s="4" t="n">
        <v>44957</v>
      </c>
      <c r="C2734" s="3" t="inlineStr">
        <is>
          <t>Liabilities</t>
        </is>
      </c>
      <c r="D2734" s="3" t="inlineStr">
        <is>
          <t>9899/B301</t>
        </is>
      </c>
      <c r="E2734" s="3" t="inlineStr">
        <is>
          <t>Sales - Unit Reg Control B301</t>
        </is>
      </c>
      <c r="F2734" s="3" t="n">
        <v>19408.29</v>
      </c>
      <c r="G2734" s="3" t="n">
        <v>19408.29</v>
      </c>
    </row>
    <row r="2735">
      <c r="A2735" s="3" t="inlineStr">
        <is>
          <t>Heron Fields (Pty) Ltd</t>
        </is>
      </c>
      <c r="B2735" s="4" t="n">
        <v>44957</v>
      </c>
      <c r="C2735" s="3" t="inlineStr">
        <is>
          <t>Liabilities</t>
        </is>
      </c>
      <c r="D2735" s="3" t="inlineStr">
        <is>
          <t>9899/B302</t>
        </is>
      </c>
      <c r="E2735" s="3" t="inlineStr">
        <is>
          <t>Sales - Unit Reg Control B302</t>
        </is>
      </c>
      <c r="F2735" s="3" t="n">
        <v>40222.79</v>
      </c>
      <c r="G2735" s="3" t="n">
        <v>40222.79</v>
      </c>
    </row>
    <row r="2736">
      <c r="A2736" s="3" t="inlineStr">
        <is>
          <t>Cape Projects Construction (Pty) Ltd</t>
        </is>
      </c>
      <c r="B2736" s="4" t="n">
        <v>44957</v>
      </c>
      <c r="C2736" s="3" t="inlineStr">
        <is>
          <t>Liabilities</t>
        </is>
      </c>
      <c r="D2736" s="3" t="inlineStr">
        <is>
          <t>B/S</t>
        </is>
      </c>
      <c r="E2736" s="3" t="inlineStr">
        <is>
          <t>Taxation Payable</t>
        </is>
      </c>
      <c r="F2736" s="3" t="n">
        <v>0</v>
      </c>
      <c r="G2736" s="3" t="n">
        <v>1869.8</v>
      </c>
    </row>
    <row r="2737">
      <c r="A2737" s="3" t="inlineStr">
        <is>
          <t>Cape Projects Construction (Pty) Ltd</t>
        </is>
      </c>
      <c r="B2737" s="4" t="n">
        <v>44957</v>
      </c>
      <c r="C2737" s="3" t="inlineStr">
        <is>
          <t>Liabilities</t>
        </is>
      </c>
      <c r="D2737" s="3" t="inlineStr">
        <is>
          <t>TEMP/ACC</t>
        </is>
      </c>
      <c r="E2737" s="3" t="inlineStr">
        <is>
          <t>Conversion Account</t>
        </is>
      </c>
      <c r="F2737" s="3" t="n">
        <v>0</v>
      </c>
      <c r="G2737" s="3" t="n">
        <v>-254.99</v>
      </c>
    </row>
    <row r="2738">
      <c r="A2738" s="3" t="inlineStr">
        <is>
          <t>Heron Fields (Pty) Ltd</t>
        </is>
      </c>
      <c r="B2738" s="4" t="n">
        <v>44985</v>
      </c>
      <c r="C2738" s="3" t="inlineStr">
        <is>
          <t>Revenue</t>
        </is>
      </c>
      <c r="D2738" s="3" t="inlineStr">
        <is>
          <t>1000/100</t>
        </is>
      </c>
      <c r="E2738" s="3" t="inlineStr">
        <is>
          <t>Sales - Heron Fields</t>
        </is>
      </c>
      <c r="F2738" s="3" t="n">
        <v>-2765043.48</v>
      </c>
      <c r="G2738" s="3" t="n">
        <v>-36420086.97</v>
      </c>
    </row>
    <row r="2739">
      <c r="A2739" s="3" t="inlineStr">
        <is>
          <t>Heron Fields (Pty) Ltd</t>
        </is>
      </c>
      <c r="B2739" s="4" t="n">
        <v>44985</v>
      </c>
      <c r="C2739" s="3" t="inlineStr">
        <is>
          <t>Revenue</t>
        </is>
      </c>
      <c r="D2739" s="3" t="inlineStr">
        <is>
          <t>1000/101</t>
        </is>
      </c>
      <c r="E2739" s="3" t="inlineStr">
        <is>
          <t>Sales - Heron Fields occupational rent</t>
        </is>
      </c>
      <c r="F2739" s="3" t="n">
        <v>0</v>
      </c>
      <c r="G2739" s="3" t="n">
        <v>-112833.33</v>
      </c>
    </row>
    <row r="2740">
      <c r="A2740" s="3" t="inlineStr">
        <is>
          <t>Heron Fields (Pty) Ltd</t>
        </is>
      </c>
      <c r="B2740" s="4" t="n">
        <v>44985</v>
      </c>
      <c r="C2740" s="3" t="inlineStr">
        <is>
          <t>Revenue</t>
        </is>
      </c>
      <c r="D2740" s="3" t="inlineStr">
        <is>
          <t>1005/100</t>
        </is>
      </c>
      <c r="E2740" s="3" t="inlineStr">
        <is>
          <t>Bond Origination</t>
        </is>
      </c>
      <c r="F2740" s="3" t="n">
        <v>35916.78</v>
      </c>
      <c r="G2740" s="3" t="n">
        <v>0</v>
      </c>
    </row>
    <row r="2741">
      <c r="A2741" s="3" t="inlineStr">
        <is>
          <t>Cape Projects Construction (Pty) Ltd</t>
        </is>
      </c>
      <c r="B2741" s="4" t="n">
        <v>44985</v>
      </c>
      <c r="C2741" s="3" t="inlineStr">
        <is>
          <t>Revenue</t>
        </is>
      </c>
      <c r="D2741" s="3" t="inlineStr">
        <is>
          <t>1040/100</t>
        </is>
      </c>
      <c r="E2741" s="3" t="inlineStr">
        <is>
          <t>Fees - Construction - Heron</t>
        </is>
      </c>
      <c r="F2741" s="3" t="n">
        <v>-4043702.84</v>
      </c>
      <c r="G2741" s="3" t="n">
        <v>-51856469.73</v>
      </c>
    </row>
    <row r="2742">
      <c r="A2742" s="3" t="inlineStr">
        <is>
          <t>Cape Projects Construction (Pty) Ltd</t>
        </is>
      </c>
      <c r="B2742" s="4" t="n">
        <v>44985</v>
      </c>
      <c r="C2742" s="3" t="inlineStr">
        <is>
          <t>Revenue</t>
        </is>
      </c>
      <c r="D2742" s="3" t="inlineStr">
        <is>
          <t>1050/030</t>
        </is>
      </c>
      <c r="E2742" s="3" t="inlineStr">
        <is>
          <t>Fees - Construction - Endulini</t>
        </is>
      </c>
      <c r="F2742" s="3" t="n">
        <v>0</v>
      </c>
      <c r="G2742" s="3" t="n">
        <v>-12046638.06</v>
      </c>
    </row>
    <row r="2743">
      <c r="A2743" s="3" t="inlineStr">
        <is>
          <t>Cape Projects Construction (Pty) Ltd</t>
        </is>
      </c>
      <c r="B2743" s="4" t="n">
        <v>44985</v>
      </c>
      <c r="C2743" s="3" t="inlineStr">
        <is>
          <t>Revenue</t>
        </is>
      </c>
      <c r="D2743" s="3" t="inlineStr">
        <is>
          <t>1051/100</t>
        </is>
      </c>
      <c r="E2743" s="3" t="inlineStr">
        <is>
          <t>Fees - Construction - Heron Fields</t>
        </is>
      </c>
      <c r="F2743" s="3" t="n">
        <v>0</v>
      </c>
      <c r="G2743" s="3" t="n">
        <v>-1782369.8</v>
      </c>
    </row>
    <row r="2744">
      <c r="A2744" s="3" t="inlineStr">
        <is>
          <t>Cape Projects Construction (Pty) Ltd</t>
        </is>
      </c>
      <c r="B2744" s="4" t="n">
        <v>44985</v>
      </c>
      <c r="C2744" s="3" t="inlineStr">
        <is>
          <t>Revenue</t>
        </is>
      </c>
      <c r="D2744" s="3" t="inlineStr">
        <is>
          <t>1051/200</t>
        </is>
      </c>
      <c r="E2744" s="3" t="inlineStr">
        <is>
          <t>Fees - Construction - Heron Fields P&amp;G</t>
        </is>
      </c>
      <c r="F2744" s="3" t="n">
        <v>0</v>
      </c>
      <c r="G2744" s="3" t="n">
        <v>1616.91</v>
      </c>
    </row>
    <row r="2745">
      <c r="A2745" s="3" t="inlineStr">
        <is>
          <t>Cape Projects Construction (Pty) Ltd</t>
        </is>
      </c>
      <c r="B2745" s="4" t="n">
        <v>44985</v>
      </c>
      <c r="C2745" s="3" t="inlineStr">
        <is>
          <t>Revenue</t>
        </is>
      </c>
      <c r="D2745" s="3" t="inlineStr">
        <is>
          <t>1060/000</t>
        </is>
      </c>
      <c r="E2745" s="3" t="inlineStr">
        <is>
          <t>Insurance recovery</t>
        </is>
      </c>
      <c r="F2745" s="3" t="n">
        <v>0</v>
      </c>
      <c r="G2745" s="3" t="n">
        <v>-2839.7</v>
      </c>
    </row>
    <row r="2746">
      <c r="A2746" s="3" t="inlineStr">
        <is>
          <t>Cape Projects Construction (Pty) Ltd</t>
        </is>
      </c>
      <c r="B2746" s="4" t="n">
        <v>44985</v>
      </c>
      <c r="C2746" s="3" t="inlineStr">
        <is>
          <t>Revenue</t>
        </is>
      </c>
      <c r="D2746" s="3" t="inlineStr">
        <is>
          <t>1070/000</t>
        </is>
      </c>
      <c r="E2746" s="3" t="inlineStr">
        <is>
          <t>Rent - CT Office</t>
        </is>
      </c>
      <c r="F2746" s="3" t="n">
        <v>0</v>
      </c>
      <c r="G2746" s="3" t="n">
        <v>-31418.46</v>
      </c>
    </row>
    <row r="2747">
      <c r="A2747" s="3" t="inlineStr">
        <is>
          <t>Heron View (Pty) Ltd</t>
        </is>
      </c>
      <c r="B2747" s="4" t="n">
        <v>44985</v>
      </c>
      <c r="C2747" s="3" t="inlineStr">
        <is>
          <t>Expenses</t>
        </is>
      </c>
      <c r="D2747" s="3" t="inlineStr">
        <is>
          <t>2000/010</t>
        </is>
      </c>
      <c r="E2747" s="3" t="inlineStr">
        <is>
          <t>COS - Heron View</t>
        </is>
      </c>
      <c r="F2747" s="3" t="n">
        <v>0</v>
      </c>
      <c r="G2747" s="3" t="n">
        <v>678.59</v>
      </c>
    </row>
    <row r="2748">
      <c r="A2748" s="3" t="inlineStr">
        <is>
          <t>Heron Fields (Pty) Ltd</t>
        </is>
      </c>
      <c r="B2748" s="4" t="n">
        <v>44985</v>
      </c>
      <c r="C2748" s="3" t="inlineStr">
        <is>
          <t>Expenses</t>
        </is>
      </c>
      <c r="D2748" s="3" t="inlineStr">
        <is>
          <t>2000/030</t>
        </is>
      </c>
      <c r="E2748" s="3" t="inlineStr">
        <is>
          <t>COS - Commission Heron Fields investors</t>
        </is>
      </c>
      <c r="F2748" s="3" t="n">
        <v>0</v>
      </c>
      <c r="G2748" s="3" t="n">
        <v>86956.52</v>
      </c>
    </row>
    <row r="2749">
      <c r="A2749" s="3" t="inlineStr">
        <is>
          <t>Heron Fields (Pty) Ltd</t>
        </is>
      </c>
      <c r="B2749" s="4" t="n">
        <v>44985</v>
      </c>
      <c r="C2749" s="3" t="inlineStr">
        <is>
          <t>Expenses</t>
        </is>
      </c>
      <c r="D2749" s="3" t="inlineStr">
        <is>
          <t>2000/040</t>
        </is>
      </c>
      <c r="E2749" s="3" t="inlineStr">
        <is>
          <t>COS - Legal Fees</t>
        </is>
      </c>
      <c r="F2749" s="3" t="n">
        <v>143541.28</v>
      </c>
      <c r="G2749" s="3" t="n">
        <v>924384.58</v>
      </c>
    </row>
    <row r="2750">
      <c r="A2750" s="3" t="inlineStr">
        <is>
          <t>Heron Fields (Pty) Ltd</t>
        </is>
      </c>
      <c r="B2750" s="4" t="n">
        <v>44985</v>
      </c>
      <c r="C2750" s="3" t="inlineStr">
        <is>
          <t>Expenses</t>
        </is>
      </c>
      <c r="D2750" s="3" t="inlineStr">
        <is>
          <t>2000/041</t>
        </is>
      </c>
      <c r="E2750" s="3" t="inlineStr">
        <is>
          <t>COS - Legal Fees Opening of Sec Title Scheme</t>
        </is>
      </c>
      <c r="F2750" s="3" t="n">
        <v>15988</v>
      </c>
      <c r="G2750" s="3" t="n">
        <v>15988</v>
      </c>
    </row>
    <row r="2751">
      <c r="A2751" s="3" t="inlineStr">
        <is>
          <t>Heron Fields (Pty) Ltd</t>
        </is>
      </c>
      <c r="B2751" s="4" t="n">
        <v>44985</v>
      </c>
      <c r="C2751" s="3" t="inlineStr">
        <is>
          <t>Expenses</t>
        </is>
      </c>
      <c r="D2751" s="3" t="inlineStr">
        <is>
          <t>2000/050</t>
        </is>
      </c>
      <c r="E2751" s="3" t="inlineStr">
        <is>
          <t>COS - Rates clearance</t>
        </is>
      </c>
      <c r="F2751" s="3" t="n">
        <v>0</v>
      </c>
      <c r="G2751" s="3" t="n">
        <v>9738.91</v>
      </c>
    </row>
    <row r="2752">
      <c r="A2752" s="3" t="inlineStr">
        <is>
          <t>Heron Fields (Pty) Ltd</t>
        </is>
      </c>
      <c r="B2752" s="4" t="n">
        <v>44985</v>
      </c>
      <c r="C2752" s="3" t="inlineStr">
        <is>
          <t>Expenses</t>
        </is>
      </c>
      <c r="D2752" s="3" t="inlineStr">
        <is>
          <t>2000/060</t>
        </is>
      </c>
      <c r="E2752" s="3" t="inlineStr">
        <is>
          <t>COS - Levies</t>
        </is>
      </c>
      <c r="F2752" s="3" t="n">
        <v>63374.28</v>
      </c>
      <c r="G2752" s="3" t="n">
        <v>280478.4</v>
      </c>
    </row>
    <row r="2753">
      <c r="A2753" s="3" t="inlineStr">
        <is>
          <t>Heron Fields (Pty) Ltd</t>
        </is>
      </c>
      <c r="B2753" s="4" t="n">
        <v>44985</v>
      </c>
      <c r="C2753" s="3" t="inlineStr">
        <is>
          <t>Expenses</t>
        </is>
      </c>
      <c r="D2753" s="3" t="inlineStr">
        <is>
          <t>2000/070</t>
        </is>
      </c>
      <c r="E2753" s="3" t="inlineStr">
        <is>
          <t>COS - Commission HF Units</t>
        </is>
      </c>
      <c r="F2753" s="3" t="n">
        <v>466056.51</v>
      </c>
      <c r="G2753" s="3" t="n">
        <v>1822091.28</v>
      </c>
    </row>
    <row r="2754">
      <c r="A2754" s="3" t="inlineStr">
        <is>
          <t>Heron Fields (Pty) Ltd</t>
        </is>
      </c>
      <c r="B2754" s="4" t="n">
        <v>44985</v>
      </c>
      <c r="C2754" s="3" t="inlineStr">
        <is>
          <t>Expenses</t>
        </is>
      </c>
      <c r="D2754" s="3" t="inlineStr">
        <is>
          <t>2000/080</t>
        </is>
      </c>
      <c r="E2754" s="3" t="inlineStr">
        <is>
          <t>COS - Showhouse - HF</t>
        </is>
      </c>
      <c r="F2754" s="3" t="n">
        <v>28465.91</v>
      </c>
      <c r="G2754" s="3" t="n">
        <v>28465.91</v>
      </c>
    </row>
    <row r="2755">
      <c r="A2755" s="3" t="inlineStr">
        <is>
          <t>Cape Projects Construction (Pty) Ltd</t>
        </is>
      </c>
      <c r="B2755" s="4" t="n">
        <v>44985</v>
      </c>
      <c r="C2755" s="3" t="inlineStr">
        <is>
          <t>Expenses</t>
        </is>
      </c>
      <c r="D2755" s="3" t="inlineStr">
        <is>
          <t>2001/041</t>
        </is>
      </c>
      <c r="E2755" s="3" t="inlineStr">
        <is>
          <t>COS - Site Establishment - Security</t>
        </is>
      </c>
      <c r="F2755" s="3" t="n">
        <v>3500</v>
      </c>
      <c r="G2755" s="3" t="n">
        <v>3500</v>
      </c>
    </row>
    <row r="2756">
      <c r="A2756" s="3" t="inlineStr">
        <is>
          <t>Cape Projects Construction (Pty) Ltd</t>
        </is>
      </c>
      <c r="B2756" s="4" t="n">
        <v>44985</v>
      </c>
      <c r="C2756" s="3" t="inlineStr">
        <is>
          <t>Expenses</t>
        </is>
      </c>
      <c r="D2756" s="3" t="inlineStr">
        <is>
          <t>2001/054</t>
        </is>
      </c>
      <c r="E2756" s="3" t="inlineStr">
        <is>
          <t>COS - Units - Cement</t>
        </is>
      </c>
      <c r="F2756" s="3" t="n">
        <v>0</v>
      </c>
      <c r="G2756" s="3" t="n">
        <v>6160.34</v>
      </c>
    </row>
    <row r="2757">
      <c r="A2757" s="3" t="inlineStr">
        <is>
          <t>Cape Projects Construction (Pty) Ltd</t>
        </is>
      </c>
      <c r="B2757" s="4" t="n">
        <v>44985</v>
      </c>
      <c r="C2757" s="3" t="inlineStr">
        <is>
          <t>Expenses</t>
        </is>
      </c>
      <c r="D2757" s="3" t="inlineStr">
        <is>
          <t>2001/063</t>
        </is>
      </c>
      <c r="E2757" s="3" t="inlineStr">
        <is>
          <t>COS - Units Plumbing Supply_AND_Fit</t>
        </is>
      </c>
      <c r="F2757" s="3" t="n">
        <v>0</v>
      </c>
      <c r="G2757" s="3" t="n">
        <v>250</v>
      </c>
    </row>
    <row r="2758">
      <c r="A2758" s="3" t="inlineStr">
        <is>
          <t>Cape Projects Construction (Pty) Ltd</t>
        </is>
      </c>
      <c r="B2758" s="4" t="n">
        <v>44985</v>
      </c>
      <c r="C2758" s="3" t="inlineStr">
        <is>
          <t>Expenses</t>
        </is>
      </c>
      <c r="D2758" s="3" t="inlineStr">
        <is>
          <t>2001/064</t>
        </is>
      </c>
      <c r="E2758" s="3" t="inlineStr">
        <is>
          <t>COS - Plumbing Sanware</t>
        </is>
      </c>
      <c r="F2758" s="3" t="n">
        <v>0</v>
      </c>
      <c r="G2758" s="3" t="n">
        <v>1876.17</v>
      </c>
    </row>
    <row r="2759">
      <c r="A2759" s="3" t="inlineStr">
        <is>
          <t>Cape Projects Construction (Pty) Ltd</t>
        </is>
      </c>
      <c r="B2759" s="4" t="n">
        <v>44985</v>
      </c>
      <c r="C2759" s="3" t="inlineStr">
        <is>
          <t>Expenses</t>
        </is>
      </c>
      <c r="D2759" s="3" t="inlineStr">
        <is>
          <t>2001/085</t>
        </is>
      </c>
      <c r="E2759" s="3" t="inlineStr">
        <is>
          <t>COS - Units - Outside work - Paving</t>
        </is>
      </c>
      <c r="F2759" s="3" t="n">
        <v>0</v>
      </c>
      <c r="G2759" s="3" t="n">
        <v>4440.61</v>
      </c>
    </row>
    <row r="2760">
      <c r="A2760" s="3" t="inlineStr">
        <is>
          <t>Cape Projects Construction (Pty) Ltd</t>
        </is>
      </c>
      <c r="B2760" s="4" t="n">
        <v>44985</v>
      </c>
      <c r="C2760" s="3" t="inlineStr">
        <is>
          <t>Expenses</t>
        </is>
      </c>
      <c r="D2760" s="3" t="inlineStr">
        <is>
          <t>2002/240</t>
        </is>
      </c>
      <c r="E2760" s="3" t="inlineStr">
        <is>
          <t>COS - Health _AND_ Safety</t>
        </is>
      </c>
      <c r="F2760" s="3" t="n">
        <v>18418</v>
      </c>
      <c r="G2760" s="3" t="n">
        <v>18418</v>
      </c>
    </row>
    <row r="2761">
      <c r="A2761" s="3" t="inlineStr">
        <is>
          <t>Cape Projects Construction (Pty) Ltd</t>
        </is>
      </c>
      <c r="B2761" s="4" t="n">
        <v>44985</v>
      </c>
      <c r="C2761" s="3" t="inlineStr">
        <is>
          <t>Expenses</t>
        </is>
      </c>
      <c r="D2761" s="3" t="inlineStr">
        <is>
          <t>2003/081</t>
        </is>
      </c>
      <c r="E2761" s="3" t="inlineStr">
        <is>
          <t>COS - Internet - Fibre SUPPLY _AND_ FIT</t>
        </is>
      </c>
      <c r="F2761" s="3" t="n">
        <v>0</v>
      </c>
      <c r="G2761" s="3" t="n">
        <v>31736.5</v>
      </c>
    </row>
    <row r="2762">
      <c r="A2762" s="3" t="inlineStr">
        <is>
          <t>Cape Projects Construction (Pty) Ltd</t>
        </is>
      </c>
      <c r="B2762" s="4" t="n">
        <v>44985</v>
      </c>
      <c r="C2762" s="3" t="inlineStr">
        <is>
          <t>Expenses</t>
        </is>
      </c>
      <c r="D2762" s="3" t="inlineStr">
        <is>
          <t>2005/000</t>
        </is>
      </c>
      <c r="E2762" s="3" t="inlineStr">
        <is>
          <t>Cost of Sales</t>
        </is>
      </c>
      <c r="F2762" s="3" t="n">
        <v>0</v>
      </c>
      <c r="G2762" s="3" t="n">
        <v>-762078.59</v>
      </c>
    </row>
    <row r="2763">
      <c r="A2763" s="3" t="inlineStr">
        <is>
          <t>Cape Projects Construction (Pty) Ltd</t>
        </is>
      </c>
      <c r="B2763" s="4" t="n">
        <v>44985</v>
      </c>
      <c r="C2763" s="3" t="inlineStr">
        <is>
          <t>Expenses</t>
        </is>
      </c>
      <c r="D2763" s="3" t="inlineStr">
        <is>
          <t>2005/200</t>
        </is>
      </c>
      <c r="E2763" s="3" t="inlineStr">
        <is>
          <t>COS - External Works</t>
        </is>
      </c>
      <c r="F2763" s="3" t="n">
        <v>0</v>
      </c>
      <c r="G2763" s="3" t="n">
        <v>957.28</v>
      </c>
    </row>
    <row r="2764">
      <c r="A2764" s="3" t="inlineStr">
        <is>
          <t>Cape Projects Construction (Pty) Ltd</t>
        </is>
      </c>
      <c r="B2764" s="4" t="n">
        <v>44985</v>
      </c>
      <c r="C2764" s="3" t="inlineStr">
        <is>
          <t>Expenses</t>
        </is>
      </c>
      <c r="D2764" s="3" t="inlineStr">
        <is>
          <t>2006/000</t>
        </is>
      </c>
      <c r="E2764" s="3" t="inlineStr">
        <is>
          <t>COS - Endulini Construction</t>
        </is>
      </c>
      <c r="F2764" s="3" t="n">
        <v>566791.84</v>
      </c>
      <c r="G2764" s="3" t="n">
        <v>17315669.25</v>
      </c>
    </row>
    <row r="2765">
      <c r="A2765" s="3" t="inlineStr">
        <is>
          <t>Cape Projects Construction (Pty) Ltd</t>
        </is>
      </c>
      <c r="B2765" s="4" t="n">
        <v>44985</v>
      </c>
      <c r="C2765" s="3" t="inlineStr">
        <is>
          <t>Expenses</t>
        </is>
      </c>
      <c r="D2765" s="3" t="inlineStr">
        <is>
          <t>2006/100</t>
        </is>
      </c>
      <c r="E2765" s="3" t="inlineStr">
        <is>
          <t>COS - Endulini P and G</t>
        </is>
      </c>
      <c r="F2765" s="3" t="n">
        <v>0</v>
      </c>
      <c r="G2765" s="3" t="n">
        <v>994244.35</v>
      </c>
    </row>
    <row r="2766">
      <c r="A2766" s="3" t="inlineStr">
        <is>
          <t>Cape Projects Construction (Pty) Ltd</t>
        </is>
      </c>
      <c r="B2766" s="4" t="n">
        <v>44985</v>
      </c>
      <c r="C2766" s="3" t="inlineStr">
        <is>
          <t>Expenses</t>
        </is>
      </c>
      <c r="D2766" s="3" t="inlineStr">
        <is>
          <t>2006/200</t>
        </is>
      </c>
      <c r="E2766" s="3" t="inlineStr">
        <is>
          <t>COS - Insurance</t>
        </is>
      </c>
      <c r="F2766" s="3" t="n">
        <v>2719.44</v>
      </c>
      <c r="G2766" s="3" t="n">
        <v>45609.01</v>
      </c>
    </row>
    <row r="2767">
      <c r="A2767" s="3" t="inlineStr">
        <is>
          <t>Cape Projects Construction (Pty) Ltd</t>
        </is>
      </c>
      <c r="B2767" s="4" t="n">
        <v>44985</v>
      </c>
      <c r="C2767" s="3" t="inlineStr">
        <is>
          <t>Expenses</t>
        </is>
      </c>
      <c r="D2767" s="3" t="inlineStr">
        <is>
          <t>2006/300</t>
        </is>
      </c>
      <c r="E2767" s="3" t="inlineStr">
        <is>
          <t>COS - Endulini - Printing &amp; Stationary</t>
        </is>
      </c>
      <c r="F2767" s="3" t="n">
        <v>0</v>
      </c>
      <c r="G2767" s="3" t="n">
        <v>269.65</v>
      </c>
    </row>
    <row r="2768">
      <c r="A2768" s="3" t="inlineStr">
        <is>
          <t>Cape Projects Construction (Pty) Ltd</t>
        </is>
      </c>
      <c r="B2768" s="4" t="n">
        <v>44985</v>
      </c>
      <c r="C2768" s="3" t="inlineStr">
        <is>
          <t>Expenses</t>
        </is>
      </c>
      <c r="D2768" s="3" t="inlineStr">
        <is>
          <t>2006/350</t>
        </is>
      </c>
      <c r="E2768" s="3" t="inlineStr">
        <is>
          <t>COS - Endulini - Security</t>
        </is>
      </c>
      <c r="F2768" s="3" t="n">
        <v>0</v>
      </c>
      <c r="G2768" s="3" t="n">
        <v>11000</v>
      </c>
    </row>
    <row r="2769">
      <c r="A2769" s="3" t="inlineStr">
        <is>
          <t>Cape Projects Construction (Pty) Ltd</t>
        </is>
      </c>
      <c r="B2769" s="4" t="n">
        <v>44985</v>
      </c>
      <c r="C2769" s="3" t="inlineStr">
        <is>
          <t>Expenses</t>
        </is>
      </c>
      <c r="D2769" s="3" t="inlineStr">
        <is>
          <t>2006/400</t>
        </is>
      </c>
      <c r="E2769" s="3" t="inlineStr">
        <is>
          <t>COS - Endulini - Health &amp; Safety</t>
        </is>
      </c>
      <c r="F2769" s="3" t="n">
        <v>0</v>
      </c>
      <c r="G2769" s="3" t="n">
        <v>19600</v>
      </c>
    </row>
    <row r="2770">
      <c r="A2770" s="3" t="inlineStr">
        <is>
          <t>Cape Projects Construction (Pty) Ltd</t>
        </is>
      </c>
      <c r="B2770" s="4" t="n">
        <v>44985</v>
      </c>
      <c r="C2770" s="3" t="inlineStr">
        <is>
          <t>Expenses</t>
        </is>
      </c>
      <c r="D2770" s="3" t="inlineStr">
        <is>
          <t>2006/700</t>
        </is>
      </c>
      <c r="E2770" s="3" t="inlineStr">
        <is>
          <t>COS - Endulini - Fuel</t>
        </is>
      </c>
      <c r="F2770" s="3" t="n">
        <v>0</v>
      </c>
      <c r="G2770" s="3" t="n">
        <v>2473.65</v>
      </c>
    </row>
    <row r="2771">
      <c r="A2771" s="3" t="inlineStr">
        <is>
          <t>Cape Projects Construction (Pty) Ltd</t>
        </is>
      </c>
      <c r="B2771" s="4" t="n">
        <v>44985</v>
      </c>
      <c r="C2771" s="3" t="inlineStr">
        <is>
          <t>Expenses</t>
        </is>
      </c>
      <c r="D2771" s="3" t="inlineStr">
        <is>
          <t>2006/800</t>
        </is>
      </c>
      <c r="E2771" s="3" t="inlineStr">
        <is>
          <t>COS - Endulini - Telephone &amp; Internet</t>
        </is>
      </c>
      <c r="F2771" s="3" t="n">
        <v>0</v>
      </c>
      <c r="G2771" s="3" t="n">
        <v>937.39</v>
      </c>
    </row>
    <row r="2772">
      <c r="A2772" s="3" t="inlineStr">
        <is>
          <t>Cape Projects Construction (Pty) Ltd</t>
        </is>
      </c>
      <c r="B2772" s="4" t="n">
        <v>44985</v>
      </c>
      <c r="C2772" s="3" t="inlineStr">
        <is>
          <t>Expenses</t>
        </is>
      </c>
      <c r="D2772" s="3" t="inlineStr">
        <is>
          <t>2007/000</t>
        </is>
      </c>
      <c r="E2772" s="3" t="inlineStr">
        <is>
          <t>COS - Repairs &amp; Maintenance - SW Southwark</t>
        </is>
      </c>
      <c r="F2772" s="3" t="n">
        <v>0</v>
      </c>
      <c r="G2772" s="3" t="n">
        <v>4661.74</v>
      </c>
    </row>
    <row r="2773">
      <c r="A2773" s="3" t="inlineStr">
        <is>
          <t>Cape Projects Construction (Pty) Ltd</t>
        </is>
      </c>
      <c r="B2773" s="4" t="n">
        <v>44985</v>
      </c>
      <c r="C2773" s="3" t="inlineStr">
        <is>
          <t>Expenses</t>
        </is>
      </c>
      <c r="D2773" s="3" t="inlineStr">
        <is>
          <t>2011/300</t>
        </is>
      </c>
      <c r="E2773" s="3" t="inlineStr">
        <is>
          <t>COS - Heron Fields - Printing &amp; Stationary</t>
        </is>
      </c>
      <c r="F2773" s="3" t="n">
        <v>486.96</v>
      </c>
      <c r="G2773" s="3" t="n">
        <v>3439.66</v>
      </c>
    </row>
    <row r="2774">
      <c r="A2774" s="3" t="inlineStr">
        <is>
          <t>Cape Projects Construction (Pty) Ltd</t>
        </is>
      </c>
      <c r="B2774" s="4" t="n">
        <v>44985</v>
      </c>
      <c r="C2774" s="3" t="inlineStr">
        <is>
          <t>Expenses</t>
        </is>
      </c>
      <c r="D2774" s="3" t="inlineStr">
        <is>
          <t>2011/500</t>
        </is>
      </c>
      <c r="E2774" s="3" t="inlineStr">
        <is>
          <t>COS - Heron Fields - Construction</t>
        </is>
      </c>
      <c r="F2774" s="3" t="n">
        <v>1119628.56</v>
      </c>
      <c r="G2774" s="3" t="n">
        <v>31638299.07</v>
      </c>
    </row>
    <row r="2775">
      <c r="A2775" s="3" t="inlineStr">
        <is>
          <t>Cape Projects Construction (Pty) Ltd</t>
        </is>
      </c>
      <c r="B2775" s="4" t="n">
        <v>44985</v>
      </c>
      <c r="C2775" s="3" t="inlineStr">
        <is>
          <t>Expenses</t>
        </is>
      </c>
      <c r="D2775" s="3" t="inlineStr">
        <is>
          <t>2011/600</t>
        </is>
      </c>
      <c r="E2775" s="3" t="inlineStr">
        <is>
          <t>COS - Heron Fields - P &amp; G</t>
        </is>
      </c>
      <c r="F2775" s="3" t="n">
        <v>142419.51</v>
      </c>
      <c r="G2775" s="3" t="n">
        <v>2918802.41</v>
      </c>
    </row>
    <row r="2776">
      <c r="A2776" s="3" t="inlineStr">
        <is>
          <t>Cape Projects Construction (Pty) Ltd</t>
        </is>
      </c>
      <c r="B2776" s="4" t="n">
        <v>44985</v>
      </c>
      <c r="C2776" s="3" t="inlineStr">
        <is>
          <t>Expenses</t>
        </is>
      </c>
      <c r="D2776" s="3" t="inlineStr">
        <is>
          <t>2011/700</t>
        </is>
      </c>
      <c r="E2776" s="3" t="inlineStr">
        <is>
          <t>COS - Heron Fields - Health &amp; Safety</t>
        </is>
      </c>
      <c r="F2776" s="3" t="n">
        <v>0</v>
      </c>
      <c r="G2776" s="3" t="n">
        <v>22286.3</v>
      </c>
    </row>
    <row r="2777">
      <c r="A2777" s="3" t="inlineStr">
        <is>
          <t>Cape Projects Construction (Pty) Ltd</t>
        </is>
      </c>
      <c r="B2777" s="4" t="n">
        <v>44985</v>
      </c>
      <c r="C2777" s="3" t="inlineStr">
        <is>
          <t>Expenses</t>
        </is>
      </c>
      <c r="D2777" s="3" t="inlineStr">
        <is>
          <t>2011/900</t>
        </is>
      </c>
      <c r="E2777" s="3" t="inlineStr">
        <is>
          <t>COS - Heron - Internet</t>
        </is>
      </c>
      <c r="F2777" s="3" t="n">
        <v>1163.48</v>
      </c>
      <c r="G2777" s="3" t="n">
        <v>7880.91</v>
      </c>
    </row>
    <row r="2778">
      <c r="A2778" s="3" t="inlineStr">
        <is>
          <t>Cape Projects Construction (Pty) Ltd</t>
        </is>
      </c>
      <c r="B2778" s="4" t="n">
        <v>44985</v>
      </c>
      <c r="C2778" s="3" t="inlineStr">
        <is>
          <t>Expenses</t>
        </is>
      </c>
      <c r="D2778" s="3" t="inlineStr">
        <is>
          <t>2011/950</t>
        </is>
      </c>
      <c r="E2778" s="3" t="inlineStr">
        <is>
          <t>COS - Heron Fields - Security</t>
        </is>
      </c>
      <c r="F2778" s="3" t="n">
        <v>0</v>
      </c>
      <c r="G2778" s="3" t="n">
        <v>20565.22</v>
      </c>
    </row>
    <row r="2779">
      <c r="A2779" s="3" t="inlineStr">
        <is>
          <t>Cape Projects Construction (Pty) Ltd</t>
        </is>
      </c>
      <c r="B2779" s="4" t="n">
        <v>44985</v>
      </c>
      <c r="C2779" s="3" t="inlineStr">
        <is>
          <t>Expenses</t>
        </is>
      </c>
      <c r="D2779" s="3" t="inlineStr">
        <is>
          <t>2012/001</t>
        </is>
      </c>
      <c r="E2779" s="3" t="inlineStr">
        <is>
          <t>COS - Heron View - Printing &amp; Stationary</t>
        </is>
      </c>
      <c r="F2779" s="3" t="n">
        <v>2895.63</v>
      </c>
      <c r="G2779" s="3" t="n">
        <v>4300.41</v>
      </c>
    </row>
    <row r="2780">
      <c r="A2780" s="3" t="inlineStr">
        <is>
          <t>Cape Projects Construction (Pty) Ltd</t>
        </is>
      </c>
      <c r="B2780" s="4" t="n">
        <v>44985</v>
      </c>
      <c r="C2780" s="3" t="inlineStr">
        <is>
          <t>Expenses</t>
        </is>
      </c>
      <c r="D2780" s="3" t="inlineStr">
        <is>
          <t>2012/002</t>
        </is>
      </c>
      <c r="E2780" s="3" t="inlineStr">
        <is>
          <t>COS - Heron View - Construction</t>
        </is>
      </c>
      <c r="F2780" s="3" t="n">
        <v>1706068.25</v>
      </c>
      <c r="G2780" s="3" t="n">
        <v>6565647.22</v>
      </c>
    </row>
    <row r="2781">
      <c r="A2781" s="3" t="inlineStr">
        <is>
          <t>Cape Projects Construction (Pty) Ltd</t>
        </is>
      </c>
      <c r="B2781" s="4" t="n">
        <v>44985</v>
      </c>
      <c r="C2781" s="3" t="inlineStr">
        <is>
          <t>Expenses</t>
        </is>
      </c>
      <c r="D2781" s="3" t="inlineStr">
        <is>
          <t>2012/003</t>
        </is>
      </c>
      <c r="E2781" s="3" t="inlineStr">
        <is>
          <t>COS - Heron View - P&amp;G</t>
        </is>
      </c>
      <c r="F2781" s="3" t="n">
        <v>66505.36</v>
      </c>
      <c r="G2781" s="3" t="n">
        <v>303151.87</v>
      </c>
    </row>
    <row r="2782">
      <c r="A2782" s="3" t="inlineStr">
        <is>
          <t>Cape Projects Construction (Pty) Ltd</t>
        </is>
      </c>
      <c r="B2782" s="4" t="n">
        <v>44985</v>
      </c>
      <c r="C2782" s="3" t="inlineStr">
        <is>
          <t>Expenses</t>
        </is>
      </c>
      <c r="D2782" s="3" t="inlineStr">
        <is>
          <t>2013/000</t>
        </is>
      </c>
      <c r="E2782" s="3" t="inlineStr">
        <is>
          <t>COS - Bakhoven</t>
        </is>
      </c>
      <c r="F2782" s="3" t="n">
        <v>0</v>
      </c>
      <c r="G2782" s="3" t="n">
        <v>32261.99</v>
      </c>
    </row>
    <row r="2783">
      <c r="A2783" s="3" t="inlineStr">
        <is>
          <t>Cape Projects Construction (Pty) Ltd</t>
        </is>
      </c>
      <c r="B2783" s="4" t="n">
        <v>44985</v>
      </c>
      <c r="C2783" s="3" t="inlineStr">
        <is>
          <t>Expenses</t>
        </is>
      </c>
      <c r="D2783" s="3" t="inlineStr">
        <is>
          <t>2014/000</t>
        </is>
      </c>
      <c r="E2783" s="3" t="inlineStr">
        <is>
          <t>COS - Heron Projects insurance</t>
        </is>
      </c>
      <c r="F2783" s="3" t="n">
        <v>0</v>
      </c>
      <c r="G2783" s="3" t="n">
        <v>11169.12</v>
      </c>
    </row>
    <row r="2784">
      <c r="A2784" s="3" t="inlineStr">
        <is>
          <t>Heron Fields (Pty) Ltd</t>
        </is>
      </c>
      <c r="B2784" s="4" t="n">
        <v>44985</v>
      </c>
      <c r="C2784" s="3" t="inlineStr">
        <is>
          <t>Expenses</t>
        </is>
      </c>
      <c r="D2784" s="3" t="inlineStr">
        <is>
          <t>2100/010</t>
        </is>
      </c>
      <c r="E2784" s="3" t="inlineStr">
        <is>
          <t>COS - Construction</t>
        </is>
      </c>
      <c r="F2784" s="3" t="n">
        <v>24427668.44</v>
      </c>
      <c r="G2784" s="3" t="n">
        <v>24427668.44</v>
      </c>
    </row>
    <row r="2785">
      <c r="A2785" s="3" t="inlineStr">
        <is>
          <t>Cape Projects Construction (Pty) Ltd</t>
        </is>
      </c>
      <c r="B2785" s="4" t="n">
        <v>44985</v>
      </c>
      <c r="C2785" s="3" t="inlineStr">
        <is>
          <t>Revenue</t>
        </is>
      </c>
      <c r="D2785" s="3" t="inlineStr">
        <is>
          <t>2750/000</t>
        </is>
      </c>
      <c r="E2785" s="3" t="inlineStr">
        <is>
          <t>Interest Received - FNB</t>
        </is>
      </c>
      <c r="F2785" s="3" t="n">
        <v>-666.26</v>
      </c>
      <c r="G2785" s="3" t="n">
        <v>-3216.44</v>
      </c>
    </row>
    <row r="2786">
      <c r="A2786" s="3" t="inlineStr">
        <is>
          <t>Cape Projects Construction (Pty) Ltd</t>
        </is>
      </c>
      <c r="B2786" s="4" t="n">
        <v>44985</v>
      </c>
      <c r="C2786" s="3" t="inlineStr">
        <is>
          <t>Revenue</t>
        </is>
      </c>
      <c r="D2786" s="3" t="inlineStr">
        <is>
          <t>2751/001</t>
        </is>
      </c>
      <c r="E2786" s="3" t="inlineStr">
        <is>
          <t>Interest received - Momentum</t>
        </is>
      </c>
      <c r="F2786" s="3" t="n">
        <v>0</v>
      </c>
      <c r="G2786" s="3" t="n">
        <v>-27.68</v>
      </c>
    </row>
    <row r="2787">
      <c r="A2787" s="3" t="inlineStr">
        <is>
          <t>Heron Fields (Pty) Ltd</t>
        </is>
      </c>
      <c r="B2787" s="4" t="n">
        <v>44985</v>
      </c>
      <c r="C2787" s="3" t="inlineStr">
        <is>
          <t>Revenue</t>
        </is>
      </c>
      <c r="D2787" s="3" t="inlineStr">
        <is>
          <t>2755/001</t>
        </is>
      </c>
      <c r="E2787" s="3" t="inlineStr">
        <is>
          <t>Interest Received - Momentum</t>
        </is>
      </c>
      <c r="F2787" s="3" t="n">
        <v>-116845.7</v>
      </c>
      <c r="G2787" s="3" t="n">
        <v>-579372.33</v>
      </c>
    </row>
    <row r="2788">
      <c r="A2788" s="3" t="inlineStr">
        <is>
          <t>Heron Fields (Pty) Ltd</t>
        </is>
      </c>
      <c r="B2788" s="4" t="n">
        <v>44985</v>
      </c>
      <c r="C2788" s="3" t="inlineStr">
        <is>
          <t>Expenses</t>
        </is>
      </c>
      <c r="D2788" s="3" t="inlineStr">
        <is>
          <t>3000/100</t>
        </is>
      </c>
      <c r="E2788" s="3" t="inlineStr">
        <is>
          <t>Accounting - CIPC</t>
        </is>
      </c>
      <c r="F2788" s="3" t="n">
        <v>0</v>
      </c>
      <c r="G2788" s="3" t="n">
        <v>150</v>
      </c>
    </row>
    <row r="2789">
      <c r="A2789" s="3" t="inlineStr">
        <is>
          <t>Cape Projects Construction (Pty) Ltd</t>
        </is>
      </c>
      <c r="B2789" s="4" t="n">
        <v>44985</v>
      </c>
      <c r="C2789" s="3" t="inlineStr">
        <is>
          <t>Expenses</t>
        </is>
      </c>
      <c r="D2789" s="3" t="inlineStr">
        <is>
          <t>3002/000</t>
        </is>
      </c>
      <c r="E2789" s="3" t="inlineStr">
        <is>
          <t>Accounting Fees - Audit</t>
        </is>
      </c>
      <c r="F2789" s="3" t="n">
        <v>0</v>
      </c>
      <c r="G2789" s="3" t="n">
        <v>10600</v>
      </c>
    </row>
    <row r="2790">
      <c r="A2790" s="3" t="inlineStr">
        <is>
          <t>Cape Projects Construction (Pty) Ltd</t>
        </is>
      </c>
      <c r="B2790" s="4" t="n">
        <v>44985</v>
      </c>
      <c r="C2790" s="3" t="inlineStr">
        <is>
          <t>Expenses</t>
        </is>
      </c>
      <c r="D2790" s="3" t="inlineStr">
        <is>
          <t>3020/100</t>
        </is>
      </c>
      <c r="E2790" s="3" t="inlineStr">
        <is>
          <t>Admin - Subcontractors</t>
        </is>
      </c>
      <c r="F2790" s="3" t="n">
        <v>0</v>
      </c>
      <c r="G2790" s="3" t="n">
        <v>14139.13</v>
      </c>
    </row>
    <row r="2791">
      <c r="A2791" s="3" t="inlineStr">
        <is>
          <t>Cape Projects Construction (Pty) Ltd</t>
        </is>
      </c>
      <c r="B2791" s="4" t="n">
        <v>44985</v>
      </c>
      <c r="C2791" s="3" t="inlineStr">
        <is>
          <t>Expenses</t>
        </is>
      </c>
      <c r="D2791" s="3" t="inlineStr">
        <is>
          <t>3050/000</t>
        </is>
      </c>
      <c r="E2791" s="3" t="inlineStr">
        <is>
          <t>Advertising _AND_ Promotions</t>
        </is>
      </c>
      <c r="F2791" s="3" t="n">
        <v>0</v>
      </c>
      <c r="G2791" s="3" t="n">
        <v>24268.79</v>
      </c>
    </row>
    <row r="2792">
      <c r="A2792" s="3" t="inlineStr">
        <is>
          <t>Heron Fields (Pty) Ltd</t>
        </is>
      </c>
      <c r="B2792" s="4" t="n">
        <v>44985</v>
      </c>
      <c r="C2792" s="3" t="inlineStr">
        <is>
          <t>Expenses</t>
        </is>
      </c>
      <c r="D2792" s="3" t="inlineStr">
        <is>
          <t>3050/000</t>
        </is>
      </c>
      <c r="E2792" s="3" t="inlineStr">
        <is>
          <t>Advertising _AND_ Promotions</t>
        </is>
      </c>
      <c r="F2792" s="3" t="n">
        <v>7082.26</v>
      </c>
      <c r="G2792" s="3" t="n">
        <v>114416.12</v>
      </c>
    </row>
    <row r="2793">
      <c r="A2793" s="3" t="inlineStr">
        <is>
          <t>Heron View (Pty) Ltd</t>
        </is>
      </c>
      <c r="B2793" s="4" t="n">
        <v>44985</v>
      </c>
      <c r="C2793" s="3" t="inlineStr">
        <is>
          <t>Expenses</t>
        </is>
      </c>
      <c r="D2793" s="3" t="inlineStr">
        <is>
          <t>3050/000</t>
        </is>
      </c>
      <c r="E2793" s="3" t="inlineStr">
        <is>
          <t>Advertising _AND_ Promotions</t>
        </is>
      </c>
      <c r="F2793" s="3" t="n">
        <v>6775</v>
      </c>
      <c r="G2793" s="3" t="n">
        <v>22025</v>
      </c>
    </row>
    <row r="2794">
      <c r="A2794" s="3" t="inlineStr">
        <is>
          <t>Heron Fields (Pty) Ltd</t>
        </is>
      </c>
      <c r="B2794" s="4" t="n">
        <v>44985</v>
      </c>
      <c r="C2794" s="3" t="inlineStr">
        <is>
          <t>Expenses</t>
        </is>
      </c>
      <c r="D2794" s="3" t="inlineStr">
        <is>
          <t>3050/100</t>
        </is>
      </c>
      <c r="E2794" s="3" t="inlineStr">
        <is>
          <t>Advertising - Property24</t>
        </is>
      </c>
      <c r="F2794" s="3" t="n">
        <v>11556</v>
      </c>
      <c r="G2794" s="3" t="n">
        <v>138672</v>
      </c>
    </row>
    <row r="2795">
      <c r="A2795" s="3" t="inlineStr">
        <is>
          <t>Cape Projects Construction (Pty) Ltd</t>
        </is>
      </c>
      <c r="B2795" s="4" t="n">
        <v>44985</v>
      </c>
      <c r="C2795" s="3" t="inlineStr">
        <is>
          <t>Expenses</t>
        </is>
      </c>
      <c r="D2795" s="3" t="inlineStr">
        <is>
          <t>3050/150</t>
        </is>
      </c>
      <c r="E2795" s="3" t="inlineStr">
        <is>
          <t>Advertising - Design Fees</t>
        </is>
      </c>
      <c r="F2795" s="3" t="n">
        <v>7275</v>
      </c>
      <c r="G2795" s="3" t="n">
        <v>7275</v>
      </c>
    </row>
    <row r="2796">
      <c r="A2796" s="3" t="inlineStr">
        <is>
          <t>Heron View (Pty) Ltd</t>
        </is>
      </c>
      <c r="B2796" s="4" t="n">
        <v>44985</v>
      </c>
      <c r="C2796" s="3" t="inlineStr">
        <is>
          <t>Expenses</t>
        </is>
      </c>
      <c r="D2796" s="3" t="inlineStr">
        <is>
          <t>3050/200</t>
        </is>
      </c>
      <c r="E2796" s="3" t="inlineStr">
        <is>
          <t>Advertising - Media24</t>
        </is>
      </c>
      <c r="F2796" s="3" t="n">
        <v>0</v>
      </c>
      <c r="G2796" s="3" t="n">
        <v>13500</v>
      </c>
    </row>
    <row r="2797">
      <c r="A2797" s="3" t="inlineStr">
        <is>
          <t>Heron View (Pty) Ltd</t>
        </is>
      </c>
      <c r="B2797" s="4" t="n">
        <v>44985</v>
      </c>
      <c r="C2797" s="3" t="inlineStr">
        <is>
          <t>Expenses</t>
        </is>
      </c>
      <c r="D2797" s="3" t="inlineStr">
        <is>
          <t>3050/300</t>
        </is>
      </c>
      <c r="E2797" s="3" t="inlineStr">
        <is>
          <t>Advertising - Thinkink</t>
        </is>
      </c>
      <c r="F2797" s="3" t="n">
        <v>0</v>
      </c>
      <c r="G2797" s="3" t="n">
        <v>8263.91</v>
      </c>
    </row>
    <row r="2798">
      <c r="A2798" s="3" t="inlineStr">
        <is>
          <t>Heron View (Pty) Ltd</t>
        </is>
      </c>
      <c r="B2798" s="4" t="n">
        <v>44985</v>
      </c>
      <c r="C2798" s="3" t="inlineStr">
        <is>
          <t>Expenses</t>
        </is>
      </c>
      <c r="D2798" s="3" t="inlineStr">
        <is>
          <t>3050/400</t>
        </is>
      </c>
      <c r="E2798" s="3" t="inlineStr">
        <is>
          <t>Advertising - Pure Brand Activation</t>
        </is>
      </c>
      <c r="F2798" s="3" t="n">
        <v>11726</v>
      </c>
      <c r="G2798" s="3" t="n">
        <v>11726</v>
      </c>
    </row>
    <row r="2799">
      <c r="A2799" s="3" t="inlineStr">
        <is>
          <t>Cape Projects Construction (Pty) Ltd</t>
        </is>
      </c>
      <c r="B2799" s="4" t="n">
        <v>44985</v>
      </c>
      <c r="C2799" s="3" t="inlineStr">
        <is>
          <t>Expenses</t>
        </is>
      </c>
      <c r="D2799" s="3" t="inlineStr">
        <is>
          <t>3050/450</t>
        </is>
      </c>
      <c r="E2799" s="3" t="inlineStr">
        <is>
          <t>Advertising - Other</t>
        </is>
      </c>
      <c r="F2799" s="3" t="n">
        <v>0</v>
      </c>
      <c r="G2799" s="3" t="n">
        <v>137.5</v>
      </c>
    </row>
    <row r="2800">
      <c r="A2800" s="3" t="inlineStr">
        <is>
          <t>Cape Projects Construction (Pty) Ltd</t>
        </is>
      </c>
      <c r="B2800" s="4" t="n">
        <v>44985</v>
      </c>
      <c r="C2800" s="3" t="inlineStr">
        <is>
          <t>Expenses</t>
        </is>
      </c>
      <c r="D2800" s="3" t="inlineStr">
        <is>
          <t>3200/000</t>
        </is>
      </c>
      <c r="E2800" s="3" t="inlineStr">
        <is>
          <t>Bank Charges</t>
        </is>
      </c>
      <c r="F2800" s="3" t="n">
        <v>1433.91</v>
      </c>
      <c r="G2800" s="3" t="n">
        <v>30880.41</v>
      </c>
    </row>
    <row r="2801">
      <c r="A2801" s="3" t="inlineStr">
        <is>
          <t>Heron Fields (Pty) Ltd</t>
        </is>
      </c>
      <c r="B2801" s="4" t="n">
        <v>44985</v>
      </c>
      <c r="C2801" s="3" t="inlineStr">
        <is>
          <t>Expenses</t>
        </is>
      </c>
      <c r="D2801" s="3" t="inlineStr">
        <is>
          <t>3200/000</t>
        </is>
      </c>
      <c r="E2801" s="3" t="inlineStr">
        <is>
          <t>Bank Charges</t>
        </is>
      </c>
      <c r="F2801" s="3" t="n">
        <v>920.53</v>
      </c>
      <c r="G2801" s="3" t="n">
        <v>7598.74</v>
      </c>
    </row>
    <row r="2802">
      <c r="A2802" s="3" t="inlineStr">
        <is>
          <t>Cape Projects Construction (Pty) Ltd</t>
        </is>
      </c>
      <c r="B2802" s="4" t="n">
        <v>44985</v>
      </c>
      <c r="C2802" s="3" t="inlineStr">
        <is>
          <t>Expenses</t>
        </is>
      </c>
      <c r="D2802" s="3" t="inlineStr">
        <is>
          <t>3250/000</t>
        </is>
      </c>
      <c r="E2802" s="3" t="inlineStr">
        <is>
          <t>Cleaning</t>
        </is>
      </c>
      <c r="F2802" s="3" t="n">
        <v>0</v>
      </c>
      <c r="G2802" s="3" t="n">
        <v>2353.79</v>
      </c>
    </row>
    <row r="2803">
      <c r="A2803" s="3" t="inlineStr">
        <is>
          <t>Cape Projects Construction (Pty) Ltd</t>
        </is>
      </c>
      <c r="B2803" s="4" t="n">
        <v>44985</v>
      </c>
      <c r="C2803" s="3" t="inlineStr">
        <is>
          <t>Expenses</t>
        </is>
      </c>
      <c r="D2803" s="3" t="inlineStr">
        <is>
          <t>3256/000</t>
        </is>
      </c>
      <c r="E2803" s="3" t="inlineStr">
        <is>
          <t>Cell Phone - Nick Morgan</t>
        </is>
      </c>
      <c r="F2803" s="3" t="n">
        <v>0</v>
      </c>
      <c r="G2803" s="3" t="n">
        <v>7949.43</v>
      </c>
    </row>
    <row r="2804">
      <c r="A2804" s="3" t="inlineStr">
        <is>
          <t>Cape Projects Construction (Pty) Ltd</t>
        </is>
      </c>
      <c r="B2804" s="4" t="n">
        <v>44985</v>
      </c>
      <c r="C2804" s="3" t="inlineStr">
        <is>
          <t>Expenses</t>
        </is>
      </c>
      <c r="D2804" s="3" t="inlineStr">
        <is>
          <t>3300/000</t>
        </is>
      </c>
      <c r="E2804" s="3" t="inlineStr">
        <is>
          <t>Computer Expenses</t>
        </is>
      </c>
      <c r="F2804" s="3" t="n">
        <v>0</v>
      </c>
      <c r="G2804" s="3" t="n">
        <v>5948.56</v>
      </c>
    </row>
    <row r="2805">
      <c r="A2805" s="3" t="inlineStr">
        <is>
          <t>Cape Projects Construction (Pty) Ltd</t>
        </is>
      </c>
      <c r="B2805" s="4" t="n">
        <v>44985</v>
      </c>
      <c r="C2805" s="3" t="inlineStr">
        <is>
          <t>Expenses</t>
        </is>
      </c>
      <c r="D2805" s="3" t="inlineStr">
        <is>
          <t>3300/100</t>
        </is>
      </c>
      <c r="E2805" s="3" t="inlineStr">
        <is>
          <t>Computer Exp - IT, Internet/Hosting Fee</t>
        </is>
      </c>
      <c r="F2805" s="3" t="n">
        <v>6620</v>
      </c>
      <c r="G2805" s="3" t="n">
        <v>48329</v>
      </c>
    </row>
    <row r="2806">
      <c r="A2806" s="3" t="inlineStr">
        <is>
          <t>Heron Fields (Pty) Ltd</t>
        </is>
      </c>
      <c r="B2806" s="4" t="n">
        <v>44985</v>
      </c>
      <c r="C2806" s="3" t="inlineStr">
        <is>
          <t>Expenses</t>
        </is>
      </c>
      <c r="D2806" s="3" t="inlineStr">
        <is>
          <t>3350/100</t>
        </is>
      </c>
      <c r="E2806" s="3" t="inlineStr">
        <is>
          <t>Consulting Fees - Admin and Finance</t>
        </is>
      </c>
      <c r="F2806" s="3" t="n">
        <v>103742</v>
      </c>
      <c r="G2806" s="3" t="n">
        <v>1040907.54</v>
      </c>
    </row>
    <row r="2807">
      <c r="A2807" s="3" t="inlineStr">
        <is>
          <t>Cape Projects Construction (Pty) Ltd</t>
        </is>
      </c>
      <c r="B2807" s="4" t="n">
        <v>44985</v>
      </c>
      <c r="C2807" s="3" t="inlineStr">
        <is>
          <t>Expenses</t>
        </is>
      </c>
      <c r="D2807" s="3" t="inlineStr">
        <is>
          <t>3350/100</t>
        </is>
      </c>
      <c r="E2807" s="3" t="inlineStr">
        <is>
          <t>Consulting fees - Herbert du Plessis</t>
        </is>
      </c>
      <c r="F2807" s="3" t="n">
        <v>0</v>
      </c>
      <c r="G2807" s="3" t="n">
        <v>318572.45</v>
      </c>
    </row>
    <row r="2808">
      <c r="A2808" s="3" t="inlineStr">
        <is>
          <t>Cape Projects Construction (Pty) Ltd</t>
        </is>
      </c>
      <c r="B2808" s="4" t="n">
        <v>44985</v>
      </c>
      <c r="C2808" s="3" t="inlineStr">
        <is>
          <t>Expenses</t>
        </is>
      </c>
      <c r="D2808" s="3" t="inlineStr">
        <is>
          <t>3350/300</t>
        </is>
      </c>
      <c r="E2808" s="3" t="inlineStr">
        <is>
          <t>Consulting Fees - Admin and Finance</t>
        </is>
      </c>
      <c r="F2808" s="3" t="n">
        <v>131623</v>
      </c>
      <c r="G2808" s="3" t="n">
        <v>1539997.79</v>
      </c>
    </row>
    <row r="2809">
      <c r="A2809" s="3" t="inlineStr">
        <is>
          <t>Heron Fields (Pty) Ltd</t>
        </is>
      </c>
      <c r="B2809" s="4" t="n">
        <v>44985</v>
      </c>
      <c r="C2809" s="3" t="inlineStr">
        <is>
          <t>Expenses</t>
        </is>
      </c>
      <c r="D2809" s="3" t="inlineStr">
        <is>
          <t>3351/000</t>
        </is>
      </c>
      <c r="E2809" s="3" t="inlineStr">
        <is>
          <t>Consulting fees - Trustee</t>
        </is>
      </c>
      <c r="F2809" s="3" t="n">
        <v>16000</v>
      </c>
      <c r="G2809" s="3" t="n">
        <v>76000</v>
      </c>
    </row>
    <row r="2810">
      <c r="A2810" s="3" t="inlineStr">
        <is>
          <t>Cape Projects Construction (Pty) Ltd</t>
        </is>
      </c>
      <c r="B2810" s="4" t="n">
        <v>44985</v>
      </c>
      <c r="C2810" s="3" t="inlineStr">
        <is>
          <t>Expenses</t>
        </is>
      </c>
      <c r="D2810" s="3" t="inlineStr">
        <is>
          <t>3400/000</t>
        </is>
      </c>
      <c r="E2810" s="3" t="inlineStr">
        <is>
          <t>Courier _AND_ Postage</t>
        </is>
      </c>
      <c r="F2810" s="3" t="n">
        <v>160.87</v>
      </c>
      <c r="G2810" s="3" t="n">
        <v>1539.13</v>
      </c>
    </row>
    <row r="2811">
      <c r="A2811" s="3" t="inlineStr">
        <is>
          <t>Cape Projects Construction (Pty) Ltd</t>
        </is>
      </c>
      <c r="B2811" s="4" t="n">
        <v>44985</v>
      </c>
      <c r="C2811" s="3" t="inlineStr">
        <is>
          <t>Expenses</t>
        </is>
      </c>
      <c r="D2811" s="3" t="inlineStr">
        <is>
          <t>3450/001</t>
        </is>
      </c>
      <c r="E2811" s="3" t="inlineStr">
        <is>
          <t>Depreciation - Computer Equipment</t>
        </is>
      </c>
      <c r="F2811" s="3" t="n">
        <v>2165.83</v>
      </c>
      <c r="G2811" s="3" t="n">
        <v>23781.9</v>
      </c>
    </row>
    <row r="2812">
      <c r="A2812" s="3" t="inlineStr">
        <is>
          <t>Cape Projects Construction (Pty) Ltd</t>
        </is>
      </c>
      <c r="B2812" s="4" t="n">
        <v>44985</v>
      </c>
      <c r="C2812" s="3" t="inlineStr">
        <is>
          <t>Expenses</t>
        </is>
      </c>
      <c r="D2812" s="3" t="inlineStr">
        <is>
          <t>3450/002</t>
        </is>
      </c>
      <c r="E2812" s="3" t="inlineStr">
        <is>
          <t>Depreciation - Generator Fixed Asset</t>
        </is>
      </c>
      <c r="F2812" s="3" t="n">
        <v>193.33</v>
      </c>
      <c r="G2812" s="3" t="n">
        <v>2320</v>
      </c>
    </row>
    <row r="2813">
      <c r="A2813" s="3" t="inlineStr">
        <is>
          <t>Cape Projects Construction (Pty) Ltd</t>
        </is>
      </c>
      <c r="B2813" s="4" t="n">
        <v>44985</v>
      </c>
      <c r="C2813" s="3" t="inlineStr">
        <is>
          <t>Expenses</t>
        </is>
      </c>
      <c r="D2813" s="3" t="inlineStr">
        <is>
          <t>3450/003</t>
        </is>
      </c>
      <c r="E2813" s="3" t="inlineStr">
        <is>
          <t>Depreciation - Motor vehicle</t>
        </is>
      </c>
      <c r="F2813" s="3" t="n">
        <v>0</v>
      </c>
      <c r="G2813" s="3" t="n">
        <v>39610.1</v>
      </c>
    </row>
    <row r="2814">
      <c r="A2814" s="3" t="inlineStr">
        <is>
          <t>Cape Projects Construction (Pty) Ltd</t>
        </is>
      </c>
      <c r="B2814" s="4" t="n">
        <v>44985</v>
      </c>
      <c r="C2814" s="3" t="inlineStr">
        <is>
          <t>Expenses</t>
        </is>
      </c>
      <c r="D2814" s="3" t="inlineStr">
        <is>
          <t>3450/030</t>
        </is>
      </c>
      <c r="E2814" s="3" t="inlineStr">
        <is>
          <t>Depreciation - Furniture and Fittings</t>
        </is>
      </c>
      <c r="F2814" s="3" t="n">
        <v>547.66</v>
      </c>
      <c r="G2814" s="3" t="n">
        <v>5487.86</v>
      </c>
    </row>
    <row r="2815">
      <c r="A2815" s="3" t="inlineStr">
        <is>
          <t>Heron Fields (Pty) Ltd</t>
        </is>
      </c>
      <c r="B2815" s="4" t="n">
        <v>44985</v>
      </c>
      <c r="C2815" s="3" t="inlineStr">
        <is>
          <t>Expenses</t>
        </is>
      </c>
      <c r="D2815" s="3" t="inlineStr">
        <is>
          <t>3650/000</t>
        </is>
      </c>
      <c r="E2815" s="3" t="inlineStr">
        <is>
          <t>CoCT - Electricity</t>
        </is>
      </c>
      <c r="F2815" s="3" t="n">
        <v>0</v>
      </c>
      <c r="G2815" s="3" t="n">
        <v>31830.7</v>
      </c>
    </row>
    <row r="2816">
      <c r="A2816" s="3" t="inlineStr">
        <is>
          <t>Cape Projects Construction (Pty) Ltd</t>
        </is>
      </c>
      <c r="B2816" s="4" t="n">
        <v>44985</v>
      </c>
      <c r="C2816" s="3" t="inlineStr">
        <is>
          <t>Expenses</t>
        </is>
      </c>
      <c r="D2816" s="3" t="inlineStr">
        <is>
          <t>3650/000</t>
        </is>
      </c>
      <c r="E2816" s="3" t="inlineStr">
        <is>
          <t>Electricity _AND_ Water</t>
        </is>
      </c>
      <c r="F2816" s="3" t="n">
        <v>7769.04</v>
      </c>
      <c r="G2816" s="3" t="n">
        <v>62866.2</v>
      </c>
    </row>
    <row r="2817">
      <c r="A2817" s="3" t="inlineStr">
        <is>
          <t>Heron Fields (Pty) Ltd</t>
        </is>
      </c>
      <c r="B2817" s="4" t="n">
        <v>44985</v>
      </c>
      <c r="C2817" s="3" t="inlineStr">
        <is>
          <t>Expenses</t>
        </is>
      </c>
      <c r="D2817" s="3" t="inlineStr">
        <is>
          <t>3660/000</t>
        </is>
      </c>
      <c r="E2817" s="3" t="inlineStr">
        <is>
          <t>CoCT - Water</t>
        </is>
      </c>
      <c r="F2817" s="3" t="n">
        <v>0</v>
      </c>
      <c r="G2817" s="3" t="n">
        <v>77630.74000000001</v>
      </c>
    </row>
    <row r="2818">
      <c r="A2818" s="3" t="inlineStr">
        <is>
          <t>Heron Fields (Pty) Ltd</t>
        </is>
      </c>
      <c r="B2818" s="4" t="n">
        <v>44985</v>
      </c>
      <c r="C2818" s="3" t="inlineStr">
        <is>
          <t>Expenses</t>
        </is>
      </c>
      <c r="D2818" s="3" t="inlineStr">
        <is>
          <t>3670/000</t>
        </is>
      </c>
      <c r="E2818" s="3" t="inlineStr">
        <is>
          <t>CoCT - Refuse</t>
        </is>
      </c>
      <c r="F2818" s="3" t="n">
        <v>0</v>
      </c>
      <c r="G2818" s="3" t="n">
        <v>10690.2</v>
      </c>
    </row>
    <row r="2819">
      <c r="A2819" s="3" t="inlineStr">
        <is>
          <t>Cape Projects Construction (Pty) Ltd</t>
        </is>
      </c>
      <c r="B2819" s="4" t="n">
        <v>44985</v>
      </c>
      <c r="C2819" s="3" t="inlineStr">
        <is>
          <t>Expenses</t>
        </is>
      </c>
      <c r="D2819" s="3" t="inlineStr">
        <is>
          <t>3700/000</t>
        </is>
      </c>
      <c r="E2819" s="3" t="inlineStr">
        <is>
          <t>Entertainment Expenses</t>
        </is>
      </c>
      <c r="F2819" s="3" t="n">
        <v>0</v>
      </c>
      <c r="G2819" s="3" t="n">
        <v>7651.52</v>
      </c>
    </row>
    <row r="2820">
      <c r="A2820" s="3" t="inlineStr">
        <is>
          <t>Cape Projects Construction (Pty) Ltd</t>
        </is>
      </c>
      <c r="B2820" s="4" t="n">
        <v>44985</v>
      </c>
      <c r="C2820" s="3" t="inlineStr">
        <is>
          <t>Expenses</t>
        </is>
      </c>
      <c r="D2820" s="3" t="inlineStr">
        <is>
          <t>3850/000</t>
        </is>
      </c>
      <c r="E2820" s="3" t="inlineStr">
        <is>
          <t>Insurance</t>
        </is>
      </c>
      <c r="F2820" s="3" t="n">
        <v>0</v>
      </c>
      <c r="G2820" s="3" t="n">
        <v>819.63</v>
      </c>
    </row>
    <row r="2821">
      <c r="A2821" s="3" t="inlineStr">
        <is>
          <t>Heron Fields (Pty) Ltd</t>
        </is>
      </c>
      <c r="B2821" s="4" t="n">
        <v>44985</v>
      </c>
      <c r="C2821" s="3" t="inlineStr">
        <is>
          <t>Expenses</t>
        </is>
      </c>
      <c r="D2821" s="3" t="inlineStr">
        <is>
          <t>3850/000</t>
        </is>
      </c>
      <c r="E2821" s="3" t="inlineStr">
        <is>
          <t>Insurance</t>
        </is>
      </c>
      <c r="F2821" s="3" t="n">
        <v>9346.68</v>
      </c>
      <c r="G2821" s="3" t="n">
        <v>26429.33</v>
      </c>
    </row>
    <row r="2822">
      <c r="A2822" s="3" t="inlineStr">
        <is>
          <t>Cape Projects Construction (Pty) Ltd</t>
        </is>
      </c>
      <c r="B2822" s="4" t="n">
        <v>44985</v>
      </c>
      <c r="C2822" s="3" t="inlineStr">
        <is>
          <t>Expenses</t>
        </is>
      </c>
      <c r="D2822" s="3" t="inlineStr">
        <is>
          <t>3850/001</t>
        </is>
      </c>
      <c r="E2822" s="3" t="inlineStr">
        <is>
          <t>Insurance - Santam</t>
        </is>
      </c>
      <c r="F2822" s="3" t="n">
        <v>1458.74</v>
      </c>
      <c r="G2822" s="3" t="n">
        <v>15085.07</v>
      </c>
    </row>
    <row r="2823">
      <c r="A2823" s="3" t="inlineStr">
        <is>
          <t>Cape Projects Construction (Pty) Ltd</t>
        </is>
      </c>
      <c r="B2823" s="4" t="n">
        <v>44985</v>
      </c>
      <c r="C2823" s="3" t="inlineStr">
        <is>
          <t>Expenses</t>
        </is>
      </c>
      <c r="D2823" s="3" t="inlineStr">
        <is>
          <t>3850/002</t>
        </is>
      </c>
      <c r="E2823" s="3" t="inlineStr">
        <is>
          <t>Insurance - RBS</t>
        </is>
      </c>
      <c r="F2823" s="3" t="n">
        <v>0</v>
      </c>
      <c r="G2823" s="3" t="n">
        <v>1425.42</v>
      </c>
    </row>
    <row r="2824">
      <c r="A2824" s="3" t="inlineStr">
        <is>
          <t>Heron Fields (Pty) Ltd</t>
        </is>
      </c>
      <c r="B2824" s="4" t="n">
        <v>44985</v>
      </c>
      <c r="C2824" s="3" t="inlineStr">
        <is>
          <t>Expenses</t>
        </is>
      </c>
      <c r="D2824" s="3" t="inlineStr">
        <is>
          <t>3900/000</t>
        </is>
      </c>
      <c r="E2824" s="3" t="inlineStr">
        <is>
          <t>Interest Paid</t>
        </is>
      </c>
      <c r="F2824" s="3" t="n">
        <v>0</v>
      </c>
      <c r="G2824" s="3" t="n">
        <v>588.4400000000001</v>
      </c>
    </row>
    <row r="2825">
      <c r="A2825" s="3" t="inlineStr">
        <is>
          <t>Cape Projects Construction (Pty) Ltd</t>
        </is>
      </c>
      <c r="B2825" s="4" t="n">
        <v>44985</v>
      </c>
      <c r="C2825" s="3" t="inlineStr">
        <is>
          <t>Expenses</t>
        </is>
      </c>
      <c r="D2825" s="3" t="inlineStr">
        <is>
          <t>3900/100</t>
        </is>
      </c>
      <c r="E2825" s="3" t="inlineStr">
        <is>
          <t>Interest Paid - Suppliers</t>
        </is>
      </c>
      <c r="F2825" s="3" t="n">
        <v>0</v>
      </c>
      <c r="G2825" s="3" t="n">
        <v>165.33</v>
      </c>
    </row>
    <row r="2826">
      <c r="A2826" s="3" t="inlineStr">
        <is>
          <t>Heron Fields (Pty) Ltd</t>
        </is>
      </c>
      <c r="B2826" s="4" t="n">
        <v>44985</v>
      </c>
      <c r="C2826" s="3" t="inlineStr">
        <is>
          <t>Expenses</t>
        </is>
      </c>
      <c r="D2826" s="3" t="inlineStr">
        <is>
          <t>3900/111</t>
        </is>
      </c>
      <c r="E2826" s="3" t="inlineStr">
        <is>
          <t>Interest Paid - Investors @ 6.25%</t>
        </is>
      </c>
      <c r="F2826" s="3" t="n">
        <v>27652.39</v>
      </c>
      <c r="G2826" s="3" t="n">
        <v>506456.8</v>
      </c>
    </row>
    <row r="2827">
      <c r="A2827" s="3" t="inlineStr">
        <is>
          <t>Heron Fields (Pty) Ltd</t>
        </is>
      </c>
      <c r="B2827" s="4" t="n">
        <v>44985</v>
      </c>
      <c r="C2827" s="3" t="inlineStr">
        <is>
          <t>Expenses</t>
        </is>
      </c>
      <c r="D2827" s="3" t="inlineStr">
        <is>
          <t>3900/115</t>
        </is>
      </c>
      <c r="E2827" s="3" t="inlineStr">
        <is>
          <t>Interest Paid - Investors @ 6.5%</t>
        </is>
      </c>
      <c r="F2827" s="3" t="n">
        <v>178.08</v>
      </c>
      <c r="G2827" s="3" t="n">
        <v>50842.47</v>
      </c>
    </row>
    <row r="2828">
      <c r="A2828" s="3" t="inlineStr">
        <is>
          <t>Heron Fields (Pty) Ltd</t>
        </is>
      </c>
      <c r="B2828" s="4" t="n">
        <v>44985</v>
      </c>
      <c r="C2828" s="3" t="inlineStr">
        <is>
          <t>Expenses</t>
        </is>
      </c>
      <c r="D2828" s="3" t="inlineStr">
        <is>
          <t>3900/117</t>
        </is>
      </c>
      <c r="E2828" s="3" t="inlineStr">
        <is>
          <t>Interest Paid - Investors @ 6.75%</t>
        </is>
      </c>
      <c r="F2828" s="3" t="n">
        <v>0</v>
      </c>
      <c r="G2828" s="3" t="n">
        <v>14865.42</v>
      </c>
    </row>
    <row r="2829">
      <c r="A2829" s="3" t="inlineStr">
        <is>
          <t>Heron Fields (Pty) Ltd</t>
        </is>
      </c>
      <c r="B2829" s="4" t="n">
        <v>44985</v>
      </c>
      <c r="C2829" s="3" t="inlineStr">
        <is>
          <t>Expenses</t>
        </is>
      </c>
      <c r="D2829" s="3" t="inlineStr">
        <is>
          <t>3900/120</t>
        </is>
      </c>
      <c r="E2829" s="3" t="inlineStr">
        <is>
          <t>Interest Paid - Investors @ 7%</t>
        </is>
      </c>
      <c r="F2829" s="3" t="n">
        <v>0</v>
      </c>
      <c r="G2829" s="3" t="n">
        <v>2742.46</v>
      </c>
    </row>
    <row r="2830">
      <c r="A2830" s="3" t="inlineStr">
        <is>
          <t>Heron Fields (Pty) Ltd</t>
        </is>
      </c>
      <c r="B2830" s="4" t="n">
        <v>44985</v>
      </c>
      <c r="C2830" s="3" t="inlineStr">
        <is>
          <t>Expenses</t>
        </is>
      </c>
      <c r="D2830" s="3" t="inlineStr">
        <is>
          <t>3900/126</t>
        </is>
      </c>
      <c r="E2830" s="3" t="inlineStr">
        <is>
          <t>Interest Paid - Investors @ 7.5%</t>
        </is>
      </c>
      <c r="F2830" s="3" t="n">
        <v>0</v>
      </c>
      <c r="G2830" s="3" t="n">
        <v>48.99</v>
      </c>
    </row>
    <row r="2831">
      <c r="A2831" s="3" t="inlineStr">
        <is>
          <t>Heron Fields (Pty) Ltd</t>
        </is>
      </c>
      <c r="B2831" s="4" t="n">
        <v>44985</v>
      </c>
      <c r="C2831" s="3" t="inlineStr">
        <is>
          <t>Expenses</t>
        </is>
      </c>
      <c r="D2831" s="3" t="inlineStr">
        <is>
          <t>3900/147</t>
        </is>
      </c>
      <c r="E2831" s="3" t="inlineStr">
        <is>
          <t>Interest Paid - Investors @ 9.75%</t>
        </is>
      </c>
      <c r="F2831" s="3" t="n">
        <v>512.87</v>
      </c>
      <c r="G2831" s="3" t="n">
        <v>512.87</v>
      </c>
    </row>
    <row r="2832">
      <c r="A2832" s="3" t="inlineStr">
        <is>
          <t>Heron Fields (Pty) Ltd</t>
        </is>
      </c>
      <c r="B2832" s="4" t="n">
        <v>44985</v>
      </c>
      <c r="C2832" s="3" t="inlineStr">
        <is>
          <t>Expenses</t>
        </is>
      </c>
      <c r="D2832" s="3" t="inlineStr">
        <is>
          <t>3900/190</t>
        </is>
      </c>
      <c r="E2832" s="3" t="inlineStr">
        <is>
          <t>Interest Paid - Investors @ 14%</t>
        </is>
      </c>
      <c r="F2832" s="3" t="n">
        <v>0</v>
      </c>
      <c r="G2832" s="3" t="n">
        <v>142876.75</v>
      </c>
    </row>
    <row r="2833">
      <c r="A2833" s="3" t="inlineStr">
        <is>
          <t>Heron Fields (Pty) Ltd</t>
        </is>
      </c>
      <c r="B2833" s="4" t="n">
        <v>44985</v>
      </c>
      <c r="C2833" s="3" t="inlineStr">
        <is>
          <t>Expenses</t>
        </is>
      </c>
      <c r="D2833" s="3" t="inlineStr">
        <is>
          <t>3900/200</t>
        </is>
      </c>
      <c r="E2833" s="3" t="inlineStr">
        <is>
          <t>Interest Paid - Investors @ 15%</t>
        </is>
      </c>
      <c r="F2833" s="3" t="n">
        <v>51945.21</v>
      </c>
      <c r="G2833" s="3" t="n">
        <v>1087561.61</v>
      </c>
    </row>
    <row r="2834">
      <c r="A2834" s="3" t="inlineStr">
        <is>
          <t>Heron Fields (Pty) Ltd</t>
        </is>
      </c>
      <c r="B2834" s="4" t="n">
        <v>44985</v>
      </c>
      <c r="C2834" s="3" t="inlineStr">
        <is>
          <t>Expenses</t>
        </is>
      </c>
      <c r="D2834" s="3" t="inlineStr">
        <is>
          <t>3900/210</t>
        </is>
      </c>
      <c r="E2834" s="3" t="inlineStr">
        <is>
          <t>Interest Paid - Investors @ 16%</t>
        </is>
      </c>
      <c r="F2834" s="3" t="n">
        <v>0</v>
      </c>
      <c r="G2834" s="3" t="n">
        <v>138082.19</v>
      </c>
    </row>
    <row r="2835">
      <c r="A2835" s="3" t="inlineStr">
        <is>
          <t>Heron Fields (Pty) Ltd</t>
        </is>
      </c>
      <c r="B2835" s="4" t="n">
        <v>44985</v>
      </c>
      <c r="C2835" s="3" t="inlineStr">
        <is>
          <t>Expenses</t>
        </is>
      </c>
      <c r="D2835" s="3" t="inlineStr">
        <is>
          <t>3900/230</t>
        </is>
      </c>
      <c r="E2835" s="3" t="inlineStr">
        <is>
          <t>Interest Paid - Investors @ 18%</t>
        </is>
      </c>
      <c r="F2835" s="3" t="n">
        <v>454945.07</v>
      </c>
      <c r="G2835" s="3" t="n">
        <v>4856672.01</v>
      </c>
    </row>
    <row r="2836">
      <c r="A2836" s="3" t="inlineStr">
        <is>
          <t>Cape Projects Construction (Pty) Ltd</t>
        </is>
      </c>
      <c r="B2836" s="4" t="n">
        <v>44985</v>
      </c>
      <c r="C2836" s="3" t="inlineStr">
        <is>
          <t>Expenses</t>
        </is>
      </c>
      <c r="D2836" s="3" t="inlineStr">
        <is>
          <t>3901/000</t>
        </is>
      </c>
      <c r="E2836" s="3" t="inlineStr">
        <is>
          <t>Interest Paid - VAF Toyota</t>
        </is>
      </c>
      <c r="F2836" s="3" t="n">
        <v>-1376.11</v>
      </c>
      <c r="G2836" s="3" t="n">
        <v>-1376.11</v>
      </c>
    </row>
    <row r="2837">
      <c r="A2837" s="3" t="inlineStr">
        <is>
          <t>Cape Projects Construction (Pty) Ltd</t>
        </is>
      </c>
      <c r="B2837" s="4" t="n">
        <v>44985</v>
      </c>
      <c r="C2837" s="3" t="inlineStr">
        <is>
          <t>Expenses</t>
        </is>
      </c>
      <c r="D2837" s="3" t="inlineStr">
        <is>
          <t>3904/000</t>
        </is>
      </c>
      <c r="E2837" s="3" t="inlineStr">
        <is>
          <t>Interest Paid - BIBC</t>
        </is>
      </c>
      <c r="F2837" s="3" t="n">
        <v>0</v>
      </c>
      <c r="G2837" s="3" t="n">
        <v>1209.87</v>
      </c>
    </row>
    <row r="2838">
      <c r="A2838" s="3" t="inlineStr">
        <is>
          <t>Heron Fields (Pty) Ltd</t>
        </is>
      </c>
      <c r="B2838" s="4" t="n">
        <v>44985</v>
      </c>
      <c r="C2838" s="3" t="inlineStr">
        <is>
          <t>Expenses</t>
        </is>
      </c>
      <c r="D2838" s="3" t="inlineStr">
        <is>
          <t>4070/000</t>
        </is>
      </c>
      <c r="E2838" s="3" t="inlineStr">
        <is>
          <t>Management fees - OMH</t>
        </is>
      </c>
      <c r="F2838" s="3" t="n">
        <v>0</v>
      </c>
      <c r="G2838" s="3" t="n">
        <v>400000</v>
      </c>
    </row>
    <row r="2839">
      <c r="A2839" s="3" t="inlineStr">
        <is>
          <t>Heron Fields (Pty) Ltd</t>
        </is>
      </c>
      <c r="B2839" s="4" t="n">
        <v>44985</v>
      </c>
      <c r="C2839" s="3" t="inlineStr">
        <is>
          <t>Expenses</t>
        </is>
      </c>
      <c r="D2839" s="3" t="inlineStr">
        <is>
          <t>4100/001</t>
        </is>
      </c>
      <c r="E2839" s="3" t="inlineStr">
        <is>
          <t>Momentum Admin Fee</t>
        </is>
      </c>
      <c r="F2839" s="3" t="n">
        <v>-291144.11</v>
      </c>
      <c r="G2839" s="3" t="n">
        <v>-44150.59</v>
      </c>
    </row>
    <row r="2840">
      <c r="A2840" s="3" t="inlineStr">
        <is>
          <t>Cape Projects Construction (Pty) Ltd</t>
        </is>
      </c>
      <c r="B2840" s="4" t="n">
        <v>44985</v>
      </c>
      <c r="C2840" s="3" t="inlineStr">
        <is>
          <t>Expenses</t>
        </is>
      </c>
      <c r="D2840" s="3" t="inlineStr">
        <is>
          <t>4150/010</t>
        </is>
      </c>
      <c r="E2840" s="3" t="inlineStr">
        <is>
          <t>Motor Vehicle - Petrol _AND_ Oil</t>
        </is>
      </c>
      <c r="F2840" s="3" t="n">
        <v>2297.75</v>
      </c>
      <c r="G2840" s="3" t="n">
        <v>3830.55</v>
      </c>
    </row>
    <row r="2841">
      <c r="A2841" s="3" t="inlineStr">
        <is>
          <t>Cape Projects Construction (Pty) Ltd</t>
        </is>
      </c>
      <c r="B2841" s="4" t="n">
        <v>44985</v>
      </c>
      <c r="C2841" s="3" t="inlineStr">
        <is>
          <t>Expenses</t>
        </is>
      </c>
      <c r="D2841" s="3" t="inlineStr">
        <is>
          <t>4150/020</t>
        </is>
      </c>
      <c r="E2841" s="3" t="inlineStr">
        <is>
          <t>Motor Vehicle - Repairs _AND_ Maint.</t>
        </is>
      </c>
      <c r="F2841" s="3" t="n">
        <v>0</v>
      </c>
      <c r="G2841" s="3" t="n">
        <v>11070.86</v>
      </c>
    </row>
    <row r="2842">
      <c r="A2842" s="3" t="inlineStr">
        <is>
          <t>Cape Projects Construction (Pty) Ltd</t>
        </is>
      </c>
      <c r="B2842" s="4" t="n">
        <v>44985</v>
      </c>
      <c r="C2842" s="3" t="inlineStr">
        <is>
          <t>Expenses</t>
        </is>
      </c>
      <c r="D2842" s="3" t="inlineStr">
        <is>
          <t>4150/030</t>
        </is>
      </c>
      <c r="E2842" s="3" t="inlineStr">
        <is>
          <t>Motor Vehicle - Insurance _AND_ Licence</t>
        </is>
      </c>
      <c r="F2842" s="3" t="n">
        <v>0</v>
      </c>
      <c r="G2842" s="3" t="n">
        <v>1200</v>
      </c>
    </row>
    <row r="2843">
      <c r="A2843" s="3" t="inlineStr">
        <is>
          <t>Cape Projects Construction (Pty) Ltd</t>
        </is>
      </c>
      <c r="B2843" s="4" t="n">
        <v>44985</v>
      </c>
      <c r="C2843" s="3" t="inlineStr">
        <is>
          <t>Expenses</t>
        </is>
      </c>
      <c r="D2843" s="3" t="inlineStr">
        <is>
          <t>4200/000</t>
        </is>
      </c>
      <c r="E2843" s="3" t="inlineStr">
        <is>
          <t>Printing _AND_ Stationery</t>
        </is>
      </c>
      <c r="F2843" s="3" t="n">
        <v>801.71</v>
      </c>
      <c r="G2843" s="3" t="n">
        <v>13979.16</v>
      </c>
    </row>
    <row r="2844">
      <c r="A2844" s="3" t="inlineStr">
        <is>
          <t>Heron View (Pty) Ltd</t>
        </is>
      </c>
      <c r="B2844" s="4" t="n">
        <v>44985</v>
      </c>
      <c r="C2844" s="3" t="inlineStr">
        <is>
          <t>Expenses</t>
        </is>
      </c>
      <c r="D2844" s="3" t="inlineStr">
        <is>
          <t>4200/000</t>
        </is>
      </c>
      <c r="E2844" s="3" t="inlineStr">
        <is>
          <t>Printing _AND_ Stationery</t>
        </is>
      </c>
      <c r="F2844" s="3" t="n">
        <v>0</v>
      </c>
      <c r="G2844" s="3" t="n">
        <v>3404.62</v>
      </c>
    </row>
    <row r="2845">
      <c r="A2845" s="3" t="inlineStr">
        <is>
          <t>Cape Projects Construction (Pty) Ltd</t>
        </is>
      </c>
      <c r="B2845" s="4" t="n">
        <v>44985</v>
      </c>
      <c r="C2845" s="3" t="inlineStr">
        <is>
          <t>Expenses</t>
        </is>
      </c>
      <c r="D2845" s="3" t="inlineStr">
        <is>
          <t>4201/000</t>
        </is>
      </c>
      <c r="E2845" s="3" t="inlineStr">
        <is>
          <t>Printing - Printer rental</t>
        </is>
      </c>
      <c r="F2845" s="3" t="n">
        <v>700.1</v>
      </c>
      <c r="G2845" s="3" t="n">
        <v>7599.09</v>
      </c>
    </row>
    <row r="2846">
      <c r="A2846" s="3" t="inlineStr">
        <is>
          <t>Cape Projects Construction (Pty) Ltd</t>
        </is>
      </c>
      <c r="B2846" s="4" t="n">
        <v>44985</v>
      </c>
      <c r="C2846" s="3" t="inlineStr">
        <is>
          <t>Expenses</t>
        </is>
      </c>
      <c r="D2846" s="3" t="inlineStr">
        <is>
          <t>4300/000</t>
        </is>
      </c>
      <c r="E2846" s="3" t="inlineStr">
        <is>
          <t>Rent Paid</t>
        </is>
      </c>
      <c r="F2846" s="3" t="n">
        <v>8387.950000000001</v>
      </c>
      <c r="G2846" s="3" t="n">
        <v>320879.62</v>
      </c>
    </row>
    <row r="2847">
      <c r="A2847" s="3" t="inlineStr">
        <is>
          <t>Cape Projects Construction (Pty) Ltd</t>
        </is>
      </c>
      <c r="B2847" s="4" t="n">
        <v>44985</v>
      </c>
      <c r="C2847" s="3" t="inlineStr">
        <is>
          <t>Expenses</t>
        </is>
      </c>
      <c r="D2847" s="3" t="inlineStr">
        <is>
          <t>4310/000</t>
        </is>
      </c>
      <c r="E2847" s="3" t="inlineStr">
        <is>
          <t>Rates</t>
        </is>
      </c>
      <c r="F2847" s="3" t="n">
        <v>843.6</v>
      </c>
      <c r="G2847" s="3" t="n">
        <v>10123.2</v>
      </c>
    </row>
    <row r="2848">
      <c r="A2848" s="3" t="inlineStr">
        <is>
          <t>Heron Fields (Pty) Ltd</t>
        </is>
      </c>
      <c r="B2848" s="4" t="n">
        <v>44985</v>
      </c>
      <c r="C2848" s="3" t="inlineStr">
        <is>
          <t>Expenses</t>
        </is>
      </c>
      <c r="D2848" s="3" t="inlineStr">
        <is>
          <t>4310/000</t>
        </is>
      </c>
      <c r="E2848" s="3" t="inlineStr">
        <is>
          <t>Rates - Heron</t>
        </is>
      </c>
      <c r="F2848" s="3" t="n">
        <v>0</v>
      </c>
      <c r="G2848" s="3" t="n">
        <v>35882.8</v>
      </c>
    </row>
    <row r="2849">
      <c r="A2849" s="3" t="inlineStr">
        <is>
          <t>Cape Projects Construction (Pty) Ltd</t>
        </is>
      </c>
      <c r="B2849" s="4" t="n">
        <v>44985</v>
      </c>
      <c r="C2849" s="3" t="inlineStr">
        <is>
          <t>Expenses</t>
        </is>
      </c>
      <c r="D2849" s="3" t="inlineStr">
        <is>
          <t>4350/000</t>
        </is>
      </c>
      <c r="E2849" s="3" t="inlineStr">
        <is>
          <t>Repairs _AND_ Maintenance</t>
        </is>
      </c>
      <c r="F2849" s="3" t="n">
        <v>8960.83</v>
      </c>
      <c r="G2849" s="3" t="n">
        <v>33383.84</v>
      </c>
    </row>
    <row r="2850">
      <c r="A2850" s="3" t="inlineStr">
        <is>
          <t>Heron Fields (Pty) Ltd</t>
        </is>
      </c>
      <c r="B2850" s="4" t="n">
        <v>44985</v>
      </c>
      <c r="C2850" s="3" t="inlineStr">
        <is>
          <t>Expenses</t>
        </is>
      </c>
      <c r="D2850" s="3" t="inlineStr">
        <is>
          <t>4350/000</t>
        </is>
      </c>
      <c r="E2850" s="3" t="inlineStr">
        <is>
          <t>Repairs _AND_ Maintenance</t>
        </is>
      </c>
      <c r="F2850" s="3" t="n">
        <v>0</v>
      </c>
      <c r="G2850" s="3" t="n">
        <v>22719.99</v>
      </c>
    </row>
    <row r="2851">
      <c r="A2851" s="3" t="inlineStr">
        <is>
          <t>Cape Projects Construction (Pty) Ltd</t>
        </is>
      </c>
      <c r="B2851" s="4" t="n">
        <v>44985</v>
      </c>
      <c r="C2851" s="3" t="inlineStr">
        <is>
          <t>Expenses</t>
        </is>
      </c>
      <c r="D2851" s="3" t="inlineStr">
        <is>
          <t>4400/000</t>
        </is>
      </c>
      <c r="E2851" s="3" t="inlineStr">
        <is>
          <t>Salaries _AND_ Wages</t>
        </is>
      </c>
      <c r="F2851" s="3" t="n">
        <v>301293.39</v>
      </c>
      <c r="G2851" s="3" t="n">
        <v>2682374.8</v>
      </c>
    </row>
    <row r="2852">
      <c r="A2852" s="3" t="inlineStr">
        <is>
          <t>Cape Projects Construction (Pty) Ltd</t>
        </is>
      </c>
      <c r="B2852" s="4" t="n">
        <v>44985</v>
      </c>
      <c r="C2852" s="3" t="inlineStr">
        <is>
          <t>Expenses</t>
        </is>
      </c>
      <c r="D2852" s="3" t="inlineStr">
        <is>
          <t>4402</t>
        </is>
      </c>
      <c r="E2852" s="3" t="inlineStr">
        <is>
          <t>Salaries &amp; Wages - WCA</t>
        </is>
      </c>
      <c r="F2852" s="3" t="n">
        <v>0</v>
      </c>
      <c r="G2852" s="3" t="n">
        <v>3746.27</v>
      </c>
    </row>
    <row r="2853">
      <c r="A2853" s="3" t="inlineStr">
        <is>
          <t>Cape Projects Construction (Pty) Ltd</t>
        </is>
      </c>
      <c r="B2853" s="4" t="n">
        <v>44985</v>
      </c>
      <c r="C2853" s="3" t="inlineStr">
        <is>
          <t>Expenses</t>
        </is>
      </c>
      <c r="D2853" s="3" t="inlineStr">
        <is>
          <t>4403/000</t>
        </is>
      </c>
      <c r="E2853" s="3" t="inlineStr">
        <is>
          <t>Security</t>
        </is>
      </c>
      <c r="F2853" s="3" t="n">
        <v>177.33</v>
      </c>
      <c r="G2853" s="3" t="n">
        <v>1872.75</v>
      </c>
    </row>
    <row r="2854">
      <c r="A2854" s="3" t="inlineStr">
        <is>
          <t>Cape Projects Construction (Pty) Ltd</t>
        </is>
      </c>
      <c r="B2854" s="4" t="n">
        <v>44985</v>
      </c>
      <c r="C2854" s="3" t="inlineStr">
        <is>
          <t>Expenses</t>
        </is>
      </c>
      <c r="D2854" s="3" t="inlineStr">
        <is>
          <t>4420/000</t>
        </is>
      </c>
      <c r="E2854" s="3" t="inlineStr">
        <is>
          <t>Small Assets</t>
        </is>
      </c>
      <c r="F2854" s="3" t="n">
        <v>3377.45</v>
      </c>
      <c r="G2854" s="3" t="n">
        <v>13955.28</v>
      </c>
    </row>
    <row r="2855">
      <c r="A2855" s="3" t="inlineStr">
        <is>
          <t>Heron Fields (Pty) Ltd</t>
        </is>
      </c>
      <c r="B2855" s="4" t="n">
        <v>44985</v>
      </c>
      <c r="C2855" s="3" t="inlineStr">
        <is>
          <t>Expenses</t>
        </is>
      </c>
      <c r="D2855" s="3" t="inlineStr">
        <is>
          <t>4420/001</t>
        </is>
      </c>
      <c r="E2855" s="3" t="inlineStr">
        <is>
          <t>Security - ADT</t>
        </is>
      </c>
      <c r="F2855" s="3" t="n">
        <v>328.38</v>
      </c>
      <c r="G2855" s="3" t="n">
        <v>5577.79</v>
      </c>
    </row>
    <row r="2856">
      <c r="A2856" s="3" t="inlineStr">
        <is>
          <t>Cape Projects Construction (Pty) Ltd</t>
        </is>
      </c>
      <c r="B2856" s="4" t="n">
        <v>44985</v>
      </c>
      <c r="C2856" s="3" t="inlineStr">
        <is>
          <t>Expenses</t>
        </is>
      </c>
      <c r="D2856" s="3" t="inlineStr">
        <is>
          <t>4450/000</t>
        </is>
      </c>
      <c r="E2856" s="3" t="inlineStr">
        <is>
          <t>Staff Training</t>
        </is>
      </c>
      <c r="F2856" s="3" t="n">
        <v>0</v>
      </c>
      <c r="G2856" s="3" t="n">
        <v>6800</v>
      </c>
    </row>
    <row r="2857">
      <c r="A2857" s="3" t="inlineStr">
        <is>
          <t>Heron Fields (Pty) Ltd</t>
        </is>
      </c>
      <c r="B2857" s="4" t="n">
        <v>44985</v>
      </c>
      <c r="C2857" s="3" t="inlineStr">
        <is>
          <t>Expenses</t>
        </is>
      </c>
      <c r="D2857" s="3" t="inlineStr">
        <is>
          <t>4500/000</t>
        </is>
      </c>
      <c r="E2857" s="3" t="inlineStr">
        <is>
          <t>Staff Welfare</t>
        </is>
      </c>
      <c r="F2857" s="3" t="n">
        <v>100.26</v>
      </c>
      <c r="G2857" s="3" t="n">
        <v>100.26</v>
      </c>
    </row>
    <row r="2858">
      <c r="A2858" s="3" t="inlineStr">
        <is>
          <t>Cape Projects Construction (Pty) Ltd</t>
        </is>
      </c>
      <c r="B2858" s="4" t="n">
        <v>44985</v>
      </c>
      <c r="C2858" s="3" t="inlineStr">
        <is>
          <t>Expenses</t>
        </is>
      </c>
      <c r="D2858" s="3" t="inlineStr">
        <is>
          <t>4500/000</t>
        </is>
      </c>
      <c r="E2858" s="3" t="inlineStr">
        <is>
          <t>Staff Welfare _AND_ Refreshmts</t>
        </is>
      </c>
      <c r="F2858" s="3" t="n">
        <v>0</v>
      </c>
      <c r="G2858" s="3" t="n">
        <v>4899.14</v>
      </c>
    </row>
    <row r="2859">
      <c r="A2859" s="3" t="inlineStr">
        <is>
          <t>Cape Projects Construction (Pty) Ltd</t>
        </is>
      </c>
      <c r="B2859" s="4" t="n">
        <v>44985</v>
      </c>
      <c r="C2859" s="3" t="inlineStr">
        <is>
          <t>Expenses</t>
        </is>
      </c>
      <c r="D2859" s="3" t="inlineStr">
        <is>
          <t>4550/000</t>
        </is>
      </c>
      <c r="E2859" s="3" t="inlineStr">
        <is>
          <t>Subscriptions / Licenses</t>
        </is>
      </c>
      <c r="F2859" s="3" t="n">
        <v>0</v>
      </c>
      <c r="G2859" s="3" t="n">
        <v>526.3200000000001</v>
      </c>
    </row>
    <row r="2860">
      <c r="A2860" s="3" t="inlineStr">
        <is>
          <t>Cape Projects Construction (Pty) Ltd</t>
        </is>
      </c>
      <c r="B2860" s="4" t="n">
        <v>44985</v>
      </c>
      <c r="C2860" s="3" t="inlineStr">
        <is>
          <t>Expenses</t>
        </is>
      </c>
      <c r="D2860" s="3" t="inlineStr">
        <is>
          <t>4550/001</t>
        </is>
      </c>
      <c r="E2860" s="3" t="inlineStr">
        <is>
          <t>Subscriptions &amp; Licenses - Sage payroll</t>
        </is>
      </c>
      <c r="F2860" s="3" t="n">
        <v>747</v>
      </c>
      <c r="G2860" s="3" t="n">
        <v>7574</v>
      </c>
    </row>
    <row r="2861">
      <c r="A2861" s="3" t="inlineStr">
        <is>
          <t>Cape Projects Construction (Pty) Ltd</t>
        </is>
      </c>
      <c r="B2861" s="4" t="n">
        <v>44985</v>
      </c>
      <c r="C2861" s="3" t="inlineStr">
        <is>
          <t>Expenses</t>
        </is>
      </c>
      <c r="D2861" s="3" t="inlineStr">
        <is>
          <t>4550/003</t>
        </is>
      </c>
      <c r="E2861" s="3" t="inlineStr">
        <is>
          <t>Subscriptions &amp; Licenses - Xero</t>
        </is>
      </c>
      <c r="F2861" s="3" t="n">
        <v>600</v>
      </c>
      <c r="G2861" s="3" t="n">
        <v>7200</v>
      </c>
    </row>
    <row r="2862">
      <c r="A2862" s="3" t="inlineStr">
        <is>
          <t>Cape Projects Construction (Pty) Ltd</t>
        </is>
      </c>
      <c r="B2862" s="4" t="n">
        <v>44985</v>
      </c>
      <c r="C2862" s="3" t="inlineStr">
        <is>
          <t>Expenses</t>
        </is>
      </c>
      <c r="D2862" s="3" t="inlineStr">
        <is>
          <t>4550/004</t>
        </is>
      </c>
      <c r="E2862" s="3" t="inlineStr">
        <is>
          <t>Subscriptions - Smartsheet</t>
        </is>
      </c>
      <c r="F2862" s="3" t="n">
        <v>605</v>
      </c>
      <c r="G2862" s="3" t="n">
        <v>5512.76</v>
      </c>
    </row>
    <row r="2863">
      <c r="A2863" s="3" t="inlineStr">
        <is>
          <t>Cape Projects Construction (Pty) Ltd</t>
        </is>
      </c>
      <c r="B2863" s="4" t="n">
        <v>44985</v>
      </c>
      <c r="C2863" s="3" t="inlineStr">
        <is>
          <t>Expenses</t>
        </is>
      </c>
      <c r="D2863" s="3" t="inlineStr">
        <is>
          <t>4550/006</t>
        </is>
      </c>
      <c r="E2863" s="3" t="inlineStr">
        <is>
          <t>Subscription - Candy software</t>
        </is>
      </c>
      <c r="F2863" s="3" t="n">
        <v>0</v>
      </c>
      <c r="G2863" s="3" t="n">
        <v>13765</v>
      </c>
    </row>
    <row r="2864">
      <c r="A2864" s="3" t="inlineStr">
        <is>
          <t>Heron Fields (Pty) Ltd</t>
        </is>
      </c>
      <c r="B2864" s="4" t="n">
        <v>44985</v>
      </c>
      <c r="C2864" s="3" t="inlineStr">
        <is>
          <t>Expenses</t>
        </is>
      </c>
      <c r="D2864" s="3" t="inlineStr">
        <is>
          <t>4550/100</t>
        </is>
      </c>
      <c r="E2864" s="3" t="inlineStr">
        <is>
          <t>Subscriptions - Xero</t>
        </is>
      </c>
      <c r="F2864" s="3" t="n">
        <v>600</v>
      </c>
      <c r="G2864" s="3" t="n">
        <v>7200</v>
      </c>
    </row>
    <row r="2865">
      <c r="A2865" s="3" t="inlineStr">
        <is>
          <t>Heron View (Pty) Ltd</t>
        </is>
      </c>
      <c r="B2865" s="4" t="n">
        <v>44985</v>
      </c>
      <c r="C2865" s="3" t="inlineStr">
        <is>
          <t>Expenses</t>
        </is>
      </c>
      <c r="D2865" s="3" t="inlineStr">
        <is>
          <t>4550/100</t>
        </is>
      </c>
      <c r="E2865" s="3" t="inlineStr">
        <is>
          <t>Subscriptions - Xero</t>
        </is>
      </c>
      <c r="F2865" s="3" t="n">
        <v>600</v>
      </c>
      <c r="G2865" s="3" t="n">
        <v>10800</v>
      </c>
    </row>
    <row r="2866">
      <c r="A2866" s="3" t="inlineStr">
        <is>
          <t>Heron Fields (Pty) Ltd</t>
        </is>
      </c>
      <c r="B2866" s="4" t="n">
        <v>44985</v>
      </c>
      <c r="C2866" s="3" t="inlineStr">
        <is>
          <t>Expenses</t>
        </is>
      </c>
      <c r="D2866" s="3" t="inlineStr">
        <is>
          <t>4550/200</t>
        </is>
      </c>
      <c r="E2866" s="3" t="inlineStr">
        <is>
          <t>Subscription - NHBRC</t>
        </is>
      </c>
      <c r="F2866" s="3" t="n">
        <v>0</v>
      </c>
      <c r="G2866" s="3" t="n">
        <v>788.4299999999999</v>
      </c>
    </row>
    <row r="2867">
      <c r="A2867" s="3" t="inlineStr">
        <is>
          <t>Cape Projects Construction (Pty) Ltd</t>
        </is>
      </c>
      <c r="B2867" s="4" t="n">
        <v>44985</v>
      </c>
      <c r="C2867" s="3" t="inlineStr">
        <is>
          <t>Expenses</t>
        </is>
      </c>
      <c r="D2867" s="3" t="inlineStr">
        <is>
          <t>4560</t>
        </is>
      </c>
      <c r="E2867" s="3" t="inlineStr">
        <is>
          <t>Secretarial fees - CIPC</t>
        </is>
      </c>
      <c r="F2867" s="3" t="n">
        <v>0</v>
      </c>
      <c r="G2867" s="3" t="n">
        <v>2500</v>
      </c>
    </row>
    <row r="2868">
      <c r="A2868" s="3" t="inlineStr">
        <is>
          <t>Cape Projects Construction (Pty) Ltd</t>
        </is>
      </c>
      <c r="B2868" s="4" t="n">
        <v>44985</v>
      </c>
      <c r="C2868" s="3" t="inlineStr">
        <is>
          <t>Expenses</t>
        </is>
      </c>
      <c r="D2868" s="3" t="inlineStr">
        <is>
          <t>4650/010</t>
        </is>
      </c>
      <c r="E2868" s="3" t="inlineStr">
        <is>
          <t>Travel - Local</t>
        </is>
      </c>
      <c r="F2868" s="3" t="n">
        <v>0</v>
      </c>
      <c r="G2868" s="3" t="n">
        <v>13.04</v>
      </c>
    </row>
    <row r="2869">
      <c r="A2869" s="3" t="inlineStr">
        <is>
          <t>Cape Projects Construction (Pty) Ltd</t>
        </is>
      </c>
      <c r="B2869" s="4" t="n">
        <v>44985</v>
      </c>
      <c r="C2869" s="3" t="inlineStr">
        <is>
          <t>Expenses</t>
        </is>
      </c>
      <c r="D2869" s="3" t="inlineStr">
        <is>
          <t>4700/000</t>
        </is>
      </c>
      <c r="E2869" s="3" t="inlineStr">
        <is>
          <t>PAYE Contributions</t>
        </is>
      </c>
      <c r="F2869" s="3" t="n">
        <v>57301.13</v>
      </c>
      <c r="G2869" s="3" t="n">
        <v>442349.97</v>
      </c>
    </row>
    <row r="2870">
      <c r="A2870" s="3" t="inlineStr">
        <is>
          <t>Cape Projects Construction (Pty) Ltd</t>
        </is>
      </c>
      <c r="B2870" s="4" t="n">
        <v>44985</v>
      </c>
      <c r="C2870" s="3" t="inlineStr">
        <is>
          <t>Expenses</t>
        </is>
      </c>
      <c r="D2870" s="3" t="inlineStr">
        <is>
          <t>4720/000</t>
        </is>
      </c>
      <c r="E2870" s="3" t="inlineStr">
        <is>
          <t>SDL Contributions</t>
        </is>
      </c>
      <c r="F2870" s="3" t="n">
        <v>3367.25</v>
      </c>
      <c r="G2870" s="3" t="n">
        <v>29745.7</v>
      </c>
    </row>
    <row r="2871">
      <c r="A2871" s="3" t="inlineStr">
        <is>
          <t>Cape Projects Construction (Pty) Ltd</t>
        </is>
      </c>
      <c r="B2871" s="4" t="n">
        <v>44985</v>
      </c>
      <c r="C2871" s="3" t="inlineStr">
        <is>
          <t>Expenses</t>
        </is>
      </c>
      <c r="D2871" s="3" t="inlineStr">
        <is>
          <t>4730/000</t>
        </is>
      </c>
      <c r="E2871" s="3" t="inlineStr">
        <is>
          <t>UIF Company Contributions</t>
        </is>
      </c>
      <c r="F2871" s="3" t="n">
        <v>1689.21</v>
      </c>
      <c r="G2871" s="3" t="n">
        <v>20100.58</v>
      </c>
    </row>
    <row r="2872">
      <c r="A2872" s="3" t="inlineStr">
        <is>
          <t>Cape Projects Construction (Pty) Ltd</t>
        </is>
      </c>
      <c r="B2872" s="4" t="n">
        <v>44985</v>
      </c>
      <c r="C2872" s="3" t="inlineStr">
        <is>
          <t>Expenses</t>
        </is>
      </c>
      <c r="D2872" s="3" t="inlineStr">
        <is>
          <t>4731/000</t>
        </is>
      </c>
      <c r="E2872" s="3" t="inlineStr">
        <is>
          <t>UIF Employee Contribution</t>
        </is>
      </c>
      <c r="F2872" s="3" t="n">
        <v>1689.21</v>
      </c>
      <c r="G2872" s="3" t="n">
        <v>20100.58</v>
      </c>
    </row>
    <row r="2873">
      <c r="A2873" s="3" t="inlineStr">
        <is>
          <t>Cape Projects Construction (Pty) Ltd</t>
        </is>
      </c>
      <c r="B2873" s="4" t="n">
        <v>44985</v>
      </c>
      <c r="C2873" s="3" t="inlineStr">
        <is>
          <t>Expenses</t>
        </is>
      </c>
      <c r="D2873" s="3" t="inlineStr">
        <is>
          <t>4740/000</t>
        </is>
      </c>
      <c r="E2873" s="3" t="inlineStr">
        <is>
          <t>BIBC Company Contribution</t>
        </is>
      </c>
      <c r="F2873" s="3" t="n">
        <v>5034</v>
      </c>
      <c r="G2873" s="3" t="n">
        <v>81099.64</v>
      </c>
    </row>
    <row r="2874">
      <c r="A2874" s="3" t="inlineStr">
        <is>
          <t>Cape Projects Construction (Pty) Ltd</t>
        </is>
      </c>
      <c r="B2874" s="4" t="n">
        <v>44985</v>
      </c>
      <c r="C2874" s="3" t="inlineStr">
        <is>
          <t>Expenses</t>
        </is>
      </c>
      <c r="D2874" s="3" t="inlineStr">
        <is>
          <t>4741/000</t>
        </is>
      </c>
      <c r="E2874" s="3" t="inlineStr">
        <is>
          <t>BIBC Employee Contribution</t>
        </is>
      </c>
      <c r="F2874" s="3" t="n">
        <v>1775.25</v>
      </c>
      <c r="G2874" s="3" t="n">
        <v>27399.55</v>
      </c>
    </row>
    <row r="2875">
      <c r="A2875" s="3" t="inlineStr">
        <is>
          <t>Heron Fields (Pty) Ltd</t>
        </is>
      </c>
      <c r="B2875" s="4" t="n">
        <v>44985</v>
      </c>
      <c r="C2875" s="3" t="inlineStr">
        <is>
          <t>Equity</t>
        </is>
      </c>
      <c r="D2875" s="3" t="inlineStr">
        <is>
          <t>5100-000</t>
        </is>
      </c>
      <c r="E2875" s="3" t="inlineStr">
        <is>
          <t>Share Capital</t>
        </is>
      </c>
      <c r="F2875" s="3" t="n">
        <v>0</v>
      </c>
      <c r="G2875" s="3" t="n">
        <v>-100</v>
      </c>
    </row>
    <row r="2876">
      <c r="A2876" s="3" t="inlineStr">
        <is>
          <t>Cape Projects Construction (Pty) Ltd</t>
        </is>
      </c>
      <c r="B2876" s="4" t="n">
        <v>44985</v>
      </c>
      <c r="C2876" s="3" t="inlineStr">
        <is>
          <t>Equity</t>
        </is>
      </c>
      <c r="D2876" s="3" t="inlineStr">
        <is>
          <t>5100/000</t>
        </is>
      </c>
      <c r="E2876" s="3" t="inlineStr">
        <is>
          <t>Share Capital / Members Contribution</t>
        </is>
      </c>
      <c r="F2876" s="3" t="n">
        <v>0</v>
      </c>
      <c r="G2876" s="3" t="n">
        <v>-120</v>
      </c>
    </row>
    <row r="2877">
      <c r="A2877" s="3" t="inlineStr">
        <is>
          <t>Cape Projects Construction (Pty) Ltd</t>
        </is>
      </c>
      <c r="B2877" s="4" t="n">
        <v>44985</v>
      </c>
      <c r="C2877" s="3" t="inlineStr">
        <is>
          <t>Equity</t>
        </is>
      </c>
      <c r="D2877" s="3" t="inlineStr">
        <is>
          <t>5200/000</t>
        </is>
      </c>
      <c r="E2877" s="3" t="inlineStr">
        <is>
          <t>Retained Earnings / Loss</t>
        </is>
      </c>
      <c r="F2877" s="3" t="n">
        <v>5771.33</v>
      </c>
      <c r="G2877" s="3" t="n">
        <v>253118.38</v>
      </c>
    </row>
    <row r="2878">
      <c r="A2878" s="3" t="inlineStr">
        <is>
          <t>Heron Fields (Pty) Ltd</t>
        </is>
      </c>
      <c r="B2878" s="4" t="n">
        <v>44985</v>
      </c>
      <c r="C2878" s="3" t="inlineStr">
        <is>
          <t>Equity</t>
        </is>
      </c>
      <c r="D2878" s="3" t="inlineStr">
        <is>
          <t>5200/000</t>
        </is>
      </c>
      <c r="E2878" s="3" t="inlineStr">
        <is>
          <t>Retained Earnings / Loss</t>
        </is>
      </c>
      <c r="F2878" s="3" t="n">
        <v>0</v>
      </c>
      <c r="G2878" s="3" t="n">
        <v>-17080353.05</v>
      </c>
    </row>
    <row r="2879">
      <c r="A2879" s="3" t="inlineStr">
        <is>
          <t>Heron Fields (Pty) Ltd</t>
        </is>
      </c>
      <c r="B2879" s="4" t="n">
        <v>44985</v>
      </c>
      <c r="C2879" s="3" t="inlineStr">
        <is>
          <t>Assets</t>
        </is>
      </c>
      <c r="D2879" s="3" t="inlineStr">
        <is>
          <t>5300/001</t>
        </is>
      </c>
      <c r="E2879" s="3" t="inlineStr">
        <is>
          <t>Revaluation of Land stock</t>
        </is>
      </c>
      <c r="F2879" s="3" t="n">
        <v>0</v>
      </c>
      <c r="G2879" s="3" t="n">
        <v>17562360.85</v>
      </c>
    </row>
    <row r="2880">
      <c r="A2880" s="3" t="inlineStr">
        <is>
          <t>Cape Projects Construction (Pty) Ltd</t>
        </is>
      </c>
      <c r="B2880" s="4" t="n">
        <v>44985</v>
      </c>
      <c r="C2880" s="3" t="inlineStr">
        <is>
          <t>Assets</t>
        </is>
      </c>
      <c r="D2880" s="3" t="inlineStr">
        <is>
          <t>5400/150</t>
        </is>
      </c>
      <c r="E2880" s="3" t="inlineStr">
        <is>
          <t>Loan - Quinate</t>
        </is>
      </c>
      <c r="F2880" s="3" t="n">
        <v>-7166187.4</v>
      </c>
      <c r="G2880" s="3" t="n">
        <v>0</v>
      </c>
    </row>
    <row r="2881">
      <c r="A2881" s="3" t="inlineStr">
        <is>
          <t>Cape Projects Construction (Pty) Ltd</t>
        </is>
      </c>
      <c r="B2881" s="4" t="n">
        <v>44985</v>
      </c>
      <c r="C2881" s="3" t="inlineStr">
        <is>
          <t>Assets</t>
        </is>
      </c>
      <c r="D2881" s="3" t="inlineStr">
        <is>
          <t>5400/220</t>
        </is>
      </c>
      <c r="E2881" s="3" t="inlineStr">
        <is>
          <t>Members Loan - WH</t>
        </is>
      </c>
      <c r="F2881" s="3" t="n">
        <v>-4342.5</v>
      </c>
      <c r="G2881" s="3" t="n">
        <v>-4342.5</v>
      </c>
    </row>
    <row r="2882">
      <c r="A2882" s="3" t="inlineStr">
        <is>
          <t>Cape Projects Construction (Pty) Ltd</t>
        </is>
      </c>
      <c r="B2882" s="4" t="n">
        <v>44985</v>
      </c>
      <c r="C2882" s="3" t="inlineStr">
        <is>
          <t>Assets</t>
        </is>
      </c>
      <c r="D2882" s="3" t="inlineStr">
        <is>
          <t>5400/450</t>
        </is>
      </c>
      <c r="E2882" s="3" t="inlineStr">
        <is>
          <t>Loan - Opportunity Investment</t>
        </is>
      </c>
      <c r="F2882" s="3" t="n">
        <v>-90000</v>
      </c>
      <c r="G2882" s="3" t="n">
        <v>-361000</v>
      </c>
    </row>
    <row r="2883">
      <c r="A2883" s="3" t="inlineStr">
        <is>
          <t>Cape Projects Construction (Pty) Ltd</t>
        </is>
      </c>
      <c r="B2883" s="4" t="n">
        <v>44985</v>
      </c>
      <c r="C2883" s="3" t="inlineStr">
        <is>
          <t>Assets</t>
        </is>
      </c>
      <c r="D2883" s="3" t="inlineStr">
        <is>
          <t>5400/500</t>
        </is>
      </c>
      <c r="E2883" s="3" t="inlineStr">
        <is>
          <t>Loan - Blou Mamba Trust</t>
        </is>
      </c>
      <c r="F2883" s="3" t="n">
        <v>4342.5</v>
      </c>
      <c r="G2883" s="3" t="n">
        <v>4342.5</v>
      </c>
    </row>
    <row r="2884">
      <c r="A2884" s="3" t="inlineStr">
        <is>
          <t>Cape Projects Construction (Pty) Ltd</t>
        </is>
      </c>
      <c r="B2884" s="4" t="n">
        <v>44985</v>
      </c>
      <c r="C2884" s="3" t="inlineStr">
        <is>
          <t>Assets</t>
        </is>
      </c>
      <c r="D2884" s="3" t="inlineStr">
        <is>
          <t>5400/550</t>
        </is>
      </c>
      <c r="E2884" s="3" t="inlineStr">
        <is>
          <t>Loan - Trademark</t>
        </is>
      </c>
      <c r="F2884" s="3" t="n">
        <v>-1200</v>
      </c>
      <c r="G2884" s="3" t="n">
        <v>0</v>
      </c>
    </row>
    <row r="2885">
      <c r="A2885" s="3" t="inlineStr">
        <is>
          <t>Cape Projects Construction (Pty) Ltd</t>
        </is>
      </c>
      <c r="B2885" s="4" t="n">
        <v>44985</v>
      </c>
      <c r="C2885" s="3" t="inlineStr">
        <is>
          <t>Assets</t>
        </is>
      </c>
      <c r="D2885" s="3" t="inlineStr">
        <is>
          <t>5400/600</t>
        </is>
      </c>
      <c r="E2885" s="3" t="inlineStr">
        <is>
          <t>Loan - Heron Projects</t>
        </is>
      </c>
      <c r="F2885" s="3" t="n">
        <v>-1599110.09</v>
      </c>
      <c r="G2885" s="3" t="n">
        <v>-9825248.59</v>
      </c>
    </row>
    <row r="2886">
      <c r="A2886" s="3" t="inlineStr">
        <is>
          <t>Cape Projects Construction (Pty) Ltd</t>
        </is>
      </c>
      <c r="B2886" s="4" t="n">
        <v>44985</v>
      </c>
      <c r="C2886" s="3" t="inlineStr">
        <is>
          <t>Assets</t>
        </is>
      </c>
      <c r="D2886" s="3" t="inlineStr">
        <is>
          <t>5400/650</t>
        </is>
      </c>
      <c r="E2886" s="3" t="inlineStr">
        <is>
          <t>Loan - Noble Shield</t>
        </is>
      </c>
      <c r="F2886" s="3" t="n">
        <v>-1200</v>
      </c>
      <c r="G2886" s="3" t="n">
        <v>0</v>
      </c>
    </row>
    <row r="2887">
      <c r="A2887" s="3" t="inlineStr">
        <is>
          <t>Cape Projects Construction (Pty) Ltd</t>
        </is>
      </c>
      <c r="B2887" s="4" t="n">
        <v>44985</v>
      </c>
      <c r="C2887" s="3" t="inlineStr">
        <is>
          <t>Assets</t>
        </is>
      </c>
      <c r="D2887" s="3" t="inlineStr">
        <is>
          <t>5400/750</t>
        </is>
      </c>
      <c r="E2887" s="3" t="inlineStr">
        <is>
          <t>Loan - Endulini</t>
        </is>
      </c>
      <c r="F2887" s="3" t="n">
        <v>7271187.4</v>
      </c>
      <c r="G2887" s="3" t="n">
        <v>13330187.4</v>
      </c>
    </row>
    <row r="2888">
      <c r="A2888" s="3" t="inlineStr">
        <is>
          <t>Cape Projects Construction (Pty) Ltd</t>
        </is>
      </c>
      <c r="B2888" s="4" t="n">
        <v>44985</v>
      </c>
      <c r="C2888" s="3" t="inlineStr">
        <is>
          <t>Assets</t>
        </is>
      </c>
      <c r="D2888" s="3" t="inlineStr">
        <is>
          <t>5400/800</t>
        </is>
      </c>
      <c r="E2888" s="3" t="inlineStr">
        <is>
          <t>Loan - Opportunity Management Holdings</t>
        </is>
      </c>
      <c r="F2888" s="3" t="n">
        <v>0</v>
      </c>
      <c r="G2888" s="3" t="n">
        <v>-120000</v>
      </c>
    </row>
    <row r="2889">
      <c r="A2889" s="3" t="inlineStr">
        <is>
          <t>Heron View (Pty) Ltd</t>
        </is>
      </c>
      <c r="B2889" s="4" t="n">
        <v>44985</v>
      </c>
      <c r="C2889" s="3" t="inlineStr">
        <is>
          <t>Liabilities</t>
        </is>
      </c>
      <c r="D2889" s="3" t="inlineStr">
        <is>
          <t>5500/001</t>
        </is>
      </c>
      <c r="E2889" s="3" t="inlineStr">
        <is>
          <t>Loan - Heron Fields</t>
        </is>
      </c>
      <c r="F2889" s="3" t="n">
        <v>-7959387.81</v>
      </c>
      <c r="G2889" s="3" t="n">
        <v>-10564871.5</v>
      </c>
    </row>
    <row r="2890">
      <c r="A2890" s="3" t="inlineStr">
        <is>
          <t>Heron Fields (Pty) Ltd</t>
        </is>
      </c>
      <c r="B2890" s="4" t="n">
        <v>44985</v>
      </c>
      <c r="C2890" s="3" t="inlineStr">
        <is>
          <t>Liabilities</t>
        </is>
      </c>
      <c r="D2890" s="3" t="inlineStr">
        <is>
          <t>5500/020</t>
        </is>
      </c>
      <c r="E2890" s="3" t="inlineStr">
        <is>
          <t>Loan - Cape Projects Construction</t>
        </is>
      </c>
      <c r="F2890" s="3" t="n">
        <v>1599110.09</v>
      </c>
      <c r="G2890" s="3" t="n">
        <v>9825248.59</v>
      </c>
    </row>
    <row r="2891">
      <c r="A2891" s="3" t="inlineStr">
        <is>
          <t>Heron Fields (Pty) Ltd</t>
        </is>
      </c>
      <c r="B2891" s="4" t="n">
        <v>44985</v>
      </c>
      <c r="C2891" s="3" t="inlineStr">
        <is>
          <t>Liabilities</t>
        </is>
      </c>
      <c r="D2891" s="3" t="inlineStr">
        <is>
          <t>5500/030</t>
        </is>
      </c>
      <c r="E2891" s="3" t="inlineStr">
        <is>
          <t>Loan - Opportunity Global Investments</t>
        </is>
      </c>
      <c r="F2891" s="3" t="n">
        <v>171000</v>
      </c>
      <c r="G2891" s="3" t="n">
        <v>548000</v>
      </c>
    </row>
    <row r="2892">
      <c r="A2892" s="3" t="inlineStr">
        <is>
          <t>Heron Fields (Pty) Ltd</t>
        </is>
      </c>
      <c r="B2892" s="4" t="n">
        <v>44985</v>
      </c>
      <c r="C2892" s="3" t="inlineStr">
        <is>
          <t>Liabilities</t>
        </is>
      </c>
      <c r="D2892" s="3" t="inlineStr">
        <is>
          <t>5500/050</t>
        </is>
      </c>
      <c r="E2892" s="3" t="inlineStr">
        <is>
          <t>Loan - Heron View</t>
        </is>
      </c>
      <c r="F2892" s="3" t="n">
        <v>2042327.64</v>
      </c>
      <c r="G2892" s="3" t="n">
        <v>10564871.5</v>
      </c>
    </row>
    <row r="2893">
      <c r="A2893" s="3" t="inlineStr">
        <is>
          <t>Cape Projects Construction (Pty) Ltd</t>
        </is>
      </c>
      <c r="B2893" s="4" t="n">
        <v>44985</v>
      </c>
      <c r="C2893" s="3" t="inlineStr">
        <is>
          <t>Liabilities</t>
        </is>
      </c>
      <c r="D2893" s="3" t="inlineStr">
        <is>
          <t>5600/100</t>
        </is>
      </c>
      <c r="E2893" s="3" t="inlineStr">
        <is>
          <t>Motor Vehical Car Repaymts - Toyota</t>
        </is>
      </c>
      <c r="F2893" s="3" t="n">
        <v>-57370.28</v>
      </c>
      <c r="G2893" s="3" t="n">
        <v>0</v>
      </c>
    </row>
    <row r="2894">
      <c r="A2894" s="3" t="inlineStr">
        <is>
          <t>Cape Projects Construction (Pty) Ltd</t>
        </is>
      </c>
      <c r="B2894" s="4" t="n">
        <v>44985</v>
      </c>
      <c r="C2894" s="3" t="inlineStr">
        <is>
          <t>Liabilities</t>
        </is>
      </c>
      <c r="D2894" s="3" t="inlineStr">
        <is>
          <t>5600/200</t>
        </is>
      </c>
      <c r="E2894" s="3" t="inlineStr">
        <is>
          <t>Motor Vehicle Car Repayments - Toyota Shortterm</t>
        </is>
      </c>
      <c r="F2894" s="3" t="n">
        <v>58920.1</v>
      </c>
      <c r="G2894" s="3" t="n">
        <v>0</v>
      </c>
    </row>
    <row r="2895">
      <c r="A2895" s="3" t="inlineStr">
        <is>
          <t>Cape Projects Construction (Pty) Ltd</t>
        </is>
      </c>
      <c r="B2895" s="4" t="n">
        <v>44985</v>
      </c>
      <c r="C2895" s="3" t="inlineStr">
        <is>
          <t>Assets</t>
        </is>
      </c>
      <c r="D2895" s="3" t="inlineStr">
        <is>
          <t>6200/010</t>
        </is>
      </c>
      <c r="E2895" s="3" t="inlineStr">
        <is>
          <t>Motor Vehicles - @ Cost</t>
        </is>
      </c>
      <c r="F2895" s="3" t="n">
        <v>0</v>
      </c>
      <c r="G2895" s="3" t="n">
        <v>216064.1</v>
      </c>
    </row>
    <row r="2896">
      <c r="A2896" s="3" t="inlineStr">
        <is>
          <t>Cape Projects Construction (Pty) Ltd</t>
        </is>
      </c>
      <c r="B2896" s="4" t="n">
        <v>44985</v>
      </c>
      <c r="C2896" s="3" t="inlineStr">
        <is>
          <t>Assets</t>
        </is>
      </c>
      <c r="D2896" s="3" t="inlineStr">
        <is>
          <t>6200/020</t>
        </is>
      </c>
      <c r="E2896" s="3" t="inlineStr">
        <is>
          <t>Motor Vehicles - Accum Depre</t>
        </is>
      </c>
      <c r="F2896" s="3" t="n">
        <v>0</v>
      </c>
      <c r="G2896" s="3" t="n">
        <v>-216063.1</v>
      </c>
    </row>
    <row r="2897">
      <c r="A2897" s="3" t="inlineStr">
        <is>
          <t>Cape Projects Construction (Pty) Ltd</t>
        </is>
      </c>
      <c r="B2897" s="4" t="n">
        <v>44985</v>
      </c>
      <c r="C2897" s="3" t="inlineStr">
        <is>
          <t>Assets</t>
        </is>
      </c>
      <c r="D2897" s="3" t="inlineStr">
        <is>
          <t>6250/010</t>
        </is>
      </c>
      <c r="E2897" s="3" t="inlineStr">
        <is>
          <t>Computer Equipment - @ Cost</t>
        </is>
      </c>
      <c r="F2897" s="3" t="n">
        <v>0</v>
      </c>
      <c r="G2897" s="3" t="n">
        <v>92100.13</v>
      </c>
    </row>
    <row r="2898">
      <c r="A2898" s="3" t="inlineStr">
        <is>
          <t>Cape Projects Construction (Pty) Ltd</t>
        </is>
      </c>
      <c r="B2898" s="4" t="n">
        <v>44985</v>
      </c>
      <c r="C2898" s="3" t="inlineStr">
        <is>
          <t>Assets</t>
        </is>
      </c>
      <c r="D2898" s="3" t="inlineStr">
        <is>
          <t>6250/020</t>
        </is>
      </c>
      <c r="E2898" s="3" t="inlineStr">
        <is>
          <t>Computer Equipment - Accum Depre</t>
        </is>
      </c>
      <c r="F2898" s="3" t="n">
        <v>-2165.83</v>
      </c>
      <c r="G2898" s="3" t="n">
        <v>-42922.99</v>
      </c>
    </row>
    <row r="2899">
      <c r="A2899" s="3" t="inlineStr">
        <is>
          <t>Cape Projects Construction (Pty) Ltd</t>
        </is>
      </c>
      <c r="B2899" s="4" t="n">
        <v>44985</v>
      </c>
      <c r="C2899" s="3" t="inlineStr">
        <is>
          <t>Assets</t>
        </is>
      </c>
      <c r="D2899" s="3" t="inlineStr">
        <is>
          <t>6350/010</t>
        </is>
      </c>
      <c r="E2899" s="3" t="inlineStr">
        <is>
          <t>Furniture _AND_ Fittings - @ Cost</t>
        </is>
      </c>
      <c r="F2899" s="3" t="n">
        <v>0</v>
      </c>
      <c r="G2899" s="3" t="n">
        <v>37955.3</v>
      </c>
    </row>
    <row r="2900">
      <c r="A2900" s="3" t="inlineStr">
        <is>
          <t>Cape Projects Construction (Pty) Ltd</t>
        </is>
      </c>
      <c r="B2900" s="4" t="n">
        <v>44985</v>
      </c>
      <c r="C2900" s="3" t="inlineStr">
        <is>
          <t>Assets</t>
        </is>
      </c>
      <c r="D2900" s="3" t="inlineStr">
        <is>
          <t>6350/020</t>
        </is>
      </c>
      <c r="E2900" s="3" t="inlineStr">
        <is>
          <t>Furniture _AND_ Fittings - Accum Depre</t>
        </is>
      </c>
      <c r="F2900" s="3" t="n">
        <v>-547.66</v>
      </c>
      <c r="G2900" s="3" t="n">
        <v>-5894.55</v>
      </c>
    </row>
    <row r="2901">
      <c r="A2901" s="3" t="inlineStr">
        <is>
          <t>Cape Projects Construction (Pty) Ltd</t>
        </is>
      </c>
      <c r="B2901" s="4" t="n">
        <v>44985</v>
      </c>
      <c r="C2901" s="3" t="inlineStr">
        <is>
          <t>Assets</t>
        </is>
      </c>
      <c r="D2901" s="3" t="inlineStr">
        <is>
          <t>6600/010</t>
        </is>
      </c>
      <c r="E2901" s="3" t="inlineStr">
        <is>
          <t>Generator Fixed Asset - @ Cost</t>
        </is>
      </c>
      <c r="F2901" s="3" t="n">
        <v>0</v>
      </c>
      <c r="G2901" s="3" t="n">
        <v>11600</v>
      </c>
    </row>
    <row r="2902">
      <c r="A2902" s="3" t="inlineStr">
        <is>
          <t>Cape Projects Construction (Pty) Ltd</t>
        </is>
      </c>
      <c r="B2902" s="4" t="n">
        <v>44985</v>
      </c>
      <c r="C2902" s="3" t="inlineStr">
        <is>
          <t>Assets</t>
        </is>
      </c>
      <c r="D2902" s="3" t="inlineStr">
        <is>
          <t>6600/020</t>
        </is>
      </c>
      <c r="E2902" s="3" t="inlineStr">
        <is>
          <t>Generator Fixed Asset - Accum Depre</t>
        </is>
      </c>
      <c r="F2902" s="3" t="n">
        <v>-193.33</v>
      </c>
      <c r="G2902" s="3" t="n">
        <v>-3125.56</v>
      </c>
    </row>
    <row r="2903">
      <c r="A2903" s="3" t="inlineStr">
        <is>
          <t>Heron Fields (Pty) Ltd</t>
        </is>
      </c>
      <c r="B2903" s="4" t="n">
        <v>44985</v>
      </c>
      <c r="C2903" s="3" t="inlineStr">
        <is>
          <t>Assets</t>
        </is>
      </c>
      <c r="D2903" s="3" t="inlineStr">
        <is>
          <t>7610/395</t>
        </is>
      </c>
      <c r="E2903" s="3" t="inlineStr">
        <is>
          <t>HF CIP NHBRC</t>
        </is>
      </c>
      <c r="F2903" s="3" t="n">
        <v>0</v>
      </c>
      <c r="G2903" s="3" t="n">
        <v>874505.75</v>
      </c>
    </row>
    <row r="2904">
      <c r="A2904" s="3" t="inlineStr">
        <is>
          <t>Heron View (Pty) Ltd</t>
        </is>
      </c>
      <c r="B2904" s="4" t="n">
        <v>44985</v>
      </c>
      <c r="C2904" s="3" t="inlineStr">
        <is>
          <t>Assets</t>
        </is>
      </c>
      <c r="D2904" s="3" t="inlineStr">
        <is>
          <t>7610/395</t>
        </is>
      </c>
      <c r="E2904" s="3" t="inlineStr">
        <is>
          <t>Heron CIP NHBRC</t>
        </is>
      </c>
      <c r="F2904" s="3" t="n">
        <v>0</v>
      </c>
      <c r="G2904" s="3" t="n">
        <v>439254.75</v>
      </c>
    </row>
    <row r="2905">
      <c r="A2905" s="3" t="inlineStr">
        <is>
          <t>Heron Fields (Pty) Ltd</t>
        </is>
      </c>
      <c r="B2905" s="4" t="n">
        <v>44985</v>
      </c>
      <c r="C2905" s="3" t="inlineStr">
        <is>
          <t>Assets</t>
        </is>
      </c>
      <c r="D2905" s="3" t="inlineStr">
        <is>
          <t>7620/100</t>
        </is>
      </c>
      <c r="E2905" s="3" t="inlineStr">
        <is>
          <t>Heron View Land</t>
        </is>
      </c>
      <c r="F2905" s="3" t="n">
        <v>0</v>
      </c>
      <c r="G2905" s="3" t="n">
        <v>26200000</v>
      </c>
    </row>
    <row r="2906">
      <c r="A2906" s="3" t="inlineStr">
        <is>
          <t>Heron Fields (Pty) Ltd</t>
        </is>
      </c>
      <c r="B2906" s="4" t="n">
        <v>44985</v>
      </c>
      <c r="C2906" s="3" t="inlineStr">
        <is>
          <t>Assets</t>
        </is>
      </c>
      <c r="D2906" s="3" t="inlineStr">
        <is>
          <t>7620/101</t>
        </is>
      </c>
      <c r="E2906" s="3" t="inlineStr">
        <is>
          <t>HF CIP Bond Registration Fee</t>
        </is>
      </c>
      <c r="F2906" s="3" t="n">
        <v>0</v>
      </c>
      <c r="G2906" s="3" t="n">
        <v>68427</v>
      </c>
    </row>
    <row r="2907">
      <c r="A2907" s="3" t="inlineStr">
        <is>
          <t>Heron Fields (Pty) Ltd</t>
        </is>
      </c>
      <c r="B2907" s="4" t="n">
        <v>44985</v>
      </c>
      <c r="C2907" s="3" t="inlineStr">
        <is>
          <t>Assets</t>
        </is>
      </c>
      <c r="D2907" s="3" t="inlineStr">
        <is>
          <t>7620/102</t>
        </is>
      </c>
      <c r="E2907" s="3" t="inlineStr">
        <is>
          <t>HF CIP Transfer Fee</t>
        </is>
      </c>
      <c r="F2907" s="3" t="n">
        <v>0</v>
      </c>
      <c r="G2907" s="3" t="n">
        <v>103812</v>
      </c>
    </row>
    <row r="2908">
      <c r="A2908" s="3" t="inlineStr">
        <is>
          <t>Heron Fields (Pty) Ltd</t>
        </is>
      </c>
      <c r="B2908" s="4" t="n">
        <v>44985</v>
      </c>
      <c r="C2908" s="3" t="inlineStr">
        <is>
          <t>Assets</t>
        </is>
      </c>
      <c r="D2908" s="3" t="inlineStr">
        <is>
          <t>7620/220</t>
        </is>
      </c>
      <c r="E2908" s="3" t="inlineStr">
        <is>
          <t>HF CIP Architectural Designs</t>
        </is>
      </c>
      <c r="F2908" s="3" t="n">
        <v>-533351</v>
      </c>
      <c r="G2908" s="3" t="n">
        <v>314087</v>
      </c>
    </row>
    <row r="2909">
      <c r="A2909" s="3" t="inlineStr">
        <is>
          <t>Heron View (Pty) Ltd</t>
        </is>
      </c>
      <c r="B2909" s="4" t="n">
        <v>44985</v>
      </c>
      <c r="C2909" s="3" t="inlineStr">
        <is>
          <t>Assets</t>
        </is>
      </c>
      <c r="D2909" s="3" t="inlineStr">
        <is>
          <t>7620/220</t>
        </is>
      </c>
      <c r="E2909" s="3" t="inlineStr">
        <is>
          <t>Heron View CIP Architectural Designs</t>
        </is>
      </c>
      <c r="F2909" s="3" t="n">
        <v>-374521</v>
      </c>
      <c r="G2909" s="3" t="n">
        <v>24400</v>
      </c>
    </row>
    <row r="2910">
      <c r="A2910" s="3" t="inlineStr">
        <is>
          <t>Heron Fields (Pty) Ltd</t>
        </is>
      </c>
      <c r="B2910" s="4" t="n">
        <v>44985</v>
      </c>
      <c r="C2910" s="3" t="inlineStr">
        <is>
          <t>Assets</t>
        </is>
      </c>
      <c r="D2910" s="3" t="inlineStr">
        <is>
          <t>7620/230</t>
        </is>
      </c>
      <c r="E2910" s="3" t="inlineStr">
        <is>
          <t>HF CIP Construction Management</t>
        </is>
      </c>
      <c r="F2910" s="3" t="n">
        <v>0</v>
      </c>
      <c r="G2910" s="3" t="n">
        <v>136500</v>
      </c>
    </row>
    <row r="2911">
      <c r="A2911" s="3" t="inlineStr">
        <is>
          <t>Heron Fields (Pty) Ltd</t>
        </is>
      </c>
      <c r="B2911" s="4" t="n">
        <v>44985</v>
      </c>
      <c r="C2911" s="3" t="inlineStr">
        <is>
          <t>Assets</t>
        </is>
      </c>
      <c r="D2911" s="3" t="inlineStr">
        <is>
          <t>7620/240</t>
        </is>
      </c>
      <c r="E2911" s="3" t="inlineStr">
        <is>
          <t>HF CIP Civil Engineering</t>
        </is>
      </c>
      <c r="F2911" s="3" t="n">
        <v>0</v>
      </c>
      <c r="G2911" s="3" t="n">
        <v>8557641.800000001</v>
      </c>
    </row>
    <row r="2912">
      <c r="A2912" s="3" t="inlineStr">
        <is>
          <t>Heron Fields (Pty) Ltd</t>
        </is>
      </c>
      <c r="B2912" s="4" t="n">
        <v>44985</v>
      </c>
      <c r="C2912" s="3" t="inlineStr">
        <is>
          <t>Assets</t>
        </is>
      </c>
      <c r="D2912" s="3" t="inlineStr">
        <is>
          <t>7620/245</t>
        </is>
      </c>
      <c r="E2912" s="3" t="inlineStr">
        <is>
          <t>HF CIP Development fee</t>
        </is>
      </c>
      <c r="F2912" s="3" t="n">
        <v>0</v>
      </c>
      <c r="G2912" s="3" t="n">
        <v>13807.78</v>
      </c>
    </row>
    <row r="2913">
      <c r="A2913" s="3" t="inlineStr">
        <is>
          <t>Heron Fields (Pty) Ltd</t>
        </is>
      </c>
      <c r="B2913" s="4" t="n">
        <v>44985</v>
      </c>
      <c r="C2913" s="3" t="inlineStr">
        <is>
          <t>Assets</t>
        </is>
      </c>
      <c r="D2913" s="3" t="inlineStr">
        <is>
          <t>7620/250</t>
        </is>
      </c>
      <c r="E2913" s="3" t="inlineStr">
        <is>
          <t>HF CIP Land Surveyor</t>
        </is>
      </c>
      <c r="F2913" s="3" t="n">
        <v>41437</v>
      </c>
      <c r="G2913" s="3" t="n">
        <v>193560.09</v>
      </c>
    </row>
    <row r="2914">
      <c r="A2914" s="3" t="inlineStr">
        <is>
          <t>Heron View (Pty) Ltd</t>
        </is>
      </c>
      <c r="B2914" s="4" t="n">
        <v>44985</v>
      </c>
      <c r="C2914" s="3" t="inlineStr">
        <is>
          <t>Assets</t>
        </is>
      </c>
      <c r="D2914" s="3" t="inlineStr">
        <is>
          <t>7620/250</t>
        </is>
      </c>
      <c r="E2914" s="3" t="inlineStr">
        <is>
          <t>Heron View CIP Land Surveyor</t>
        </is>
      </c>
      <c r="F2914" s="3" t="n">
        <v>3700</v>
      </c>
      <c r="G2914" s="3" t="n">
        <v>19185</v>
      </c>
    </row>
    <row r="2915">
      <c r="A2915" s="3" t="inlineStr">
        <is>
          <t>Heron Fields (Pty) Ltd</t>
        </is>
      </c>
      <c r="B2915" s="4" t="n">
        <v>44985</v>
      </c>
      <c r="C2915" s="3" t="inlineStr">
        <is>
          <t>Assets</t>
        </is>
      </c>
      <c r="D2915" s="3" t="inlineStr">
        <is>
          <t>7620/255</t>
        </is>
      </c>
      <c r="E2915" s="3" t="inlineStr">
        <is>
          <t>HF CIP Landscaping</t>
        </is>
      </c>
      <c r="F2915" s="3" t="n">
        <v>0</v>
      </c>
      <c r="G2915" s="3" t="n">
        <v>7500</v>
      </c>
    </row>
    <row r="2916">
      <c r="A2916" s="3" t="inlineStr">
        <is>
          <t>Heron Fields (Pty) Ltd</t>
        </is>
      </c>
      <c r="B2916" s="4" t="n">
        <v>44985</v>
      </c>
      <c r="C2916" s="3" t="inlineStr">
        <is>
          <t>Assets</t>
        </is>
      </c>
      <c r="D2916" s="3" t="inlineStr">
        <is>
          <t>7620/260</t>
        </is>
      </c>
      <c r="E2916" s="3" t="inlineStr">
        <is>
          <t>HF CIP Mechanical Engineers</t>
        </is>
      </c>
      <c r="F2916" s="3" t="n">
        <v>0</v>
      </c>
      <c r="G2916" s="3" t="n">
        <v>67400</v>
      </c>
    </row>
    <row r="2917">
      <c r="A2917" s="3" t="inlineStr">
        <is>
          <t>Heron Fields (Pty) Ltd</t>
        </is>
      </c>
      <c r="B2917" s="4" t="n">
        <v>44985</v>
      </c>
      <c r="C2917" s="3" t="inlineStr">
        <is>
          <t>Assets</t>
        </is>
      </c>
      <c r="D2917" s="3" t="inlineStr">
        <is>
          <t>7620/265</t>
        </is>
      </c>
      <c r="E2917" s="3" t="inlineStr">
        <is>
          <t>HF CIP Health &amp; Safety</t>
        </is>
      </c>
      <c r="F2917" s="3" t="n">
        <v>0</v>
      </c>
      <c r="G2917" s="3" t="n">
        <v>20600</v>
      </c>
    </row>
    <row r="2918">
      <c r="A2918" s="3" t="inlineStr">
        <is>
          <t>Heron Fields (Pty) Ltd</t>
        </is>
      </c>
      <c r="B2918" s="4" t="n">
        <v>44985</v>
      </c>
      <c r="C2918" s="3" t="inlineStr">
        <is>
          <t>Assets</t>
        </is>
      </c>
      <c r="D2918" s="3" t="inlineStr">
        <is>
          <t>7620/270</t>
        </is>
      </c>
      <c r="E2918" s="3" t="inlineStr">
        <is>
          <t>HF CIP Geotechnical</t>
        </is>
      </c>
      <c r="F2918" s="3" t="n">
        <v>0</v>
      </c>
      <c r="G2918" s="3" t="n">
        <v>15175</v>
      </c>
    </row>
    <row r="2919">
      <c r="A2919" s="3" t="inlineStr">
        <is>
          <t>Heron Fields (Pty) Ltd</t>
        </is>
      </c>
      <c r="B2919" s="4" t="n">
        <v>44985</v>
      </c>
      <c r="C2919" s="3" t="inlineStr">
        <is>
          <t>Assets</t>
        </is>
      </c>
      <c r="D2919" s="3" t="inlineStr">
        <is>
          <t>7620/275</t>
        </is>
      </c>
      <c r="E2919" s="3" t="inlineStr">
        <is>
          <t>HF CIP Retaining Wall</t>
        </is>
      </c>
      <c r="F2919" s="3" t="n">
        <v>0</v>
      </c>
      <c r="G2919" s="3" t="n">
        <v>570856.08</v>
      </c>
    </row>
    <row r="2920">
      <c r="A2920" s="3" t="inlineStr">
        <is>
          <t>Heron Fields (Pty) Ltd</t>
        </is>
      </c>
      <c r="B2920" s="4" t="n">
        <v>44985</v>
      </c>
      <c r="C2920" s="3" t="inlineStr">
        <is>
          <t>Assets</t>
        </is>
      </c>
      <c r="D2920" s="3" t="inlineStr">
        <is>
          <t>7620/280</t>
        </is>
      </c>
      <c r="E2920" s="3" t="inlineStr">
        <is>
          <t>HF CIP Site Establishment</t>
        </is>
      </c>
      <c r="F2920" s="3" t="n">
        <v>-440601.59</v>
      </c>
      <c r="G2920" s="3" t="n">
        <v>47748851.51</v>
      </c>
    </row>
    <row r="2921">
      <c r="A2921" s="3" t="inlineStr">
        <is>
          <t>Heron View (Pty) Ltd</t>
        </is>
      </c>
      <c r="B2921" s="4" t="n">
        <v>44985</v>
      </c>
      <c r="C2921" s="3" t="inlineStr">
        <is>
          <t>Assets</t>
        </is>
      </c>
      <c r="D2921" s="3" t="inlineStr">
        <is>
          <t>7620/280</t>
        </is>
      </c>
      <c r="E2921" s="3" t="inlineStr">
        <is>
          <t>Heron View CIP Site Establishment</t>
        </is>
      </c>
      <c r="F2921" s="3" t="n">
        <v>4443649.8</v>
      </c>
      <c r="G2921" s="3" t="n">
        <v>6423649.8</v>
      </c>
    </row>
    <row r="2922">
      <c r="A2922" s="3" t="inlineStr">
        <is>
          <t>Heron Fields (Pty) Ltd</t>
        </is>
      </c>
      <c r="B2922" s="4" t="n">
        <v>44985</v>
      </c>
      <c r="C2922" s="3" t="inlineStr">
        <is>
          <t>Assets</t>
        </is>
      </c>
      <c r="D2922" s="3" t="inlineStr">
        <is>
          <t>7620/285</t>
        </is>
      </c>
      <c r="E2922" s="3" t="inlineStr">
        <is>
          <t>HF CIP Structuring Fee - Invest</t>
        </is>
      </c>
      <c r="F2922" s="3" t="n">
        <v>173913.04</v>
      </c>
      <c r="G2922" s="3" t="n">
        <v>3850818.04</v>
      </c>
    </row>
    <row r="2923">
      <c r="A2923" s="3" t="inlineStr">
        <is>
          <t>Heron Fields (Pty) Ltd</t>
        </is>
      </c>
      <c r="B2923" s="4" t="n">
        <v>44985</v>
      </c>
      <c r="C2923" s="3" t="inlineStr">
        <is>
          <t>Assets</t>
        </is>
      </c>
      <c r="D2923" s="3" t="inlineStr">
        <is>
          <t>7620/287</t>
        </is>
      </c>
      <c r="E2923" s="3" t="inlineStr">
        <is>
          <t>HF CIP Structuring Fee - Development</t>
        </is>
      </c>
      <c r="F2923" s="3" t="n">
        <v>0</v>
      </c>
      <c r="G2923" s="3" t="n">
        <v>782608.0699999999</v>
      </c>
    </row>
    <row r="2924">
      <c r="A2924" s="3" t="inlineStr">
        <is>
          <t>Heron Fields (Pty) Ltd</t>
        </is>
      </c>
      <c r="B2924" s="4" t="n">
        <v>44985</v>
      </c>
      <c r="C2924" s="3" t="inlineStr">
        <is>
          <t>Assets</t>
        </is>
      </c>
      <c r="D2924" s="3" t="inlineStr">
        <is>
          <t>7620/290</t>
        </is>
      </c>
      <c r="E2924" s="3" t="inlineStr">
        <is>
          <t>HF CIP Town Planning</t>
        </is>
      </c>
      <c r="F2924" s="3" t="n">
        <v>0</v>
      </c>
      <c r="G2924" s="3" t="n">
        <v>166550</v>
      </c>
    </row>
    <row r="2925">
      <c r="A2925" s="3" t="inlineStr">
        <is>
          <t>Heron Fields (Pty) Ltd</t>
        </is>
      </c>
      <c r="B2925" s="4" t="n">
        <v>44985</v>
      </c>
      <c r="C2925" s="3" t="inlineStr">
        <is>
          <t>Assets</t>
        </is>
      </c>
      <c r="D2925" s="3" t="inlineStr">
        <is>
          <t>7620/295</t>
        </is>
      </c>
      <c r="E2925" s="3" t="inlineStr">
        <is>
          <t>HF CIP Traffic Planning</t>
        </is>
      </c>
      <c r="F2925" s="3" t="n">
        <v>0</v>
      </c>
      <c r="G2925" s="3" t="n">
        <v>45000</v>
      </c>
    </row>
    <row r="2926">
      <c r="A2926" s="3" t="inlineStr">
        <is>
          <t>Heron Fields (Pty) Ltd</t>
        </is>
      </c>
      <c r="B2926" s="4" t="n">
        <v>44985</v>
      </c>
      <c r="C2926" s="3" t="inlineStr">
        <is>
          <t>Assets</t>
        </is>
      </c>
      <c r="D2926" s="3" t="inlineStr">
        <is>
          <t>7620/600</t>
        </is>
      </c>
      <c r="E2926" s="3" t="inlineStr">
        <is>
          <t>HF CIP Eco work</t>
        </is>
      </c>
      <c r="F2926" s="3" t="n">
        <v>0</v>
      </c>
      <c r="G2926" s="3" t="n">
        <v>125000</v>
      </c>
    </row>
    <row r="2927">
      <c r="A2927" s="3" t="inlineStr">
        <is>
          <t>Heron View (Pty) Ltd</t>
        </is>
      </c>
      <c r="B2927" s="4" t="n">
        <v>44985</v>
      </c>
      <c r="C2927" s="3" t="inlineStr">
        <is>
          <t>Assets</t>
        </is>
      </c>
      <c r="D2927" s="3" t="inlineStr">
        <is>
          <t>7620/610</t>
        </is>
      </c>
      <c r="E2927" s="3" t="inlineStr">
        <is>
          <t>HV CIP Retaining wall</t>
        </is>
      </c>
      <c r="F2927" s="3" t="n">
        <v>0</v>
      </c>
      <c r="G2927" s="3" t="n">
        <v>66190.11</v>
      </c>
    </row>
    <row r="2928">
      <c r="A2928" s="3" t="inlineStr">
        <is>
          <t>Heron Fields (Pty) Ltd</t>
        </is>
      </c>
      <c r="B2928" s="4" t="n">
        <v>44985</v>
      </c>
      <c r="C2928" s="3" t="inlineStr">
        <is>
          <t>Assets</t>
        </is>
      </c>
      <c r="D2928" s="3" t="inlineStr">
        <is>
          <t>7620/630</t>
        </is>
      </c>
      <c r="E2928" s="3" t="inlineStr">
        <is>
          <t>HF CIP CoCT development contribution</t>
        </is>
      </c>
      <c r="F2928" s="3" t="n">
        <v>0</v>
      </c>
      <c r="G2928" s="3" t="n">
        <v>1021325.63</v>
      </c>
    </row>
    <row r="2929">
      <c r="A2929" s="3" t="inlineStr">
        <is>
          <t>Heron View (Pty) Ltd</t>
        </is>
      </c>
      <c r="B2929" s="4" t="n">
        <v>44985</v>
      </c>
      <c r="C2929" s="3" t="inlineStr">
        <is>
          <t>Assets</t>
        </is>
      </c>
      <c r="D2929" s="3" t="inlineStr">
        <is>
          <t>7620/630</t>
        </is>
      </c>
      <c r="E2929" s="3" t="inlineStr">
        <is>
          <t>Heron CIP - CoCT development contribution</t>
        </is>
      </c>
      <c r="F2929" s="3" t="n">
        <v>35034</v>
      </c>
      <c r="G2929" s="3" t="n">
        <v>1313735.84</v>
      </c>
    </row>
    <row r="2930">
      <c r="A2930" s="3" t="inlineStr">
        <is>
          <t>Heron Fields (Pty) Ltd</t>
        </is>
      </c>
      <c r="B2930" s="4" t="n">
        <v>44985</v>
      </c>
      <c r="C2930" s="3" t="inlineStr">
        <is>
          <t>Assets</t>
        </is>
      </c>
      <c r="D2930" s="3" t="inlineStr">
        <is>
          <t>7620/640</t>
        </is>
      </c>
      <c r="E2930" s="3" t="inlineStr">
        <is>
          <t>HF CIP Project costs</t>
        </is>
      </c>
      <c r="F2930" s="3" t="n">
        <v>0</v>
      </c>
      <c r="G2930" s="3" t="n">
        <v>622274.51</v>
      </c>
    </row>
    <row r="2931">
      <c r="A2931" s="3" t="inlineStr">
        <is>
          <t>Heron View (Pty) Ltd</t>
        </is>
      </c>
      <c r="B2931" s="4" t="n">
        <v>44985</v>
      </c>
      <c r="C2931" s="3" t="inlineStr">
        <is>
          <t>Assets</t>
        </is>
      </c>
      <c r="D2931" s="3" t="inlineStr">
        <is>
          <t>7620/650</t>
        </is>
      </c>
      <c r="E2931" s="3" t="inlineStr">
        <is>
          <t>CIP - Construction Management</t>
        </is>
      </c>
      <c r="F2931" s="3" t="n">
        <v>11500</v>
      </c>
      <c r="G2931" s="3" t="n">
        <v>30280</v>
      </c>
    </row>
    <row r="2932">
      <c r="A2932" s="3" t="inlineStr">
        <is>
          <t>Heron Fields (Pty) Ltd</t>
        </is>
      </c>
      <c r="B2932" s="4" t="n">
        <v>44985</v>
      </c>
      <c r="C2932" s="3" t="inlineStr">
        <is>
          <t>Assets</t>
        </is>
      </c>
      <c r="D2932" s="3" t="inlineStr">
        <is>
          <t>7620/650</t>
        </is>
      </c>
      <c r="E2932" s="3" t="inlineStr">
        <is>
          <t>HF CIP Electrical</t>
        </is>
      </c>
      <c r="F2932" s="3" t="n">
        <v>0</v>
      </c>
      <c r="G2932" s="3" t="n">
        <v>985049.6800000001</v>
      </c>
    </row>
    <row r="2933">
      <c r="A2933" s="3" t="inlineStr">
        <is>
          <t>Heron View (Pty) Ltd</t>
        </is>
      </c>
      <c r="B2933" s="4" t="n">
        <v>44985</v>
      </c>
      <c r="C2933" s="3" t="inlineStr">
        <is>
          <t>Assets</t>
        </is>
      </c>
      <c r="D2933" s="3" t="inlineStr">
        <is>
          <t>7620/660</t>
        </is>
      </c>
      <c r="E2933" s="3" t="inlineStr">
        <is>
          <t>HV CIP Health &amp; Safety</t>
        </is>
      </c>
      <c r="F2933" s="3" t="n">
        <v>1400</v>
      </c>
      <c r="G2933" s="3" t="n">
        <v>14600</v>
      </c>
    </row>
    <row r="2934">
      <c r="A2934" s="3" t="inlineStr">
        <is>
          <t>Heron View (Pty) Ltd</t>
        </is>
      </c>
      <c r="B2934" s="4" t="n">
        <v>44985</v>
      </c>
      <c r="C2934" s="3" t="inlineStr">
        <is>
          <t>Assets</t>
        </is>
      </c>
      <c r="D2934" s="3" t="inlineStr">
        <is>
          <t>7620/670</t>
        </is>
      </c>
      <c r="E2934" s="3" t="inlineStr">
        <is>
          <t>HV CIP - Project costs CPSD</t>
        </is>
      </c>
      <c r="F2934" s="3" t="n">
        <v>217391.3</v>
      </c>
      <c r="G2934" s="3" t="n">
        <v>684782.6</v>
      </c>
    </row>
    <row r="2935">
      <c r="A2935" s="3" t="inlineStr">
        <is>
          <t>Heron View (Pty) Ltd</t>
        </is>
      </c>
      <c r="B2935" s="4" t="n">
        <v>44985</v>
      </c>
      <c r="C2935" s="3" t="inlineStr">
        <is>
          <t>Assets</t>
        </is>
      </c>
      <c r="D2935" s="3" t="inlineStr">
        <is>
          <t>7620/680</t>
        </is>
      </c>
      <c r="E2935" s="3" t="inlineStr">
        <is>
          <t>HV CIP Elextrical</t>
        </is>
      </c>
      <c r="F2935" s="3" t="n">
        <v>57803.5</v>
      </c>
      <c r="G2935" s="3" t="n">
        <v>870391.34</v>
      </c>
    </row>
    <row r="2936">
      <c r="A2936" s="3" t="inlineStr">
        <is>
          <t>Heron View (Pty) Ltd</t>
        </is>
      </c>
      <c r="B2936" s="4" t="n">
        <v>44985</v>
      </c>
      <c r="C2936" s="3" t="inlineStr">
        <is>
          <t>Assets</t>
        </is>
      </c>
      <c r="D2936" s="3" t="inlineStr">
        <is>
          <t>7620/690</t>
        </is>
      </c>
      <c r="E2936" s="3" t="inlineStr">
        <is>
          <t>HV CIP Site Establishment</t>
        </is>
      </c>
      <c r="F2936" s="3" t="n">
        <v>40654.63</v>
      </c>
      <c r="G2936" s="3" t="n">
        <v>40654.63</v>
      </c>
    </row>
    <row r="2937">
      <c r="A2937" s="3" t="inlineStr">
        <is>
          <t>Heron Fields (Pty) Ltd</t>
        </is>
      </c>
      <c r="B2937" s="4" t="n">
        <v>44985</v>
      </c>
      <c r="C2937" s="3" t="inlineStr">
        <is>
          <t>Assets</t>
        </is>
      </c>
      <c r="D2937" s="3" t="inlineStr">
        <is>
          <t>7620/700</t>
        </is>
      </c>
      <c r="E2937" s="3" t="inlineStr">
        <is>
          <t>HF CIP - P&amp;G recoveries - Endulini&amp;Heron Fields/View</t>
        </is>
      </c>
      <c r="F2937" s="3" t="n">
        <v>-3023829.42</v>
      </c>
      <c r="G2937" s="3" t="n">
        <v>0</v>
      </c>
    </row>
    <row r="2938">
      <c r="A2938" s="3" t="inlineStr">
        <is>
          <t>Heron Fields (Pty) Ltd</t>
        </is>
      </c>
      <c r="B2938" s="4" t="n">
        <v>44985</v>
      </c>
      <c r="C2938" s="3" t="inlineStr">
        <is>
          <t>Assets</t>
        </is>
      </c>
      <c r="D2938" s="3" t="inlineStr">
        <is>
          <t>7620/750</t>
        </is>
      </c>
      <c r="E2938" s="3" t="inlineStr">
        <is>
          <t>HF CIP Project costs CPSD</t>
        </is>
      </c>
      <c r="F2938" s="3" t="n">
        <v>0</v>
      </c>
      <c r="G2938" s="3" t="n">
        <v>1250000</v>
      </c>
    </row>
    <row r="2939">
      <c r="A2939" s="3" t="inlineStr">
        <is>
          <t>Heron Fields (Pty) Ltd</t>
        </is>
      </c>
      <c r="B2939" s="4" t="n">
        <v>44985</v>
      </c>
      <c r="C2939" s="3" t="inlineStr">
        <is>
          <t>Assets</t>
        </is>
      </c>
      <c r="D2939" s="3" t="inlineStr">
        <is>
          <t>7700/010</t>
        </is>
      </c>
      <c r="E2939" s="3" t="inlineStr">
        <is>
          <t>Construction 28 Feb 23 HF</t>
        </is>
      </c>
      <c r="F2939" s="3" t="n">
        <v>-24427668.44</v>
      </c>
      <c r="G2939" s="3" t="n">
        <v>-24427668.44</v>
      </c>
    </row>
    <row r="2940">
      <c r="A2940" s="3" t="inlineStr">
        <is>
          <t>Cape Projects Construction (Pty) Ltd</t>
        </is>
      </c>
      <c r="B2940" s="4" t="n">
        <v>44985</v>
      </c>
      <c r="C2940" s="3" t="inlineStr">
        <is>
          <t>Assets</t>
        </is>
      </c>
      <c r="D2940" s="3" t="inlineStr">
        <is>
          <t>7800/000</t>
        </is>
      </c>
      <c r="E2940" s="3" t="inlineStr">
        <is>
          <t>Deposits paid</t>
        </is>
      </c>
      <c r="F2940" s="3" t="n">
        <v>21212.05</v>
      </c>
      <c r="G2940" s="3" t="n">
        <v>29600</v>
      </c>
    </row>
    <row r="2941">
      <c r="A2941" s="3" t="inlineStr">
        <is>
          <t>Cape Projects Construction (Pty) Ltd</t>
        </is>
      </c>
      <c r="B2941" s="4" t="n">
        <v>44985</v>
      </c>
      <c r="C2941" s="3" t="inlineStr">
        <is>
          <t>Assets</t>
        </is>
      </c>
      <c r="D2941" s="3" t="inlineStr">
        <is>
          <t>8000/000</t>
        </is>
      </c>
      <c r="E2941" s="3" t="inlineStr">
        <is>
          <t>Customer Control Account</t>
        </is>
      </c>
      <c r="F2941" s="3" t="n">
        <v>1651099.99</v>
      </c>
      <c r="G2941" s="3" t="n">
        <v>-326799.41</v>
      </c>
    </row>
    <row r="2942">
      <c r="A2942" s="3" t="inlineStr">
        <is>
          <t>Heron Fields (Pty) Ltd</t>
        </is>
      </c>
      <c r="B2942" s="4" t="n">
        <v>44985</v>
      </c>
      <c r="C2942" s="3" t="inlineStr">
        <is>
          <t>Assets</t>
        </is>
      </c>
      <c r="D2942" s="3" t="inlineStr">
        <is>
          <t>8000/000</t>
        </is>
      </c>
      <c r="E2942" s="3" t="inlineStr">
        <is>
          <t>Customer Control Account</t>
        </is>
      </c>
      <c r="F2942" s="3" t="n">
        <v>674804.86</v>
      </c>
      <c r="G2942" s="3" t="n">
        <v>893038.4399999999</v>
      </c>
    </row>
    <row r="2943">
      <c r="A2943" s="3" t="inlineStr">
        <is>
          <t>Cape Projects Construction (Pty) Ltd</t>
        </is>
      </c>
      <c r="B2943" s="4" t="n">
        <v>44985</v>
      </c>
      <c r="C2943" s="3" t="inlineStr">
        <is>
          <t>Assets</t>
        </is>
      </c>
      <c r="D2943" s="3" t="inlineStr">
        <is>
          <t>8200/010</t>
        </is>
      </c>
      <c r="E2943" s="3" t="inlineStr">
        <is>
          <t>Prepayments / Prepaid Expenses</t>
        </is>
      </c>
      <c r="F2943" s="3" t="n">
        <v>-2719.44</v>
      </c>
      <c r="G2943" s="3" t="n">
        <v>2719.43</v>
      </c>
    </row>
    <row r="2944">
      <c r="A2944" s="3" t="inlineStr">
        <is>
          <t>Heron Fields (Pty) Ltd</t>
        </is>
      </c>
      <c r="B2944" s="4" t="n">
        <v>44985</v>
      </c>
      <c r="C2944" s="3" t="inlineStr">
        <is>
          <t>Assets</t>
        </is>
      </c>
      <c r="D2944" s="3" t="inlineStr">
        <is>
          <t>8400/000</t>
        </is>
      </c>
      <c r="E2944" s="3" t="inlineStr">
        <is>
          <t>RMB - 62882379087</t>
        </is>
      </c>
      <c r="F2944" s="3" t="n">
        <v>718089.1899999999</v>
      </c>
      <c r="G2944" s="3" t="n">
        <v>1331141.21</v>
      </c>
    </row>
    <row r="2945">
      <c r="A2945" s="3" t="inlineStr">
        <is>
          <t>Cape Projects Construction (Pty) Ltd</t>
        </is>
      </c>
      <c r="B2945" s="4" t="n">
        <v>44985</v>
      </c>
      <c r="C2945" s="3" t="inlineStr">
        <is>
          <t>Assets</t>
        </is>
      </c>
      <c r="D2945" s="3" t="inlineStr">
        <is>
          <t>8400/000</t>
        </is>
      </c>
      <c r="E2945" s="3" t="inlineStr">
        <is>
          <t>RMB 62275138470</t>
        </is>
      </c>
      <c r="F2945" s="3" t="n">
        <v>-32991.36</v>
      </c>
      <c r="G2945" s="3" t="n">
        <v>40840.13</v>
      </c>
    </row>
    <row r="2946">
      <c r="A2946" s="3" t="inlineStr">
        <is>
          <t>Cape Projects Construction (Pty) Ltd</t>
        </is>
      </c>
      <c r="B2946" s="4" t="n">
        <v>44985</v>
      </c>
      <c r="C2946" s="3" t="inlineStr">
        <is>
          <t>Assets</t>
        </is>
      </c>
      <c r="D2946" s="3" t="inlineStr">
        <is>
          <t>8420/000</t>
        </is>
      </c>
      <c r="E2946" s="3" t="inlineStr">
        <is>
          <t>Momentum Priv Acc RU502230981</t>
        </is>
      </c>
      <c r="F2946" s="3" t="n">
        <v>0</v>
      </c>
      <c r="G2946" s="3" t="n">
        <v>537.3200000000001</v>
      </c>
    </row>
    <row r="2947">
      <c r="A2947" s="3" t="inlineStr">
        <is>
          <t>Heron Fields (Pty) Ltd</t>
        </is>
      </c>
      <c r="B2947" s="4" t="n">
        <v>44985</v>
      </c>
      <c r="C2947" s="3" t="inlineStr">
        <is>
          <t>Assets</t>
        </is>
      </c>
      <c r="D2947" s="3" t="inlineStr">
        <is>
          <t>8430/000</t>
        </is>
      </c>
      <c r="E2947" s="3" t="inlineStr">
        <is>
          <t>Momentum Private Account RU502230151</t>
        </is>
      </c>
      <c r="F2947" s="3" t="n">
        <v>4.48</v>
      </c>
      <c r="G2947" s="3" t="n">
        <v>827.72</v>
      </c>
    </row>
    <row r="2948">
      <c r="A2948" s="3" t="inlineStr">
        <is>
          <t>Heron Fields (Pty) Ltd</t>
        </is>
      </c>
      <c r="B2948" s="4" t="n">
        <v>44985</v>
      </c>
      <c r="C2948" s="3" t="inlineStr">
        <is>
          <t>Assets</t>
        </is>
      </c>
      <c r="D2948" s="3" t="inlineStr">
        <is>
          <t>8440/000</t>
        </is>
      </c>
      <c r="E2948" s="3" t="inlineStr">
        <is>
          <t>Momentum Investors Account RU502229930</t>
        </is>
      </c>
      <c r="F2948" s="3" t="n">
        <v>4020001.65</v>
      </c>
      <c r="G2948" s="3" t="n">
        <v>26616286.5</v>
      </c>
    </row>
    <row r="2949">
      <c r="A2949" s="3" t="inlineStr">
        <is>
          <t>Cape Projects Construction (Pty) Ltd</t>
        </is>
      </c>
      <c r="B2949" s="4" t="n">
        <v>44985</v>
      </c>
      <c r="C2949" s="3" t="inlineStr">
        <is>
          <t>Liabilities</t>
        </is>
      </c>
      <c r="D2949" s="3" t="inlineStr">
        <is>
          <t>860</t>
        </is>
      </c>
      <c r="E2949" s="3" t="inlineStr">
        <is>
          <t>Rounding</t>
        </is>
      </c>
      <c r="F2949" s="3" t="n">
        <v>-123.42</v>
      </c>
      <c r="G2949" s="3" t="n">
        <v>0</v>
      </c>
    </row>
    <row r="2950">
      <c r="A2950" s="3" t="inlineStr">
        <is>
          <t>Heron Fields (Pty) Ltd</t>
        </is>
      </c>
      <c r="B2950" s="4" t="n">
        <v>44985</v>
      </c>
      <c r="C2950" s="3" t="inlineStr">
        <is>
          <t>Liabilities</t>
        </is>
      </c>
      <c r="D2950" s="3" t="inlineStr">
        <is>
          <t>860</t>
        </is>
      </c>
      <c r="E2950" s="3" t="inlineStr">
        <is>
          <t>Rounding</t>
        </is>
      </c>
      <c r="F2950" s="3" t="n">
        <v>0</v>
      </c>
      <c r="G2950" s="3" t="n">
        <v>0.03</v>
      </c>
    </row>
    <row r="2951">
      <c r="A2951" s="3" t="inlineStr">
        <is>
          <t>Cape Projects Construction (Pty) Ltd</t>
        </is>
      </c>
      <c r="B2951" s="4" t="n">
        <v>44985</v>
      </c>
      <c r="C2951" s="3" t="inlineStr">
        <is>
          <t>Liabilities</t>
        </is>
      </c>
      <c r="D2951" s="3" t="inlineStr">
        <is>
          <t>9000/000</t>
        </is>
      </c>
      <c r="E2951" s="3" t="inlineStr">
        <is>
          <t>Supplier Control Account</t>
        </is>
      </c>
      <c r="F2951" s="3" t="n">
        <v>-305043.04</v>
      </c>
      <c r="G2951" s="3" t="n">
        <v>-2305727.92</v>
      </c>
    </row>
    <row r="2952">
      <c r="A2952" s="3" t="inlineStr">
        <is>
          <t>Heron Fields (Pty) Ltd</t>
        </is>
      </c>
      <c r="B2952" s="4" t="n">
        <v>44985</v>
      </c>
      <c r="C2952" s="3" t="inlineStr">
        <is>
          <t>Liabilities</t>
        </is>
      </c>
      <c r="D2952" s="3" t="inlineStr">
        <is>
          <t>9000/000</t>
        </is>
      </c>
      <c r="E2952" s="3" t="inlineStr">
        <is>
          <t>Supplier Control Account</t>
        </is>
      </c>
      <c r="F2952" s="3" t="n">
        <v>-2399432.41</v>
      </c>
      <c r="G2952" s="3" t="n">
        <v>-116143676.28</v>
      </c>
    </row>
    <row r="2953">
      <c r="A2953" s="3" t="inlineStr">
        <is>
          <t>Heron View (Pty) Ltd</t>
        </is>
      </c>
      <c r="B2953" s="4" t="n">
        <v>44985</v>
      </c>
      <c r="C2953" s="3" t="inlineStr">
        <is>
          <t>Liabilities</t>
        </is>
      </c>
      <c r="D2953" s="3" t="inlineStr">
        <is>
          <t>9000/000</t>
        </is>
      </c>
      <c r="E2953" s="3" t="inlineStr">
        <is>
          <t>Supplier Control Account</t>
        </is>
      </c>
      <c r="F2953" s="3" t="n">
        <v>2842292.75</v>
      </c>
      <c r="G2953" s="3" t="n">
        <v>-850396.17</v>
      </c>
    </row>
    <row r="2954">
      <c r="A2954" s="3" t="inlineStr">
        <is>
          <t>Cape Projects Construction (Pty) Ltd</t>
        </is>
      </c>
      <c r="B2954" s="4" t="n">
        <v>44985</v>
      </c>
      <c r="C2954" s="3" t="inlineStr">
        <is>
          <t>Liabilities</t>
        </is>
      </c>
      <c r="D2954" s="3" t="inlineStr">
        <is>
          <t>9200/000</t>
        </is>
      </c>
      <c r="E2954" s="3" t="inlineStr">
        <is>
          <t>Sundry Suppliers</t>
        </is>
      </c>
      <c r="F2954" s="3" t="n">
        <v>-1186.13</v>
      </c>
      <c r="G2954" s="3" t="n">
        <v>0</v>
      </c>
    </row>
    <row r="2955">
      <c r="A2955" s="3" t="inlineStr">
        <is>
          <t>Cape Projects Construction (Pty) Ltd</t>
        </is>
      </c>
      <c r="B2955" s="4" t="n">
        <v>44985</v>
      </c>
      <c r="C2955" s="3" t="inlineStr">
        <is>
          <t>Liabilities</t>
        </is>
      </c>
      <c r="D2955" s="3" t="inlineStr">
        <is>
          <t>9250/010</t>
        </is>
      </c>
      <c r="E2955" s="3" t="inlineStr">
        <is>
          <t>SALARY CONTROL</t>
        </is>
      </c>
      <c r="F2955" s="3" t="n">
        <v>-20758.55</v>
      </c>
      <c r="G2955" s="3" t="n">
        <v>0</v>
      </c>
    </row>
    <row r="2956">
      <c r="A2956" s="3" t="inlineStr">
        <is>
          <t>Cape Projects Construction (Pty) Ltd</t>
        </is>
      </c>
      <c r="B2956" s="4" t="n">
        <v>44985</v>
      </c>
      <c r="C2956" s="3" t="inlineStr">
        <is>
          <t>Liabilities</t>
        </is>
      </c>
      <c r="D2956" s="3" t="inlineStr">
        <is>
          <t>9250/020</t>
        </is>
      </c>
      <c r="E2956" s="3" t="inlineStr">
        <is>
          <t>PAYE, UIF AND SDL CONTROL</t>
        </is>
      </c>
      <c r="F2956" s="3" t="n">
        <v>7616.94</v>
      </c>
      <c r="G2956" s="3" t="n">
        <v>-65658.95</v>
      </c>
    </row>
    <row r="2957">
      <c r="A2957" s="3" t="inlineStr">
        <is>
          <t>Cape Projects Construction (Pty) Ltd</t>
        </is>
      </c>
      <c r="B2957" s="4" t="n">
        <v>44985</v>
      </c>
      <c r="C2957" s="3" t="inlineStr">
        <is>
          <t>Liabilities</t>
        </is>
      </c>
      <c r="D2957" s="3" t="inlineStr">
        <is>
          <t>9250/030</t>
        </is>
      </c>
      <c r="E2957" s="3" t="inlineStr">
        <is>
          <t>BIBC CONTROL</t>
        </is>
      </c>
      <c r="F2957" s="3" t="n">
        <v>-6809.25</v>
      </c>
      <c r="G2957" s="3" t="n">
        <v>-31776.5</v>
      </c>
    </row>
    <row r="2958">
      <c r="A2958" s="3" t="inlineStr">
        <is>
          <t>Cape Projects Construction (Pty) Ltd</t>
        </is>
      </c>
      <c r="B2958" s="4" t="n">
        <v>44985</v>
      </c>
      <c r="C2958" s="3" t="inlineStr">
        <is>
          <t>Liabilities</t>
        </is>
      </c>
      <c r="D2958" s="3" t="inlineStr">
        <is>
          <t>9500/000</t>
        </is>
      </c>
      <c r="E2958" s="3" t="inlineStr">
        <is>
          <t>VAT Control Account</t>
        </is>
      </c>
      <c r="F2958" s="3" t="n">
        <v>101890.6</v>
      </c>
      <c r="G2958" s="3" t="n">
        <v>-188965.48</v>
      </c>
    </row>
    <row r="2959">
      <c r="A2959" s="3" t="inlineStr">
        <is>
          <t>Heron Fields (Pty) Ltd</t>
        </is>
      </c>
      <c r="B2959" s="4" t="n">
        <v>44985</v>
      </c>
      <c r="C2959" s="3" t="inlineStr">
        <is>
          <t>Liabilities</t>
        </is>
      </c>
      <c r="D2959" s="3" t="inlineStr">
        <is>
          <t>9500/000</t>
        </is>
      </c>
      <c r="E2959" s="3" t="inlineStr">
        <is>
          <t>Vat / Tax Control Account</t>
        </is>
      </c>
      <c r="F2959" s="3" t="n">
        <v>-910312.08</v>
      </c>
      <c r="G2959" s="3" t="n">
        <v>-2727540.41</v>
      </c>
    </row>
    <row r="2960">
      <c r="A2960" s="3" t="inlineStr">
        <is>
          <t>Heron View (Pty) Ltd</t>
        </is>
      </c>
      <c r="B2960" s="4" t="n">
        <v>44985</v>
      </c>
      <c r="C2960" s="3" t="inlineStr">
        <is>
          <t>Liabilities</t>
        </is>
      </c>
      <c r="D2960" s="3" t="inlineStr">
        <is>
          <t>9500/000</t>
        </is>
      </c>
      <c r="E2960" s="3" t="inlineStr">
        <is>
          <t>Vat / Tax Control Account</t>
        </is>
      </c>
      <c r="F2960" s="3" t="n">
        <v>661381.83</v>
      </c>
      <c r="G2960" s="3" t="n">
        <v>1417745.48</v>
      </c>
    </row>
    <row r="2961">
      <c r="A2961" s="3" t="inlineStr">
        <is>
          <t>Heron Fields (Pty) Ltd</t>
        </is>
      </c>
      <c r="B2961" s="4" t="n">
        <v>44985</v>
      </c>
      <c r="C2961" s="3" t="inlineStr">
        <is>
          <t>Liabilities</t>
        </is>
      </c>
      <c r="D2961" s="3" t="inlineStr">
        <is>
          <t>9520/000</t>
        </is>
      </c>
      <c r="E2961" s="3" t="inlineStr">
        <is>
          <t>Income Tax Payable</t>
        </is>
      </c>
      <c r="F2961" s="3" t="n">
        <v>59039.93</v>
      </c>
      <c r="G2961" s="3" t="n">
        <v>59039.93</v>
      </c>
    </row>
    <row r="2962">
      <c r="A2962" s="3" t="inlineStr">
        <is>
          <t>Heron Fields (Pty) Ltd</t>
        </is>
      </c>
      <c r="B2962" s="4" t="n">
        <v>44985</v>
      </c>
      <c r="C2962" s="3" t="inlineStr">
        <is>
          <t>Liabilities</t>
        </is>
      </c>
      <c r="D2962" s="3" t="inlineStr">
        <is>
          <t>9899/A101</t>
        </is>
      </c>
      <c r="E2962" s="3" t="inlineStr">
        <is>
          <t>Sales - Unit Reg Control A101</t>
        </is>
      </c>
      <c r="F2962" s="3" t="n">
        <v>-74995</v>
      </c>
      <c r="G2962" s="3" t="n">
        <v>0</v>
      </c>
    </row>
    <row r="2963">
      <c r="A2963" s="3" t="inlineStr">
        <is>
          <t>Heron Fields (Pty) Ltd</t>
        </is>
      </c>
      <c r="B2963" s="4" t="n">
        <v>44985</v>
      </c>
      <c r="C2963" s="3" t="inlineStr">
        <is>
          <t>Liabilities</t>
        </is>
      </c>
      <c r="D2963" s="3" t="inlineStr">
        <is>
          <t>9899/A105</t>
        </is>
      </c>
      <c r="E2963" s="3" t="inlineStr">
        <is>
          <t>Sales - Unit Reg Control A105</t>
        </is>
      </c>
      <c r="F2963" s="3" t="n">
        <v>-76995</v>
      </c>
      <c r="G2963" s="3" t="n">
        <v>0</v>
      </c>
    </row>
    <row r="2964">
      <c r="A2964" s="3" t="inlineStr">
        <is>
          <t>Heron Fields (Pty) Ltd</t>
        </is>
      </c>
      <c r="B2964" s="4" t="n">
        <v>44985</v>
      </c>
      <c r="C2964" s="3" t="inlineStr">
        <is>
          <t>Liabilities</t>
        </is>
      </c>
      <c r="D2964" s="3" t="inlineStr">
        <is>
          <t>9899/A106</t>
        </is>
      </c>
      <c r="E2964" s="3" t="inlineStr">
        <is>
          <t>Sales - Unit Reg Control A106</t>
        </is>
      </c>
      <c r="F2964" s="3" t="n">
        <v>-77495</v>
      </c>
      <c r="G2964" s="3" t="n">
        <v>0</v>
      </c>
    </row>
    <row r="2965">
      <c r="A2965" s="3" t="inlineStr">
        <is>
          <t>Heron Fields (Pty) Ltd</t>
        </is>
      </c>
      <c r="B2965" s="4" t="n">
        <v>44985</v>
      </c>
      <c r="C2965" s="3" t="inlineStr">
        <is>
          <t>Liabilities</t>
        </is>
      </c>
      <c r="D2965" s="3" t="inlineStr">
        <is>
          <t>9899/A306</t>
        </is>
      </c>
      <c r="E2965" s="3" t="inlineStr">
        <is>
          <t>Sales - Unit Reg Control A306</t>
        </is>
      </c>
      <c r="F2965" s="3" t="n">
        <v>-69495</v>
      </c>
      <c r="G2965" s="3" t="n">
        <v>0</v>
      </c>
    </row>
    <row r="2966">
      <c r="A2966" s="3" t="inlineStr">
        <is>
          <t>Heron Fields (Pty) Ltd</t>
        </is>
      </c>
      <c r="B2966" s="4" t="n">
        <v>44985</v>
      </c>
      <c r="C2966" s="3" t="inlineStr">
        <is>
          <t>Liabilities</t>
        </is>
      </c>
      <c r="D2966" s="3" t="inlineStr">
        <is>
          <t>9899/B102</t>
        </is>
      </c>
      <c r="E2966" s="3" t="inlineStr">
        <is>
          <t>Sales - Unit Reg Control B102</t>
        </is>
      </c>
      <c r="F2966" s="3" t="n">
        <v>-77995</v>
      </c>
      <c r="G2966" s="3" t="n">
        <v>0</v>
      </c>
    </row>
    <row r="2967">
      <c r="A2967" s="3" t="inlineStr">
        <is>
          <t>Heron Fields (Pty) Ltd</t>
        </is>
      </c>
      <c r="B2967" s="4" t="n">
        <v>44985</v>
      </c>
      <c r="C2967" s="3" t="inlineStr">
        <is>
          <t>Liabilities</t>
        </is>
      </c>
      <c r="D2967" s="3" t="inlineStr">
        <is>
          <t>9899/B106</t>
        </is>
      </c>
      <c r="E2967" s="3" t="inlineStr">
        <is>
          <t>Sales - Unit Reg Control B106</t>
        </is>
      </c>
      <c r="F2967" s="3" t="n">
        <v>-20814.5</v>
      </c>
      <c r="G2967" s="3" t="n">
        <v>0</v>
      </c>
    </row>
    <row r="2968">
      <c r="A2968" s="3" t="inlineStr">
        <is>
          <t>Heron Fields (Pty) Ltd</t>
        </is>
      </c>
      <c r="B2968" s="4" t="n">
        <v>44985</v>
      </c>
      <c r="C2968" s="3" t="inlineStr">
        <is>
          <t>Liabilities</t>
        </is>
      </c>
      <c r="D2968" s="3" t="inlineStr">
        <is>
          <t>9899/B301</t>
        </is>
      </c>
      <c r="E2968" s="3" t="inlineStr">
        <is>
          <t>Sales - Unit Reg Control B301</t>
        </is>
      </c>
      <c r="F2968" s="3" t="n">
        <v>-19408.29</v>
      </c>
      <c r="G2968" s="3" t="n">
        <v>0</v>
      </c>
    </row>
    <row r="2969">
      <c r="A2969" s="3" t="inlineStr">
        <is>
          <t>Heron Fields (Pty) Ltd</t>
        </is>
      </c>
      <c r="B2969" s="4" t="n">
        <v>44985</v>
      </c>
      <c r="C2969" s="3" t="inlineStr">
        <is>
          <t>Liabilities</t>
        </is>
      </c>
      <c r="D2969" s="3" t="inlineStr">
        <is>
          <t>9899/B302</t>
        </is>
      </c>
      <c r="E2969" s="3" t="inlineStr">
        <is>
          <t>Sales - Unit Reg Control B302</t>
        </is>
      </c>
      <c r="F2969" s="3" t="n">
        <v>-40222.79</v>
      </c>
      <c r="G2969" s="3" t="n">
        <v>0</v>
      </c>
    </row>
    <row r="2970">
      <c r="A2970" s="3" t="inlineStr">
        <is>
          <t>Cape Projects Construction (Pty) Ltd</t>
        </is>
      </c>
      <c r="B2970" s="4" t="n">
        <v>44985</v>
      </c>
      <c r="C2970" s="3" t="inlineStr">
        <is>
          <t>Liabilities</t>
        </is>
      </c>
      <c r="D2970" s="3" t="inlineStr">
        <is>
          <t>B/S</t>
        </is>
      </c>
      <c r="E2970" s="3" t="inlineStr">
        <is>
          <t>Taxation Payable</t>
        </is>
      </c>
      <c r="F2970" s="3" t="n">
        <v>26160.01</v>
      </c>
      <c r="G2970" s="3" t="n">
        <v>28029.81</v>
      </c>
    </row>
    <row r="2971">
      <c r="A2971" s="3" t="inlineStr">
        <is>
          <t>Cape Projects Construction (Pty) Ltd</t>
        </is>
      </c>
      <c r="B2971" s="4" t="n">
        <v>44985</v>
      </c>
      <c r="C2971" s="3" t="inlineStr">
        <is>
          <t>Liabilities</t>
        </is>
      </c>
      <c r="D2971" s="3" t="inlineStr">
        <is>
          <t>TEMP/ACC</t>
        </is>
      </c>
      <c r="E2971" s="3" t="inlineStr">
        <is>
          <t>Conversion Account</t>
        </is>
      </c>
      <c r="F2971" s="3" t="n">
        <v>0</v>
      </c>
      <c r="G2971" s="3" t="n">
        <v>-254.99</v>
      </c>
    </row>
    <row r="2972">
      <c r="A2972" s="3" t="inlineStr">
        <is>
          <t>Heron Fields (Pty) Ltd</t>
        </is>
      </c>
      <c r="B2972" s="4" t="n">
        <v>45016</v>
      </c>
      <c r="C2972" s="3" t="inlineStr">
        <is>
          <t>Revenue</t>
        </is>
      </c>
      <c r="D2972" s="3" t="inlineStr">
        <is>
          <t>1000/100</t>
        </is>
      </c>
      <c r="E2972" s="3" t="inlineStr">
        <is>
          <t>Sales - Heron Fields</t>
        </is>
      </c>
      <c r="F2972" s="3" t="n">
        <v>-9197652.18</v>
      </c>
      <c r="G2972" s="3" t="n">
        <v>-9197652.18</v>
      </c>
    </row>
    <row r="2973">
      <c r="A2973" s="3" t="inlineStr">
        <is>
          <t>Heron Fields (Pty) Ltd</t>
        </is>
      </c>
      <c r="B2973" s="4" t="n">
        <v>45016</v>
      </c>
      <c r="C2973" s="3" t="inlineStr">
        <is>
          <t>Revenue</t>
        </is>
      </c>
      <c r="D2973" s="3" t="inlineStr">
        <is>
          <t>1000/101</t>
        </is>
      </c>
      <c r="E2973" s="3" t="inlineStr">
        <is>
          <t>Sales - Heron Fields occupational rent</t>
        </is>
      </c>
      <c r="F2973" s="3" t="n">
        <v>-10864.06</v>
      </c>
      <c r="G2973" s="3" t="n">
        <v>-10864.06</v>
      </c>
    </row>
    <row r="2974">
      <c r="A2974" s="3" t="inlineStr">
        <is>
          <t>Cape Projects Construction (Pty) Ltd</t>
        </is>
      </c>
      <c r="B2974" s="4" t="n">
        <v>45016</v>
      </c>
      <c r="C2974" s="3" t="inlineStr">
        <is>
          <t>Revenue</t>
        </is>
      </c>
      <c r="D2974" s="3" t="inlineStr">
        <is>
          <t>1040/100</t>
        </is>
      </c>
      <c r="E2974" s="3" t="inlineStr">
        <is>
          <t>Fees - Construction - Heron</t>
        </is>
      </c>
      <c r="F2974" s="3" t="n">
        <v>-4252624.12</v>
      </c>
      <c r="G2974" s="3" t="n">
        <v>-4252624.12</v>
      </c>
    </row>
    <row r="2975">
      <c r="A2975" s="3" t="inlineStr">
        <is>
          <t>Heron Fields (Pty) Ltd</t>
        </is>
      </c>
      <c r="B2975" s="4" t="n">
        <v>45016</v>
      </c>
      <c r="C2975" s="3" t="inlineStr">
        <is>
          <t>Expenses</t>
        </is>
      </c>
      <c r="D2975" s="3" t="inlineStr">
        <is>
          <t>2000/040</t>
        </is>
      </c>
      <c r="E2975" s="3" t="inlineStr">
        <is>
          <t>COS - Legal Fees</t>
        </is>
      </c>
      <c r="F2975" s="3" t="n">
        <v>193858.36</v>
      </c>
      <c r="G2975" s="3" t="n">
        <v>193858.36</v>
      </c>
    </row>
    <row r="2976">
      <c r="A2976" s="3" t="inlineStr">
        <is>
          <t>Heron Fields (Pty) Ltd</t>
        </is>
      </c>
      <c r="B2976" s="4" t="n">
        <v>45016</v>
      </c>
      <c r="C2976" s="3" t="inlineStr">
        <is>
          <t>Expenses</t>
        </is>
      </c>
      <c r="D2976" s="3" t="inlineStr">
        <is>
          <t>2000/070</t>
        </is>
      </c>
      <c r="E2976" s="3" t="inlineStr">
        <is>
          <t>COS - Commission HF Units</t>
        </is>
      </c>
      <c r="F2976" s="3" t="n">
        <v>465404.34</v>
      </c>
      <c r="G2976" s="3" t="n">
        <v>465404.34</v>
      </c>
    </row>
    <row r="2977">
      <c r="A2977" s="3" t="inlineStr">
        <is>
          <t>Heron Fields (Pty) Ltd</t>
        </is>
      </c>
      <c r="B2977" s="4" t="n">
        <v>45016</v>
      </c>
      <c r="C2977" s="3" t="inlineStr">
        <is>
          <t>Expenses</t>
        </is>
      </c>
      <c r="D2977" s="3" t="inlineStr">
        <is>
          <t>2000/090</t>
        </is>
      </c>
      <c r="E2977" s="3" t="inlineStr">
        <is>
          <t>COS - Electricity</t>
        </is>
      </c>
      <c r="F2977" s="3" t="n">
        <v>750</v>
      </c>
      <c r="G2977" s="3" t="n">
        <v>750</v>
      </c>
    </row>
    <row r="2978">
      <c r="A2978" s="3" t="inlineStr">
        <is>
          <t>Cape Projects Construction (Pty) Ltd</t>
        </is>
      </c>
      <c r="B2978" s="4" t="n">
        <v>45016</v>
      </c>
      <c r="C2978" s="3" t="inlineStr">
        <is>
          <t>Expenses</t>
        </is>
      </c>
      <c r="D2978" s="3" t="inlineStr">
        <is>
          <t>2000/500</t>
        </is>
      </c>
      <c r="E2978" s="3" t="inlineStr">
        <is>
          <t>COS - Electricity Cost Endulini</t>
        </is>
      </c>
      <c r="F2978" s="3" t="n">
        <v>200</v>
      </c>
      <c r="G2978" s="3" t="n">
        <v>200</v>
      </c>
    </row>
    <row r="2979">
      <c r="A2979" s="3" t="inlineStr">
        <is>
          <t>Cape Projects Construction (Pty) Ltd</t>
        </is>
      </c>
      <c r="B2979" s="4" t="n">
        <v>45016</v>
      </c>
      <c r="C2979" s="3" t="inlineStr">
        <is>
          <t>Expenses</t>
        </is>
      </c>
      <c r="D2979" s="3" t="inlineStr">
        <is>
          <t>2006/000</t>
        </is>
      </c>
      <c r="E2979" s="3" t="inlineStr">
        <is>
          <t>COS - Endulini Construction</t>
        </is>
      </c>
      <c r="F2979" s="3" t="n">
        <v>191661.47</v>
      </c>
      <c r="G2979" s="3" t="n">
        <v>191661.47</v>
      </c>
    </row>
    <row r="2980">
      <c r="A2980" s="3" t="inlineStr">
        <is>
          <t>Cape Projects Construction (Pty) Ltd</t>
        </is>
      </c>
      <c r="B2980" s="4" t="n">
        <v>45016</v>
      </c>
      <c r="C2980" s="3" t="inlineStr">
        <is>
          <t>Expenses</t>
        </is>
      </c>
      <c r="D2980" s="3" t="inlineStr">
        <is>
          <t>2006/100</t>
        </is>
      </c>
      <c r="E2980" s="3" t="inlineStr">
        <is>
          <t>COS - Endulini P and G</t>
        </is>
      </c>
      <c r="F2980" s="3" t="n">
        <v>24545.15</v>
      </c>
      <c r="G2980" s="3" t="n">
        <v>24545.15</v>
      </c>
    </row>
    <row r="2981">
      <c r="A2981" s="3" t="inlineStr">
        <is>
          <t>Cape Projects Construction (Pty) Ltd</t>
        </is>
      </c>
      <c r="B2981" s="4" t="n">
        <v>45016</v>
      </c>
      <c r="C2981" s="3" t="inlineStr">
        <is>
          <t>Expenses</t>
        </is>
      </c>
      <c r="D2981" s="3" t="inlineStr">
        <is>
          <t>2006/200</t>
        </is>
      </c>
      <c r="E2981" s="3" t="inlineStr">
        <is>
          <t>COS - Insurance</t>
        </is>
      </c>
      <c r="F2981" s="3" t="n">
        <v>2719.43</v>
      </c>
      <c r="G2981" s="3" t="n">
        <v>2719.43</v>
      </c>
    </row>
    <row r="2982">
      <c r="A2982" s="3" t="inlineStr">
        <is>
          <t>Cape Projects Construction (Pty) Ltd</t>
        </is>
      </c>
      <c r="B2982" s="4" t="n">
        <v>45016</v>
      </c>
      <c r="C2982" s="3" t="inlineStr">
        <is>
          <t>Expenses</t>
        </is>
      </c>
      <c r="D2982" s="3" t="inlineStr">
        <is>
          <t>2006/800</t>
        </is>
      </c>
      <c r="E2982" s="3" t="inlineStr">
        <is>
          <t>COS - Endulini - Telephone &amp; Internet</t>
        </is>
      </c>
      <c r="F2982" s="3" t="n">
        <v>760.87</v>
      </c>
      <c r="G2982" s="3" t="n">
        <v>760.87</v>
      </c>
    </row>
    <row r="2983">
      <c r="A2983" s="3" t="inlineStr">
        <is>
          <t>Cape Projects Construction (Pty) Ltd</t>
        </is>
      </c>
      <c r="B2983" s="4" t="n">
        <v>45016</v>
      </c>
      <c r="C2983" s="3" t="inlineStr">
        <is>
          <t>Expenses</t>
        </is>
      </c>
      <c r="D2983" s="3" t="inlineStr">
        <is>
          <t>2011/500</t>
        </is>
      </c>
      <c r="E2983" s="3" t="inlineStr">
        <is>
          <t>COS - Heron Fields - Construction</t>
        </is>
      </c>
      <c r="F2983" s="3" t="n">
        <v>776649.41</v>
      </c>
      <c r="G2983" s="3" t="n">
        <v>776649.41</v>
      </c>
    </row>
    <row r="2984">
      <c r="A2984" s="3" t="inlineStr">
        <is>
          <t>Cape Projects Construction (Pty) Ltd</t>
        </is>
      </c>
      <c r="B2984" s="4" t="n">
        <v>45016</v>
      </c>
      <c r="C2984" s="3" t="inlineStr">
        <is>
          <t>Expenses</t>
        </is>
      </c>
      <c r="D2984" s="3" t="inlineStr">
        <is>
          <t>2011/600</t>
        </is>
      </c>
      <c r="E2984" s="3" t="inlineStr">
        <is>
          <t>COS - Heron Fields - P &amp; G</t>
        </is>
      </c>
      <c r="F2984" s="3" t="n">
        <v>59157.63</v>
      </c>
      <c r="G2984" s="3" t="n">
        <v>59157.63</v>
      </c>
    </row>
    <row r="2985">
      <c r="A2985" s="3" t="inlineStr">
        <is>
          <t>Cape Projects Construction (Pty) Ltd</t>
        </is>
      </c>
      <c r="B2985" s="4" t="n">
        <v>45016</v>
      </c>
      <c r="C2985" s="3" t="inlineStr">
        <is>
          <t>Expenses</t>
        </is>
      </c>
      <c r="D2985" s="3" t="inlineStr">
        <is>
          <t>2011/900</t>
        </is>
      </c>
      <c r="E2985" s="3" t="inlineStr">
        <is>
          <t>COS - Heron - Internet</t>
        </is>
      </c>
      <c r="F2985" s="3" t="n">
        <v>1189.57</v>
      </c>
      <c r="G2985" s="3" t="n">
        <v>1189.57</v>
      </c>
    </row>
    <row r="2986">
      <c r="A2986" s="3" t="inlineStr">
        <is>
          <t>Cape Projects Construction (Pty) Ltd</t>
        </is>
      </c>
      <c r="B2986" s="4" t="n">
        <v>45016</v>
      </c>
      <c r="C2986" s="3" t="inlineStr">
        <is>
          <t>Expenses</t>
        </is>
      </c>
      <c r="D2986" s="3" t="inlineStr">
        <is>
          <t>2012/002</t>
        </is>
      </c>
      <c r="E2986" s="3" t="inlineStr">
        <is>
          <t>COS - Heron View - Construction</t>
        </is>
      </c>
      <c r="F2986" s="3" t="n">
        <v>2483055.52</v>
      </c>
      <c r="G2986" s="3" t="n">
        <v>2483055.52</v>
      </c>
    </row>
    <row r="2987">
      <c r="A2987" s="3" t="inlineStr">
        <is>
          <t>Cape Projects Construction (Pty) Ltd</t>
        </is>
      </c>
      <c r="B2987" s="4" t="n">
        <v>45016</v>
      </c>
      <c r="C2987" s="3" t="inlineStr">
        <is>
          <t>Expenses</t>
        </is>
      </c>
      <c r="D2987" s="3" t="inlineStr">
        <is>
          <t>2012/003</t>
        </is>
      </c>
      <c r="E2987" s="3" t="inlineStr">
        <is>
          <t>COS - Heron View - P&amp;G</t>
        </is>
      </c>
      <c r="F2987" s="3" t="n">
        <v>263223.18</v>
      </c>
      <c r="G2987" s="3" t="n">
        <v>263223.18</v>
      </c>
    </row>
    <row r="2988">
      <c r="A2988" s="3" t="inlineStr">
        <is>
          <t>Cape Projects Construction (Pty) Ltd</t>
        </is>
      </c>
      <c r="B2988" s="4" t="n">
        <v>45016</v>
      </c>
      <c r="C2988" s="3" t="inlineStr">
        <is>
          <t>Expenses</t>
        </is>
      </c>
      <c r="D2988" s="3" t="inlineStr">
        <is>
          <t>2013/000</t>
        </is>
      </c>
      <c r="E2988" s="3" t="inlineStr">
        <is>
          <t>COS - Bakhoven</t>
        </is>
      </c>
      <c r="F2988" s="3" t="n">
        <v>17292.48</v>
      </c>
      <c r="G2988" s="3" t="n">
        <v>17292.48</v>
      </c>
    </row>
    <row r="2989">
      <c r="A2989" s="3" t="inlineStr">
        <is>
          <t>Cape Projects Construction (Pty) Ltd</t>
        </is>
      </c>
      <c r="B2989" s="4" t="n">
        <v>45016</v>
      </c>
      <c r="C2989" s="3" t="inlineStr">
        <is>
          <t>Revenue</t>
        </is>
      </c>
      <c r="D2989" s="3" t="inlineStr">
        <is>
          <t>2750/000</t>
        </is>
      </c>
      <c r="E2989" s="3" t="inlineStr">
        <is>
          <t>Interest Received - FNB</t>
        </is>
      </c>
      <c r="F2989" s="3" t="n">
        <v>-144.7</v>
      </c>
      <c r="G2989" s="3" t="n">
        <v>-144.7</v>
      </c>
    </row>
    <row r="2990">
      <c r="A2990" s="3" t="inlineStr">
        <is>
          <t>Cape Projects Construction (Pty) Ltd</t>
        </is>
      </c>
      <c r="B2990" s="4" t="n">
        <v>45016</v>
      </c>
      <c r="C2990" s="3" t="inlineStr">
        <is>
          <t>Revenue</t>
        </is>
      </c>
      <c r="D2990" s="3" t="inlineStr">
        <is>
          <t>2751/001</t>
        </is>
      </c>
      <c r="E2990" s="3" t="inlineStr">
        <is>
          <t>Interest received - Momentum</t>
        </is>
      </c>
      <c r="F2990" s="3" t="n">
        <v>-6.81</v>
      </c>
      <c r="G2990" s="3" t="n">
        <v>-6.81</v>
      </c>
    </row>
    <row r="2991">
      <c r="A2991" s="3" t="inlineStr">
        <is>
          <t>Heron Fields (Pty) Ltd</t>
        </is>
      </c>
      <c r="B2991" s="4" t="n">
        <v>45016</v>
      </c>
      <c r="C2991" s="3" t="inlineStr">
        <is>
          <t>Revenue</t>
        </is>
      </c>
      <c r="D2991" s="3" t="inlineStr">
        <is>
          <t>2755/001</t>
        </is>
      </c>
      <c r="E2991" s="3" t="inlineStr">
        <is>
          <t>Interest Received - Momentum</t>
        </is>
      </c>
      <c r="F2991" s="3" t="n">
        <v>-224306.87</v>
      </c>
      <c r="G2991" s="3" t="n">
        <v>-224306.87</v>
      </c>
    </row>
    <row r="2992">
      <c r="A2992" s="3" t="inlineStr">
        <is>
          <t>Heron Fields (Pty) Ltd</t>
        </is>
      </c>
      <c r="B2992" s="4" t="n">
        <v>45016</v>
      </c>
      <c r="C2992" s="3" t="inlineStr">
        <is>
          <t>Expenses</t>
        </is>
      </c>
      <c r="D2992" s="3" t="inlineStr">
        <is>
          <t>3050/000</t>
        </is>
      </c>
      <c r="E2992" s="3" t="inlineStr">
        <is>
          <t>Advertising _AND_ Promotions</t>
        </is>
      </c>
      <c r="F2992" s="3" t="n">
        <v>22554.76</v>
      </c>
      <c r="G2992" s="3" t="n">
        <v>22554.76</v>
      </c>
    </row>
    <row r="2993">
      <c r="A2993" s="3" t="inlineStr">
        <is>
          <t>Heron View (Pty) Ltd</t>
        </is>
      </c>
      <c r="B2993" s="4" t="n">
        <v>45016</v>
      </c>
      <c r="C2993" s="3" t="inlineStr">
        <is>
          <t>Expenses</t>
        </is>
      </c>
      <c r="D2993" s="3" t="inlineStr">
        <is>
          <t>3050/000</t>
        </is>
      </c>
      <c r="E2993" s="3" t="inlineStr">
        <is>
          <t>Advertising _AND_ Promotions</t>
        </is>
      </c>
      <c r="F2993" s="3" t="n">
        <v>24975</v>
      </c>
      <c r="G2993" s="3" t="n">
        <v>24975</v>
      </c>
    </row>
    <row r="2994">
      <c r="A2994" s="3" t="inlineStr">
        <is>
          <t>Cape Projects Construction (Pty) Ltd</t>
        </is>
      </c>
      <c r="B2994" s="4" t="n">
        <v>45016</v>
      </c>
      <c r="C2994" s="3" t="inlineStr">
        <is>
          <t>Expenses</t>
        </is>
      </c>
      <c r="D2994" s="3" t="inlineStr">
        <is>
          <t>3050/150</t>
        </is>
      </c>
      <c r="E2994" s="3" t="inlineStr">
        <is>
          <t>Advertising - Design Fees</t>
        </is>
      </c>
      <c r="F2994" s="3" t="n">
        <v>295</v>
      </c>
      <c r="G2994" s="3" t="n">
        <v>295</v>
      </c>
    </row>
    <row r="2995">
      <c r="A2995" s="3" t="inlineStr">
        <is>
          <t>Cape Projects Construction (Pty) Ltd</t>
        </is>
      </c>
      <c r="B2995" s="4" t="n">
        <v>45016</v>
      </c>
      <c r="C2995" s="3" t="inlineStr">
        <is>
          <t>Expenses</t>
        </is>
      </c>
      <c r="D2995" s="3" t="inlineStr">
        <is>
          <t>3050/450</t>
        </is>
      </c>
      <c r="E2995" s="3" t="inlineStr">
        <is>
          <t>Advertising - Other</t>
        </is>
      </c>
      <c r="F2995" s="3" t="n">
        <v>712</v>
      </c>
      <c r="G2995" s="3" t="n">
        <v>712</v>
      </c>
    </row>
    <row r="2996">
      <c r="A2996" s="3" t="inlineStr">
        <is>
          <t>Cape Projects Construction (Pty) Ltd</t>
        </is>
      </c>
      <c r="B2996" s="4" t="n">
        <v>45016</v>
      </c>
      <c r="C2996" s="3" t="inlineStr">
        <is>
          <t>Expenses</t>
        </is>
      </c>
      <c r="D2996" s="3" t="inlineStr">
        <is>
          <t>3200/000</t>
        </is>
      </c>
      <c r="E2996" s="3" t="inlineStr">
        <is>
          <t>Bank Charges</t>
        </is>
      </c>
      <c r="F2996" s="3" t="n">
        <v>1931.46</v>
      </c>
      <c r="G2996" s="3" t="n">
        <v>1931.46</v>
      </c>
    </row>
    <row r="2997">
      <c r="A2997" s="3" t="inlineStr">
        <is>
          <t>Heron Fields (Pty) Ltd</t>
        </is>
      </c>
      <c r="B2997" s="4" t="n">
        <v>45016</v>
      </c>
      <c r="C2997" s="3" t="inlineStr">
        <is>
          <t>Expenses</t>
        </is>
      </c>
      <c r="D2997" s="3" t="inlineStr">
        <is>
          <t>3200/000</t>
        </is>
      </c>
      <c r="E2997" s="3" t="inlineStr">
        <is>
          <t>Bank Charges</t>
        </is>
      </c>
      <c r="F2997" s="3" t="n">
        <v>582.98</v>
      </c>
      <c r="G2997" s="3" t="n">
        <v>582.98</v>
      </c>
    </row>
    <row r="2998">
      <c r="A2998" s="3" t="inlineStr">
        <is>
          <t>Cape Projects Construction (Pty) Ltd</t>
        </is>
      </c>
      <c r="B2998" s="4" t="n">
        <v>45016</v>
      </c>
      <c r="C2998" s="3" t="inlineStr">
        <is>
          <t>Expenses</t>
        </is>
      </c>
      <c r="D2998" s="3" t="inlineStr">
        <is>
          <t>3250/000</t>
        </is>
      </c>
      <c r="E2998" s="3" t="inlineStr">
        <is>
          <t>Cleaning</t>
        </is>
      </c>
      <c r="F2998" s="3" t="n">
        <v>355.4</v>
      </c>
      <c r="G2998" s="3" t="n">
        <v>355.4</v>
      </c>
    </row>
    <row r="2999">
      <c r="A2999" s="3" t="inlineStr">
        <is>
          <t>Cape Projects Construction (Pty) Ltd</t>
        </is>
      </c>
      <c r="B2999" s="4" t="n">
        <v>45016</v>
      </c>
      <c r="C2999" s="3" t="inlineStr">
        <is>
          <t>Expenses</t>
        </is>
      </c>
      <c r="D2999" s="3" t="inlineStr">
        <is>
          <t>3300/000</t>
        </is>
      </c>
      <c r="E2999" s="3" t="inlineStr">
        <is>
          <t>Computer Expenses</t>
        </is>
      </c>
      <c r="F2999" s="3" t="n">
        <v>1604.52</v>
      </c>
      <c r="G2999" s="3" t="n">
        <v>1604.52</v>
      </c>
    </row>
    <row r="3000">
      <c r="A3000" s="3" t="inlineStr">
        <is>
          <t>Cape Projects Construction (Pty) Ltd</t>
        </is>
      </c>
      <c r="B3000" s="4" t="n">
        <v>45016</v>
      </c>
      <c r="C3000" s="3" t="inlineStr">
        <is>
          <t>Expenses</t>
        </is>
      </c>
      <c r="D3000" s="3" t="inlineStr">
        <is>
          <t>3300/100</t>
        </is>
      </c>
      <c r="E3000" s="3" t="inlineStr">
        <is>
          <t>Computer Exp - IT, Internet/Hosting Fee</t>
        </is>
      </c>
      <c r="F3000" s="3" t="n">
        <v>5177</v>
      </c>
      <c r="G3000" s="3" t="n">
        <v>5177</v>
      </c>
    </row>
    <row r="3001">
      <c r="A3001" s="3" t="inlineStr">
        <is>
          <t>Heron Fields (Pty) Ltd</t>
        </is>
      </c>
      <c r="B3001" s="4" t="n">
        <v>45016</v>
      </c>
      <c r="C3001" s="3" t="inlineStr">
        <is>
          <t>Expenses</t>
        </is>
      </c>
      <c r="D3001" s="3" t="inlineStr">
        <is>
          <t>3350/100</t>
        </is>
      </c>
      <c r="E3001" s="3" t="inlineStr">
        <is>
          <t>Consulting Fees - Admin and Finance</t>
        </is>
      </c>
      <c r="F3001" s="3" t="n">
        <v>109218.57</v>
      </c>
      <c r="G3001" s="3" t="n">
        <v>109218.57</v>
      </c>
    </row>
    <row r="3002">
      <c r="A3002" s="3" t="inlineStr">
        <is>
          <t>Cape Projects Construction (Pty) Ltd</t>
        </is>
      </c>
      <c r="B3002" s="4" t="n">
        <v>45016</v>
      </c>
      <c r="C3002" s="3" t="inlineStr">
        <is>
          <t>Expenses</t>
        </is>
      </c>
      <c r="D3002" s="3" t="inlineStr">
        <is>
          <t>3350/300</t>
        </is>
      </c>
      <c r="E3002" s="3" t="inlineStr">
        <is>
          <t>Consulting Fees - Admin and Finance</t>
        </is>
      </c>
      <c r="F3002" s="3" t="n">
        <v>144016.7</v>
      </c>
      <c r="G3002" s="3" t="n">
        <v>144016.7</v>
      </c>
    </row>
    <row r="3003">
      <c r="A3003" s="3" t="inlineStr">
        <is>
          <t>Cape Projects Construction (Pty) Ltd</t>
        </is>
      </c>
      <c r="B3003" s="4" t="n">
        <v>45016</v>
      </c>
      <c r="C3003" s="3" t="inlineStr">
        <is>
          <t>Expenses</t>
        </is>
      </c>
      <c r="D3003" s="3" t="inlineStr">
        <is>
          <t>3450/001</t>
        </is>
      </c>
      <c r="E3003" s="3" t="inlineStr">
        <is>
          <t>Depreciation - Computer Equipment</t>
        </is>
      </c>
      <c r="F3003" s="3" t="n">
        <v>3323.91</v>
      </c>
      <c r="G3003" s="3" t="n">
        <v>3323.91</v>
      </c>
    </row>
    <row r="3004">
      <c r="A3004" s="3" t="inlineStr">
        <is>
          <t>Cape Projects Construction (Pty) Ltd</t>
        </is>
      </c>
      <c r="B3004" s="4" t="n">
        <v>45016</v>
      </c>
      <c r="C3004" s="3" t="inlineStr">
        <is>
          <t>Expenses</t>
        </is>
      </c>
      <c r="D3004" s="3" t="inlineStr">
        <is>
          <t>3450/002</t>
        </is>
      </c>
      <c r="E3004" s="3" t="inlineStr">
        <is>
          <t>Depreciation - Generator Fixed Asset</t>
        </is>
      </c>
      <c r="F3004" s="3" t="n">
        <v>193.33</v>
      </c>
      <c r="G3004" s="3" t="n">
        <v>193.33</v>
      </c>
    </row>
    <row r="3005">
      <c r="A3005" s="3" t="inlineStr">
        <is>
          <t>Cape Projects Construction (Pty) Ltd</t>
        </is>
      </c>
      <c r="B3005" s="4" t="n">
        <v>45016</v>
      </c>
      <c r="C3005" s="3" t="inlineStr">
        <is>
          <t>Expenses</t>
        </is>
      </c>
      <c r="D3005" s="3" t="inlineStr">
        <is>
          <t>3450/030</t>
        </is>
      </c>
      <c r="E3005" s="3" t="inlineStr">
        <is>
          <t>Depreciation - Furniture and Fittings</t>
        </is>
      </c>
      <c r="F3005" s="3" t="n">
        <v>547.6799999999999</v>
      </c>
      <c r="G3005" s="3" t="n">
        <v>547.6799999999999</v>
      </c>
    </row>
    <row r="3006">
      <c r="A3006" s="3" t="inlineStr">
        <is>
          <t>Heron Fields (Pty) Ltd</t>
        </is>
      </c>
      <c r="B3006" s="4" t="n">
        <v>45016</v>
      </c>
      <c r="C3006" s="3" t="inlineStr">
        <is>
          <t>Expenses</t>
        </is>
      </c>
      <c r="D3006" s="3" t="inlineStr">
        <is>
          <t>3650/000</t>
        </is>
      </c>
      <c r="E3006" s="3" t="inlineStr">
        <is>
          <t>CoCT - Electricity</t>
        </is>
      </c>
      <c r="F3006" s="3" t="n">
        <v>11216.13</v>
      </c>
      <c r="G3006" s="3" t="n">
        <v>11216.13</v>
      </c>
    </row>
    <row r="3007">
      <c r="A3007" s="3" t="inlineStr">
        <is>
          <t>Cape Projects Construction (Pty) Ltd</t>
        </is>
      </c>
      <c r="B3007" s="4" t="n">
        <v>45016</v>
      </c>
      <c r="C3007" s="3" t="inlineStr">
        <is>
          <t>Expenses</t>
        </is>
      </c>
      <c r="D3007" s="3" t="inlineStr">
        <is>
          <t>3650/000</t>
        </is>
      </c>
      <c r="E3007" s="3" t="inlineStr">
        <is>
          <t>Electricity _AND_ Water</t>
        </is>
      </c>
      <c r="F3007" s="3" t="n">
        <v>7428.07</v>
      </c>
      <c r="G3007" s="3" t="n">
        <v>7428.07</v>
      </c>
    </row>
    <row r="3008">
      <c r="A3008" s="3" t="inlineStr">
        <is>
          <t>Heron Fields (Pty) Ltd</t>
        </is>
      </c>
      <c r="B3008" s="4" t="n">
        <v>45016</v>
      </c>
      <c r="C3008" s="3" t="inlineStr">
        <is>
          <t>Expenses</t>
        </is>
      </c>
      <c r="D3008" s="3" t="inlineStr">
        <is>
          <t>3660/000</t>
        </is>
      </c>
      <c r="E3008" s="3" t="inlineStr">
        <is>
          <t>CoCT - Water</t>
        </is>
      </c>
      <c r="F3008" s="3" t="n">
        <v>39349.03</v>
      </c>
      <c r="G3008" s="3" t="n">
        <v>39349.03</v>
      </c>
    </row>
    <row r="3009">
      <c r="A3009" s="3" t="inlineStr">
        <is>
          <t>Heron Fields (Pty) Ltd</t>
        </is>
      </c>
      <c r="B3009" s="4" t="n">
        <v>45016</v>
      </c>
      <c r="C3009" s="3" t="inlineStr">
        <is>
          <t>Expenses</t>
        </is>
      </c>
      <c r="D3009" s="3" t="inlineStr">
        <is>
          <t>3670/000</t>
        </is>
      </c>
      <c r="E3009" s="3" t="inlineStr">
        <is>
          <t>CoCT - Refuse</t>
        </is>
      </c>
      <c r="F3009" s="3" t="n">
        <v>10690.2</v>
      </c>
      <c r="G3009" s="3" t="n">
        <v>10690.2</v>
      </c>
    </row>
    <row r="3010">
      <c r="A3010" s="3" t="inlineStr">
        <is>
          <t>Heron Fields (Pty) Ltd</t>
        </is>
      </c>
      <c r="B3010" s="4" t="n">
        <v>45016</v>
      </c>
      <c r="C3010" s="3" t="inlineStr">
        <is>
          <t>Expenses</t>
        </is>
      </c>
      <c r="D3010" s="3" t="inlineStr">
        <is>
          <t>3800/000</t>
        </is>
      </c>
      <c r="E3010" s="3" t="inlineStr">
        <is>
          <t>General Expenses</t>
        </is>
      </c>
      <c r="F3010" s="3" t="n">
        <v>199.99</v>
      </c>
      <c r="G3010" s="3" t="n">
        <v>199.99</v>
      </c>
    </row>
    <row r="3011">
      <c r="A3011" s="3" t="inlineStr">
        <is>
          <t>Cape Projects Construction (Pty) Ltd</t>
        </is>
      </c>
      <c r="B3011" s="4" t="n">
        <v>45016</v>
      </c>
      <c r="C3011" s="3" t="inlineStr">
        <is>
          <t>Expenses</t>
        </is>
      </c>
      <c r="D3011" s="3" t="inlineStr">
        <is>
          <t>3850/001</t>
        </is>
      </c>
      <c r="E3011" s="3" t="inlineStr">
        <is>
          <t>Insurance - Santam</t>
        </is>
      </c>
      <c r="F3011" s="3" t="n">
        <v>1458.74</v>
      </c>
      <c r="G3011" s="3" t="n">
        <v>1458.74</v>
      </c>
    </row>
    <row r="3012">
      <c r="A3012" s="3" t="inlineStr">
        <is>
          <t>Heron Fields (Pty) Ltd</t>
        </is>
      </c>
      <c r="B3012" s="4" t="n">
        <v>45016</v>
      </c>
      <c r="C3012" s="3" t="inlineStr">
        <is>
          <t>Expenses</t>
        </is>
      </c>
      <c r="D3012" s="3" t="inlineStr">
        <is>
          <t>3900/000</t>
        </is>
      </c>
      <c r="E3012" s="3" t="inlineStr">
        <is>
          <t>Interest Paid</t>
        </is>
      </c>
      <c r="F3012" s="3" t="n">
        <v>181.67</v>
      </c>
      <c r="G3012" s="3" t="n">
        <v>181.67</v>
      </c>
    </row>
    <row r="3013">
      <c r="A3013" s="3" t="inlineStr">
        <is>
          <t>Heron Fields (Pty) Ltd</t>
        </is>
      </c>
      <c r="B3013" s="4" t="n">
        <v>45016</v>
      </c>
      <c r="C3013" s="3" t="inlineStr">
        <is>
          <t>Expenses</t>
        </is>
      </c>
      <c r="D3013" s="3" t="inlineStr">
        <is>
          <t>3900/111</t>
        </is>
      </c>
      <c r="E3013" s="3" t="inlineStr">
        <is>
          <t>Interest Paid - Investors @ 6.25%</t>
        </is>
      </c>
      <c r="F3013" s="3" t="n">
        <v>63203.46</v>
      </c>
      <c r="G3013" s="3" t="n">
        <v>63203.46</v>
      </c>
    </row>
    <row r="3014">
      <c r="A3014" s="3" t="inlineStr">
        <is>
          <t>Heron Fields (Pty) Ltd</t>
        </is>
      </c>
      <c r="B3014" s="4" t="n">
        <v>45016</v>
      </c>
      <c r="C3014" s="3" t="inlineStr">
        <is>
          <t>Expenses</t>
        </is>
      </c>
      <c r="D3014" s="3" t="inlineStr">
        <is>
          <t>3900/115</t>
        </is>
      </c>
      <c r="E3014" s="3" t="inlineStr">
        <is>
          <t>Interest Paid - Investors @ 6.5%</t>
        </is>
      </c>
      <c r="F3014" s="3" t="n">
        <v>3561.64</v>
      </c>
      <c r="G3014" s="3" t="n">
        <v>3561.64</v>
      </c>
    </row>
    <row r="3015">
      <c r="A3015" s="3" t="inlineStr">
        <is>
          <t>Heron Fields (Pty) Ltd</t>
        </is>
      </c>
      <c r="B3015" s="4" t="n">
        <v>45016</v>
      </c>
      <c r="C3015" s="3" t="inlineStr">
        <is>
          <t>Expenses</t>
        </is>
      </c>
      <c r="D3015" s="3" t="inlineStr">
        <is>
          <t>3900/190</t>
        </is>
      </c>
      <c r="E3015" s="3" t="inlineStr">
        <is>
          <t>Interest Paid - Investors @ 14%</t>
        </is>
      </c>
      <c r="F3015" s="3" t="n">
        <v>40376.71</v>
      </c>
      <c r="G3015" s="3" t="n">
        <v>40376.71</v>
      </c>
    </row>
    <row r="3016">
      <c r="A3016" s="3" t="inlineStr">
        <is>
          <t>Heron Fields (Pty) Ltd</t>
        </is>
      </c>
      <c r="B3016" s="4" t="n">
        <v>45016</v>
      </c>
      <c r="C3016" s="3" t="inlineStr">
        <is>
          <t>Expenses</t>
        </is>
      </c>
      <c r="D3016" s="3" t="inlineStr">
        <is>
          <t>3900/200</t>
        </is>
      </c>
      <c r="E3016" s="3" t="inlineStr">
        <is>
          <t>Interest Paid - Investors @ 15%</t>
        </is>
      </c>
      <c r="F3016" s="3" t="n">
        <v>133335.61</v>
      </c>
      <c r="G3016" s="3" t="n">
        <v>133335.61</v>
      </c>
    </row>
    <row r="3017">
      <c r="A3017" s="3" t="inlineStr">
        <is>
          <t>Heron Fields (Pty) Ltd</t>
        </is>
      </c>
      <c r="B3017" s="4" t="n">
        <v>45016</v>
      </c>
      <c r="C3017" s="3" t="inlineStr">
        <is>
          <t>Expenses</t>
        </is>
      </c>
      <c r="D3017" s="3" t="inlineStr">
        <is>
          <t>3900/230</t>
        </is>
      </c>
      <c r="E3017" s="3" t="inlineStr">
        <is>
          <t>Interest Paid - Investors @ 18%</t>
        </is>
      </c>
      <c r="F3017" s="3" t="n">
        <v>1115603.3</v>
      </c>
      <c r="G3017" s="3" t="n">
        <v>1115603.3</v>
      </c>
    </row>
    <row r="3018">
      <c r="A3018" s="3" t="inlineStr">
        <is>
          <t>Heron Fields (Pty) Ltd</t>
        </is>
      </c>
      <c r="B3018" s="4" t="n">
        <v>45016</v>
      </c>
      <c r="C3018" s="3" t="inlineStr">
        <is>
          <t>Expenses</t>
        </is>
      </c>
      <c r="D3018" s="3" t="inlineStr">
        <is>
          <t>4100/001</t>
        </is>
      </c>
      <c r="E3018" s="3" t="inlineStr">
        <is>
          <t>Momentum Admin Fee</t>
        </is>
      </c>
      <c r="F3018" s="3" t="n">
        <v>5169.95</v>
      </c>
      <c r="G3018" s="3" t="n">
        <v>5169.95</v>
      </c>
    </row>
    <row r="3019">
      <c r="A3019" s="3" t="inlineStr">
        <is>
          <t>Cape Projects Construction (Pty) Ltd</t>
        </is>
      </c>
      <c r="B3019" s="4" t="n">
        <v>45016</v>
      </c>
      <c r="C3019" s="3" t="inlineStr">
        <is>
          <t>Expenses</t>
        </is>
      </c>
      <c r="D3019" s="3" t="inlineStr">
        <is>
          <t>4150/010</t>
        </is>
      </c>
      <c r="E3019" s="3" t="inlineStr">
        <is>
          <t>Motor Vehicle - Petrol _AND_ Oil</t>
        </is>
      </c>
      <c r="F3019" s="3" t="n">
        <v>5589.51</v>
      </c>
      <c r="G3019" s="3" t="n">
        <v>5589.51</v>
      </c>
    </row>
    <row r="3020">
      <c r="A3020" s="3" t="inlineStr">
        <is>
          <t>Cape Projects Construction (Pty) Ltd</t>
        </is>
      </c>
      <c r="B3020" s="4" t="n">
        <v>45016</v>
      </c>
      <c r="C3020" s="3" t="inlineStr">
        <is>
          <t>Expenses</t>
        </is>
      </c>
      <c r="D3020" s="3" t="inlineStr">
        <is>
          <t>4200/000</t>
        </is>
      </c>
      <c r="E3020" s="3" t="inlineStr">
        <is>
          <t>Printing _AND_ Stationery</t>
        </is>
      </c>
      <c r="F3020" s="3" t="n">
        <v>2299.13</v>
      </c>
      <c r="G3020" s="3" t="n">
        <v>2299.13</v>
      </c>
    </row>
    <row r="3021">
      <c r="A3021" s="3" t="inlineStr">
        <is>
          <t>Cape Projects Construction (Pty) Ltd</t>
        </is>
      </c>
      <c r="B3021" s="4" t="n">
        <v>45016</v>
      </c>
      <c r="C3021" s="3" t="inlineStr">
        <is>
          <t>Expenses</t>
        </is>
      </c>
      <c r="D3021" s="3" t="inlineStr">
        <is>
          <t>4201/000</t>
        </is>
      </c>
      <c r="E3021" s="3" t="inlineStr">
        <is>
          <t>Printing - Printer rental</t>
        </is>
      </c>
      <c r="F3021" s="3" t="n">
        <v>1375.3</v>
      </c>
      <c r="G3021" s="3" t="n">
        <v>1375.3</v>
      </c>
    </row>
    <row r="3022">
      <c r="A3022" s="3" t="inlineStr">
        <is>
          <t>Cape Projects Construction (Pty) Ltd</t>
        </is>
      </c>
      <c r="B3022" s="4" t="n">
        <v>45016</v>
      </c>
      <c r="C3022" s="3" t="inlineStr">
        <is>
          <t>Expenses</t>
        </is>
      </c>
      <c r="D3022" s="3" t="inlineStr">
        <is>
          <t>4300/000</t>
        </is>
      </c>
      <c r="E3022" s="3" t="inlineStr">
        <is>
          <t>Rent Paid</t>
        </is>
      </c>
      <c r="F3022" s="3" t="n">
        <v>29600</v>
      </c>
      <c r="G3022" s="3" t="n">
        <v>29600</v>
      </c>
    </row>
    <row r="3023">
      <c r="A3023" s="3" t="inlineStr">
        <is>
          <t>Cape Projects Construction (Pty) Ltd</t>
        </is>
      </c>
      <c r="B3023" s="4" t="n">
        <v>45016</v>
      </c>
      <c r="C3023" s="3" t="inlineStr">
        <is>
          <t>Expenses</t>
        </is>
      </c>
      <c r="D3023" s="3" t="inlineStr">
        <is>
          <t>4310/000</t>
        </is>
      </c>
      <c r="E3023" s="3" t="inlineStr">
        <is>
          <t>Rates</t>
        </is>
      </c>
      <c r="F3023" s="3" t="n">
        <v>843.6</v>
      </c>
      <c r="G3023" s="3" t="n">
        <v>843.6</v>
      </c>
    </row>
    <row r="3024">
      <c r="A3024" s="3" t="inlineStr">
        <is>
          <t>Heron Fields (Pty) Ltd</t>
        </is>
      </c>
      <c r="B3024" s="4" t="n">
        <v>45016</v>
      </c>
      <c r="C3024" s="3" t="inlineStr">
        <is>
          <t>Expenses</t>
        </is>
      </c>
      <c r="D3024" s="3" t="inlineStr">
        <is>
          <t>4310/000</t>
        </is>
      </c>
      <c r="E3024" s="3" t="inlineStr">
        <is>
          <t>Rates - Heron</t>
        </is>
      </c>
      <c r="F3024" s="3" t="n">
        <v>30819.25</v>
      </c>
      <c r="G3024" s="3" t="n">
        <v>30819.25</v>
      </c>
    </row>
    <row r="3025">
      <c r="A3025" s="3" t="inlineStr">
        <is>
          <t>Cape Projects Construction (Pty) Ltd</t>
        </is>
      </c>
      <c r="B3025" s="4" t="n">
        <v>45016</v>
      </c>
      <c r="C3025" s="3" t="inlineStr">
        <is>
          <t>Expenses</t>
        </is>
      </c>
      <c r="D3025" s="3" t="inlineStr">
        <is>
          <t>4350/000</t>
        </is>
      </c>
      <c r="E3025" s="3" t="inlineStr">
        <is>
          <t>Repairs _AND_ Maintenance</t>
        </is>
      </c>
      <c r="F3025" s="3" t="n">
        <v>6352.8</v>
      </c>
      <c r="G3025" s="3" t="n">
        <v>6352.8</v>
      </c>
    </row>
    <row r="3026">
      <c r="A3026" s="3" t="inlineStr">
        <is>
          <t>Cape Projects Construction (Pty) Ltd</t>
        </is>
      </c>
      <c r="B3026" s="4" t="n">
        <v>45016</v>
      </c>
      <c r="C3026" s="3" t="inlineStr">
        <is>
          <t>Expenses</t>
        </is>
      </c>
      <c r="D3026" s="3" t="inlineStr">
        <is>
          <t>4400/000</t>
        </is>
      </c>
      <c r="E3026" s="3" t="inlineStr">
        <is>
          <t>Salaries _AND_ Wages</t>
        </is>
      </c>
      <c r="F3026" s="3" t="n">
        <v>311179.66</v>
      </c>
      <c r="G3026" s="3" t="n">
        <v>311179.66</v>
      </c>
    </row>
    <row r="3027">
      <c r="A3027" s="3" t="inlineStr">
        <is>
          <t>Cape Projects Construction (Pty) Ltd</t>
        </is>
      </c>
      <c r="B3027" s="4" t="n">
        <v>45016</v>
      </c>
      <c r="C3027" s="3" t="inlineStr">
        <is>
          <t>Expenses</t>
        </is>
      </c>
      <c r="D3027" s="3" t="inlineStr">
        <is>
          <t>4403/000</t>
        </is>
      </c>
      <c r="E3027" s="3" t="inlineStr">
        <is>
          <t>Security</t>
        </is>
      </c>
      <c r="F3027" s="3" t="n">
        <v>177.33</v>
      </c>
      <c r="G3027" s="3" t="n">
        <v>177.33</v>
      </c>
    </row>
    <row r="3028">
      <c r="A3028" s="3" t="inlineStr">
        <is>
          <t>Cape Projects Construction (Pty) Ltd</t>
        </is>
      </c>
      <c r="B3028" s="4" t="n">
        <v>45016</v>
      </c>
      <c r="C3028" s="3" t="inlineStr">
        <is>
          <t>Expenses</t>
        </is>
      </c>
      <c r="D3028" s="3" t="inlineStr">
        <is>
          <t>4420/000</t>
        </is>
      </c>
      <c r="E3028" s="3" t="inlineStr">
        <is>
          <t>Small Assets</t>
        </is>
      </c>
      <c r="F3028" s="3" t="n">
        <v>833.91</v>
      </c>
      <c r="G3028" s="3" t="n">
        <v>833.91</v>
      </c>
    </row>
    <row r="3029">
      <c r="A3029" s="3" t="inlineStr">
        <is>
          <t>Heron Fields (Pty) Ltd</t>
        </is>
      </c>
      <c r="B3029" s="4" t="n">
        <v>45016</v>
      </c>
      <c r="C3029" s="3" t="inlineStr">
        <is>
          <t>Expenses</t>
        </is>
      </c>
      <c r="D3029" s="3" t="inlineStr">
        <is>
          <t>4420/001</t>
        </is>
      </c>
      <c r="E3029" s="3" t="inlineStr">
        <is>
          <t>Security - ADT</t>
        </is>
      </c>
      <c r="F3029" s="3" t="n">
        <v>328.38</v>
      </c>
      <c r="G3029" s="3" t="n">
        <v>328.38</v>
      </c>
    </row>
    <row r="3030">
      <c r="A3030" s="3" t="inlineStr">
        <is>
          <t>Cape Projects Construction (Pty) Ltd</t>
        </is>
      </c>
      <c r="B3030" s="4" t="n">
        <v>45016</v>
      </c>
      <c r="C3030" s="3" t="inlineStr">
        <is>
          <t>Expenses</t>
        </is>
      </c>
      <c r="D3030" s="3" t="inlineStr">
        <is>
          <t>4550/001</t>
        </is>
      </c>
      <c r="E3030" s="3" t="inlineStr">
        <is>
          <t>Subscriptions &amp; Licenses - Sage payroll</t>
        </is>
      </c>
      <c r="F3030" s="3" t="n">
        <v>747</v>
      </c>
      <c r="G3030" s="3" t="n">
        <v>747</v>
      </c>
    </row>
    <row r="3031">
      <c r="A3031" s="3" t="inlineStr">
        <is>
          <t>Cape Projects Construction (Pty) Ltd</t>
        </is>
      </c>
      <c r="B3031" s="4" t="n">
        <v>45016</v>
      </c>
      <c r="C3031" s="3" t="inlineStr">
        <is>
          <t>Expenses</t>
        </is>
      </c>
      <c r="D3031" s="3" t="inlineStr">
        <is>
          <t>4550/002</t>
        </is>
      </c>
      <c r="E3031" s="3" t="inlineStr">
        <is>
          <t>Subscriptions &amp; Licenses - Caseware</t>
        </is>
      </c>
      <c r="F3031" s="3" t="n">
        <v>10825.49</v>
      </c>
      <c r="G3031" s="3" t="n">
        <v>10825.49</v>
      </c>
    </row>
    <row r="3032">
      <c r="A3032" s="3" t="inlineStr">
        <is>
          <t>Cape Projects Construction (Pty) Ltd</t>
        </is>
      </c>
      <c r="B3032" s="4" t="n">
        <v>45016</v>
      </c>
      <c r="C3032" s="3" t="inlineStr">
        <is>
          <t>Expenses</t>
        </is>
      </c>
      <c r="D3032" s="3" t="inlineStr">
        <is>
          <t>4550/003</t>
        </is>
      </c>
      <c r="E3032" s="3" t="inlineStr">
        <is>
          <t>Subscriptions &amp; Licenses - Xero</t>
        </is>
      </c>
      <c r="F3032" s="3" t="n">
        <v>600</v>
      </c>
      <c r="G3032" s="3" t="n">
        <v>600</v>
      </c>
    </row>
    <row r="3033">
      <c r="A3033" s="3" t="inlineStr">
        <is>
          <t>Cape Projects Construction (Pty) Ltd</t>
        </is>
      </c>
      <c r="B3033" s="4" t="n">
        <v>45016</v>
      </c>
      <c r="C3033" s="3" t="inlineStr">
        <is>
          <t>Expenses</t>
        </is>
      </c>
      <c r="D3033" s="3" t="inlineStr">
        <is>
          <t>4550/004</t>
        </is>
      </c>
      <c r="E3033" s="3" t="inlineStr">
        <is>
          <t>Subscriptions - Smartsheet</t>
        </is>
      </c>
      <c r="F3033" s="3" t="n">
        <v>605</v>
      </c>
      <c r="G3033" s="3" t="n">
        <v>605</v>
      </c>
    </row>
    <row r="3034">
      <c r="A3034" s="3" t="inlineStr">
        <is>
          <t>Heron Fields (Pty) Ltd</t>
        </is>
      </c>
      <c r="B3034" s="4" t="n">
        <v>45016</v>
      </c>
      <c r="C3034" s="3" t="inlineStr">
        <is>
          <t>Expenses</t>
        </is>
      </c>
      <c r="D3034" s="3" t="inlineStr">
        <is>
          <t>4550/100</t>
        </is>
      </c>
      <c r="E3034" s="3" t="inlineStr">
        <is>
          <t>Subscriptions - Xero</t>
        </is>
      </c>
      <c r="F3034" s="3" t="n">
        <v>600</v>
      </c>
      <c r="G3034" s="3" t="n">
        <v>600</v>
      </c>
    </row>
    <row r="3035">
      <c r="A3035" s="3" t="inlineStr">
        <is>
          <t>Heron View (Pty) Ltd</t>
        </is>
      </c>
      <c r="B3035" s="4" t="n">
        <v>45016</v>
      </c>
      <c r="C3035" s="3" t="inlineStr">
        <is>
          <t>Expenses</t>
        </is>
      </c>
      <c r="D3035" s="3" t="inlineStr">
        <is>
          <t>4550/100</t>
        </is>
      </c>
      <c r="E3035" s="3" t="inlineStr">
        <is>
          <t>Subscriptions - Xero</t>
        </is>
      </c>
      <c r="F3035" s="3" t="n">
        <v>600</v>
      </c>
      <c r="G3035" s="3" t="n">
        <v>600</v>
      </c>
    </row>
    <row r="3036">
      <c r="A3036" s="3" t="inlineStr">
        <is>
          <t>Cape Projects Construction (Pty) Ltd</t>
        </is>
      </c>
      <c r="B3036" s="4" t="n">
        <v>45016</v>
      </c>
      <c r="C3036" s="3" t="inlineStr">
        <is>
          <t>Expenses</t>
        </is>
      </c>
      <c r="D3036" s="3" t="inlineStr">
        <is>
          <t>4700/000</t>
        </is>
      </c>
      <c r="E3036" s="3" t="inlineStr">
        <is>
          <t>PAYE Contributions</t>
        </is>
      </c>
      <c r="F3036" s="3" t="n">
        <v>75818.38</v>
      </c>
      <c r="G3036" s="3" t="n">
        <v>75818.38</v>
      </c>
    </row>
    <row r="3037">
      <c r="A3037" s="3" t="inlineStr">
        <is>
          <t>Cape Projects Construction (Pty) Ltd</t>
        </is>
      </c>
      <c r="B3037" s="4" t="n">
        <v>45016</v>
      </c>
      <c r="C3037" s="3" t="inlineStr">
        <is>
          <t>Expenses</t>
        </is>
      </c>
      <c r="D3037" s="3" t="inlineStr">
        <is>
          <t>4720/000</t>
        </is>
      </c>
      <c r="E3037" s="3" t="inlineStr">
        <is>
          <t>SDL Contributions</t>
        </is>
      </c>
      <c r="F3037" s="3" t="n">
        <v>3744.13</v>
      </c>
      <c r="G3037" s="3" t="n">
        <v>3744.13</v>
      </c>
    </row>
    <row r="3038">
      <c r="A3038" s="3" t="inlineStr">
        <is>
          <t>Cape Projects Construction (Pty) Ltd</t>
        </is>
      </c>
      <c r="B3038" s="4" t="n">
        <v>45016</v>
      </c>
      <c r="C3038" s="3" t="inlineStr">
        <is>
          <t>Expenses</t>
        </is>
      </c>
      <c r="D3038" s="3" t="inlineStr">
        <is>
          <t>4730/000</t>
        </is>
      </c>
      <c r="E3038" s="3" t="inlineStr">
        <is>
          <t>UIF Company Contributions</t>
        </is>
      </c>
      <c r="F3038" s="3" t="n">
        <v>1920.62</v>
      </c>
      <c r="G3038" s="3" t="n">
        <v>1920.62</v>
      </c>
    </row>
    <row r="3039">
      <c r="A3039" s="3" t="inlineStr">
        <is>
          <t>Cape Projects Construction (Pty) Ltd</t>
        </is>
      </c>
      <c r="B3039" s="4" t="n">
        <v>45016</v>
      </c>
      <c r="C3039" s="3" t="inlineStr">
        <is>
          <t>Expenses</t>
        </is>
      </c>
      <c r="D3039" s="3" t="inlineStr">
        <is>
          <t>4731/000</t>
        </is>
      </c>
      <c r="E3039" s="3" t="inlineStr">
        <is>
          <t>UIF Employee Contribution</t>
        </is>
      </c>
      <c r="F3039" s="3" t="n">
        <v>1920.62</v>
      </c>
      <c r="G3039" s="3" t="n">
        <v>1920.62</v>
      </c>
    </row>
    <row r="3040">
      <c r="A3040" s="3" t="inlineStr">
        <is>
          <t>Cape Projects Construction (Pty) Ltd</t>
        </is>
      </c>
      <c r="B3040" s="4" t="n">
        <v>45016</v>
      </c>
      <c r="C3040" s="3" t="inlineStr">
        <is>
          <t>Expenses</t>
        </is>
      </c>
      <c r="D3040" s="3" t="inlineStr">
        <is>
          <t>4740/000</t>
        </is>
      </c>
      <c r="E3040" s="3" t="inlineStr">
        <is>
          <t>BIBC Company Contribution</t>
        </is>
      </c>
      <c r="F3040" s="3" t="n">
        <v>5034</v>
      </c>
      <c r="G3040" s="3" t="n">
        <v>5034</v>
      </c>
    </row>
    <row r="3041">
      <c r="A3041" s="3" t="inlineStr">
        <is>
          <t>Cape Projects Construction (Pty) Ltd</t>
        </is>
      </c>
      <c r="B3041" s="4" t="n">
        <v>45016</v>
      </c>
      <c r="C3041" s="3" t="inlineStr">
        <is>
          <t>Expenses</t>
        </is>
      </c>
      <c r="D3041" s="3" t="inlineStr">
        <is>
          <t>4741/000</t>
        </is>
      </c>
      <c r="E3041" s="3" t="inlineStr">
        <is>
          <t>BIBC Employee Contribution</t>
        </is>
      </c>
      <c r="F3041" s="3" t="n">
        <v>1775.25</v>
      </c>
      <c r="G3041" s="3" t="n">
        <v>1775.25</v>
      </c>
    </row>
    <row r="3042">
      <c r="A3042" s="3" t="inlineStr">
        <is>
          <t>Heron Fields (Pty) Ltd</t>
        </is>
      </c>
      <c r="B3042" s="4" t="n">
        <v>45016</v>
      </c>
      <c r="C3042" s="3" t="inlineStr">
        <is>
          <t>Equity</t>
        </is>
      </c>
      <c r="D3042" s="3" t="inlineStr">
        <is>
          <t>5100-000</t>
        </is>
      </c>
      <c r="E3042" s="3" t="inlineStr">
        <is>
          <t>Share Capital</t>
        </is>
      </c>
      <c r="F3042" s="3" t="n">
        <v>0</v>
      </c>
      <c r="G3042" s="3" t="n">
        <v>-100</v>
      </c>
    </row>
    <row r="3043">
      <c r="A3043" s="3" t="inlineStr">
        <is>
          <t>Cape Projects Construction (Pty) Ltd</t>
        </is>
      </c>
      <c r="B3043" s="4" t="n">
        <v>45016</v>
      </c>
      <c r="C3043" s="3" t="inlineStr">
        <is>
          <t>Equity</t>
        </is>
      </c>
      <c r="D3043" s="3" t="inlineStr">
        <is>
          <t>5100/000</t>
        </is>
      </c>
      <c r="E3043" s="3" t="inlineStr">
        <is>
          <t>Share Capital / Members Contribution</t>
        </is>
      </c>
      <c r="F3043" s="3" t="n">
        <v>0</v>
      </c>
      <c r="G3043" s="3" t="n">
        <v>-120</v>
      </c>
    </row>
    <row r="3044">
      <c r="A3044" s="3" t="inlineStr">
        <is>
          <t>Cape Projects Construction (Pty) Ltd</t>
        </is>
      </c>
      <c r="B3044" s="4" t="n">
        <v>45016</v>
      </c>
      <c r="C3044" s="3" t="inlineStr">
        <is>
          <t>Equity</t>
        </is>
      </c>
      <c r="D3044" s="3" t="inlineStr">
        <is>
          <t>5200/000</t>
        </is>
      </c>
      <c r="E3044" s="3" t="inlineStr">
        <is>
          <t>Retained Earnings / Loss</t>
        </is>
      </c>
      <c r="F3044" s="3" t="n">
        <v>0</v>
      </c>
      <c r="G3044" s="3" t="n">
        <v>-296075.58</v>
      </c>
    </row>
    <row r="3045">
      <c r="A3045" s="3" t="inlineStr">
        <is>
          <t>Heron Fields (Pty) Ltd</t>
        </is>
      </c>
      <c r="B3045" s="4" t="n">
        <v>45016</v>
      </c>
      <c r="C3045" s="3" t="inlineStr">
        <is>
          <t>Equity</t>
        </is>
      </c>
      <c r="D3045" s="3" t="inlineStr">
        <is>
          <t>5200/000</t>
        </is>
      </c>
      <c r="E3045" s="3" t="inlineStr">
        <is>
          <t>Retained Earnings / Loss</t>
        </is>
      </c>
      <c r="F3045" s="3" t="n">
        <v>0</v>
      </c>
      <c r="G3045" s="3" t="n">
        <v>-17843179.58</v>
      </c>
    </row>
    <row r="3046">
      <c r="A3046" s="3" t="inlineStr">
        <is>
          <t>Heron View (Pty) Ltd</t>
        </is>
      </c>
      <c r="B3046" s="4" t="n">
        <v>45016</v>
      </c>
      <c r="C3046" s="3" t="inlineStr">
        <is>
          <t>Equity</t>
        </is>
      </c>
      <c r="D3046" s="3" t="inlineStr">
        <is>
          <t>5200/000</t>
        </is>
      </c>
      <c r="E3046" s="3" t="inlineStr">
        <is>
          <t>Retained Earnings / Loss</t>
        </is>
      </c>
      <c r="F3046" s="3" t="n">
        <v>0</v>
      </c>
      <c r="G3046" s="3" t="n">
        <v>70398.12</v>
      </c>
    </row>
    <row r="3047">
      <c r="A3047" s="3" t="inlineStr">
        <is>
          <t>Heron Fields (Pty) Ltd</t>
        </is>
      </c>
      <c r="B3047" s="4" t="n">
        <v>45016</v>
      </c>
      <c r="C3047" s="3" t="inlineStr">
        <is>
          <t>Assets</t>
        </is>
      </c>
      <c r="D3047" s="3" t="inlineStr">
        <is>
          <t>5300/001</t>
        </is>
      </c>
      <c r="E3047" s="3" t="inlineStr">
        <is>
          <t>Revaluation of Land stock</t>
        </is>
      </c>
      <c r="F3047" s="3" t="n">
        <v>0</v>
      </c>
      <c r="G3047" s="3" t="n">
        <v>17562360.85</v>
      </c>
    </row>
    <row r="3048">
      <c r="A3048" s="3" t="inlineStr">
        <is>
          <t>Cape Projects Construction (Pty) Ltd</t>
        </is>
      </c>
      <c r="B3048" s="4" t="n">
        <v>45016</v>
      </c>
      <c r="C3048" s="3" t="inlineStr">
        <is>
          <t>Assets</t>
        </is>
      </c>
      <c r="D3048" s="3" t="inlineStr">
        <is>
          <t>5400/150</t>
        </is>
      </c>
      <c r="E3048" s="3" t="inlineStr">
        <is>
          <t>Loan - Quinate</t>
        </is>
      </c>
      <c r="F3048" s="3" t="n">
        <v>185000</v>
      </c>
      <c r="G3048" s="3" t="n">
        <v>185000</v>
      </c>
    </row>
    <row r="3049">
      <c r="A3049" s="3" t="inlineStr">
        <is>
          <t>Cape Projects Construction (Pty) Ltd</t>
        </is>
      </c>
      <c r="B3049" s="4" t="n">
        <v>45016</v>
      </c>
      <c r="C3049" s="3" t="inlineStr">
        <is>
          <t>Assets</t>
        </is>
      </c>
      <c r="D3049" s="3" t="inlineStr">
        <is>
          <t>5400/220</t>
        </is>
      </c>
      <c r="E3049" s="3" t="inlineStr">
        <is>
          <t>Members Loan - WH</t>
        </is>
      </c>
      <c r="F3049" s="3" t="n">
        <v>0</v>
      </c>
      <c r="G3049" s="3" t="n">
        <v>-4342.5</v>
      </c>
    </row>
    <row r="3050">
      <c r="A3050" s="3" t="inlineStr">
        <is>
          <t>Cape Projects Construction (Pty) Ltd</t>
        </is>
      </c>
      <c r="B3050" s="4" t="n">
        <v>45016</v>
      </c>
      <c r="C3050" s="3" t="inlineStr">
        <is>
          <t>Assets</t>
        </is>
      </c>
      <c r="D3050" s="3" t="inlineStr">
        <is>
          <t>5400/450</t>
        </is>
      </c>
      <c r="E3050" s="3" t="inlineStr">
        <is>
          <t>Loan - Opportunity Investment</t>
        </is>
      </c>
      <c r="F3050" s="3" t="n">
        <v>0</v>
      </c>
      <c r="G3050" s="3" t="n">
        <v>-361000</v>
      </c>
    </row>
    <row r="3051">
      <c r="A3051" s="3" t="inlineStr">
        <is>
          <t>Cape Projects Construction (Pty) Ltd</t>
        </is>
      </c>
      <c r="B3051" s="4" t="n">
        <v>45016</v>
      </c>
      <c r="C3051" s="3" t="inlineStr">
        <is>
          <t>Assets</t>
        </is>
      </c>
      <c r="D3051" s="3" t="inlineStr">
        <is>
          <t>5400/500</t>
        </is>
      </c>
      <c r="E3051" s="3" t="inlineStr">
        <is>
          <t>Loan - Blou Mamba Trust</t>
        </is>
      </c>
      <c r="F3051" s="3" t="n">
        <v>0</v>
      </c>
      <c r="G3051" s="3" t="n">
        <v>4342.5</v>
      </c>
    </row>
    <row r="3052">
      <c r="A3052" s="3" t="inlineStr">
        <is>
          <t>Cape Projects Construction (Pty) Ltd</t>
        </is>
      </c>
      <c r="B3052" s="4" t="n">
        <v>45016</v>
      </c>
      <c r="C3052" s="3" t="inlineStr">
        <is>
          <t>Assets</t>
        </is>
      </c>
      <c r="D3052" s="3" t="inlineStr">
        <is>
          <t>5400/550</t>
        </is>
      </c>
      <c r="E3052" s="3" t="inlineStr">
        <is>
          <t>Loan - Trademark</t>
        </is>
      </c>
      <c r="F3052" s="3" t="n">
        <v>600</v>
      </c>
      <c r="G3052" s="3" t="n">
        <v>600</v>
      </c>
    </row>
    <row r="3053">
      <c r="A3053" s="3" t="inlineStr">
        <is>
          <t>Cape Projects Construction (Pty) Ltd</t>
        </is>
      </c>
      <c r="B3053" s="4" t="n">
        <v>45016</v>
      </c>
      <c r="C3053" s="3" t="inlineStr">
        <is>
          <t>Assets</t>
        </is>
      </c>
      <c r="D3053" s="3" t="inlineStr">
        <is>
          <t>5400/600</t>
        </is>
      </c>
      <c r="E3053" s="3" t="inlineStr">
        <is>
          <t>Loan - Heron Projects</t>
        </is>
      </c>
      <c r="F3053" s="3" t="n">
        <v>-551691.83</v>
      </c>
      <c r="G3053" s="3" t="n">
        <v>-10376940.42</v>
      </c>
    </row>
    <row r="3054">
      <c r="A3054" s="3" t="inlineStr">
        <is>
          <t>Cape Projects Construction (Pty) Ltd</t>
        </is>
      </c>
      <c r="B3054" s="4" t="n">
        <v>45016</v>
      </c>
      <c r="C3054" s="3" t="inlineStr">
        <is>
          <t>Assets</t>
        </is>
      </c>
      <c r="D3054" s="3" t="inlineStr">
        <is>
          <t>5400/650</t>
        </is>
      </c>
      <c r="E3054" s="3" t="inlineStr">
        <is>
          <t>Loan - Noble Shield</t>
        </is>
      </c>
      <c r="F3054" s="3" t="n">
        <v>600</v>
      </c>
      <c r="G3054" s="3" t="n">
        <v>600</v>
      </c>
    </row>
    <row r="3055">
      <c r="A3055" s="3" t="inlineStr">
        <is>
          <t>Cape Projects Construction (Pty) Ltd</t>
        </is>
      </c>
      <c r="B3055" s="4" t="n">
        <v>45016</v>
      </c>
      <c r="C3055" s="3" t="inlineStr">
        <is>
          <t>Assets</t>
        </is>
      </c>
      <c r="D3055" s="3" t="inlineStr">
        <is>
          <t>5400/750</t>
        </is>
      </c>
      <c r="E3055" s="3" t="inlineStr">
        <is>
          <t>Loan - Endulini</t>
        </is>
      </c>
      <c r="F3055" s="3" t="n">
        <v>1505000</v>
      </c>
      <c r="G3055" s="3" t="n">
        <v>14835187.4</v>
      </c>
    </row>
    <row r="3056">
      <c r="A3056" s="3" t="inlineStr">
        <is>
          <t>Cape Projects Construction (Pty) Ltd</t>
        </is>
      </c>
      <c r="B3056" s="4" t="n">
        <v>45016</v>
      </c>
      <c r="C3056" s="3" t="inlineStr">
        <is>
          <t>Assets</t>
        </is>
      </c>
      <c r="D3056" s="3" t="inlineStr">
        <is>
          <t>5400/800</t>
        </is>
      </c>
      <c r="E3056" s="3" t="inlineStr">
        <is>
          <t>Loan - Opportunity Management Holdings</t>
        </is>
      </c>
      <c r="F3056" s="3" t="n">
        <v>0</v>
      </c>
      <c r="G3056" s="3" t="n">
        <v>-120000</v>
      </c>
    </row>
    <row r="3057">
      <c r="A3057" s="3" t="inlineStr">
        <is>
          <t>Heron View (Pty) Ltd</t>
        </is>
      </c>
      <c r="B3057" s="4" t="n">
        <v>45016</v>
      </c>
      <c r="C3057" s="3" t="inlineStr">
        <is>
          <t>Liabilities</t>
        </is>
      </c>
      <c r="D3057" s="3" t="inlineStr">
        <is>
          <t>5500/001</t>
        </is>
      </c>
      <c r="E3057" s="3" t="inlineStr">
        <is>
          <t>Loan - Heron Fields</t>
        </is>
      </c>
      <c r="F3057" s="3" t="n">
        <v>-8792977.07</v>
      </c>
      <c r="G3057" s="3" t="n">
        <v>-19357848.57</v>
      </c>
    </row>
    <row r="3058">
      <c r="A3058" s="3" t="inlineStr">
        <is>
          <t>Heron Fields (Pty) Ltd</t>
        </is>
      </c>
      <c r="B3058" s="4" t="n">
        <v>45016</v>
      </c>
      <c r="C3058" s="3" t="inlineStr">
        <is>
          <t>Liabilities</t>
        </is>
      </c>
      <c r="D3058" s="3" t="inlineStr">
        <is>
          <t>5500/020</t>
        </is>
      </c>
      <c r="E3058" s="3" t="inlineStr">
        <is>
          <t>Loan - Cape Projects Construction</t>
        </is>
      </c>
      <c r="F3058" s="3" t="n">
        <v>551691.83</v>
      </c>
      <c r="G3058" s="3" t="n">
        <v>10376940.42</v>
      </c>
    </row>
    <row r="3059">
      <c r="A3059" s="3" t="inlineStr">
        <is>
          <t>Heron Fields (Pty) Ltd</t>
        </is>
      </c>
      <c r="B3059" s="4" t="n">
        <v>45016</v>
      </c>
      <c r="C3059" s="3" t="inlineStr">
        <is>
          <t>Liabilities</t>
        </is>
      </c>
      <c r="D3059" s="3" t="inlineStr">
        <is>
          <t>5500/030</t>
        </is>
      </c>
      <c r="E3059" s="3" t="inlineStr">
        <is>
          <t>Loan - Opportunity Global Investments</t>
        </is>
      </c>
      <c r="F3059" s="3" t="n">
        <v>2155000</v>
      </c>
      <c r="G3059" s="3" t="n">
        <v>2703000</v>
      </c>
    </row>
    <row r="3060">
      <c r="A3060" s="3" t="inlineStr">
        <is>
          <t>Heron Fields (Pty) Ltd</t>
        </is>
      </c>
      <c r="B3060" s="4" t="n">
        <v>45016</v>
      </c>
      <c r="C3060" s="3" t="inlineStr">
        <is>
          <t>Liabilities</t>
        </is>
      </c>
      <c r="D3060" s="3" t="inlineStr">
        <is>
          <t>5500/050</t>
        </is>
      </c>
      <c r="E3060" s="3" t="inlineStr">
        <is>
          <t>Loan - Heron View</t>
        </is>
      </c>
      <c r="F3060" s="3" t="n">
        <v>8792977.07</v>
      </c>
      <c r="G3060" s="3" t="n">
        <v>19357848.57</v>
      </c>
    </row>
    <row r="3061">
      <c r="A3061" s="3" t="inlineStr">
        <is>
          <t>Heron Fields (Pty) Ltd</t>
        </is>
      </c>
      <c r="B3061" s="4" t="n">
        <v>45016</v>
      </c>
      <c r="C3061" s="3" t="inlineStr">
        <is>
          <t>Liabilities</t>
        </is>
      </c>
      <c r="D3061" s="3" t="inlineStr">
        <is>
          <t>5500/060</t>
        </is>
      </c>
      <c r="E3061" s="3" t="inlineStr">
        <is>
          <t>Loan - Opportunity Management Holdings</t>
        </is>
      </c>
      <c r="F3061" s="3" t="n">
        <v>41000</v>
      </c>
      <c r="G3061" s="3" t="n">
        <v>41000</v>
      </c>
    </row>
    <row r="3062">
      <c r="A3062" s="3" t="inlineStr">
        <is>
          <t>Cape Projects Construction (Pty) Ltd</t>
        </is>
      </c>
      <c r="B3062" s="4" t="n">
        <v>45016</v>
      </c>
      <c r="C3062" s="3" t="inlineStr">
        <is>
          <t>Assets</t>
        </is>
      </c>
      <c r="D3062" s="3" t="inlineStr">
        <is>
          <t>6200/010</t>
        </is>
      </c>
      <c r="E3062" s="3" t="inlineStr">
        <is>
          <t>Motor Vehicles - @ Cost</t>
        </is>
      </c>
      <c r="F3062" s="3" t="n">
        <v>0</v>
      </c>
      <c r="G3062" s="3" t="n">
        <v>216064.1</v>
      </c>
    </row>
    <row r="3063">
      <c r="A3063" s="3" t="inlineStr">
        <is>
          <t>Cape Projects Construction (Pty) Ltd</t>
        </is>
      </c>
      <c r="B3063" s="4" t="n">
        <v>45016</v>
      </c>
      <c r="C3063" s="3" t="inlineStr">
        <is>
          <t>Assets</t>
        </is>
      </c>
      <c r="D3063" s="3" t="inlineStr">
        <is>
          <t>6200/020</t>
        </is>
      </c>
      <c r="E3063" s="3" t="inlineStr">
        <is>
          <t>Motor Vehicles - Accum Depre</t>
        </is>
      </c>
      <c r="F3063" s="3" t="n">
        <v>0</v>
      </c>
      <c r="G3063" s="3" t="n">
        <v>-216063.1</v>
      </c>
    </row>
    <row r="3064">
      <c r="A3064" s="3" t="inlineStr">
        <is>
          <t>Cape Projects Construction (Pty) Ltd</t>
        </is>
      </c>
      <c r="B3064" s="4" t="n">
        <v>45016</v>
      </c>
      <c r="C3064" s="3" t="inlineStr">
        <is>
          <t>Assets</t>
        </is>
      </c>
      <c r="D3064" s="3" t="inlineStr">
        <is>
          <t>6250/010</t>
        </is>
      </c>
      <c r="E3064" s="3" t="inlineStr">
        <is>
          <t>Computer Equipment - @ Cost</t>
        </is>
      </c>
      <c r="F3064" s="3" t="n">
        <v>41690.22</v>
      </c>
      <c r="G3064" s="3" t="n">
        <v>133790.35</v>
      </c>
    </row>
    <row r="3065">
      <c r="A3065" s="3" t="inlineStr">
        <is>
          <t>Cape Projects Construction (Pty) Ltd</t>
        </is>
      </c>
      <c r="B3065" s="4" t="n">
        <v>45016</v>
      </c>
      <c r="C3065" s="3" t="inlineStr">
        <is>
          <t>Assets</t>
        </is>
      </c>
      <c r="D3065" s="3" t="inlineStr">
        <is>
          <t>6250/020</t>
        </is>
      </c>
      <c r="E3065" s="3" t="inlineStr">
        <is>
          <t>Computer Equipment - Accum Depre</t>
        </is>
      </c>
      <c r="F3065" s="3" t="n">
        <v>-3323.91</v>
      </c>
      <c r="G3065" s="3" t="n">
        <v>-46246.9</v>
      </c>
    </row>
    <row r="3066">
      <c r="A3066" s="3" t="inlineStr">
        <is>
          <t>Cape Projects Construction (Pty) Ltd</t>
        </is>
      </c>
      <c r="B3066" s="4" t="n">
        <v>45016</v>
      </c>
      <c r="C3066" s="3" t="inlineStr">
        <is>
          <t>Assets</t>
        </is>
      </c>
      <c r="D3066" s="3" t="inlineStr">
        <is>
          <t>6350/010</t>
        </is>
      </c>
      <c r="E3066" s="3" t="inlineStr">
        <is>
          <t>Furniture _AND_ Fittings - @ Cost</t>
        </is>
      </c>
      <c r="F3066" s="3" t="n">
        <v>0</v>
      </c>
      <c r="G3066" s="3" t="n">
        <v>37955.3</v>
      </c>
    </row>
    <row r="3067">
      <c r="A3067" s="3" t="inlineStr">
        <is>
          <t>Cape Projects Construction (Pty) Ltd</t>
        </is>
      </c>
      <c r="B3067" s="4" t="n">
        <v>45016</v>
      </c>
      <c r="C3067" s="3" t="inlineStr">
        <is>
          <t>Assets</t>
        </is>
      </c>
      <c r="D3067" s="3" t="inlineStr">
        <is>
          <t>6350/020</t>
        </is>
      </c>
      <c r="E3067" s="3" t="inlineStr">
        <is>
          <t>Furniture _AND_ Fittings - Accum Depre</t>
        </is>
      </c>
      <c r="F3067" s="3" t="n">
        <v>-547.6799999999999</v>
      </c>
      <c r="G3067" s="3" t="n">
        <v>-6442.23</v>
      </c>
    </row>
    <row r="3068">
      <c r="A3068" s="3" t="inlineStr">
        <is>
          <t>Cape Projects Construction (Pty) Ltd</t>
        </is>
      </c>
      <c r="B3068" s="4" t="n">
        <v>45016</v>
      </c>
      <c r="C3068" s="3" t="inlineStr">
        <is>
          <t>Assets</t>
        </is>
      </c>
      <c r="D3068" s="3" t="inlineStr">
        <is>
          <t>6600/010</t>
        </is>
      </c>
      <c r="E3068" s="3" t="inlineStr">
        <is>
          <t>Generator Fixed Asset - @ Cost</t>
        </is>
      </c>
      <c r="F3068" s="3" t="n">
        <v>0</v>
      </c>
      <c r="G3068" s="3" t="n">
        <v>11600</v>
      </c>
    </row>
    <row r="3069">
      <c r="A3069" s="3" t="inlineStr">
        <is>
          <t>Cape Projects Construction (Pty) Ltd</t>
        </is>
      </c>
      <c r="B3069" s="4" t="n">
        <v>45016</v>
      </c>
      <c r="C3069" s="3" t="inlineStr">
        <is>
          <t>Assets</t>
        </is>
      </c>
      <c r="D3069" s="3" t="inlineStr">
        <is>
          <t>6600/020</t>
        </is>
      </c>
      <c r="E3069" s="3" t="inlineStr">
        <is>
          <t>Generator Fixed Asset - Accum Depre</t>
        </is>
      </c>
      <c r="F3069" s="3" t="n">
        <v>-193.33</v>
      </c>
      <c r="G3069" s="3" t="n">
        <v>-3318.89</v>
      </c>
    </row>
    <row r="3070">
      <c r="A3070" s="3" t="inlineStr">
        <is>
          <t>Heron Fields (Pty) Ltd</t>
        </is>
      </c>
      <c r="B3070" s="4" t="n">
        <v>45016</v>
      </c>
      <c r="C3070" s="3" t="inlineStr">
        <is>
          <t>Assets</t>
        </is>
      </c>
      <c r="D3070" s="3" t="inlineStr">
        <is>
          <t>7610/395</t>
        </is>
      </c>
      <c r="E3070" s="3" t="inlineStr">
        <is>
          <t>HF CIP NHBRC</t>
        </is>
      </c>
      <c r="F3070" s="3" t="n">
        <v>0</v>
      </c>
      <c r="G3070" s="3" t="n">
        <v>874505.75</v>
      </c>
    </row>
    <row r="3071">
      <c r="A3071" s="3" t="inlineStr">
        <is>
          <t>Heron View (Pty) Ltd</t>
        </is>
      </c>
      <c r="B3071" s="4" t="n">
        <v>45016</v>
      </c>
      <c r="C3071" s="3" t="inlineStr">
        <is>
          <t>Assets</t>
        </is>
      </c>
      <c r="D3071" s="3" t="inlineStr">
        <is>
          <t>7610/395</t>
        </is>
      </c>
      <c r="E3071" s="3" t="inlineStr">
        <is>
          <t>Heron CIP NHBRC</t>
        </is>
      </c>
      <c r="F3071" s="3" t="n">
        <v>0</v>
      </c>
      <c r="G3071" s="3" t="n">
        <v>439254.75</v>
      </c>
    </row>
    <row r="3072">
      <c r="A3072" s="3" t="inlineStr">
        <is>
          <t>Heron Fields (Pty) Ltd</t>
        </is>
      </c>
      <c r="B3072" s="4" t="n">
        <v>45016</v>
      </c>
      <c r="C3072" s="3" t="inlineStr">
        <is>
          <t>Assets</t>
        </is>
      </c>
      <c r="D3072" s="3" t="inlineStr">
        <is>
          <t>7620/100</t>
        </is>
      </c>
      <c r="E3072" s="3" t="inlineStr">
        <is>
          <t>Heron View Land</t>
        </is>
      </c>
      <c r="F3072" s="3" t="n">
        <v>0</v>
      </c>
      <c r="G3072" s="3" t="n">
        <v>26200000</v>
      </c>
    </row>
    <row r="3073">
      <c r="A3073" s="3" t="inlineStr">
        <is>
          <t>Heron Fields (Pty) Ltd</t>
        </is>
      </c>
      <c r="B3073" s="4" t="n">
        <v>45016</v>
      </c>
      <c r="C3073" s="3" t="inlineStr">
        <is>
          <t>Assets</t>
        </is>
      </c>
      <c r="D3073" s="3" t="inlineStr">
        <is>
          <t>7620/101</t>
        </is>
      </c>
      <c r="E3073" s="3" t="inlineStr">
        <is>
          <t>HF CIP Bond Registration Fee</t>
        </is>
      </c>
      <c r="F3073" s="3" t="n">
        <v>0</v>
      </c>
      <c r="G3073" s="3" t="n">
        <v>68427</v>
      </c>
    </row>
    <row r="3074">
      <c r="A3074" s="3" t="inlineStr">
        <is>
          <t>Heron Fields (Pty) Ltd</t>
        </is>
      </c>
      <c r="B3074" s="4" t="n">
        <v>45016</v>
      </c>
      <c r="C3074" s="3" t="inlineStr">
        <is>
          <t>Assets</t>
        </is>
      </c>
      <c r="D3074" s="3" t="inlineStr">
        <is>
          <t>7620/102</t>
        </is>
      </c>
      <c r="E3074" s="3" t="inlineStr">
        <is>
          <t>HF CIP Transfer Fee</t>
        </is>
      </c>
      <c r="F3074" s="3" t="n">
        <v>0</v>
      </c>
      <c r="G3074" s="3" t="n">
        <v>103812</v>
      </c>
    </row>
    <row r="3075">
      <c r="A3075" s="3" t="inlineStr">
        <is>
          <t>Heron Fields (Pty) Ltd</t>
        </is>
      </c>
      <c r="B3075" s="4" t="n">
        <v>45016</v>
      </c>
      <c r="C3075" s="3" t="inlineStr">
        <is>
          <t>Assets</t>
        </is>
      </c>
      <c r="D3075" s="3" t="inlineStr">
        <is>
          <t>7620/220</t>
        </is>
      </c>
      <c r="E3075" s="3" t="inlineStr">
        <is>
          <t>HF CIP Architectural Designs</t>
        </is>
      </c>
      <c r="F3075" s="3" t="n">
        <v>0</v>
      </c>
      <c r="G3075" s="3" t="n">
        <v>314087</v>
      </c>
    </row>
    <row r="3076">
      <c r="A3076" s="3" t="inlineStr">
        <is>
          <t>Heron View (Pty) Ltd</t>
        </is>
      </c>
      <c r="B3076" s="4" t="n">
        <v>45016</v>
      </c>
      <c r="C3076" s="3" t="inlineStr">
        <is>
          <t>Assets</t>
        </is>
      </c>
      <c r="D3076" s="3" t="inlineStr">
        <is>
          <t>7620/220</t>
        </is>
      </c>
      <c r="E3076" s="3" t="inlineStr">
        <is>
          <t>Heron View CIP Architectural Designs</t>
        </is>
      </c>
      <c r="F3076" s="3" t="n">
        <v>0</v>
      </c>
      <c r="G3076" s="3" t="n">
        <v>24400</v>
      </c>
    </row>
    <row r="3077">
      <c r="A3077" s="3" t="inlineStr">
        <is>
          <t>Heron Fields (Pty) Ltd</t>
        </is>
      </c>
      <c r="B3077" s="4" t="n">
        <v>45016</v>
      </c>
      <c r="C3077" s="3" t="inlineStr">
        <is>
          <t>Assets</t>
        </is>
      </c>
      <c r="D3077" s="3" t="inlineStr">
        <is>
          <t>7620/230</t>
        </is>
      </c>
      <c r="E3077" s="3" t="inlineStr">
        <is>
          <t>HF CIP Construction Management</t>
        </is>
      </c>
      <c r="F3077" s="3" t="n">
        <v>1500</v>
      </c>
      <c r="G3077" s="3" t="n">
        <v>138000</v>
      </c>
    </row>
    <row r="3078">
      <c r="A3078" s="3" t="inlineStr">
        <is>
          <t>Heron Fields (Pty) Ltd</t>
        </is>
      </c>
      <c r="B3078" s="4" t="n">
        <v>45016</v>
      </c>
      <c r="C3078" s="3" t="inlineStr">
        <is>
          <t>Assets</t>
        </is>
      </c>
      <c r="D3078" s="3" t="inlineStr">
        <is>
          <t>7620/240</t>
        </is>
      </c>
      <c r="E3078" s="3" t="inlineStr">
        <is>
          <t>HF CIP Civil Engineering</t>
        </is>
      </c>
      <c r="F3078" s="3" t="n">
        <v>0</v>
      </c>
      <c r="G3078" s="3" t="n">
        <v>8557641.800000001</v>
      </c>
    </row>
    <row r="3079">
      <c r="A3079" s="3" t="inlineStr">
        <is>
          <t>Heron Fields (Pty) Ltd</t>
        </is>
      </c>
      <c r="B3079" s="4" t="n">
        <v>45016</v>
      </c>
      <c r="C3079" s="3" t="inlineStr">
        <is>
          <t>Assets</t>
        </is>
      </c>
      <c r="D3079" s="3" t="inlineStr">
        <is>
          <t>7620/245</t>
        </is>
      </c>
      <c r="E3079" s="3" t="inlineStr">
        <is>
          <t>HF CIP Development fee</t>
        </is>
      </c>
      <c r="F3079" s="3" t="n">
        <v>0</v>
      </c>
      <c r="G3079" s="3" t="n">
        <v>13807.78</v>
      </c>
    </row>
    <row r="3080">
      <c r="A3080" s="3" t="inlineStr">
        <is>
          <t>Heron Fields (Pty) Ltd</t>
        </is>
      </c>
      <c r="B3080" s="4" t="n">
        <v>45016</v>
      </c>
      <c r="C3080" s="3" t="inlineStr">
        <is>
          <t>Assets</t>
        </is>
      </c>
      <c r="D3080" s="3" t="inlineStr">
        <is>
          <t>7620/250</t>
        </is>
      </c>
      <c r="E3080" s="3" t="inlineStr">
        <is>
          <t>HF CIP Land Surveyor</t>
        </is>
      </c>
      <c r="F3080" s="3" t="n">
        <v>0</v>
      </c>
      <c r="G3080" s="3" t="n">
        <v>193560.09</v>
      </c>
    </row>
    <row r="3081">
      <c r="A3081" s="3" t="inlineStr">
        <is>
          <t>Heron View (Pty) Ltd</t>
        </is>
      </c>
      <c r="B3081" s="4" t="n">
        <v>45016</v>
      </c>
      <c r="C3081" s="3" t="inlineStr">
        <is>
          <t>Assets</t>
        </is>
      </c>
      <c r="D3081" s="3" t="inlineStr">
        <is>
          <t>7620/250</t>
        </is>
      </c>
      <c r="E3081" s="3" t="inlineStr">
        <is>
          <t>Heron View CIP Land Surveyor</t>
        </is>
      </c>
      <c r="F3081" s="3" t="n">
        <v>0</v>
      </c>
      <c r="G3081" s="3" t="n">
        <v>19185</v>
      </c>
    </row>
    <row r="3082">
      <c r="A3082" s="3" t="inlineStr">
        <is>
          <t>Heron Fields (Pty) Ltd</t>
        </is>
      </c>
      <c r="B3082" s="4" t="n">
        <v>45016</v>
      </c>
      <c r="C3082" s="3" t="inlineStr">
        <is>
          <t>Assets</t>
        </is>
      </c>
      <c r="D3082" s="3" t="inlineStr">
        <is>
          <t>7620/255</t>
        </is>
      </c>
      <c r="E3082" s="3" t="inlineStr">
        <is>
          <t>HF CIP Landscaping</t>
        </is>
      </c>
      <c r="F3082" s="3" t="n">
        <v>0</v>
      </c>
      <c r="G3082" s="3" t="n">
        <v>7500</v>
      </c>
    </row>
    <row r="3083">
      <c r="A3083" s="3" t="inlineStr">
        <is>
          <t>Heron Fields (Pty) Ltd</t>
        </is>
      </c>
      <c r="B3083" s="4" t="n">
        <v>45016</v>
      </c>
      <c r="C3083" s="3" t="inlineStr">
        <is>
          <t>Assets</t>
        </is>
      </c>
      <c r="D3083" s="3" t="inlineStr">
        <is>
          <t>7620/260</t>
        </is>
      </c>
      <c r="E3083" s="3" t="inlineStr">
        <is>
          <t>HF CIP Mechanical Engineers</t>
        </is>
      </c>
      <c r="F3083" s="3" t="n">
        <v>0</v>
      </c>
      <c r="G3083" s="3" t="n">
        <v>67400</v>
      </c>
    </row>
    <row r="3084">
      <c r="A3084" s="3" t="inlineStr">
        <is>
          <t>Heron Fields (Pty) Ltd</t>
        </is>
      </c>
      <c r="B3084" s="4" t="n">
        <v>45016</v>
      </c>
      <c r="C3084" s="3" t="inlineStr">
        <is>
          <t>Assets</t>
        </is>
      </c>
      <c r="D3084" s="3" t="inlineStr">
        <is>
          <t>7620/265</t>
        </is>
      </c>
      <c r="E3084" s="3" t="inlineStr">
        <is>
          <t>HF CIP Health &amp; Safety</t>
        </is>
      </c>
      <c r="F3084" s="3" t="n">
        <v>0</v>
      </c>
      <c r="G3084" s="3" t="n">
        <v>20600</v>
      </c>
    </row>
    <row r="3085">
      <c r="A3085" s="3" t="inlineStr">
        <is>
          <t>Heron Fields (Pty) Ltd</t>
        </is>
      </c>
      <c r="B3085" s="4" t="n">
        <v>45016</v>
      </c>
      <c r="C3085" s="3" t="inlineStr">
        <is>
          <t>Assets</t>
        </is>
      </c>
      <c r="D3085" s="3" t="inlineStr">
        <is>
          <t>7620/270</t>
        </is>
      </c>
      <c r="E3085" s="3" t="inlineStr">
        <is>
          <t>HF CIP Geotechnical</t>
        </is>
      </c>
      <c r="F3085" s="3" t="n">
        <v>0</v>
      </c>
      <c r="G3085" s="3" t="n">
        <v>15175</v>
      </c>
    </row>
    <row r="3086">
      <c r="A3086" s="3" t="inlineStr">
        <is>
          <t>Heron Fields (Pty) Ltd</t>
        </is>
      </c>
      <c r="B3086" s="4" t="n">
        <v>45016</v>
      </c>
      <c r="C3086" s="3" t="inlineStr">
        <is>
          <t>Assets</t>
        </is>
      </c>
      <c r="D3086" s="3" t="inlineStr">
        <is>
          <t>7620/275</t>
        </is>
      </c>
      <c r="E3086" s="3" t="inlineStr">
        <is>
          <t>HF CIP Retaining Wall</t>
        </is>
      </c>
      <c r="F3086" s="3" t="n">
        <v>0</v>
      </c>
      <c r="G3086" s="3" t="n">
        <v>570856.08</v>
      </c>
    </row>
    <row r="3087">
      <c r="A3087" s="3" t="inlineStr">
        <is>
          <t>Heron Fields (Pty) Ltd</t>
        </is>
      </c>
      <c r="B3087" s="4" t="n">
        <v>45016</v>
      </c>
      <c r="C3087" s="3" t="inlineStr">
        <is>
          <t>Assets</t>
        </is>
      </c>
      <c r="D3087" s="3" t="inlineStr">
        <is>
          <t>7620/280</t>
        </is>
      </c>
      <c r="E3087" s="3" t="inlineStr">
        <is>
          <t>HF CIP Site Establishment</t>
        </is>
      </c>
      <c r="F3087" s="3" t="n">
        <v>0</v>
      </c>
      <c r="G3087" s="3" t="n">
        <v>47748851.51</v>
      </c>
    </row>
    <row r="3088">
      <c r="A3088" s="3" t="inlineStr">
        <is>
          <t>Heron View (Pty) Ltd</t>
        </is>
      </c>
      <c r="B3088" s="4" t="n">
        <v>45016</v>
      </c>
      <c r="C3088" s="3" t="inlineStr">
        <is>
          <t>Assets</t>
        </is>
      </c>
      <c r="D3088" s="3" t="inlineStr">
        <is>
          <t>7620/280</t>
        </is>
      </c>
      <c r="E3088" s="3" t="inlineStr">
        <is>
          <t>Heron View CIP Site Establishment</t>
        </is>
      </c>
      <c r="F3088" s="3" t="n">
        <v>764108.12</v>
      </c>
      <c r="G3088" s="3" t="n">
        <v>7187757.92</v>
      </c>
    </row>
    <row r="3089">
      <c r="A3089" s="3" t="inlineStr">
        <is>
          <t>Heron Fields (Pty) Ltd</t>
        </is>
      </c>
      <c r="B3089" s="4" t="n">
        <v>45016</v>
      </c>
      <c r="C3089" s="3" t="inlineStr">
        <is>
          <t>Assets</t>
        </is>
      </c>
      <c r="D3089" s="3" t="inlineStr">
        <is>
          <t>7620/285</t>
        </is>
      </c>
      <c r="E3089" s="3" t="inlineStr">
        <is>
          <t>HF CIP Structuring Fee - Invest</t>
        </is>
      </c>
      <c r="F3089" s="3" t="n">
        <v>0</v>
      </c>
      <c r="G3089" s="3" t="n">
        <v>3850818.04</v>
      </c>
    </row>
    <row r="3090">
      <c r="A3090" s="3" t="inlineStr">
        <is>
          <t>Heron View (Pty) Ltd</t>
        </is>
      </c>
      <c r="B3090" s="4" t="n">
        <v>45016</v>
      </c>
      <c r="C3090" s="3" t="inlineStr">
        <is>
          <t>Assets</t>
        </is>
      </c>
      <c r="D3090" s="3" t="inlineStr">
        <is>
          <t>7620/285</t>
        </is>
      </c>
      <c r="E3090" s="3" t="inlineStr">
        <is>
          <t>Heron View CIP Structuring Fee - Invest</t>
        </is>
      </c>
      <c r="F3090" s="3" t="n">
        <v>1826086.96</v>
      </c>
      <c r="G3090" s="3" t="n">
        <v>1826086.96</v>
      </c>
    </row>
    <row r="3091">
      <c r="A3091" s="3" t="inlineStr">
        <is>
          <t>Heron Fields (Pty) Ltd</t>
        </is>
      </c>
      <c r="B3091" s="4" t="n">
        <v>45016</v>
      </c>
      <c r="C3091" s="3" t="inlineStr">
        <is>
          <t>Assets</t>
        </is>
      </c>
      <c r="D3091" s="3" t="inlineStr">
        <is>
          <t>7620/287</t>
        </is>
      </c>
      <c r="E3091" s="3" t="inlineStr">
        <is>
          <t>HF CIP Structuring Fee - Development</t>
        </is>
      </c>
      <c r="F3091" s="3" t="n">
        <v>0</v>
      </c>
      <c r="G3091" s="3" t="n">
        <v>782608.0699999999</v>
      </c>
    </row>
    <row r="3092">
      <c r="A3092" s="3" t="inlineStr">
        <is>
          <t>Heron Fields (Pty) Ltd</t>
        </is>
      </c>
      <c r="B3092" s="4" t="n">
        <v>45016</v>
      </c>
      <c r="C3092" s="3" t="inlineStr">
        <is>
          <t>Assets</t>
        </is>
      </c>
      <c r="D3092" s="3" t="inlineStr">
        <is>
          <t>7620/290</t>
        </is>
      </c>
      <c r="E3092" s="3" t="inlineStr">
        <is>
          <t>HF CIP Town Planning</t>
        </is>
      </c>
      <c r="F3092" s="3" t="n">
        <v>0</v>
      </c>
      <c r="G3092" s="3" t="n">
        <v>166550</v>
      </c>
    </row>
    <row r="3093">
      <c r="A3093" s="3" t="inlineStr">
        <is>
          <t>Heron Fields (Pty) Ltd</t>
        </is>
      </c>
      <c r="B3093" s="4" t="n">
        <v>45016</v>
      </c>
      <c r="C3093" s="3" t="inlineStr">
        <is>
          <t>Assets</t>
        </is>
      </c>
      <c r="D3093" s="3" t="inlineStr">
        <is>
          <t>7620/295</t>
        </is>
      </c>
      <c r="E3093" s="3" t="inlineStr">
        <is>
          <t>HF CIP Traffic Planning</t>
        </is>
      </c>
      <c r="F3093" s="3" t="n">
        <v>0</v>
      </c>
      <c r="G3093" s="3" t="n">
        <v>45000</v>
      </c>
    </row>
    <row r="3094">
      <c r="A3094" s="3" t="inlineStr">
        <is>
          <t>Heron Fields (Pty) Ltd</t>
        </is>
      </c>
      <c r="B3094" s="4" t="n">
        <v>45016</v>
      </c>
      <c r="C3094" s="3" t="inlineStr">
        <is>
          <t>Assets</t>
        </is>
      </c>
      <c r="D3094" s="3" t="inlineStr">
        <is>
          <t>7620/600</t>
        </is>
      </c>
      <c r="E3094" s="3" t="inlineStr">
        <is>
          <t>HF CIP Eco work</t>
        </is>
      </c>
      <c r="F3094" s="3" t="n">
        <v>6000</v>
      </c>
      <c r="G3094" s="3" t="n">
        <v>131000</v>
      </c>
    </row>
    <row r="3095">
      <c r="A3095" s="3" t="inlineStr">
        <is>
          <t>Heron View (Pty) Ltd</t>
        </is>
      </c>
      <c r="B3095" s="4" t="n">
        <v>45016</v>
      </c>
      <c r="C3095" s="3" t="inlineStr">
        <is>
          <t>Assets</t>
        </is>
      </c>
      <c r="D3095" s="3" t="inlineStr">
        <is>
          <t>7620/610</t>
        </is>
      </c>
      <c r="E3095" s="3" t="inlineStr">
        <is>
          <t>HV CIP Retaining wall</t>
        </is>
      </c>
      <c r="F3095" s="3" t="n">
        <v>0</v>
      </c>
      <c r="G3095" s="3" t="n">
        <v>66190.11</v>
      </c>
    </row>
    <row r="3096">
      <c r="A3096" s="3" t="inlineStr">
        <is>
          <t>Heron Fields (Pty) Ltd</t>
        </is>
      </c>
      <c r="B3096" s="4" t="n">
        <v>45016</v>
      </c>
      <c r="C3096" s="3" t="inlineStr">
        <is>
          <t>Assets</t>
        </is>
      </c>
      <c r="D3096" s="3" t="inlineStr">
        <is>
          <t>7620/630</t>
        </is>
      </c>
      <c r="E3096" s="3" t="inlineStr">
        <is>
          <t>HF CIP CoCT development contribution</t>
        </is>
      </c>
      <c r="F3096" s="3" t="n">
        <v>0</v>
      </c>
      <c r="G3096" s="3" t="n">
        <v>1021325.63</v>
      </c>
    </row>
    <row r="3097">
      <c r="A3097" s="3" t="inlineStr">
        <is>
          <t>Heron View (Pty) Ltd</t>
        </is>
      </c>
      <c r="B3097" s="4" t="n">
        <v>45016</v>
      </c>
      <c r="C3097" s="3" t="inlineStr">
        <is>
          <t>Assets</t>
        </is>
      </c>
      <c r="D3097" s="3" t="inlineStr">
        <is>
          <t>7620/630</t>
        </is>
      </c>
      <c r="E3097" s="3" t="inlineStr">
        <is>
          <t>Heron CIP - CoCT development contribution</t>
        </is>
      </c>
      <c r="F3097" s="3" t="n">
        <v>0</v>
      </c>
      <c r="G3097" s="3" t="n">
        <v>1313735.84</v>
      </c>
    </row>
    <row r="3098">
      <c r="A3098" s="3" t="inlineStr">
        <is>
          <t>Heron Fields (Pty) Ltd</t>
        </is>
      </c>
      <c r="B3098" s="4" t="n">
        <v>45016</v>
      </c>
      <c r="C3098" s="3" t="inlineStr">
        <is>
          <t>Assets</t>
        </is>
      </c>
      <c r="D3098" s="3" t="inlineStr">
        <is>
          <t>7620/640</t>
        </is>
      </c>
      <c r="E3098" s="3" t="inlineStr">
        <is>
          <t>HF CIP Project costs</t>
        </is>
      </c>
      <c r="F3098" s="3" t="n">
        <v>0</v>
      </c>
      <c r="G3098" s="3" t="n">
        <v>622274.51</v>
      </c>
    </row>
    <row r="3099">
      <c r="A3099" s="3" t="inlineStr">
        <is>
          <t>Heron View (Pty) Ltd</t>
        </is>
      </c>
      <c r="B3099" s="4" t="n">
        <v>45016</v>
      </c>
      <c r="C3099" s="3" t="inlineStr">
        <is>
          <t>Assets</t>
        </is>
      </c>
      <c r="D3099" s="3" t="inlineStr">
        <is>
          <t>7620/650</t>
        </is>
      </c>
      <c r="E3099" s="3" t="inlineStr">
        <is>
          <t>CIP - Construction Management</t>
        </is>
      </c>
      <c r="F3099" s="3" t="n">
        <v>14500</v>
      </c>
      <c r="G3099" s="3" t="n">
        <v>44780</v>
      </c>
    </row>
    <row r="3100">
      <c r="A3100" s="3" t="inlineStr">
        <is>
          <t>Heron Fields (Pty) Ltd</t>
        </is>
      </c>
      <c r="B3100" s="4" t="n">
        <v>45016</v>
      </c>
      <c r="C3100" s="3" t="inlineStr">
        <is>
          <t>Assets</t>
        </is>
      </c>
      <c r="D3100" s="3" t="inlineStr">
        <is>
          <t>7620/650</t>
        </is>
      </c>
      <c r="E3100" s="3" t="inlineStr">
        <is>
          <t>HF CIP Electrical</t>
        </is>
      </c>
      <c r="F3100" s="3" t="n">
        <v>0</v>
      </c>
      <c r="G3100" s="3" t="n">
        <v>985049.6800000001</v>
      </c>
    </row>
    <row r="3101">
      <c r="A3101" s="3" t="inlineStr">
        <is>
          <t>Heron View (Pty) Ltd</t>
        </is>
      </c>
      <c r="B3101" s="4" t="n">
        <v>45016</v>
      </c>
      <c r="C3101" s="3" t="inlineStr">
        <is>
          <t>Assets</t>
        </is>
      </c>
      <c r="D3101" s="3" t="inlineStr">
        <is>
          <t>7620/660</t>
        </is>
      </c>
      <c r="E3101" s="3" t="inlineStr">
        <is>
          <t>HV CIP Health &amp; Safety</t>
        </is>
      </c>
      <c r="F3101" s="3" t="n">
        <v>1400</v>
      </c>
      <c r="G3101" s="3" t="n">
        <v>16000</v>
      </c>
    </row>
    <row r="3102">
      <c r="A3102" s="3" t="inlineStr">
        <is>
          <t>Heron View (Pty) Ltd</t>
        </is>
      </c>
      <c r="B3102" s="4" t="n">
        <v>45016</v>
      </c>
      <c r="C3102" s="3" t="inlineStr">
        <is>
          <t>Assets</t>
        </is>
      </c>
      <c r="D3102" s="3" t="inlineStr">
        <is>
          <t>7620/670</t>
        </is>
      </c>
      <c r="E3102" s="3" t="inlineStr">
        <is>
          <t>HV CIP - Project costs CPSD</t>
        </is>
      </c>
      <c r="F3102" s="3" t="n">
        <v>0</v>
      </c>
      <c r="G3102" s="3" t="n">
        <v>684782.6</v>
      </c>
    </row>
    <row r="3103">
      <c r="A3103" s="3" t="inlineStr">
        <is>
          <t>Heron View (Pty) Ltd</t>
        </is>
      </c>
      <c r="B3103" s="4" t="n">
        <v>45016</v>
      </c>
      <c r="C3103" s="3" t="inlineStr">
        <is>
          <t>Assets</t>
        </is>
      </c>
      <c r="D3103" s="3" t="inlineStr">
        <is>
          <t>7620/680</t>
        </is>
      </c>
      <c r="E3103" s="3" t="inlineStr">
        <is>
          <t>HV CIP Elextrical</t>
        </is>
      </c>
      <c r="F3103" s="3" t="n">
        <v>0</v>
      </c>
      <c r="G3103" s="3" t="n">
        <v>870391.34</v>
      </c>
    </row>
    <row r="3104">
      <c r="A3104" s="3" t="inlineStr">
        <is>
          <t>Heron View (Pty) Ltd</t>
        </is>
      </c>
      <c r="B3104" s="4" t="n">
        <v>45016</v>
      </c>
      <c r="C3104" s="3" t="inlineStr">
        <is>
          <t>Assets</t>
        </is>
      </c>
      <c r="D3104" s="3" t="inlineStr">
        <is>
          <t>7620/690</t>
        </is>
      </c>
      <c r="E3104" s="3" t="inlineStr">
        <is>
          <t>HV CIP Site Establishment</t>
        </is>
      </c>
      <c r="F3104" s="3" t="n">
        <v>7088516</v>
      </c>
      <c r="G3104" s="3" t="n">
        <v>7129170.63</v>
      </c>
    </row>
    <row r="3105">
      <c r="A3105" s="3" t="inlineStr">
        <is>
          <t>Heron Fields (Pty) Ltd</t>
        </is>
      </c>
      <c r="B3105" s="4" t="n">
        <v>45016</v>
      </c>
      <c r="C3105" s="3" t="inlineStr">
        <is>
          <t>Assets</t>
        </is>
      </c>
      <c r="D3105" s="3" t="inlineStr">
        <is>
          <t>7620/750</t>
        </is>
      </c>
      <c r="E3105" s="3" t="inlineStr">
        <is>
          <t>HF CIP Project costs CPSD</t>
        </is>
      </c>
      <c r="F3105" s="3" t="n">
        <v>252445.03</v>
      </c>
      <c r="G3105" s="3" t="n">
        <v>1502445.03</v>
      </c>
    </row>
    <row r="3106">
      <c r="A3106" s="3" t="inlineStr">
        <is>
          <t>Heron Fields (Pty) Ltd</t>
        </is>
      </c>
      <c r="B3106" s="4" t="n">
        <v>45016</v>
      </c>
      <c r="C3106" s="3" t="inlineStr">
        <is>
          <t>Assets</t>
        </is>
      </c>
      <c r="D3106" s="3" t="inlineStr">
        <is>
          <t>7620/800</t>
        </is>
      </c>
      <c r="E3106" s="3" t="inlineStr">
        <is>
          <t>HF CIP GL Conradie</t>
        </is>
      </c>
      <c r="F3106" s="3" t="n">
        <v>1068455</v>
      </c>
      <c r="G3106" s="3" t="n">
        <v>1068455</v>
      </c>
    </row>
    <row r="3107">
      <c r="A3107" s="3" t="inlineStr">
        <is>
          <t>Heron Fields (Pty) Ltd</t>
        </is>
      </c>
      <c r="B3107" s="4" t="n">
        <v>45016</v>
      </c>
      <c r="C3107" s="3" t="inlineStr">
        <is>
          <t>Assets</t>
        </is>
      </c>
      <c r="D3107" s="3" t="inlineStr">
        <is>
          <t>7700/010</t>
        </is>
      </c>
      <c r="E3107" s="3" t="inlineStr">
        <is>
          <t>Construction 28 Feb 23 HF</t>
        </is>
      </c>
      <c r="F3107" s="3" t="n">
        <v>0</v>
      </c>
      <c r="G3107" s="3" t="n">
        <v>-24427668.44</v>
      </c>
    </row>
    <row r="3108">
      <c r="A3108" s="3" t="inlineStr">
        <is>
          <t>Cape Projects Construction (Pty) Ltd</t>
        </is>
      </c>
      <c r="B3108" s="4" t="n">
        <v>45016</v>
      </c>
      <c r="C3108" s="3" t="inlineStr">
        <is>
          <t>Assets</t>
        </is>
      </c>
      <c r="D3108" s="3" t="inlineStr">
        <is>
          <t>7800/000</t>
        </is>
      </c>
      <c r="E3108" s="3" t="inlineStr">
        <is>
          <t>Deposits paid</t>
        </is>
      </c>
      <c r="F3108" s="3" t="n">
        <v>0</v>
      </c>
      <c r="G3108" s="3" t="n">
        <v>29600</v>
      </c>
    </row>
    <row r="3109">
      <c r="A3109" s="3" t="inlineStr">
        <is>
          <t>Cape Projects Construction (Pty) Ltd</t>
        </is>
      </c>
      <c r="B3109" s="4" t="n">
        <v>45016</v>
      </c>
      <c r="C3109" s="3" t="inlineStr">
        <is>
          <t>Assets</t>
        </is>
      </c>
      <c r="D3109" s="3" t="inlineStr">
        <is>
          <t>8000/000</t>
        </is>
      </c>
      <c r="E3109" s="3" t="inlineStr">
        <is>
          <t>Customer Control Account</t>
        </is>
      </c>
      <c r="F3109" s="3" t="n">
        <v>-2352790.43</v>
      </c>
      <c r="G3109" s="3" t="n">
        <v>-2679589.84</v>
      </c>
    </row>
    <row r="3110">
      <c r="A3110" s="3" t="inlineStr">
        <is>
          <t>Heron Fields (Pty) Ltd</t>
        </is>
      </c>
      <c r="B3110" s="4" t="n">
        <v>45016</v>
      </c>
      <c r="C3110" s="3" t="inlineStr">
        <is>
          <t>Assets</t>
        </is>
      </c>
      <c r="D3110" s="3" t="inlineStr">
        <is>
          <t>8000/000</t>
        </is>
      </c>
      <c r="E3110" s="3" t="inlineStr">
        <is>
          <t>Customer Control Account</t>
        </is>
      </c>
      <c r="F3110" s="3" t="n">
        <v>-430076.47</v>
      </c>
      <c r="G3110" s="3" t="n">
        <v>462961.97</v>
      </c>
    </row>
    <row r="3111">
      <c r="A3111" s="3" t="inlineStr">
        <is>
          <t>Cape Projects Construction (Pty) Ltd</t>
        </is>
      </c>
      <c r="B3111" s="4" t="n">
        <v>45016</v>
      </c>
      <c r="C3111" s="3" t="inlineStr">
        <is>
          <t>Assets</t>
        </is>
      </c>
      <c r="D3111" s="3" t="inlineStr">
        <is>
          <t>8200/010</t>
        </is>
      </c>
      <c r="E3111" s="3" t="inlineStr">
        <is>
          <t>Prepayments / Prepaid Expenses</t>
        </is>
      </c>
      <c r="F3111" s="3" t="n">
        <v>-2719.43</v>
      </c>
      <c r="G3111" s="3" t="n">
        <v>0</v>
      </c>
    </row>
    <row r="3112">
      <c r="A3112" s="3" t="inlineStr">
        <is>
          <t>Cape Projects Construction (Pty) Ltd</t>
        </is>
      </c>
      <c r="B3112" s="4" t="n">
        <v>45016</v>
      </c>
      <c r="C3112" s="3" t="inlineStr">
        <is>
          <t>Assets</t>
        </is>
      </c>
      <c r="D3112" s="3" t="inlineStr">
        <is>
          <t>8300/000</t>
        </is>
      </c>
      <c r="E3112" s="3" t="inlineStr">
        <is>
          <t>FNB Credit Card 8812 7100 446 6006</t>
        </is>
      </c>
      <c r="F3112" s="3" t="n">
        <v>69</v>
      </c>
      <c r="G3112" s="3" t="n">
        <v>69</v>
      </c>
    </row>
    <row r="3113">
      <c r="A3113" s="3" t="inlineStr">
        <is>
          <t>Heron Fields (Pty) Ltd</t>
        </is>
      </c>
      <c r="B3113" s="4" t="n">
        <v>45016</v>
      </c>
      <c r="C3113" s="3" t="inlineStr">
        <is>
          <t>Assets</t>
        </is>
      </c>
      <c r="D3113" s="3" t="inlineStr">
        <is>
          <t>8400/000</t>
        </is>
      </c>
      <c r="E3113" s="3" t="inlineStr">
        <is>
          <t>RMB - 62882379087</t>
        </is>
      </c>
      <c r="F3113" s="3" t="n">
        <v>2572526.68</v>
      </c>
      <c r="G3113" s="3" t="n">
        <v>3903667.89</v>
      </c>
    </row>
    <row r="3114">
      <c r="A3114" s="3" t="inlineStr">
        <is>
          <t>Cape Projects Construction (Pty) Ltd</t>
        </is>
      </c>
      <c r="B3114" s="4" t="n">
        <v>45016</v>
      </c>
      <c r="C3114" s="3" t="inlineStr">
        <is>
          <t>Assets</t>
        </is>
      </c>
      <c r="D3114" s="3" t="inlineStr">
        <is>
          <t>8400/000</t>
        </is>
      </c>
      <c r="E3114" s="3" t="inlineStr">
        <is>
          <t>RMB 62275138470</t>
        </is>
      </c>
      <c r="F3114" s="3" t="n">
        <v>1182837.93</v>
      </c>
      <c r="G3114" s="3" t="n">
        <v>1223678.06</v>
      </c>
    </row>
    <row r="3115">
      <c r="A3115" s="3" t="inlineStr">
        <is>
          <t>Cape Projects Construction (Pty) Ltd</t>
        </is>
      </c>
      <c r="B3115" s="4" t="n">
        <v>45016</v>
      </c>
      <c r="C3115" s="3" t="inlineStr">
        <is>
          <t>Assets</t>
        </is>
      </c>
      <c r="D3115" s="3" t="inlineStr">
        <is>
          <t>8420/000</t>
        </is>
      </c>
      <c r="E3115" s="3" t="inlineStr">
        <is>
          <t>Momentum Priv Acc RU502230981</t>
        </is>
      </c>
      <c r="F3115" s="3" t="n">
        <v>6.81</v>
      </c>
      <c r="G3115" s="3" t="n">
        <v>544.13</v>
      </c>
    </row>
    <row r="3116">
      <c r="A3116" s="3" t="inlineStr">
        <is>
          <t>Heron Fields (Pty) Ltd</t>
        </is>
      </c>
      <c r="B3116" s="4" t="n">
        <v>45016</v>
      </c>
      <c r="C3116" s="3" t="inlineStr">
        <is>
          <t>Assets</t>
        </is>
      </c>
      <c r="D3116" s="3" t="inlineStr">
        <is>
          <t>8430/000</t>
        </is>
      </c>
      <c r="E3116" s="3" t="inlineStr">
        <is>
          <t>Momentum Private Account RU502230151</t>
        </is>
      </c>
      <c r="F3116" s="3" t="n">
        <v>5.19</v>
      </c>
      <c r="G3116" s="3" t="n">
        <v>832.91</v>
      </c>
    </row>
    <row r="3117">
      <c r="A3117" s="3" t="inlineStr">
        <is>
          <t>Heron Fields (Pty) Ltd</t>
        </is>
      </c>
      <c r="B3117" s="4" t="n">
        <v>45016</v>
      </c>
      <c r="C3117" s="3" t="inlineStr">
        <is>
          <t>Assets</t>
        </is>
      </c>
      <c r="D3117" s="3" t="inlineStr">
        <is>
          <t>8440/000</t>
        </is>
      </c>
      <c r="E3117" s="3" t="inlineStr">
        <is>
          <t>Momentum Investors Account RU502229930</t>
        </is>
      </c>
      <c r="F3117" s="3" t="n">
        <v>-6675260.94</v>
      </c>
      <c r="G3117" s="3" t="n">
        <v>19941025.56</v>
      </c>
    </row>
    <row r="3118">
      <c r="A3118" s="3" t="inlineStr">
        <is>
          <t>Cape Projects Construction (Pty) Ltd</t>
        </is>
      </c>
      <c r="B3118" s="4" t="n">
        <v>45016</v>
      </c>
      <c r="C3118" s="3" t="inlineStr">
        <is>
          <t>Liabilities</t>
        </is>
      </c>
      <c r="D3118" s="3" t="inlineStr">
        <is>
          <t>860</t>
        </is>
      </c>
      <c r="E3118" s="3" t="inlineStr">
        <is>
          <t>Rounding</t>
        </is>
      </c>
      <c r="F3118" s="3" t="n">
        <v>-0.39</v>
      </c>
      <c r="G3118" s="3" t="n">
        <v>-0.39</v>
      </c>
    </row>
    <row r="3119">
      <c r="A3119" s="3" t="inlineStr">
        <is>
          <t>Heron Fields (Pty) Ltd</t>
        </is>
      </c>
      <c r="B3119" s="4" t="n">
        <v>45016</v>
      </c>
      <c r="C3119" s="3" t="inlineStr">
        <is>
          <t>Liabilities</t>
        </is>
      </c>
      <c r="D3119" s="3" t="inlineStr">
        <is>
          <t>860</t>
        </is>
      </c>
      <c r="E3119" s="3" t="inlineStr">
        <is>
          <t>Rounding</t>
        </is>
      </c>
      <c r="F3119" s="3" t="n">
        <v>0</v>
      </c>
      <c r="G3119" s="3" t="n">
        <v>0.03</v>
      </c>
    </row>
    <row r="3120">
      <c r="A3120" s="3" t="inlineStr">
        <is>
          <t>Cape Projects Construction (Pty) Ltd</t>
        </is>
      </c>
      <c r="B3120" s="4" t="n">
        <v>45016</v>
      </c>
      <c r="C3120" s="3" t="inlineStr">
        <is>
          <t>Liabilities</t>
        </is>
      </c>
      <c r="D3120" s="3" t="inlineStr">
        <is>
          <t>9000/000</t>
        </is>
      </c>
      <c r="E3120" s="3" t="inlineStr">
        <is>
          <t>Supplier Control Account</t>
        </is>
      </c>
      <c r="F3120" s="3" t="n">
        <v>-92016.37</v>
      </c>
      <c r="G3120" s="3" t="n">
        <v>-2397744.29</v>
      </c>
    </row>
    <row r="3121">
      <c r="A3121" s="3" t="inlineStr">
        <is>
          <t>Heron Fields (Pty) Ltd</t>
        </is>
      </c>
      <c r="B3121" s="4" t="n">
        <v>45016</v>
      </c>
      <c r="C3121" s="3" t="inlineStr">
        <is>
          <t>Liabilities</t>
        </is>
      </c>
      <c r="D3121" s="3" t="inlineStr">
        <is>
          <t>9000/000</t>
        </is>
      </c>
      <c r="E3121" s="3" t="inlineStr">
        <is>
          <t>Supplier Control Account</t>
        </is>
      </c>
      <c r="F3121" s="3" t="n">
        <v>-2546667.52</v>
      </c>
      <c r="G3121" s="3" t="n">
        <v>-118690343.8</v>
      </c>
    </row>
    <row r="3122">
      <c r="A3122" s="3" t="inlineStr">
        <is>
          <t>Heron View (Pty) Ltd</t>
        </is>
      </c>
      <c r="B3122" s="4" t="n">
        <v>45016</v>
      </c>
      <c r="C3122" s="3" t="inlineStr">
        <is>
          <t>Liabilities</t>
        </is>
      </c>
      <c r="D3122" s="3" t="inlineStr">
        <is>
          <t>9000/000</t>
        </is>
      </c>
      <c r="E3122" s="3" t="inlineStr">
        <is>
          <t>Supplier Control Account</t>
        </is>
      </c>
      <c r="F3122" s="3" t="n">
        <v>-2379015.67</v>
      </c>
      <c r="G3122" s="3" t="n">
        <v>-3229411.84</v>
      </c>
    </row>
    <row r="3123">
      <c r="A3123" s="3" t="inlineStr">
        <is>
          <t>Cape Projects Construction (Pty) Ltd</t>
        </is>
      </c>
      <c r="B3123" s="4" t="n">
        <v>45016</v>
      </c>
      <c r="C3123" s="3" t="inlineStr">
        <is>
          <t>Liabilities</t>
        </is>
      </c>
      <c r="D3123" s="3" t="inlineStr">
        <is>
          <t>9250/020</t>
        </is>
      </c>
      <c r="E3123" s="3" t="inlineStr">
        <is>
          <t>PAYE, UIF AND SDL CONTROL</t>
        </is>
      </c>
      <c r="F3123" s="3" t="n">
        <v>-17744.8</v>
      </c>
      <c r="G3123" s="3" t="n">
        <v>-83403.75</v>
      </c>
    </row>
    <row r="3124">
      <c r="A3124" s="3" t="inlineStr">
        <is>
          <t>Cape Projects Construction (Pty) Ltd</t>
        </is>
      </c>
      <c r="B3124" s="4" t="n">
        <v>45016</v>
      </c>
      <c r="C3124" s="3" t="inlineStr">
        <is>
          <t>Liabilities</t>
        </is>
      </c>
      <c r="D3124" s="3" t="inlineStr">
        <is>
          <t>9250/030</t>
        </is>
      </c>
      <c r="E3124" s="3" t="inlineStr">
        <is>
          <t>BIBC CONTROL</t>
        </is>
      </c>
      <c r="F3124" s="3" t="n">
        <v>-6809.25</v>
      </c>
      <c r="G3124" s="3" t="n">
        <v>-38585.75</v>
      </c>
    </row>
    <row r="3125">
      <c r="A3125" s="3" t="inlineStr">
        <is>
          <t>Cape Projects Construction (Pty) Ltd</t>
        </is>
      </c>
      <c r="B3125" s="4" t="n">
        <v>45016</v>
      </c>
      <c r="C3125" s="3" t="inlineStr">
        <is>
          <t>Liabilities</t>
        </is>
      </c>
      <c r="D3125" s="3" t="inlineStr">
        <is>
          <t>9500/000</t>
        </is>
      </c>
      <c r="E3125" s="3" t="inlineStr">
        <is>
          <t>VAT Control Account</t>
        </is>
      </c>
      <c r="F3125" s="3" t="n">
        <v>-83931.16</v>
      </c>
      <c r="G3125" s="3" t="n">
        <v>-272896.64</v>
      </c>
    </row>
    <row r="3126">
      <c r="A3126" s="3" t="inlineStr">
        <is>
          <t>Heron Fields (Pty) Ltd</t>
        </is>
      </c>
      <c r="B3126" s="4" t="n">
        <v>45016</v>
      </c>
      <c r="C3126" s="3" t="inlineStr">
        <is>
          <t>Liabilities</t>
        </is>
      </c>
      <c r="D3126" s="3" t="inlineStr">
        <is>
          <t>9500/000</t>
        </is>
      </c>
      <c r="E3126" s="3" t="inlineStr">
        <is>
          <t>Vat / Tax Control Account</t>
        </is>
      </c>
      <c r="F3126" s="3" t="n">
        <v>186598.85</v>
      </c>
      <c r="G3126" s="3" t="n">
        <v>-2540941.56</v>
      </c>
    </row>
    <row r="3127">
      <c r="A3127" s="3" t="inlineStr">
        <is>
          <t>Heron View (Pty) Ltd</t>
        </is>
      </c>
      <c r="B3127" s="4" t="n">
        <v>45016</v>
      </c>
      <c r="C3127" s="3" t="inlineStr">
        <is>
          <t>Liabilities</t>
        </is>
      </c>
      <c r="D3127" s="3" t="inlineStr">
        <is>
          <t>9500/000</t>
        </is>
      </c>
      <c r="E3127" s="3" t="inlineStr">
        <is>
          <t>Vat / Tax Control Account</t>
        </is>
      </c>
      <c r="F3127" s="3" t="n">
        <v>1451806.66</v>
      </c>
      <c r="G3127" s="3" t="n">
        <v>2869552.14</v>
      </c>
    </row>
    <row r="3128">
      <c r="A3128" s="3" t="inlineStr">
        <is>
          <t>Heron Fields (Pty) Ltd</t>
        </is>
      </c>
      <c r="B3128" s="4" t="n">
        <v>45016</v>
      </c>
      <c r="C3128" s="3" t="inlineStr">
        <is>
          <t>Liabilities</t>
        </is>
      </c>
      <c r="D3128" s="3" t="inlineStr">
        <is>
          <t>9520/000</t>
        </is>
      </c>
      <c r="E3128" s="3" t="inlineStr">
        <is>
          <t>Income Tax Payable</t>
        </is>
      </c>
      <c r="F3128" s="3" t="n">
        <v>0</v>
      </c>
      <c r="G3128" s="3" t="n">
        <v>59039.93</v>
      </c>
    </row>
    <row r="3129">
      <c r="A3129" s="3" t="inlineStr">
        <is>
          <t>Heron Fields (Pty) Ltd</t>
        </is>
      </c>
      <c r="B3129" s="4" t="n">
        <v>45016</v>
      </c>
      <c r="C3129" s="3" t="inlineStr">
        <is>
          <t>Liabilities</t>
        </is>
      </c>
      <c r="D3129" s="3" t="inlineStr">
        <is>
          <t>9899/B208</t>
        </is>
      </c>
      <c r="E3129" s="3" t="inlineStr">
        <is>
          <t>Sales - Unit Reg Control B208</t>
        </is>
      </c>
      <c r="F3129" s="3" t="n">
        <v>1209624.06</v>
      </c>
      <c r="G3129" s="3" t="n">
        <v>1209624.06</v>
      </c>
    </row>
    <row r="3130">
      <c r="A3130" s="3" t="inlineStr">
        <is>
          <t>Cape Projects Construction (Pty) Ltd</t>
        </is>
      </c>
      <c r="B3130" s="4" t="n">
        <v>45016</v>
      </c>
      <c r="C3130" s="3" t="inlineStr">
        <is>
          <t>Liabilities</t>
        </is>
      </c>
      <c r="D3130" s="3" t="inlineStr">
        <is>
          <t>B/S</t>
        </is>
      </c>
      <c r="E3130" s="3" t="inlineStr">
        <is>
          <t>Taxation Payable</t>
        </is>
      </c>
      <c r="F3130" s="3" t="n">
        <v>0</v>
      </c>
      <c r="G3130" s="3" t="n">
        <v>28029.81</v>
      </c>
    </row>
    <row r="3131">
      <c r="A3131" s="3" t="inlineStr">
        <is>
          <t>Cape Projects Construction (Pty) Ltd</t>
        </is>
      </c>
      <c r="B3131" s="4" t="n">
        <v>45016</v>
      </c>
      <c r="C3131" s="3" t="inlineStr">
        <is>
          <t>Liabilities</t>
        </is>
      </c>
      <c r="D3131" s="3" t="inlineStr">
        <is>
          <t>TEMP/ACC</t>
        </is>
      </c>
      <c r="E3131" s="3" t="inlineStr">
        <is>
          <t>Conversion Account</t>
        </is>
      </c>
      <c r="F3131" s="3" t="n">
        <v>0</v>
      </c>
      <c r="G3131" s="3" t="n">
        <v>-254.99</v>
      </c>
    </row>
    <row r="3132">
      <c r="A3132" s="3" t="inlineStr">
        <is>
          <t>Heron Fields (Pty) Ltd</t>
        </is>
      </c>
      <c r="B3132" s="4" t="n">
        <v>45046</v>
      </c>
      <c r="C3132" s="3" t="inlineStr">
        <is>
          <t>Revenue</t>
        </is>
      </c>
      <c r="D3132" s="3" t="inlineStr">
        <is>
          <t>1000/100</t>
        </is>
      </c>
      <c r="E3132" s="3" t="inlineStr">
        <is>
          <t>Sales - Heron Fields</t>
        </is>
      </c>
      <c r="F3132" s="3" t="n">
        <v>-10308000</v>
      </c>
      <c r="G3132" s="3" t="n">
        <v>-19505652.18</v>
      </c>
    </row>
    <row r="3133">
      <c r="A3133" s="3" t="inlineStr">
        <is>
          <t>Heron Fields (Pty) Ltd</t>
        </is>
      </c>
      <c r="B3133" s="4" t="n">
        <v>45046</v>
      </c>
      <c r="C3133" s="3" t="inlineStr">
        <is>
          <t>Revenue</t>
        </is>
      </c>
      <c r="D3133" s="3" t="inlineStr">
        <is>
          <t>1000/101</t>
        </is>
      </c>
      <c r="E3133" s="3" t="inlineStr">
        <is>
          <t>Sales - Heron Fields occupational rent</t>
        </is>
      </c>
      <c r="F3133" s="3" t="n">
        <v>-18450</v>
      </c>
      <c r="G3133" s="3" t="n">
        <v>-29314.06</v>
      </c>
    </row>
    <row r="3134">
      <c r="A3134" s="3" t="inlineStr">
        <is>
          <t>Cape Projects Construction (Pty) Ltd</t>
        </is>
      </c>
      <c r="B3134" s="4" t="n">
        <v>45046</v>
      </c>
      <c r="C3134" s="3" t="inlineStr">
        <is>
          <t>Revenue</t>
        </is>
      </c>
      <c r="D3134" s="3" t="inlineStr">
        <is>
          <t>1040/100</t>
        </is>
      </c>
      <c r="E3134" s="3" t="inlineStr">
        <is>
          <t>Fees - Construction - Heron</t>
        </is>
      </c>
      <c r="F3134" s="3" t="n">
        <v>-3945193.47</v>
      </c>
      <c r="G3134" s="3" t="n">
        <v>-8197817.59</v>
      </c>
    </row>
    <row r="3135">
      <c r="A3135" s="3" t="inlineStr">
        <is>
          <t>Heron Fields (Pty) Ltd</t>
        </is>
      </c>
      <c r="B3135" s="4" t="n">
        <v>45046</v>
      </c>
      <c r="C3135" s="3" t="inlineStr">
        <is>
          <t>Expenses</t>
        </is>
      </c>
      <c r="D3135" s="3" t="inlineStr">
        <is>
          <t>2000/040</t>
        </is>
      </c>
      <c r="E3135" s="3" t="inlineStr">
        <is>
          <t>COS - Legal Fees</t>
        </is>
      </c>
      <c r="F3135" s="3" t="n">
        <v>230143.86</v>
      </c>
      <c r="G3135" s="3" t="n">
        <v>424002.22</v>
      </c>
    </row>
    <row r="3136">
      <c r="A3136" s="3" t="inlineStr">
        <is>
          <t>Heron Fields (Pty) Ltd</t>
        </is>
      </c>
      <c r="B3136" s="4" t="n">
        <v>45046</v>
      </c>
      <c r="C3136" s="3" t="inlineStr">
        <is>
          <t>Expenses</t>
        </is>
      </c>
      <c r="D3136" s="3" t="inlineStr">
        <is>
          <t>2000/050</t>
        </is>
      </c>
      <c r="E3136" s="3" t="inlineStr">
        <is>
          <t>COS - Rates clearance</t>
        </is>
      </c>
      <c r="F3136" s="3" t="n">
        <v>11528.93</v>
      </c>
      <c r="G3136" s="3" t="n">
        <v>11528.93</v>
      </c>
    </row>
    <row r="3137">
      <c r="A3137" s="3" t="inlineStr">
        <is>
          <t>Heron Fields (Pty) Ltd</t>
        </is>
      </c>
      <c r="B3137" s="4" t="n">
        <v>45046</v>
      </c>
      <c r="C3137" s="3" t="inlineStr">
        <is>
          <t>Expenses</t>
        </is>
      </c>
      <c r="D3137" s="3" t="inlineStr">
        <is>
          <t>2000/070</t>
        </is>
      </c>
      <c r="E3137" s="3" t="inlineStr">
        <is>
          <t>COS - Commission HF Units</t>
        </is>
      </c>
      <c r="F3137" s="3" t="n">
        <v>448882.61</v>
      </c>
      <c r="G3137" s="3" t="n">
        <v>914286.95</v>
      </c>
    </row>
    <row r="3138">
      <c r="A3138" s="3" t="inlineStr">
        <is>
          <t>Heron Fields (Pty) Ltd</t>
        </is>
      </c>
      <c r="B3138" s="4" t="n">
        <v>45046</v>
      </c>
      <c r="C3138" s="3" t="inlineStr">
        <is>
          <t>Expenses</t>
        </is>
      </c>
      <c r="D3138" s="3" t="inlineStr">
        <is>
          <t>2000/090</t>
        </is>
      </c>
      <c r="E3138" s="3" t="inlineStr">
        <is>
          <t>COS - Electricity</t>
        </is>
      </c>
      <c r="F3138" s="3" t="n">
        <v>-500</v>
      </c>
      <c r="G3138" s="3" t="n">
        <v>250</v>
      </c>
    </row>
    <row r="3139">
      <c r="A3139" s="3" t="inlineStr">
        <is>
          <t>Cape Projects Construction (Pty) Ltd</t>
        </is>
      </c>
      <c r="B3139" s="4" t="n">
        <v>45046</v>
      </c>
      <c r="C3139" s="3" t="inlineStr">
        <is>
          <t>Expenses</t>
        </is>
      </c>
      <c r="D3139" s="3" t="inlineStr">
        <is>
          <t>2000/500</t>
        </is>
      </c>
      <c r="E3139" s="3" t="inlineStr">
        <is>
          <t>COS - Electricity Cost Endulini</t>
        </is>
      </c>
      <c r="F3139" s="3" t="n">
        <v>0</v>
      </c>
      <c r="G3139" s="3" t="n">
        <v>200</v>
      </c>
    </row>
    <row r="3140">
      <c r="A3140" s="3" t="inlineStr">
        <is>
          <t>Cape Projects Construction (Pty) Ltd</t>
        </is>
      </c>
      <c r="B3140" s="4" t="n">
        <v>45046</v>
      </c>
      <c r="C3140" s="3" t="inlineStr">
        <is>
          <t>Expenses</t>
        </is>
      </c>
      <c r="D3140" s="3" t="inlineStr">
        <is>
          <t>2001/000</t>
        </is>
      </c>
      <c r="E3140" s="3" t="inlineStr">
        <is>
          <t>Cost of Sales - SouthWark Project</t>
        </is>
      </c>
      <c r="F3140" s="3" t="n">
        <v>486.95</v>
      </c>
      <c r="G3140" s="3" t="n">
        <v>486.95</v>
      </c>
    </row>
    <row r="3141">
      <c r="A3141" s="3" t="inlineStr">
        <is>
          <t>Cape Projects Construction (Pty) Ltd</t>
        </is>
      </c>
      <c r="B3141" s="4" t="n">
        <v>45046</v>
      </c>
      <c r="C3141" s="3" t="inlineStr">
        <is>
          <t>Expenses</t>
        </is>
      </c>
      <c r="D3141" s="3" t="inlineStr">
        <is>
          <t>2006/000</t>
        </is>
      </c>
      <c r="E3141" s="3" t="inlineStr">
        <is>
          <t>COS - Endulini Construction</t>
        </is>
      </c>
      <c r="F3141" s="3" t="n">
        <v>1344.32</v>
      </c>
      <c r="G3141" s="3" t="n">
        <v>193005.79</v>
      </c>
    </row>
    <row r="3142">
      <c r="A3142" s="3" t="inlineStr">
        <is>
          <t>Cape Projects Construction (Pty) Ltd</t>
        </is>
      </c>
      <c r="B3142" s="4" t="n">
        <v>45046</v>
      </c>
      <c r="C3142" s="3" t="inlineStr">
        <is>
          <t>Expenses</t>
        </is>
      </c>
      <c r="D3142" s="3" t="inlineStr">
        <is>
          <t>2006/100</t>
        </is>
      </c>
      <c r="E3142" s="3" t="inlineStr">
        <is>
          <t>COS - Endulini P and G</t>
        </is>
      </c>
      <c r="F3142" s="3" t="n">
        <v>1250.39</v>
      </c>
      <c r="G3142" s="3" t="n">
        <v>25795.54</v>
      </c>
    </row>
    <row r="3143">
      <c r="A3143" s="3" t="inlineStr">
        <is>
          <t>Cape Projects Construction (Pty) Ltd</t>
        </is>
      </c>
      <c r="B3143" s="4" t="n">
        <v>45046</v>
      </c>
      <c r="C3143" s="3" t="inlineStr">
        <is>
          <t>Expenses</t>
        </is>
      </c>
      <c r="D3143" s="3" t="inlineStr">
        <is>
          <t>2006/200</t>
        </is>
      </c>
      <c r="E3143" s="3" t="inlineStr">
        <is>
          <t>COS - Insurance</t>
        </is>
      </c>
      <c r="F3143" s="3" t="n">
        <v>0</v>
      </c>
      <c r="G3143" s="3" t="n">
        <v>2719.43</v>
      </c>
    </row>
    <row r="3144">
      <c r="A3144" s="3" t="inlineStr">
        <is>
          <t>Cape Projects Construction (Pty) Ltd</t>
        </is>
      </c>
      <c r="B3144" s="4" t="n">
        <v>45046</v>
      </c>
      <c r="C3144" s="3" t="inlineStr">
        <is>
          <t>Expenses</t>
        </is>
      </c>
      <c r="D3144" s="3" t="inlineStr">
        <is>
          <t>2006/800</t>
        </is>
      </c>
      <c r="E3144" s="3" t="inlineStr">
        <is>
          <t>COS - Endulini - Telephone &amp; Internet</t>
        </is>
      </c>
      <c r="F3144" s="3" t="n">
        <v>0</v>
      </c>
      <c r="G3144" s="3" t="n">
        <v>760.87</v>
      </c>
    </row>
    <row r="3145">
      <c r="A3145" s="3" t="inlineStr">
        <is>
          <t>Cape Projects Construction (Pty) Ltd</t>
        </is>
      </c>
      <c r="B3145" s="4" t="n">
        <v>45046</v>
      </c>
      <c r="C3145" s="3" t="inlineStr">
        <is>
          <t>Expenses</t>
        </is>
      </c>
      <c r="D3145" s="3" t="inlineStr">
        <is>
          <t>2011/500</t>
        </is>
      </c>
      <c r="E3145" s="3" t="inlineStr">
        <is>
          <t>COS - Heron Fields - Construction</t>
        </is>
      </c>
      <c r="F3145" s="3" t="n">
        <v>84649.57000000001</v>
      </c>
      <c r="G3145" s="3" t="n">
        <v>861298.98</v>
      </c>
    </row>
    <row r="3146">
      <c r="A3146" s="3" t="inlineStr">
        <is>
          <t>Cape Projects Construction (Pty) Ltd</t>
        </is>
      </c>
      <c r="B3146" s="4" t="n">
        <v>45046</v>
      </c>
      <c r="C3146" s="3" t="inlineStr">
        <is>
          <t>Expenses</t>
        </is>
      </c>
      <c r="D3146" s="3" t="inlineStr">
        <is>
          <t>2011/600</t>
        </is>
      </c>
      <c r="E3146" s="3" t="inlineStr">
        <is>
          <t>COS - Heron Fields - P &amp; G</t>
        </is>
      </c>
      <c r="F3146" s="3" t="n">
        <v>53004.4</v>
      </c>
      <c r="G3146" s="3" t="n">
        <v>112162.03</v>
      </c>
    </row>
    <row r="3147">
      <c r="A3147" s="3" t="inlineStr">
        <is>
          <t>Cape Projects Construction (Pty) Ltd</t>
        </is>
      </c>
      <c r="B3147" s="4" t="n">
        <v>45046</v>
      </c>
      <c r="C3147" s="3" t="inlineStr">
        <is>
          <t>Expenses</t>
        </is>
      </c>
      <c r="D3147" s="3" t="inlineStr">
        <is>
          <t>2011/700</t>
        </is>
      </c>
      <c r="E3147" s="3" t="inlineStr">
        <is>
          <t>COS - Heron Fields - Health &amp; Safety</t>
        </is>
      </c>
      <c r="F3147" s="3" t="n">
        <v>694.78</v>
      </c>
      <c r="G3147" s="3" t="n">
        <v>694.78</v>
      </c>
    </row>
    <row r="3148">
      <c r="A3148" s="3" t="inlineStr">
        <is>
          <t>Cape Projects Construction (Pty) Ltd</t>
        </is>
      </c>
      <c r="B3148" s="4" t="n">
        <v>45046</v>
      </c>
      <c r="C3148" s="3" t="inlineStr">
        <is>
          <t>Expenses</t>
        </is>
      </c>
      <c r="D3148" s="3" t="inlineStr">
        <is>
          <t>2011/900</t>
        </is>
      </c>
      <c r="E3148" s="3" t="inlineStr">
        <is>
          <t>COS - Heron - Internet</t>
        </is>
      </c>
      <c r="F3148" s="3" t="n">
        <v>1189.57</v>
      </c>
      <c r="G3148" s="3" t="n">
        <v>2379.14</v>
      </c>
    </row>
    <row r="3149">
      <c r="A3149" s="3" t="inlineStr">
        <is>
          <t>Cape Projects Construction (Pty) Ltd</t>
        </is>
      </c>
      <c r="B3149" s="4" t="n">
        <v>45046</v>
      </c>
      <c r="C3149" s="3" t="inlineStr">
        <is>
          <t>Expenses</t>
        </is>
      </c>
      <c r="D3149" s="3" t="inlineStr">
        <is>
          <t>2012/001</t>
        </is>
      </c>
      <c r="E3149" s="3" t="inlineStr">
        <is>
          <t>COS - Heron View - Printing &amp; Stationary</t>
        </is>
      </c>
      <c r="F3149" s="3" t="n">
        <v>78.26000000000001</v>
      </c>
      <c r="G3149" s="3" t="n">
        <v>78.26000000000001</v>
      </c>
    </row>
    <row r="3150">
      <c r="A3150" s="3" t="inlineStr">
        <is>
          <t>Cape Projects Construction (Pty) Ltd</t>
        </is>
      </c>
      <c r="B3150" s="4" t="n">
        <v>45046</v>
      </c>
      <c r="C3150" s="3" t="inlineStr">
        <is>
          <t>Expenses</t>
        </is>
      </c>
      <c r="D3150" s="3" t="inlineStr">
        <is>
          <t>2012/002</t>
        </is>
      </c>
      <c r="E3150" s="3" t="inlineStr">
        <is>
          <t>COS - Heron View - Construction</t>
        </is>
      </c>
      <c r="F3150" s="3" t="n">
        <v>3193925.31</v>
      </c>
      <c r="G3150" s="3" t="n">
        <v>5676980.83</v>
      </c>
    </row>
    <row r="3151">
      <c r="A3151" s="3" t="inlineStr">
        <is>
          <t>Cape Projects Construction (Pty) Ltd</t>
        </is>
      </c>
      <c r="B3151" s="4" t="n">
        <v>45046</v>
      </c>
      <c r="C3151" s="3" t="inlineStr">
        <is>
          <t>Expenses</t>
        </is>
      </c>
      <c r="D3151" s="3" t="inlineStr">
        <is>
          <t>2012/003</t>
        </is>
      </c>
      <c r="E3151" s="3" t="inlineStr">
        <is>
          <t>COS - Heron View - P&amp;G</t>
        </is>
      </c>
      <c r="F3151" s="3" t="n">
        <v>111322.42</v>
      </c>
      <c r="G3151" s="3" t="n">
        <v>374545.6</v>
      </c>
    </row>
    <row r="3152">
      <c r="A3152" s="3" t="inlineStr">
        <is>
          <t>Cape Projects Construction (Pty) Ltd</t>
        </is>
      </c>
      <c r="B3152" s="4" t="n">
        <v>45046</v>
      </c>
      <c r="C3152" s="3" t="inlineStr">
        <is>
          <t>Expenses</t>
        </is>
      </c>
      <c r="D3152" s="3" t="inlineStr">
        <is>
          <t>2013/000</t>
        </is>
      </c>
      <c r="E3152" s="3" t="inlineStr">
        <is>
          <t>COS - Bakhoven</t>
        </is>
      </c>
      <c r="F3152" s="3" t="n">
        <v>0</v>
      </c>
      <c r="G3152" s="3" t="n">
        <v>17292.48</v>
      </c>
    </row>
    <row r="3153">
      <c r="A3153" s="3" t="inlineStr">
        <is>
          <t>Cape Projects Construction (Pty) Ltd</t>
        </is>
      </c>
      <c r="B3153" s="4" t="n">
        <v>45046</v>
      </c>
      <c r="C3153" s="3" t="inlineStr">
        <is>
          <t>Revenue</t>
        </is>
      </c>
      <c r="D3153" s="3" t="inlineStr">
        <is>
          <t>2750/000</t>
        </is>
      </c>
      <c r="E3153" s="3" t="inlineStr">
        <is>
          <t>Interest Received - FNB</t>
        </is>
      </c>
      <c r="F3153" s="3" t="n">
        <v>-175.49</v>
      </c>
      <c r="G3153" s="3" t="n">
        <v>-320.19</v>
      </c>
    </row>
    <row r="3154">
      <c r="A3154" s="3" t="inlineStr">
        <is>
          <t>Cape Projects Construction (Pty) Ltd</t>
        </is>
      </c>
      <c r="B3154" s="4" t="n">
        <v>45046</v>
      </c>
      <c r="C3154" s="3" t="inlineStr">
        <is>
          <t>Revenue</t>
        </is>
      </c>
      <c r="D3154" s="3" t="inlineStr">
        <is>
          <t>2751/001</t>
        </is>
      </c>
      <c r="E3154" s="3" t="inlineStr">
        <is>
          <t>Interest received - Momentum</t>
        </is>
      </c>
      <c r="F3154" s="3" t="n">
        <v>-3.58</v>
      </c>
      <c r="G3154" s="3" t="n">
        <v>-10.39</v>
      </c>
    </row>
    <row r="3155">
      <c r="A3155" s="3" t="inlineStr">
        <is>
          <t>Heron Fields (Pty) Ltd</t>
        </is>
      </c>
      <c r="B3155" s="4" t="n">
        <v>45046</v>
      </c>
      <c r="C3155" s="3" t="inlineStr">
        <is>
          <t>Revenue</t>
        </is>
      </c>
      <c r="D3155" s="3" t="inlineStr">
        <is>
          <t>2755/001</t>
        </is>
      </c>
      <c r="E3155" s="3" t="inlineStr">
        <is>
          <t>Interest Received - Momentum</t>
        </is>
      </c>
      <c r="F3155" s="3" t="n">
        <v>-106209.22</v>
      </c>
      <c r="G3155" s="3" t="n">
        <v>-330516.09</v>
      </c>
    </row>
    <row r="3156">
      <c r="A3156" s="3" t="inlineStr">
        <is>
          <t>Heron Fields (Pty) Ltd</t>
        </is>
      </c>
      <c r="B3156" s="4" t="n">
        <v>45046</v>
      </c>
      <c r="C3156" s="3" t="inlineStr">
        <is>
          <t>Expenses</t>
        </is>
      </c>
      <c r="D3156" s="3" t="inlineStr">
        <is>
          <t>3050/000</t>
        </is>
      </c>
      <c r="E3156" s="3" t="inlineStr">
        <is>
          <t>Advertising _AND_ Promotions</t>
        </is>
      </c>
      <c r="F3156" s="3" t="n">
        <v>23300</v>
      </c>
      <c r="G3156" s="3" t="n">
        <v>45854.76</v>
      </c>
    </row>
    <row r="3157">
      <c r="A3157" s="3" t="inlineStr">
        <is>
          <t>Heron View (Pty) Ltd</t>
        </is>
      </c>
      <c r="B3157" s="4" t="n">
        <v>45046</v>
      </c>
      <c r="C3157" s="3" t="inlineStr">
        <is>
          <t>Expenses</t>
        </is>
      </c>
      <c r="D3157" s="3" t="inlineStr">
        <is>
          <t>3050/000</t>
        </is>
      </c>
      <c r="E3157" s="3" t="inlineStr">
        <is>
          <t>Advertising _AND_ Promotions</t>
        </is>
      </c>
      <c r="F3157" s="3" t="n">
        <v>1565.22</v>
      </c>
      <c r="G3157" s="3" t="n">
        <v>26540.22</v>
      </c>
    </row>
    <row r="3158">
      <c r="A3158" s="3" t="inlineStr">
        <is>
          <t>Heron Fields (Pty) Ltd</t>
        </is>
      </c>
      <c r="B3158" s="4" t="n">
        <v>45046</v>
      </c>
      <c r="C3158" s="3" t="inlineStr">
        <is>
          <t>Expenses</t>
        </is>
      </c>
      <c r="D3158" s="3" t="inlineStr">
        <is>
          <t>3050/100</t>
        </is>
      </c>
      <c r="E3158" s="3" t="inlineStr">
        <is>
          <t>Advertising - Property24</t>
        </is>
      </c>
      <c r="F3158" s="3" t="n">
        <v>24960</v>
      </c>
      <c r="G3158" s="3" t="n">
        <v>24960</v>
      </c>
    </row>
    <row r="3159">
      <c r="A3159" s="3" t="inlineStr">
        <is>
          <t>Cape Projects Construction (Pty) Ltd</t>
        </is>
      </c>
      <c r="B3159" s="4" t="n">
        <v>45046</v>
      </c>
      <c r="C3159" s="3" t="inlineStr">
        <is>
          <t>Expenses</t>
        </is>
      </c>
      <c r="D3159" s="3" t="inlineStr">
        <is>
          <t>3050/150</t>
        </is>
      </c>
      <c r="E3159" s="3" t="inlineStr">
        <is>
          <t>Advertising - Design Fees</t>
        </is>
      </c>
      <c r="F3159" s="3" t="n">
        <v>0</v>
      </c>
      <c r="G3159" s="3" t="n">
        <v>295</v>
      </c>
    </row>
    <row r="3160">
      <c r="A3160" s="3" t="inlineStr">
        <is>
          <t>Cape Projects Construction (Pty) Ltd</t>
        </is>
      </c>
      <c r="B3160" s="4" t="n">
        <v>45046</v>
      </c>
      <c r="C3160" s="3" t="inlineStr">
        <is>
          <t>Expenses</t>
        </is>
      </c>
      <c r="D3160" s="3" t="inlineStr">
        <is>
          <t>3050/450</t>
        </is>
      </c>
      <c r="E3160" s="3" t="inlineStr">
        <is>
          <t>Advertising - Other</t>
        </is>
      </c>
      <c r="F3160" s="3" t="n">
        <v>0</v>
      </c>
      <c r="G3160" s="3" t="n">
        <v>712</v>
      </c>
    </row>
    <row r="3161">
      <c r="A3161" s="3" t="inlineStr">
        <is>
          <t>Cape Projects Construction (Pty) Ltd</t>
        </is>
      </c>
      <c r="B3161" s="4" t="n">
        <v>45046</v>
      </c>
      <c r="C3161" s="3" t="inlineStr">
        <is>
          <t>Expenses</t>
        </is>
      </c>
      <c r="D3161" s="3" t="inlineStr">
        <is>
          <t>3200/000</t>
        </is>
      </c>
      <c r="E3161" s="3" t="inlineStr">
        <is>
          <t>Bank Charges</t>
        </is>
      </c>
      <c r="F3161" s="3" t="n">
        <v>1777.27</v>
      </c>
      <c r="G3161" s="3" t="n">
        <v>3708.73</v>
      </c>
    </row>
    <row r="3162">
      <c r="A3162" s="3" t="inlineStr">
        <is>
          <t>Heron Fields (Pty) Ltd</t>
        </is>
      </c>
      <c r="B3162" s="4" t="n">
        <v>45046</v>
      </c>
      <c r="C3162" s="3" t="inlineStr">
        <is>
          <t>Expenses</t>
        </is>
      </c>
      <c r="D3162" s="3" t="inlineStr">
        <is>
          <t>3200/000</t>
        </is>
      </c>
      <c r="E3162" s="3" t="inlineStr">
        <is>
          <t>Bank Charges</t>
        </is>
      </c>
      <c r="F3162" s="3" t="n">
        <v>374.2</v>
      </c>
      <c r="G3162" s="3" t="n">
        <v>957.1799999999999</v>
      </c>
    </row>
    <row r="3163">
      <c r="A3163" s="3" t="inlineStr">
        <is>
          <t>Cape Projects Construction (Pty) Ltd</t>
        </is>
      </c>
      <c r="B3163" s="4" t="n">
        <v>45046</v>
      </c>
      <c r="C3163" s="3" t="inlineStr">
        <is>
          <t>Expenses</t>
        </is>
      </c>
      <c r="D3163" s="3" t="inlineStr">
        <is>
          <t>3250/000</t>
        </is>
      </c>
      <c r="E3163" s="3" t="inlineStr">
        <is>
          <t>Cleaning</t>
        </is>
      </c>
      <c r="F3163" s="3" t="n">
        <v>0</v>
      </c>
      <c r="G3163" s="3" t="n">
        <v>355.4</v>
      </c>
    </row>
    <row r="3164">
      <c r="A3164" s="3" t="inlineStr">
        <is>
          <t>Cape Projects Construction (Pty) Ltd</t>
        </is>
      </c>
      <c r="B3164" s="4" t="n">
        <v>45046</v>
      </c>
      <c r="C3164" s="3" t="inlineStr">
        <is>
          <t>Expenses</t>
        </is>
      </c>
      <c r="D3164" s="3" t="inlineStr">
        <is>
          <t>3300/000</t>
        </is>
      </c>
      <c r="E3164" s="3" t="inlineStr">
        <is>
          <t>Computer Expenses</t>
        </is>
      </c>
      <c r="F3164" s="3" t="n">
        <v>0</v>
      </c>
      <c r="G3164" s="3" t="n">
        <v>1604.52</v>
      </c>
    </row>
    <row r="3165">
      <c r="A3165" s="3" t="inlineStr">
        <is>
          <t>Cape Projects Construction (Pty) Ltd</t>
        </is>
      </c>
      <c r="B3165" s="4" t="n">
        <v>45046</v>
      </c>
      <c r="C3165" s="3" t="inlineStr">
        <is>
          <t>Expenses</t>
        </is>
      </c>
      <c r="D3165" s="3" t="inlineStr">
        <is>
          <t>3300/100</t>
        </is>
      </c>
      <c r="E3165" s="3" t="inlineStr">
        <is>
          <t>Computer Exp - IT, Internet/Hosting Fee</t>
        </is>
      </c>
      <c r="F3165" s="3" t="n">
        <v>2532</v>
      </c>
      <c r="G3165" s="3" t="n">
        <v>7709</v>
      </c>
    </row>
    <row r="3166">
      <c r="A3166" s="3" t="inlineStr">
        <is>
          <t>Heron Fields (Pty) Ltd</t>
        </is>
      </c>
      <c r="B3166" s="4" t="n">
        <v>45046</v>
      </c>
      <c r="C3166" s="3" t="inlineStr">
        <is>
          <t>Expenses</t>
        </is>
      </c>
      <c r="D3166" s="3" t="inlineStr">
        <is>
          <t>3350/100</t>
        </is>
      </c>
      <c r="E3166" s="3" t="inlineStr">
        <is>
          <t>Consulting Fees - Admin and Finance</t>
        </is>
      </c>
      <c r="F3166" s="3" t="n">
        <v>98308</v>
      </c>
      <c r="G3166" s="3" t="n">
        <v>207526.57</v>
      </c>
    </row>
    <row r="3167">
      <c r="A3167" s="3" t="inlineStr">
        <is>
          <t>Cape Projects Construction (Pty) Ltd</t>
        </is>
      </c>
      <c r="B3167" s="4" t="n">
        <v>45046</v>
      </c>
      <c r="C3167" s="3" t="inlineStr">
        <is>
          <t>Expenses</t>
        </is>
      </c>
      <c r="D3167" s="3" t="inlineStr">
        <is>
          <t>3350/300</t>
        </is>
      </c>
      <c r="E3167" s="3" t="inlineStr">
        <is>
          <t>Consulting Fees - Admin and Finance</t>
        </is>
      </c>
      <c r="F3167" s="3" t="n">
        <v>110452</v>
      </c>
      <c r="G3167" s="3" t="n">
        <v>254468.7</v>
      </c>
    </row>
    <row r="3168">
      <c r="A3168" s="3" t="inlineStr">
        <is>
          <t>Heron Fields (Pty) Ltd</t>
        </is>
      </c>
      <c r="B3168" s="4" t="n">
        <v>45046</v>
      </c>
      <c r="C3168" s="3" t="inlineStr">
        <is>
          <t>Expenses</t>
        </is>
      </c>
      <c r="D3168" s="3" t="inlineStr">
        <is>
          <t>3351/000</t>
        </is>
      </c>
      <c r="E3168" s="3" t="inlineStr">
        <is>
          <t>Consulting fees - Trustee</t>
        </is>
      </c>
      <c r="F3168" s="3" t="n">
        <v>4000</v>
      </c>
      <c r="G3168" s="3" t="n">
        <v>4000</v>
      </c>
    </row>
    <row r="3169">
      <c r="A3169" s="3" t="inlineStr">
        <is>
          <t>Cape Projects Construction (Pty) Ltd</t>
        </is>
      </c>
      <c r="B3169" s="4" t="n">
        <v>45046</v>
      </c>
      <c r="C3169" s="3" t="inlineStr">
        <is>
          <t>Expenses</t>
        </is>
      </c>
      <c r="D3169" s="3" t="inlineStr">
        <is>
          <t>3450/001</t>
        </is>
      </c>
      <c r="E3169" s="3" t="inlineStr">
        <is>
          <t>Depreciation - Computer Equipment</t>
        </is>
      </c>
      <c r="F3169" s="3" t="n">
        <v>3323.88</v>
      </c>
      <c r="G3169" s="3" t="n">
        <v>6647.79</v>
      </c>
    </row>
    <row r="3170">
      <c r="A3170" s="3" t="inlineStr">
        <is>
          <t>Cape Projects Construction (Pty) Ltd</t>
        </is>
      </c>
      <c r="B3170" s="4" t="n">
        <v>45046</v>
      </c>
      <c r="C3170" s="3" t="inlineStr">
        <is>
          <t>Expenses</t>
        </is>
      </c>
      <c r="D3170" s="3" t="inlineStr">
        <is>
          <t>3450/002</t>
        </is>
      </c>
      <c r="E3170" s="3" t="inlineStr">
        <is>
          <t>Depreciation - Generator Fixed Asset</t>
        </is>
      </c>
      <c r="F3170" s="3" t="n">
        <v>193.34</v>
      </c>
      <c r="G3170" s="3" t="n">
        <v>386.67</v>
      </c>
    </row>
    <row r="3171">
      <c r="A3171" s="3" t="inlineStr">
        <is>
          <t>Cape Projects Construction (Pty) Ltd</t>
        </is>
      </c>
      <c r="B3171" s="4" t="n">
        <v>45046</v>
      </c>
      <c r="C3171" s="3" t="inlineStr">
        <is>
          <t>Expenses</t>
        </is>
      </c>
      <c r="D3171" s="3" t="inlineStr">
        <is>
          <t>3450/030</t>
        </is>
      </c>
      <c r="E3171" s="3" t="inlineStr">
        <is>
          <t>Depreciation - Furniture and Fittings</t>
        </is>
      </c>
      <c r="F3171" s="3" t="n">
        <v>547.67</v>
      </c>
      <c r="G3171" s="3" t="n">
        <v>1095.35</v>
      </c>
    </row>
    <row r="3172">
      <c r="A3172" s="3" t="inlineStr">
        <is>
          <t>Heron Fields (Pty) Ltd</t>
        </is>
      </c>
      <c r="B3172" s="4" t="n">
        <v>45046</v>
      </c>
      <c r="C3172" s="3" t="inlineStr">
        <is>
          <t>Expenses</t>
        </is>
      </c>
      <c r="D3172" s="3" t="inlineStr">
        <is>
          <t>3650/000</t>
        </is>
      </c>
      <c r="E3172" s="3" t="inlineStr">
        <is>
          <t>CoCT - Electricity</t>
        </is>
      </c>
      <c r="F3172" s="3" t="n">
        <v>-2477.51</v>
      </c>
      <c r="G3172" s="3" t="n">
        <v>8738.620000000001</v>
      </c>
    </row>
    <row r="3173">
      <c r="A3173" s="3" t="inlineStr">
        <is>
          <t>Cape Projects Construction (Pty) Ltd</t>
        </is>
      </c>
      <c r="B3173" s="4" t="n">
        <v>45046</v>
      </c>
      <c r="C3173" s="3" t="inlineStr">
        <is>
          <t>Expenses</t>
        </is>
      </c>
      <c r="D3173" s="3" t="inlineStr">
        <is>
          <t>3650/000</t>
        </is>
      </c>
      <c r="E3173" s="3" t="inlineStr">
        <is>
          <t>Electricity _AND_ Water</t>
        </is>
      </c>
      <c r="F3173" s="3" t="n">
        <v>6676.08</v>
      </c>
      <c r="G3173" s="3" t="n">
        <v>14104.15</v>
      </c>
    </row>
    <row r="3174">
      <c r="A3174" s="3" t="inlineStr">
        <is>
          <t>Heron Fields (Pty) Ltd</t>
        </is>
      </c>
      <c r="B3174" s="4" t="n">
        <v>45046</v>
      </c>
      <c r="C3174" s="3" t="inlineStr">
        <is>
          <t>Expenses</t>
        </is>
      </c>
      <c r="D3174" s="3" t="inlineStr">
        <is>
          <t>3660/000</t>
        </is>
      </c>
      <c r="E3174" s="3" t="inlineStr">
        <is>
          <t>CoCT - Water</t>
        </is>
      </c>
      <c r="F3174" s="3" t="n">
        <v>-4301.84</v>
      </c>
      <c r="G3174" s="3" t="n">
        <v>35047.19</v>
      </c>
    </row>
    <row r="3175">
      <c r="A3175" s="3" t="inlineStr">
        <is>
          <t>Heron Fields (Pty) Ltd</t>
        </is>
      </c>
      <c r="B3175" s="4" t="n">
        <v>45046</v>
      </c>
      <c r="C3175" s="3" t="inlineStr">
        <is>
          <t>Expenses</t>
        </is>
      </c>
      <c r="D3175" s="3" t="inlineStr">
        <is>
          <t>3670/000</t>
        </is>
      </c>
      <c r="E3175" s="3" t="inlineStr">
        <is>
          <t>CoCT - Refuse</t>
        </is>
      </c>
      <c r="F3175" s="3" t="n">
        <v>0</v>
      </c>
      <c r="G3175" s="3" t="n">
        <v>10690.2</v>
      </c>
    </row>
    <row r="3176">
      <c r="A3176" s="3" t="inlineStr">
        <is>
          <t>Heron Fields (Pty) Ltd</t>
        </is>
      </c>
      <c r="B3176" s="4" t="n">
        <v>45046</v>
      </c>
      <c r="C3176" s="3" t="inlineStr">
        <is>
          <t>Expenses</t>
        </is>
      </c>
      <c r="D3176" s="3" t="inlineStr">
        <is>
          <t>3800/000</t>
        </is>
      </c>
      <c r="E3176" s="3" t="inlineStr">
        <is>
          <t>General Expenses</t>
        </is>
      </c>
      <c r="F3176" s="3" t="n">
        <v>0</v>
      </c>
      <c r="G3176" s="3" t="n">
        <v>199.99</v>
      </c>
    </row>
    <row r="3177">
      <c r="A3177" s="3" t="inlineStr">
        <is>
          <t>Heron Fields (Pty) Ltd</t>
        </is>
      </c>
      <c r="B3177" s="4" t="n">
        <v>45046</v>
      </c>
      <c r="C3177" s="3" t="inlineStr">
        <is>
          <t>Expenses</t>
        </is>
      </c>
      <c r="D3177" s="3" t="inlineStr">
        <is>
          <t>3850/000</t>
        </is>
      </c>
      <c r="E3177" s="3" t="inlineStr">
        <is>
          <t>Insurance</t>
        </is>
      </c>
      <c r="F3177" s="3" t="n">
        <v>7350.33</v>
      </c>
      <c r="G3177" s="3" t="n">
        <v>7350.33</v>
      </c>
    </row>
    <row r="3178">
      <c r="A3178" s="3" t="inlineStr">
        <is>
          <t>Cape Projects Construction (Pty) Ltd</t>
        </is>
      </c>
      <c r="B3178" s="4" t="n">
        <v>45046</v>
      </c>
      <c r="C3178" s="3" t="inlineStr">
        <is>
          <t>Expenses</t>
        </is>
      </c>
      <c r="D3178" s="3" t="inlineStr">
        <is>
          <t>3850/001</t>
        </is>
      </c>
      <c r="E3178" s="3" t="inlineStr">
        <is>
          <t>Insurance - Santam</t>
        </is>
      </c>
      <c r="F3178" s="3" t="n">
        <v>4275.67</v>
      </c>
      <c r="G3178" s="3" t="n">
        <v>5734.41</v>
      </c>
    </row>
    <row r="3179">
      <c r="A3179" s="3" t="inlineStr">
        <is>
          <t>Heron Fields (Pty) Ltd</t>
        </is>
      </c>
      <c r="B3179" s="4" t="n">
        <v>45046</v>
      </c>
      <c r="C3179" s="3" t="inlineStr">
        <is>
          <t>Expenses</t>
        </is>
      </c>
      <c r="D3179" s="3" t="inlineStr">
        <is>
          <t>3900/000</t>
        </is>
      </c>
      <c r="E3179" s="3" t="inlineStr">
        <is>
          <t>Interest Paid</t>
        </is>
      </c>
      <c r="F3179" s="3" t="n">
        <v>-715.47</v>
      </c>
      <c r="G3179" s="3" t="n">
        <v>-533.8</v>
      </c>
    </row>
    <row r="3180">
      <c r="A3180" s="3" t="inlineStr">
        <is>
          <t>Heron Fields (Pty) Ltd</t>
        </is>
      </c>
      <c r="B3180" s="4" t="n">
        <v>45046</v>
      </c>
      <c r="C3180" s="3" t="inlineStr">
        <is>
          <t>Expenses</t>
        </is>
      </c>
      <c r="D3180" s="3" t="inlineStr">
        <is>
          <t>3900/111</t>
        </is>
      </c>
      <c r="E3180" s="3" t="inlineStr">
        <is>
          <t>Interest Paid - Investors @ 6.25%</t>
        </is>
      </c>
      <c r="F3180" s="3" t="n">
        <v>62219.17</v>
      </c>
      <c r="G3180" s="3" t="n">
        <v>125422.63</v>
      </c>
    </row>
    <row r="3181">
      <c r="A3181" s="3" t="inlineStr">
        <is>
          <t>Heron Fields (Pty) Ltd</t>
        </is>
      </c>
      <c r="B3181" s="4" t="n">
        <v>45046</v>
      </c>
      <c r="C3181" s="3" t="inlineStr">
        <is>
          <t>Expenses</t>
        </is>
      </c>
      <c r="D3181" s="3" t="inlineStr">
        <is>
          <t>3900/115</t>
        </is>
      </c>
      <c r="E3181" s="3" t="inlineStr">
        <is>
          <t>Interest Paid - Investors @ 6.5%</t>
        </is>
      </c>
      <c r="F3181" s="3" t="n">
        <v>37361.65</v>
      </c>
      <c r="G3181" s="3" t="n">
        <v>40923.29</v>
      </c>
    </row>
    <row r="3182">
      <c r="A3182" s="3" t="inlineStr">
        <is>
          <t>Heron Fields (Pty) Ltd</t>
        </is>
      </c>
      <c r="B3182" s="4" t="n">
        <v>45046</v>
      </c>
      <c r="C3182" s="3" t="inlineStr">
        <is>
          <t>Expenses</t>
        </is>
      </c>
      <c r="D3182" s="3" t="inlineStr">
        <is>
          <t>3900/117</t>
        </is>
      </c>
      <c r="E3182" s="3" t="inlineStr">
        <is>
          <t>Interest Paid - Investors @ 6.75%</t>
        </is>
      </c>
      <c r="F3182" s="3" t="n">
        <v>22913.02</v>
      </c>
      <c r="G3182" s="3" t="n">
        <v>22913.02</v>
      </c>
    </row>
    <row r="3183">
      <c r="A3183" s="3" t="inlineStr">
        <is>
          <t>Heron Fields (Pty) Ltd</t>
        </is>
      </c>
      <c r="B3183" s="4" t="n">
        <v>45046</v>
      </c>
      <c r="C3183" s="3" t="inlineStr">
        <is>
          <t>Expenses</t>
        </is>
      </c>
      <c r="D3183" s="3" t="inlineStr">
        <is>
          <t>3900/120</t>
        </is>
      </c>
      <c r="E3183" s="3" t="inlineStr">
        <is>
          <t>Interest Paid - Investors @ 7%</t>
        </is>
      </c>
      <c r="F3183" s="3" t="n">
        <v>11027.39</v>
      </c>
      <c r="G3183" s="3" t="n">
        <v>11027.39</v>
      </c>
    </row>
    <row r="3184">
      <c r="A3184" s="3" t="inlineStr">
        <is>
          <t>Heron Fields (Pty) Ltd</t>
        </is>
      </c>
      <c r="B3184" s="4" t="n">
        <v>45046</v>
      </c>
      <c r="C3184" s="3" t="inlineStr">
        <is>
          <t>Expenses</t>
        </is>
      </c>
      <c r="D3184" s="3" t="inlineStr">
        <is>
          <t>3900/190</t>
        </is>
      </c>
      <c r="E3184" s="3" t="inlineStr">
        <is>
          <t>Interest Paid - Investors @ 14%</t>
        </is>
      </c>
      <c r="F3184" s="3" t="n">
        <v>0</v>
      </c>
      <c r="G3184" s="3" t="n">
        <v>40376.71</v>
      </c>
    </row>
    <row r="3185">
      <c r="A3185" s="3" t="inlineStr">
        <is>
          <t>Heron Fields (Pty) Ltd</t>
        </is>
      </c>
      <c r="B3185" s="4" t="n">
        <v>45046</v>
      </c>
      <c r="C3185" s="3" t="inlineStr">
        <is>
          <t>Expenses</t>
        </is>
      </c>
      <c r="D3185" s="3" t="inlineStr">
        <is>
          <t>3900/200</t>
        </is>
      </c>
      <c r="E3185" s="3" t="inlineStr">
        <is>
          <t>Interest Paid - Investors @ 15%</t>
        </is>
      </c>
      <c r="F3185" s="3" t="n">
        <v>55479.45</v>
      </c>
      <c r="G3185" s="3" t="n">
        <v>188815.06</v>
      </c>
    </row>
    <row r="3186">
      <c r="A3186" s="3" t="inlineStr">
        <is>
          <t>Heron Fields (Pty) Ltd</t>
        </is>
      </c>
      <c r="B3186" s="4" t="n">
        <v>45046</v>
      </c>
      <c r="C3186" s="3" t="inlineStr">
        <is>
          <t>Expenses</t>
        </is>
      </c>
      <c r="D3186" s="3" t="inlineStr">
        <is>
          <t>3900/210</t>
        </is>
      </c>
      <c r="E3186" s="3" t="inlineStr">
        <is>
          <t>Interest Paid - Investors @ 16%</t>
        </is>
      </c>
      <c r="F3186" s="3" t="n">
        <v>14451.92</v>
      </c>
      <c r="G3186" s="3" t="n">
        <v>14451.92</v>
      </c>
    </row>
    <row r="3187">
      <c r="A3187" s="3" t="inlineStr">
        <is>
          <t>Heron Fields (Pty) Ltd</t>
        </is>
      </c>
      <c r="B3187" s="4" t="n">
        <v>45046</v>
      </c>
      <c r="C3187" s="3" t="inlineStr">
        <is>
          <t>Expenses</t>
        </is>
      </c>
      <c r="D3187" s="3" t="inlineStr">
        <is>
          <t>3900/230</t>
        </is>
      </c>
      <c r="E3187" s="3" t="inlineStr">
        <is>
          <t>Interest Paid - Investors @ 18%</t>
        </is>
      </c>
      <c r="F3187" s="3" t="n">
        <v>1454819.17</v>
      </c>
      <c r="G3187" s="3" t="n">
        <v>2570422.47</v>
      </c>
    </row>
    <row r="3188">
      <c r="A3188" s="3" t="inlineStr">
        <is>
          <t>Cape Projects Construction (Pty) Ltd</t>
        </is>
      </c>
      <c r="B3188" s="4" t="n">
        <v>45046</v>
      </c>
      <c r="C3188" s="3" t="inlineStr">
        <is>
          <t>Expenses</t>
        </is>
      </c>
      <c r="D3188" s="3" t="inlineStr">
        <is>
          <t>4000/000</t>
        </is>
      </c>
      <c r="E3188" s="3" t="inlineStr">
        <is>
          <t>Legal Fees</t>
        </is>
      </c>
      <c r="F3188" s="3" t="n">
        <v>5202.88</v>
      </c>
      <c r="G3188" s="3" t="n">
        <v>5202.88</v>
      </c>
    </row>
    <row r="3189">
      <c r="A3189" s="3" t="inlineStr">
        <is>
          <t>Heron Fields (Pty) Ltd</t>
        </is>
      </c>
      <c r="B3189" s="4" t="n">
        <v>45046</v>
      </c>
      <c r="C3189" s="3" t="inlineStr">
        <is>
          <t>Expenses</t>
        </is>
      </c>
      <c r="D3189" s="3" t="inlineStr">
        <is>
          <t>4100/001</t>
        </is>
      </c>
      <c r="E3189" s="3" t="inlineStr">
        <is>
          <t>Momentum Admin Fee</t>
        </is>
      </c>
      <c r="F3189" s="3" t="n">
        <v>8404.200000000001</v>
      </c>
      <c r="G3189" s="3" t="n">
        <v>13574.15</v>
      </c>
    </row>
    <row r="3190">
      <c r="A3190" s="3" t="inlineStr">
        <is>
          <t>Cape Projects Construction (Pty) Ltd</t>
        </is>
      </c>
      <c r="B3190" s="4" t="n">
        <v>45046</v>
      </c>
      <c r="C3190" s="3" t="inlineStr">
        <is>
          <t>Expenses</t>
        </is>
      </c>
      <c r="D3190" s="3" t="inlineStr">
        <is>
          <t>4150/000</t>
        </is>
      </c>
      <c r="E3190" s="3" t="inlineStr">
        <is>
          <t>Motor Vehicle Expenses</t>
        </is>
      </c>
      <c r="F3190" s="3" t="n">
        <v>362</v>
      </c>
      <c r="G3190" s="3" t="n">
        <v>362</v>
      </c>
    </row>
    <row r="3191">
      <c r="A3191" s="3" t="inlineStr">
        <is>
          <t>Cape Projects Construction (Pty) Ltd</t>
        </is>
      </c>
      <c r="B3191" s="4" t="n">
        <v>45046</v>
      </c>
      <c r="C3191" s="3" t="inlineStr">
        <is>
          <t>Expenses</t>
        </is>
      </c>
      <c r="D3191" s="3" t="inlineStr">
        <is>
          <t>4150/010</t>
        </is>
      </c>
      <c r="E3191" s="3" t="inlineStr">
        <is>
          <t>Motor Vehicle - Petrol _AND_ Oil</t>
        </is>
      </c>
      <c r="F3191" s="3" t="n">
        <v>7124.28</v>
      </c>
      <c r="G3191" s="3" t="n">
        <v>12713.79</v>
      </c>
    </row>
    <row r="3192">
      <c r="A3192" s="3" t="inlineStr">
        <is>
          <t>Cape Projects Construction (Pty) Ltd</t>
        </is>
      </c>
      <c r="B3192" s="4" t="n">
        <v>45046</v>
      </c>
      <c r="C3192" s="3" t="inlineStr">
        <is>
          <t>Expenses</t>
        </is>
      </c>
      <c r="D3192" s="3" t="inlineStr">
        <is>
          <t>4200/000</t>
        </is>
      </c>
      <c r="E3192" s="3" t="inlineStr">
        <is>
          <t>Printing _AND_ Stationery</t>
        </is>
      </c>
      <c r="F3192" s="3" t="n">
        <v>1173.91</v>
      </c>
      <c r="G3192" s="3" t="n">
        <v>3473.04</v>
      </c>
    </row>
    <row r="3193">
      <c r="A3193" s="3" t="inlineStr">
        <is>
          <t>Cape Projects Construction (Pty) Ltd</t>
        </is>
      </c>
      <c r="B3193" s="4" t="n">
        <v>45046</v>
      </c>
      <c r="C3193" s="3" t="inlineStr">
        <is>
          <t>Expenses</t>
        </is>
      </c>
      <c r="D3193" s="3" t="inlineStr">
        <is>
          <t>4201/000</t>
        </is>
      </c>
      <c r="E3193" s="3" t="inlineStr">
        <is>
          <t>Printing - Printer rental</t>
        </is>
      </c>
      <c r="F3193" s="3" t="n">
        <v>1777.93</v>
      </c>
      <c r="G3193" s="3" t="n">
        <v>3153.23</v>
      </c>
    </row>
    <row r="3194">
      <c r="A3194" s="3" t="inlineStr">
        <is>
          <t>Cape Projects Construction (Pty) Ltd</t>
        </is>
      </c>
      <c r="B3194" s="4" t="n">
        <v>45046</v>
      </c>
      <c r="C3194" s="3" t="inlineStr">
        <is>
          <t>Expenses</t>
        </is>
      </c>
      <c r="D3194" s="3" t="inlineStr">
        <is>
          <t>4300/000</t>
        </is>
      </c>
      <c r="E3194" s="3" t="inlineStr">
        <is>
          <t>Rent Paid</t>
        </is>
      </c>
      <c r="F3194" s="3" t="n">
        <v>29600</v>
      </c>
      <c r="G3194" s="3" t="n">
        <v>59200</v>
      </c>
    </row>
    <row r="3195">
      <c r="A3195" s="3" t="inlineStr">
        <is>
          <t>Cape Projects Construction (Pty) Ltd</t>
        </is>
      </c>
      <c r="B3195" s="4" t="n">
        <v>45046</v>
      </c>
      <c r="C3195" s="3" t="inlineStr">
        <is>
          <t>Expenses</t>
        </is>
      </c>
      <c r="D3195" s="3" t="inlineStr">
        <is>
          <t>4310/000</t>
        </is>
      </c>
      <c r="E3195" s="3" t="inlineStr">
        <is>
          <t>Rates</t>
        </is>
      </c>
      <c r="F3195" s="3" t="n">
        <v>843.6</v>
      </c>
      <c r="G3195" s="3" t="n">
        <v>1687.2</v>
      </c>
    </row>
    <row r="3196">
      <c r="A3196" s="3" t="inlineStr">
        <is>
          <t>Heron Fields (Pty) Ltd</t>
        </is>
      </c>
      <c r="B3196" s="4" t="n">
        <v>45046</v>
      </c>
      <c r="C3196" s="3" t="inlineStr">
        <is>
          <t>Expenses</t>
        </is>
      </c>
      <c r="D3196" s="3" t="inlineStr">
        <is>
          <t>4310/000</t>
        </is>
      </c>
      <c r="E3196" s="3" t="inlineStr">
        <is>
          <t>Rates - Heron</t>
        </is>
      </c>
      <c r="F3196" s="3" t="n">
        <v>-42216.76</v>
      </c>
      <c r="G3196" s="3" t="n">
        <v>-11397.51</v>
      </c>
    </row>
    <row r="3197">
      <c r="A3197" s="3" t="inlineStr">
        <is>
          <t>Cape Projects Construction (Pty) Ltd</t>
        </is>
      </c>
      <c r="B3197" s="4" t="n">
        <v>45046</v>
      </c>
      <c r="C3197" s="3" t="inlineStr">
        <is>
          <t>Expenses</t>
        </is>
      </c>
      <c r="D3197" s="3" t="inlineStr">
        <is>
          <t>4350/000</t>
        </is>
      </c>
      <c r="E3197" s="3" t="inlineStr">
        <is>
          <t>Repairs _AND_ Maintenance</t>
        </is>
      </c>
      <c r="F3197" s="3" t="n">
        <v>750</v>
      </c>
      <c r="G3197" s="3" t="n">
        <v>7102.8</v>
      </c>
    </row>
    <row r="3198">
      <c r="A3198" s="3" t="inlineStr">
        <is>
          <t>Cape Projects Construction (Pty) Ltd</t>
        </is>
      </c>
      <c r="B3198" s="4" t="n">
        <v>45046</v>
      </c>
      <c r="C3198" s="3" t="inlineStr">
        <is>
          <t>Expenses</t>
        </is>
      </c>
      <c r="D3198" s="3" t="inlineStr">
        <is>
          <t>4400/000</t>
        </is>
      </c>
      <c r="E3198" s="3" t="inlineStr">
        <is>
          <t>Salaries _AND_ Wages</t>
        </is>
      </c>
      <c r="F3198" s="3" t="n">
        <v>327361.08</v>
      </c>
      <c r="G3198" s="3" t="n">
        <v>638540.74</v>
      </c>
    </row>
    <row r="3199">
      <c r="A3199" s="3" t="inlineStr">
        <is>
          <t>Cape Projects Construction (Pty) Ltd</t>
        </is>
      </c>
      <c r="B3199" s="4" t="n">
        <v>45046</v>
      </c>
      <c r="C3199" s="3" t="inlineStr">
        <is>
          <t>Expenses</t>
        </is>
      </c>
      <c r="D3199" s="3" t="inlineStr">
        <is>
          <t>4403/000</t>
        </is>
      </c>
      <c r="E3199" s="3" t="inlineStr">
        <is>
          <t>Security</t>
        </is>
      </c>
      <c r="F3199" s="3" t="n">
        <v>177.33</v>
      </c>
      <c r="G3199" s="3" t="n">
        <v>354.66</v>
      </c>
    </row>
    <row r="3200">
      <c r="A3200" s="3" t="inlineStr">
        <is>
          <t>Cape Projects Construction (Pty) Ltd</t>
        </is>
      </c>
      <c r="B3200" s="4" t="n">
        <v>45046</v>
      </c>
      <c r="C3200" s="3" t="inlineStr">
        <is>
          <t>Expenses</t>
        </is>
      </c>
      <c r="D3200" s="3" t="inlineStr">
        <is>
          <t>4420/000</t>
        </is>
      </c>
      <c r="E3200" s="3" t="inlineStr">
        <is>
          <t>Small Assets</t>
        </is>
      </c>
      <c r="F3200" s="3" t="n">
        <v>1600</v>
      </c>
      <c r="G3200" s="3" t="n">
        <v>2433.91</v>
      </c>
    </row>
    <row r="3201">
      <c r="A3201" s="3" t="inlineStr">
        <is>
          <t>Heron Fields (Pty) Ltd</t>
        </is>
      </c>
      <c r="B3201" s="4" t="n">
        <v>45046</v>
      </c>
      <c r="C3201" s="3" t="inlineStr">
        <is>
          <t>Expenses</t>
        </is>
      </c>
      <c r="D3201" s="3" t="inlineStr">
        <is>
          <t>4420/001</t>
        </is>
      </c>
      <c r="E3201" s="3" t="inlineStr">
        <is>
          <t>Security - ADT</t>
        </is>
      </c>
      <c r="F3201" s="3" t="n">
        <v>328.38</v>
      </c>
      <c r="G3201" s="3" t="n">
        <v>656.76</v>
      </c>
    </row>
    <row r="3202">
      <c r="A3202" s="3" t="inlineStr">
        <is>
          <t>Cape Projects Construction (Pty) Ltd</t>
        </is>
      </c>
      <c r="B3202" s="4" t="n">
        <v>45046</v>
      </c>
      <c r="C3202" s="3" t="inlineStr">
        <is>
          <t>Expenses</t>
        </is>
      </c>
      <c r="D3202" s="3" t="inlineStr">
        <is>
          <t>4500/000</t>
        </is>
      </c>
      <c r="E3202" s="3" t="inlineStr">
        <is>
          <t>Staff Welfare _AND_ Refreshmts</t>
        </is>
      </c>
      <c r="F3202" s="3" t="n">
        <v>244.98</v>
      </c>
      <c r="G3202" s="3" t="n">
        <v>244.98</v>
      </c>
    </row>
    <row r="3203">
      <c r="A3203" s="3" t="inlineStr">
        <is>
          <t>Cape Projects Construction (Pty) Ltd</t>
        </is>
      </c>
      <c r="B3203" s="4" t="n">
        <v>45046</v>
      </c>
      <c r="C3203" s="3" t="inlineStr">
        <is>
          <t>Expenses</t>
        </is>
      </c>
      <c r="D3203" s="3" t="inlineStr">
        <is>
          <t>4550/001</t>
        </is>
      </c>
      <c r="E3203" s="3" t="inlineStr">
        <is>
          <t>Subscriptions &amp; Licenses - Sage payroll</t>
        </is>
      </c>
      <c r="F3203" s="3" t="n">
        <v>747</v>
      </c>
      <c r="G3203" s="3" t="n">
        <v>1494</v>
      </c>
    </row>
    <row r="3204">
      <c r="A3204" s="3" t="inlineStr">
        <is>
          <t>Cape Projects Construction (Pty) Ltd</t>
        </is>
      </c>
      <c r="B3204" s="4" t="n">
        <v>45046</v>
      </c>
      <c r="C3204" s="3" t="inlineStr">
        <is>
          <t>Expenses</t>
        </is>
      </c>
      <c r="D3204" s="3" t="inlineStr">
        <is>
          <t>4550/002</t>
        </is>
      </c>
      <c r="E3204" s="3" t="inlineStr">
        <is>
          <t>Subscriptions &amp; Licenses - Caseware</t>
        </is>
      </c>
      <c r="F3204" s="3" t="n">
        <v>0</v>
      </c>
      <c r="G3204" s="3" t="n">
        <v>10825.49</v>
      </c>
    </row>
    <row r="3205">
      <c r="A3205" s="3" t="inlineStr">
        <is>
          <t>Cape Projects Construction (Pty) Ltd</t>
        </is>
      </c>
      <c r="B3205" s="4" t="n">
        <v>45046</v>
      </c>
      <c r="C3205" s="3" t="inlineStr">
        <is>
          <t>Expenses</t>
        </is>
      </c>
      <c r="D3205" s="3" t="inlineStr">
        <is>
          <t>4550/003</t>
        </is>
      </c>
      <c r="E3205" s="3" t="inlineStr">
        <is>
          <t>Subscriptions &amp; Licenses - Xero</t>
        </is>
      </c>
      <c r="F3205" s="3" t="n">
        <v>600</v>
      </c>
      <c r="G3205" s="3" t="n">
        <v>1200</v>
      </c>
    </row>
    <row r="3206">
      <c r="A3206" s="3" t="inlineStr">
        <is>
          <t>Cape Projects Construction (Pty) Ltd</t>
        </is>
      </c>
      <c r="B3206" s="4" t="n">
        <v>45046</v>
      </c>
      <c r="C3206" s="3" t="inlineStr">
        <is>
          <t>Expenses</t>
        </is>
      </c>
      <c r="D3206" s="3" t="inlineStr">
        <is>
          <t>4550/004</t>
        </is>
      </c>
      <c r="E3206" s="3" t="inlineStr">
        <is>
          <t>Subscriptions - Smartsheet</t>
        </is>
      </c>
      <c r="F3206" s="3" t="n">
        <v>803.5</v>
      </c>
      <c r="G3206" s="3" t="n">
        <v>1408.5</v>
      </c>
    </row>
    <row r="3207">
      <c r="A3207" s="3" t="inlineStr">
        <is>
          <t>Heron Fields (Pty) Ltd</t>
        </is>
      </c>
      <c r="B3207" s="4" t="n">
        <v>45046</v>
      </c>
      <c r="C3207" s="3" t="inlineStr">
        <is>
          <t>Expenses</t>
        </is>
      </c>
      <c r="D3207" s="3" t="inlineStr">
        <is>
          <t>4550/100</t>
        </is>
      </c>
      <c r="E3207" s="3" t="inlineStr">
        <is>
          <t>Subscriptions - Xero</t>
        </is>
      </c>
      <c r="F3207" s="3" t="n">
        <v>600</v>
      </c>
      <c r="G3207" s="3" t="n">
        <v>1200</v>
      </c>
    </row>
    <row r="3208">
      <c r="A3208" s="3" t="inlineStr">
        <is>
          <t>Heron View (Pty) Ltd</t>
        </is>
      </c>
      <c r="B3208" s="4" t="n">
        <v>45046</v>
      </c>
      <c r="C3208" s="3" t="inlineStr">
        <is>
          <t>Expenses</t>
        </is>
      </c>
      <c r="D3208" s="3" t="inlineStr">
        <is>
          <t>4550/100</t>
        </is>
      </c>
      <c r="E3208" s="3" t="inlineStr">
        <is>
          <t>Subscriptions - Xero</t>
        </is>
      </c>
      <c r="F3208" s="3" t="n">
        <v>600</v>
      </c>
      <c r="G3208" s="3" t="n">
        <v>1200</v>
      </c>
    </row>
    <row r="3209">
      <c r="A3209" s="3" t="inlineStr">
        <is>
          <t>Cape Projects Construction (Pty) Ltd</t>
        </is>
      </c>
      <c r="B3209" s="4" t="n">
        <v>45046</v>
      </c>
      <c r="C3209" s="3" t="inlineStr">
        <is>
          <t>Expenses</t>
        </is>
      </c>
      <c r="D3209" s="3" t="inlineStr">
        <is>
          <t>4700/000</t>
        </is>
      </c>
      <c r="E3209" s="3" t="inlineStr">
        <is>
          <t>PAYE Contributions</t>
        </is>
      </c>
      <c r="F3209" s="3" t="n">
        <v>76990.11</v>
      </c>
      <c r="G3209" s="3" t="n">
        <v>152808.49</v>
      </c>
    </row>
    <row r="3210">
      <c r="A3210" s="3" t="inlineStr">
        <is>
          <t>Cape Projects Construction (Pty) Ltd</t>
        </is>
      </c>
      <c r="B3210" s="4" t="n">
        <v>45046</v>
      </c>
      <c r="C3210" s="3" t="inlineStr">
        <is>
          <t>Expenses</t>
        </is>
      </c>
      <c r="D3210" s="3" t="inlineStr">
        <is>
          <t>4720/000</t>
        </is>
      </c>
      <c r="E3210" s="3" t="inlineStr">
        <is>
          <t>SDL Contributions</t>
        </is>
      </c>
      <c r="F3210" s="3" t="n">
        <v>3918.5</v>
      </c>
      <c r="G3210" s="3" t="n">
        <v>7662.63</v>
      </c>
    </row>
    <row r="3211">
      <c r="A3211" s="3" t="inlineStr">
        <is>
          <t>Cape Projects Construction (Pty) Ltd</t>
        </is>
      </c>
      <c r="B3211" s="4" t="n">
        <v>45046</v>
      </c>
      <c r="C3211" s="3" t="inlineStr">
        <is>
          <t>Expenses</t>
        </is>
      </c>
      <c r="D3211" s="3" t="inlineStr">
        <is>
          <t>4730/000</t>
        </is>
      </c>
      <c r="E3211" s="3" t="inlineStr">
        <is>
          <t>UIF Company Contributions</t>
        </is>
      </c>
      <c r="F3211" s="3" t="n">
        <v>2003.44</v>
      </c>
      <c r="G3211" s="3" t="n">
        <v>3924.06</v>
      </c>
    </row>
    <row r="3212">
      <c r="A3212" s="3" t="inlineStr">
        <is>
          <t>Cape Projects Construction (Pty) Ltd</t>
        </is>
      </c>
      <c r="B3212" s="4" t="n">
        <v>45046</v>
      </c>
      <c r="C3212" s="3" t="inlineStr">
        <is>
          <t>Expenses</t>
        </is>
      </c>
      <c r="D3212" s="3" t="inlineStr">
        <is>
          <t>4731/000</t>
        </is>
      </c>
      <c r="E3212" s="3" t="inlineStr">
        <is>
          <t>UIF Employee Contribution</t>
        </is>
      </c>
      <c r="F3212" s="3" t="n">
        <v>2003.44</v>
      </c>
      <c r="G3212" s="3" t="n">
        <v>3924.06</v>
      </c>
    </row>
    <row r="3213">
      <c r="A3213" s="3" t="inlineStr">
        <is>
          <t>Cape Projects Construction (Pty) Ltd</t>
        </is>
      </c>
      <c r="B3213" s="4" t="n">
        <v>45046</v>
      </c>
      <c r="C3213" s="3" t="inlineStr">
        <is>
          <t>Expenses</t>
        </is>
      </c>
      <c r="D3213" s="3" t="inlineStr">
        <is>
          <t>4740/000</t>
        </is>
      </c>
      <c r="E3213" s="3" t="inlineStr">
        <is>
          <t>BIBC Company Contribution</t>
        </is>
      </c>
      <c r="F3213" s="3" t="n">
        <v>7034</v>
      </c>
      <c r="G3213" s="3" t="n">
        <v>12068</v>
      </c>
    </row>
    <row r="3214">
      <c r="A3214" s="3" t="inlineStr">
        <is>
          <t>Cape Projects Construction (Pty) Ltd</t>
        </is>
      </c>
      <c r="B3214" s="4" t="n">
        <v>45046</v>
      </c>
      <c r="C3214" s="3" t="inlineStr">
        <is>
          <t>Expenses</t>
        </is>
      </c>
      <c r="D3214" s="3" t="inlineStr">
        <is>
          <t>4741/000</t>
        </is>
      </c>
      <c r="E3214" s="3" t="inlineStr">
        <is>
          <t>BIBC Employee Contribution</t>
        </is>
      </c>
      <c r="F3214" s="3" t="n">
        <v>1775.25</v>
      </c>
      <c r="G3214" s="3" t="n">
        <v>3550.5</v>
      </c>
    </row>
    <row r="3215">
      <c r="A3215" s="3" t="inlineStr">
        <is>
          <t>Heron Fields (Pty) Ltd</t>
        </is>
      </c>
      <c r="B3215" s="4" t="n">
        <v>45046</v>
      </c>
      <c r="C3215" s="3" t="inlineStr">
        <is>
          <t>Equity</t>
        </is>
      </c>
      <c r="D3215" s="3" t="inlineStr">
        <is>
          <t>5100-000</t>
        </is>
      </c>
      <c r="E3215" s="3" t="inlineStr">
        <is>
          <t>Share Capital</t>
        </is>
      </c>
      <c r="F3215" s="3" t="n">
        <v>0</v>
      </c>
      <c r="G3215" s="3" t="n">
        <v>-100</v>
      </c>
    </row>
    <row r="3216">
      <c r="A3216" s="3" t="inlineStr">
        <is>
          <t>Cape Projects Construction (Pty) Ltd</t>
        </is>
      </c>
      <c r="B3216" s="4" t="n">
        <v>45046</v>
      </c>
      <c r="C3216" s="3" t="inlineStr">
        <is>
          <t>Equity</t>
        </is>
      </c>
      <c r="D3216" s="3" t="inlineStr">
        <is>
          <t>5100/000</t>
        </is>
      </c>
      <c r="E3216" s="3" t="inlineStr">
        <is>
          <t>Share Capital / Members Contribution</t>
        </is>
      </c>
      <c r="F3216" s="3" t="n">
        <v>0</v>
      </c>
      <c r="G3216" s="3" t="n">
        <v>-120</v>
      </c>
    </row>
    <row r="3217">
      <c r="A3217" s="3" t="inlineStr">
        <is>
          <t>Cape Projects Construction (Pty) Ltd</t>
        </is>
      </c>
      <c r="B3217" s="4" t="n">
        <v>45046</v>
      </c>
      <c r="C3217" s="3" t="inlineStr">
        <is>
          <t>Equity</t>
        </is>
      </c>
      <c r="D3217" s="3" t="inlineStr">
        <is>
          <t>5200/000</t>
        </is>
      </c>
      <c r="E3217" s="3" t="inlineStr">
        <is>
          <t>Retained Earnings / Loss</t>
        </is>
      </c>
      <c r="F3217" s="3" t="n">
        <v>0</v>
      </c>
      <c r="G3217" s="3" t="n">
        <v>-296075.58</v>
      </c>
    </row>
    <row r="3218">
      <c r="A3218" s="3" t="inlineStr">
        <is>
          <t>Heron Fields (Pty) Ltd</t>
        </is>
      </c>
      <c r="B3218" s="4" t="n">
        <v>45046</v>
      </c>
      <c r="C3218" s="3" t="inlineStr">
        <is>
          <t>Equity</t>
        </is>
      </c>
      <c r="D3218" s="3" t="inlineStr">
        <is>
          <t>5200/000</t>
        </is>
      </c>
      <c r="E3218" s="3" t="inlineStr">
        <is>
          <t>Retained Earnings / Loss</t>
        </is>
      </c>
      <c r="F3218" s="3" t="n">
        <v>0</v>
      </c>
      <c r="G3218" s="3" t="n">
        <v>-17843179.58</v>
      </c>
    </row>
    <row r="3219">
      <c r="A3219" s="3" t="inlineStr">
        <is>
          <t>Heron View (Pty) Ltd</t>
        </is>
      </c>
      <c r="B3219" s="4" t="n">
        <v>45046</v>
      </c>
      <c r="C3219" s="3" t="inlineStr">
        <is>
          <t>Equity</t>
        </is>
      </c>
      <c r="D3219" s="3" t="inlineStr">
        <is>
          <t>5200/000</t>
        </is>
      </c>
      <c r="E3219" s="3" t="inlineStr">
        <is>
          <t>Retained Earnings / Loss</t>
        </is>
      </c>
      <c r="F3219" s="3" t="n">
        <v>0</v>
      </c>
      <c r="G3219" s="3" t="n">
        <v>70398.12</v>
      </c>
    </row>
    <row r="3220">
      <c r="A3220" s="3" t="inlineStr">
        <is>
          <t>Heron Fields (Pty) Ltd</t>
        </is>
      </c>
      <c r="B3220" s="4" t="n">
        <v>45046</v>
      </c>
      <c r="C3220" s="3" t="inlineStr">
        <is>
          <t>Assets</t>
        </is>
      </c>
      <c r="D3220" s="3" t="inlineStr">
        <is>
          <t>5300/001</t>
        </is>
      </c>
      <c r="E3220" s="3" t="inlineStr">
        <is>
          <t>Revaluation of Land stock</t>
        </is>
      </c>
      <c r="F3220" s="3" t="n">
        <v>0</v>
      </c>
      <c r="G3220" s="3" t="n">
        <v>17562360.85</v>
      </c>
    </row>
    <row r="3221">
      <c r="A3221" s="3" t="inlineStr">
        <is>
          <t>Cape Projects Construction (Pty) Ltd</t>
        </is>
      </c>
      <c r="B3221" s="4" t="n">
        <v>45046</v>
      </c>
      <c r="C3221" s="3" t="inlineStr">
        <is>
          <t>Assets</t>
        </is>
      </c>
      <c r="D3221" s="3" t="inlineStr">
        <is>
          <t>5400/150</t>
        </is>
      </c>
      <c r="E3221" s="3" t="inlineStr">
        <is>
          <t>Loan - Quinate</t>
        </is>
      </c>
      <c r="F3221" s="3" t="n">
        <v>0</v>
      </c>
      <c r="G3221" s="3" t="n">
        <v>185000</v>
      </c>
    </row>
    <row r="3222">
      <c r="A3222" s="3" t="inlineStr">
        <is>
          <t>Cape Projects Construction (Pty) Ltd</t>
        </is>
      </c>
      <c r="B3222" s="4" t="n">
        <v>45046</v>
      </c>
      <c r="C3222" s="3" t="inlineStr">
        <is>
          <t>Assets</t>
        </is>
      </c>
      <c r="D3222" s="3" t="inlineStr">
        <is>
          <t>5400/220</t>
        </is>
      </c>
      <c r="E3222" s="3" t="inlineStr">
        <is>
          <t>Members Loan - WH</t>
        </is>
      </c>
      <c r="F3222" s="3" t="n">
        <v>0</v>
      </c>
      <c r="G3222" s="3" t="n">
        <v>-4342.5</v>
      </c>
    </row>
    <row r="3223">
      <c r="A3223" s="3" t="inlineStr">
        <is>
          <t>Cape Projects Construction (Pty) Ltd</t>
        </is>
      </c>
      <c r="B3223" s="4" t="n">
        <v>45046</v>
      </c>
      <c r="C3223" s="3" t="inlineStr">
        <is>
          <t>Assets</t>
        </is>
      </c>
      <c r="D3223" s="3" t="inlineStr">
        <is>
          <t>5400/450</t>
        </is>
      </c>
      <c r="E3223" s="3" t="inlineStr">
        <is>
          <t>Loan - Opportunity Investment</t>
        </is>
      </c>
      <c r="F3223" s="3" t="n">
        <v>-1900000</v>
      </c>
      <c r="G3223" s="3" t="n">
        <v>-2261000</v>
      </c>
    </row>
    <row r="3224">
      <c r="A3224" s="3" t="inlineStr">
        <is>
          <t>Cape Projects Construction (Pty) Ltd</t>
        </is>
      </c>
      <c r="B3224" s="4" t="n">
        <v>45046</v>
      </c>
      <c r="C3224" s="3" t="inlineStr">
        <is>
          <t>Assets</t>
        </is>
      </c>
      <c r="D3224" s="3" t="inlineStr">
        <is>
          <t>5400/500</t>
        </is>
      </c>
      <c r="E3224" s="3" t="inlineStr">
        <is>
          <t>Loan - Blou Mamba Trust</t>
        </is>
      </c>
      <c r="F3224" s="3" t="n">
        <v>0</v>
      </c>
      <c r="G3224" s="3" t="n">
        <v>4342.5</v>
      </c>
    </row>
    <row r="3225">
      <c r="A3225" s="3" t="inlineStr">
        <is>
          <t>Cape Projects Construction (Pty) Ltd</t>
        </is>
      </c>
      <c r="B3225" s="4" t="n">
        <v>45046</v>
      </c>
      <c r="C3225" s="3" t="inlineStr">
        <is>
          <t>Assets</t>
        </is>
      </c>
      <c r="D3225" s="3" t="inlineStr">
        <is>
          <t>5400/550</t>
        </is>
      </c>
      <c r="E3225" s="3" t="inlineStr">
        <is>
          <t>Loan - Trademark</t>
        </is>
      </c>
      <c r="F3225" s="3" t="n">
        <v>600</v>
      </c>
      <c r="G3225" s="3" t="n">
        <v>1200</v>
      </c>
    </row>
    <row r="3226">
      <c r="A3226" s="3" t="inlineStr">
        <is>
          <t>Cape Projects Construction (Pty) Ltd</t>
        </is>
      </c>
      <c r="B3226" s="4" t="n">
        <v>45046</v>
      </c>
      <c r="C3226" s="3" t="inlineStr">
        <is>
          <t>Assets</t>
        </is>
      </c>
      <c r="D3226" s="3" t="inlineStr">
        <is>
          <t>5400/600</t>
        </is>
      </c>
      <c r="E3226" s="3" t="inlineStr">
        <is>
          <t>Loan - Heron Projects</t>
        </is>
      </c>
      <c r="F3226" s="3" t="n">
        <v>0</v>
      </c>
      <c r="G3226" s="3" t="n">
        <v>-10376940.42</v>
      </c>
    </row>
    <row r="3227">
      <c r="A3227" s="3" t="inlineStr">
        <is>
          <t>Cape Projects Construction (Pty) Ltd</t>
        </is>
      </c>
      <c r="B3227" s="4" t="n">
        <v>45046</v>
      </c>
      <c r="C3227" s="3" t="inlineStr">
        <is>
          <t>Assets</t>
        </is>
      </c>
      <c r="D3227" s="3" t="inlineStr">
        <is>
          <t>5400/650</t>
        </is>
      </c>
      <c r="E3227" s="3" t="inlineStr">
        <is>
          <t>Loan - Noble Shield</t>
        </is>
      </c>
      <c r="F3227" s="3" t="n">
        <v>600</v>
      </c>
      <c r="G3227" s="3" t="n">
        <v>1200</v>
      </c>
    </row>
    <row r="3228">
      <c r="A3228" s="3" t="inlineStr">
        <is>
          <t>Cape Projects Construction (Pty) Ltd</t>
        </is>
      </c>
      <c r="B3228" s="4" t="n">
        <v>45046</v>
      </c>
      <c r="C3228" s="3" t="inlineStr">
        <is>
          <t>Assets</t>
        </is>
      </c>
      <c r="D3228" s="3" t="inlineStr">
        <is>
          <t>5400/750</t>
        </is>
      </c>
      <c r="E3228" s="3" t="inlineStr">
        <is>
          <t>Loan - Endulini</t>
        </is>
      </c>
      <c r="F3228" s="3" t="n">
        <v>4011000</v>
      </c>
      <c r="G3228" s="3" t="n">
        <v>18846187.4</v>
      </c>
    </row>
    <row r="3229">
      <c r="A3229" s="3" t="inlineStr">
        <is>
          <t>Cape Projects Construction (Pty) Ltd</t>
        </is>
      </c>
      <c r="B3229" s="4" t="n">
        <v>45046</v>
      </c>
      <c r="C3229" s="3" t="inlineStr">
        <is>
          <t>Assets</t>
        </is>
      </c>
      <c r="D3229" s="3" t="inlineStr">
        <is>
          <t>5400/800</t>
        </is>
      </c>
      <c r="E3229" s="3" t="inlineStr">
        <is>
          <t>Loan - Opportunity Management Holdings</t>
        </is>
      </c>
      <c r="F3229" s="3" t="n">
        <v>0</v>
      </c>
      <c r="G3229" s="3" t="n">
        <v>-120000</v>
      </c>
    </row>
    <row r="3230">
      <c r="A3230" s="3" t="inlineStr">
        <is>
          <t>Heron View (Pty) Ltd</t>
        </is>
      </c>
      <c r="B3230" s="4" t="n">
        <v>45046</v>
      </c>
      <c r="C3230" s="3" t="inlineStr">
        <is>
          <t>Liabilities</t>
        </is>
      </c>
      <c r="D3230" s="3" t="inlineStr">
        <is>
          <t>5500/001</t>
        </is>
      </c>
      <c r="E3230" s="3" t="inlineStr">
        <is>
          <t>Loan - Heron Fields</t>
        </is>
      </c>
      <c r="F3230" s="3" t="n">
        <v>-7391879.03</v>
      </c>
      <c r="G3230" s="3" t="n">
        <v>-26749727.6</v>
      </c>
    </row>
    <row r="3231">
      <c r="A3231" s="3" t="inlineStr">
        <is>
          <t>Heron Fields (Pty) Ltd</t>
        </is>
      </c>
      <c r="B3231" s="4" t="n">
        <v>45046</v>
      </c>
      <c r="C3231" s="3" t="inlineStr">
        <is>
          <t>Liabilities</t>
        </is>
      </c>
      <c r="D3231" s="3" t="inlineStr">
        <is>
          <t>5500/020</t>
        </is>
      </c>
      <c r="E3231" s="3" t="inlineStr">
        <is>
          <t>Loan - Cape Projects Construction</t>
        </is>
      </c>
      <c r="F3231" s="3" t="n">
        <v>0</v>
      </c>
      <c r="G3231" s="3" t="n">
        <v>10376940.42</v>
      </c>
    </row>
    <row r="3232">
      <c r="A3232" s="3" t="inlineStr">
        <is>
          <t>Heron Fields (Pty) Ltd</t>
        </is>
      </c>
      <c r="B3232" s="4" t="n">
        <v>45046</v>
      </c>
      <c r="C3232" s="3" t="inlineStr">
        <is>
          <t>Liabilities</t>
        </is>
      </c>
      <c r="D3232" s="3" t="inlineStr">
        <is>
          <t>5500/030</t>
        </is>
      </c>
      <c r="E3232" s="3" t="inlineStr">
        <is>
          <t>Loan - Opportunity Global Investments</t>
        </is>
      </c>
      <c r="F3232" s="3" t="n">
        <v>0</v>
      </c>
      <c r="G3232" s="3" t="n">
        <v>2703000</v>
      </c>
    </row>
    <row r="3233">
      <c r="A3233" s="3" t="inlineStr">
        <is>
          <t>Heron Fields (Pty) Ltd</t>
        </is>
      </c>
      <c r="B3233" s="4" t="n">
        <v>45046</v>
      </c>
      <c r="C3233" s="3" t="inlineStr">
        <is>
          <t>Liabilities</t>
        </is>
      </c>
      <c r="D3233" s="3" t="inlineStr">
        <is>
          <t>5500/050</t>
        </is>
      </c>
      <c r="E3233" s="3" t="inlineStr">
        <is>
          <t>Loan - Heron View</t>
        </is>
      </c>
      <c r="F3233" s="3" t="n">
        <v>7391879.03</v>
      </c>
      <c r="G3233" s="3" t="n">
        <v>26749727.6</v>
      </c>
    </row>
    <row r="3234">
      <c r="A3234" s="3" t="inlineStr">
        <is>
          <t>Heron Fields (Pty) Ltd</t>
        </is>
      </c>
      <c r="B3234" s="4" t="n">
        <v>45046</v>
      </c>
      <c r="C3234" s="3" t="inlineStr">
        <is>
          <t>Liabilities</t>
        </is>
      </c>
      <c r="D3234" s="3" t="inlineStr">
        <is>
          <t>5500/060</t>
        </is>
      </c>
      <c r="E3234" s="3" t="inlineStr">
        <is>
          <t>Loan - Opportunity Management Holdings</t>
        </is>
      </c>
      <c r="F3234" s="3" t="n">
        <v>0</v>
      </c>
      <c r="G3234" s="3" t="n">
        <v>41000</v>
      </c>
    </row>
    <row r="3235">
      <c r="A3235" s="3" t="inlineStr">
        <is>
          <t>Cape Projects Construction (Pty) Ltd</t>
        </is>
      </c>
      <c r="B3235" s="4" t="n">
        <v>45046</v>
      </c>
      <c r="C3235" s="3" t="inlineStr">
        <is>
          <t>Assets</t>
        </is>
      </c>
      <c r="D3235" s="3" t="inlineStr">
        <is>
          <t>6200/010</t>
        </is>
      </c>
      <c r="E3235" s="3" t="inlineStr">
        <is>
          <t>Motor Vehicles - @ Cost</t>
        </is>
      </c>
      <c r="F3235" s="3" t="n">
        <v>0</v>
      </c>
      <c r="G3235" s="3" t="n">
        <v>216064.1</v>
      </c>
    </row>
    <row r="3236">
      <c r="A3236" s="3" t="inlineStr">
        <is>
          <t>Cape Projects Construction (Pty) Ltd</t>
        </is>
      </c>
      <c r="B3236" s="4" t="n">
        <v>45046</v>
      </c>
      <c r="C3236" s="3" t="inlineStr">
        <is>
          <t>Assets</t>
        </is>
      </c>
      <c r="D3236" s="3" t="inlineStr">
        <is>
          <t>6200/020</t>
        </is>
      </c>
      <c r="E3236" s="3" t="inlineStr">
        <is>
          <t>Motor Vehicles - Accum Depre</t>
        </is>
      </c>
      <c r="F3236" s="3" t="n">
        <v>0</v>
      </c>
      <c r="G3236" s="3" t="n">
        <v>-216063.1</v>
      </c>
    </row>
    <row r="3237">
      <c r="A3237" s="3" t="inlineStr">
        <is>
          <t>Cape Projects Construction (Pty) Ltd</t>
        </is>
      </c>
      <c r="B3237" s="4" t="n">
        <v>45046</v>
      </c>
      <c r="C3237" s="3" t="inlineStr">
        <is>
          <t>Assets</t>
        </is>
      </c>
      <c r="D3237" s="3" t="inlineStr">
        <is>
          <t>6250/010</t>
        </is>
      </c>
      <c r="E3237" s="3" t="inlineStr">
        <is>
          <t>Computer Equipment - @ Cost</t>
        </is>
      </c>
      <c r="F3237" s="3" t="n">
        <v>0</v>
      </c>
      <c r="G3237" s="3" t="n">
        <v>133790.35</v>
      </c>
    </row>
    <row r="3238">
      <c r="A3238" s="3" t="inlineStr">
        <is>
          <t>Cape Projects Construction (Pty) Ltd</t>
        </is>
      </c>
      <c r="B3238" s="4" t="n">
        <v>45046</v>
      </c>
      <c r="C3238" s="3" t="inlineStr">
        <is>
          <t>Assets</t>
        </is>
      </c>
      <c r="D3238" s="3" t="inlineStr">
        <is>
          <t>6250/020</t>
        </is>
      </c>
      <c r="E3238" s="3" t="inlineStr">
        <is>
          <t>Computer Equipment - Accum Depre</t>
        </is>
      </c>
      <c r="F3238" s="3" t="n">
        <v>-3323.88</v>
      </c>
      <c r="G3238" s="3" t="n">
        <v>-49570.78</v>
      </c>
    </row>
    <row r="3239">
      <c r="A3239" s="3" t="inlineStr">
        <is>
          <t>Cape Projects Construction (Pty) Ltd</t>
        </is>
      </c>
      <c r="B3239" s="4" t="n">
        <v>45046</v>
      </c>
      <c r="C3239" s="3" t="inlineStr">
        <is>
          <t>Assets</t>
        </is>
      </c>
      <c r="D3239" s="3" t="inlineStr">
        <is>
          <t>6350/010</t>
        </is>
      </c>
      <c r="E3239" s="3" t="inlineStr">
        <is>
          <t>Furniture _AND_ Fittings - @ Cost</t>
        </is>
      </c>
      <c r="F3239" s="3" t="n">
        <v>0</v>
      </c>
      <c r="G3239" s="3" t="n">
        <v>37955.3</v>
      </c>
    </row>
    <row r="3240">
      <c r="A3240" s="3" t="inlineStr">
        <is>
          <t>Cape Projects Construction (Pty) Ltd</t>
        </is>
      </c>
      <c r="B3240" s="4" t="n">
        <v>45046</v>
      </c>
      <c r="C3240" s="3" t="inlineStr">
        <is>
          <t>Assets</t>
        </is>
      </c>
      <c r="D3240" s="3" t="inlineStr">
        <is>
          <t>6350/020</t>
        </is>
      </c>
      <c r="E3240" s="3" t="inlineStr">
        <is>
          <t>Furniture _AND_ Fittings - Accum Depre</t>
        </is>
      </c>
      <c r="F3240" s="3" t="n">
        <v>-547.67</v>
      </c>
      <c r="G3240" s="3" t="n">
        <v>-6989.9</v>
      </c>
    </row>
    <row r="3241">
      <c r="A3241" s="3" t="inlineStr">
        <is>
          <t>Cape Projects Construction (Pty) Ltd</t>
        </is>
      </c>
      <c r="B3241" s="4" t="n">
        <v>45046</v>
      </c>
      <c r="C3241" s="3" t="inlineStr">
        <is>
          <t>Assets</t>
        </is>
      </c>
      <c r="D3241" s="3" t="inlineStr">
        <is>
          <t>6600/010</t>
        </is>
      </c>
      <c r="E3241" s="3" t="inlineStr">
        <is>
          <t>Generator Fixed Asset - @ Cost</t>
        </is>
      </c>
      <c r="F3241" s="3" t="n">
        <v>0</v>
      </c>
      <c r="G3241" s="3" t="n">
        <v>11600</v>
      </c>
    </row>
    <row r="3242">
      <c r="A3242" s="3" t="inlineStr">
        <is>
          <t>Cape Projects Construction (Pty) Ltd</t>
        </is>
      </c>
      <c r="B3242" s="4" t="n">
        <v>45046</v>
      </c>
      <c r="C3242" s="3" t="inlineStr">
        <is>
          <t>Assets</t>
        </is>
      </c>
      <c r="D3242" s="3" t="inlineStr">
        <is>
          <t>6600/020</t>
        </is>
      </c>
      <c r="E3242" s="3" t="inlineStr">
        <is>
          <t>Generator Fixed Asset - Accum Depre</t>
        </is>
      </c>
      <c r="F3242" s="3" t="n">
        <v>-193.34</v>
      </c>
      <c r="G3242" s="3" t="n">
        <v>-3512.23</v>
      </c>
    </row>
    <row r="3243">
      <c r="A3243" s="3" t="inlineStr">
        <is>
          <t>Heron Fields (Pty) Ltd</t>
        </is>
      </c>
      <c r="B3243" s="4" t="n">
        <v>45046</v>
      </c>
      <c r="C3243" s="3" t="inlineStr">
        <is>
          <t>Assets</t>
        </is>
      </c>
      <c r="D3243" s="3" t="inlineStr">
        <is>
          <t>7610/395</t>
        </is>
      </c>
      <c r="E3243" s="3" t="inlineStr">
        <is>
          <t>HF CIP NHBRC</t>
        </is>
      </c>
      <c r="F3243" s="3" t="n">
        <v>0</v>
      </c>
      <c r="G3243" s="3" t="n">
        <v>874505.75</v>
      </c>
    </row>
    <row r="3244">
      <c r="A3244" s="3" t="inlineStr">
        <is>
          <t>Heron View (Pty) Ltd</t>
        </is>
      </c>
      <c r="B3244" s="4" t="n">
        <v>45046</v>
      </c>
      <c r="C3244" s="3" t="inlineStr">
        <is>
          <t>Assets</t>
        </is>
      </c>
      <c r="D3244" s="3" t="inlineStr">
        <is>
          <t>7610/395</t>
        </is>
      </c>
      <c r="E3244" s="3" t="inlineStr">
        <is>
          <t>Heron CIP NHBRC</t>
        </is>
      </c>
      <c r="F3244" s="3" t="n">
        <v>181086.48</v>
      </c>
      <c r="G3244" s="3" t="n">
        <v>620341.23</v>
      </c>
    </row>
    <row r="3245">
      <c r="A3245" s="3" t="inlineStr">
        <is>
          <t>Heron Fields (Pty) Ltd</t>
        </is>
      </c>
      <c r="B3245" s="4" t="n">
        <v>45046</v>
      </c>
      <c r="C3245" s="3" t="inlineStr">
        <is>
          <t>Assets</t>
        </is>
      </c>
      <c r="D3245" s="3" t="inlineStr">
        <is>
          <t>7620/100</t>
        </is>
      </c>
      <c r="E3245" s="3" t="inlineStr">
        <is>
          <t>Heron View Land</t>
        </is>
      </c>
      <c r="F3245" s="3" t="n">
        <v>0</v>
      </c>
      <c r="G3245" s="3" t="n">
        <v>26200000</v>
      </c>
    </row>
    <row r="3246">
      <c r="A3246" s="3" t="inlineStr">
        <is>
          <t>Heron Fields (Pty) Ltd</t>
        </is>
      </c>
      <c r="B3246" s="4" t="n">
        <v>45046</v>
      </c>
      <c r="C3246" s="3" t="inlineStr">
        <is>
          <t>Assets</t>
        </is>
      </c>
      <c r="D3246" s="3" t="inlineStr">
        <is>
          <t>7620/101</t>
        </is>
      </c>
      <c r="E3246" s="3" t="inlineStr">
        <is>
          <t>HF CIP Bond Registration Fee</t>
        </is>
      </c>
      <c r="F3246" s="3" t="n">
        <v>0</v>
      </c>
      <c r="G3246" s="3" t="n">
        <v>68427</v>
      </c>
    </row>
    <row r="3247">
      <c r="A3247" s="3" t="inlineStr">
        <is>
          <t>Heron Fields (Pty) Ltd</t>
        </is>
      </c>
      <c r="B3247" s="4" t="n">
        <v>45046</v>
      </c>
      <c r="C3247" s="3" t="inlineStr">
        <is>
          <t>Assets</t>
        </is>
      </c>
      <c r="D3247" s="3" t="inlineStr">
        <is>
          <t>7620/102</t>
        </is>
      </c>
      <c r="E3247" s="3" t="inlineStr">
        <is>
          <t>HF CIP Transfer Fee</t>
        </is>
      </c>
      <c r="F3247" s="3" t="n">
        <v>0</v>
      </c>
      <c r="G3247" s="3" t="n">
        <v>103812</v>
      </c>
    </row>
    <row r="3248">
      <c r="A3248" s="3" t="inlineStr">
        <is>
          <t>Heron Fields (Pty) Ltd</t>
        </is>
      </c>
      <c r="B3248" s="4" t="n">
        <v>45046</v>
      </c>
      <c r="C3248" s="3" t="inlineStr">
        <is>
          <t>Assets</t>
        </is>
      </c>
      <c r="D3248" s="3" t="inlineStr">
        <is>
          <t>7620/220</t>
        </is>
      </c>
      <c r="E3248" s="3" t="inlineStr">
        <is>
          <t>HF CIP Architectural Designs</t>
        </is>
      </c>
      <c r="F3248" s="3" t="n">
        <v>0</v>
      </c>
      <c r="G3248" s="3" t="n">
        <v>314087</v>
      </c>
    </row>
    <row r="3249">
      <c r="A3249" s="3" t="inlineStr">
        <is>
          <t>Heron View (Pty) Ltd</t>
        </is>
      </c>
      <c r="B3249" s="4" t="n">
        <v>45046</v>
      </c>
      <c r="C3249" s="3" t="inlineStr">
        <is>
          <t>Assets</t>
        </is>
      </c>
      <c r="D3249" s="3" t="inlineStr">
        <is>
          <t>7620/220</t>
        </is>
      </c>
      <c r="E3249" s="3" t="inlineStr">
        <is>
          <t>Heron View CIP Architectural Designs</t>
        </is>
      </c>
      <c r="F3249" s="3" t="n">
        <v>102551.98</v>
      </c>
      <c r="G3249" s="3" t="n">
        <v>126951.98</v>
      </c>
    </row>
    <row r="3250">
      <c r="A3250" s="3" t="inlineStr">
        <is>
          <t>Heron Fields (Pty) Ltd</t>
        </is>
      </c>
      <c r="B3250" s="4" t="n">
        <v>45046</v>
      </c>
      <c r="C3250" s="3" t="inlineStr">
        <is>
          <t>Assets</t>
        </is>
      </c>
      <c r="D3250" s="3" t="inlineStr">
        <is>
          <t>7620/230</t>
        </is>
      </c>
      <c r="E3250" s="3" t="inlineStr">
        <is>
          <t>HF CIP Construction Management</t>
        </is>
      </c>
      <c r="F3250" s="3" t="n">
        <v>1500</v>
      </c>
      <c r="G3250" s="3" t="n">
        <v>139500</v>
      </c>
    </row>
    <row r="3251">
      <c r="A3251" s="3" t="inlineStr">
        <is>
          <t>Heron Fields (Pty) Ltd</t>
        </is>
      </c>
      <c r="B3251" s="4" t="n">
        <v>45046</v>
      </c>
      <c r="C3251" s="3" t="inlineStr">
        <is>
          <t>Assets</t>
        </is>
      </c>
      <c r="D3251" s="3" t="inlineStr">
        <is>
          <t>7620/240</t>
        </is>
      </c>
      <c r="E3251" s="3" t="inlineStr">
        <is>
          <t>HF CIP Civil Engineering</t>
        </is>
      </c>
      <c r="F3251" s="3" t="n">
        <v>0</v>
      </c>
      <c r="G3251" s="3" t="n">
        <v>8557641.800000001</v>
      </c>
    </row>
    <row r="3252">
      <c r="A3252" s="3" t="inlineStr">
        <is>
          <t>Heron Fields (Pty) Ltd</t>
        </is>
      </c>
      <c r="B3252" s="4" t="n">
        <v>45046</v>
      </c>
      <c r="C3252" s="3" t="inlineStr">
        <is>
          <t>Assets</t>
        </is>
      </c>
      <c r="D3252" s="3" t="inlineStr">
        <is>
          <t>7620/245</t>
        </is>
      </c>
      <c r="E3252" s="3" t="inlineStr">
        <is>
          <t>HF CIP Development fee</t>
        </is>
      </c>
      <c r="F3252" s="3" t="n">
        <v>0</v>
      </c>
      <c r="G3252" s="3" t="n">
        <v>13807.78</v>
      </c>
    </row>
    <row r="3253">
      <c r="A3253" s="3" t="inlineStr">
        <is>
          <t>Heron Fields (Pty) Ltd</t>
        </is>
      </c>
      <c r="B3253" s="4" t="n">
        <v>45046</v>
      </c>
      <c r="C3253" s="3" t="inlineStr">
        <is>
          <t>Assets</t>
        </is>
      </c>
      <c r="D3253" s="3" t="inlineStr">
        <is>
          <t>7620/250</t>
        </is>
      </c>
      <c r="E3253" s="3" t="inlineStr">
        <is>
          <t>HF CIP Land Surveyor</t>
        </is>
      </c>
      <c r="F3253" s="3" t="n">
        <v>3500</v>
      </c>
      <c r="G3253" s="3" t="n">
        <v>197060.09</v>
      </c>
    </row>
    <row r="3254">
      <c r="A3254" s="3" t="inlineStr">
        <is>
          <t>Heron View (Pty) Ltd</t>
        </is>
      </c>
      <c r="B3254" s="4" t="n">
        <v>45046</v>
      </c>
      <c r="C3254" s="3" t="inlineStr">
        <is>
          <t>Assets</t>
        </is>
      </c>
      <c r="D3254" s="3" t="inlineStr">
        <is>
          <t>7620/250</t>
        </is>
      </c>
      <c r="E3254" s="3" t="inlineStr">
        <is>
          <t>Heron View CIP Land Surveyor</t>
        </is>
      </c>
      <c r="F3254" s="3" t="n">
        <v>0</v>
      </c>
      <c r="G3254" s="3" t="n">
        <v>19185</v>
      </c>
    </row>
    <row r="3255">
      <c r="A3255" s="3" t="inlineStr">
        <is>
          <t>Heron Fields (Pty) Ltd</t>
        </is>
      </c>
      <c r="B3255" s="4" t="n">
        <v>45046</v>
      </c>
      <c r="C3255" s="3" t="inlineStr">
        <is>
          <t>Assets</t>
        </is>
      </c>
      <c r="D3255" s="3" t="inlineStr">
        <is>
          <t>7620/255</t>
        </is>
      </c>
      <c r="E3255" s="3" t="inlineStr">
        <is>
          <t>HF CIP Landscaping</t>
        </is>
      </c>
      <c r="F3255" s="3" t="n">
        <v>0</v>
      </c>
      <c r="G3255" s="3" t="n">
        <v>7500</v>
      </c>
    </row>
    <row r="3256">
      <c r="A3256" s="3" t="inlineStr">
        <is>
          <t>Heron View (Pty) Ltd</t>
        </is>
      </c>
      <c r="B3256" s="4" t="n">
        <v>45046</v>
      </c>
      <c r="C3256" s="3" t="inlineStr">
        <is>
          <t>Assets</t>
        </is>
      </c>
      <c r="D3256" s="3" t="inlineStr">
        <is>
          <t>7620/255</t>
        </is>
      </c>
      <c r="E3256" s="3" t="inlineStr">
        <is>
          <t>Heron View CIP Landscaping</t>
        </is>
      </c>
      <c r="F3256" s="3" t="n">
        <v>114370.5</v>
      </c>
      <c r="G3256" s="3" t="n">
        <v>114370.5</v>
      </c>
    </row>
    <row r="3257">
      <c r="A3257" s="3" t="inlineStr">
        <is>
          <t>Heron Fields (Pty) Ltd</t>
        </is>
      </c>
      <c r="B3257" s="4" t="n">
        <v>45046</v>
      </c>
      <c r="C3257" s="3" t="inlineStr">
        <is>
          <t>Assets</t>
        </is>
      </c>
      <c r="D3257" s="3" t="inlineStr">
        <is>
          <t>7620/260</t>
        </is>
      </c>
      <c r="E3257" s="3" t="inlineStr">
        <is>
          <t>HF CIP Mechanical Engineers</t>
        </is>
      </c>
      <c r="F3257" s="3" t="n">
        <v>0</v>
      </c>
      <c r="G3257" s="3" t="n">
        <v>67400</v>
      </c>
    </row>
    <row r="3258">
      <c r="A3258" s="3" t="inlineStr">
        <is>
          <t>Heron Fields (Pty) Ltd</t>
        </is>
      </c>
      <c r="B3258" s="4" t="n">
        <v>45046</v>
      </c>
      <c r="C3258" s="3" t="inlineStr">
        <is>
          <t>Assets</t>
        </is>
      </c>
      <c r="D3258" s="3" t="inlineStr">
        <is>
          <t>7620/265</t>
        </is>
      </c>
      <c r="E3258" s="3" t="inlineStr">
        <is>
          <t>HF CIP Health &amp; Safety</t>
        </is>
      </c>
      <c r="F3258" s="3" t="n">
        <v>0</v>
      </c>
      <c r="G3258" s="3" t="n">
        <v>20600</v>
      </c>
    </row>
    <row r="3259">
      <c r="A3259" s="3" t="inlineStr">
        <is>
          <t>Heron Fields (Pty) Ltd</t>
        </is>
      </c>
      <c r="B3259" s="4" t="n">
        <v>45046</v>
      </c>
      <c r="C3259" s="3" t="inlineStr">
        <is>
          <t>Assets</t>
        </is>
      </c>
      <c r="D3259" s="3" t="inlineStr">
        <is>
          <t>7620/270</t>
        </is>
      </c>
      <c r="E3259" s="3" t="inlineStr">
        <is>
          <t>HF CIP Geotechnical</t>
        </is>
      </c>
      <c r="F3259" s="3" t="n">
        <v>0</v>
      </c>
      <c r="G3259" s="3" t="n">
        <v>15175</v>
      </c>
    </row>
    <row r="3260">
      <c r="A3260" s="3" t="inlineStr">
        <is>
          <t>Heron Fields (Pty) Ltd</t>
        </is>
      </c>
      <c r="B3260" s="4" t="n">
        <v>45046</v>
      </c>
      <c r="C3260" s="3" t="inlineStr">
        <is>
          <t>Assets</t>
        </is>
      </c>
      <c r="D3260" s="3" t="inlineStr">
        <is>
          <t>7620/275</t>
        </is>
      </c>
      <c r="E3260" s="3" t="inlineStr">
        <is>
          <t>HF CIP Retaining Wall</t>
        </is>
      </c>
      <c r="F3260" s="3" t="n">
        <v>0</v>
      </c>
      <c r="G3260" s="3" t="n">
        <v>570856.08</v>
      </c>
    </row>
    <row r="3261">
      <c r="A3261" s="3" t="inlineStr">
        <is>
          <t>Heron Fields (Pty) Ltd</t>
        </is>
      </c>
      <c r="B3261" s="4" t="n">
        <v>45046</v>
      </c>
      <c r="C3261" s="3" t="inlineStr">
        <is>
          <t>Assets</t>
        </is>
      </c>
      <c r="D3261" s="3" t="inlineStr">
        <is>
          <t>7620/280</t>
        </is>
      </c>
      <c r="E3261" s="3" t="inlineStr">
        <is>
          <t>HF CIP Site Establishment</t>
        </is>
      </c>
      <c r="F3261" s="3" t="n">
        <v>0</v>
      </c>
      <c r="G3261" s="3" t="n">
        <v>47748851.51</v>
      </c>
    </row>
    <row r="3262">
      <c r="A3262" s="3" t="inlineStr">
        <is>
          <t>Heron View (Pty) Ltd</t>
        </is>
      </c>
      <c r="B3262" s="4" t="n">
        <v>45046</v>
      </c>
      <c r="C3262" s="3" t="inlineStr">
        <is>
          <t>Assets</t>
        </is>
      </c>
      <c r="D3262" s="3" t="inlineStr">
        <is>
          <t>7620/280</t>
        </is>
      </c>
      <c r="E3262" s="3" t="inlineStr">
        <is>
          <t>Heron View CIP Site Establishment</t>
        </is>
      </c>
      <c r="F3262" s="3" t="n">
        <v>0</v>
      </c>
      <c r="G3262" s="3" t="n">
        <v>7187757.92</v>
      </c>
    </row>
    <row r="3263">
      <c r="A3263" s="3" t="inlineStr">
        <is>
          <t>Heron Fields (Pty) Ltd</t>
        </is>
      </c>
      <c r="B3263" s="4" t="n">
        <v>45046</v>
      </c>
      <c r="C3263" s="3" t="inlineStr">
        <is>
          <t>Assets</t>
        </is>
      </c>
      <c r="D3263" s="3" t="inlineStr">
        <is>
          <t>7620/285</t>
        </is>
      </c>
      <c r="E3263" s="3" t="inlineStr">
        <is>
          <t>HF CIP Structuring Fee - Invest</t>
        </is>
      </c>
      <c r="F3263" s="3" t="n">
        <v>0</v>
      </c>
      <c r="G3263" s="3" t="n">
        <v>3850818.04</v>
      </c>
    </row>
    <row r="3264">
      <c r="A3264" s="3" t="inlineStr">
        <is>
          <t>Heron View (Pty) Ltd</t>
        </is>
      </c>
      <c r="B3264" s="4" t="n">
        <v>45046</v>
      </c>
      <c r="C3264" s="3" t="inlineStr">
        <is>
          <t>Assets</t>
        </is>
      </c>
      <c r="D3264" s="3" t="inlineStr">
        <is>
          <t>7620/285</t>
        </is>
      </c>
      <c r="E3264" s="3" t="inlineStr">
        <is>
          <t>Heron View CIP Structuring Fee - Invest</t>
        </is>
      </c>
      <c r="F3264" s="3" t="n">
        <v>0</v>
      </c>
      <c r="G3264" s="3" t="n">
        <v>1826086.96</v>
      </c>
    </row>
    <row r="3265">
      <c r="A3265" s="3" t="inlineStr">
        <is>
          <t>Heron Fields (Pty) Ltd</t>
        </is>
      </c>
      <c r="B3265" s="4" t="n">
        <v>45046</v>
      </c>
      <c r="C3265" s="3" t="inlineStr">
        <is>
          <t>Assets</t>
        </is>
      </c>
      <c r="D3265" s="3" t="inlineStr">
        <is>
          <t>7620/287</t>
        </is>
      </c>
      <c r="E3265" s="3" t="inlineStr">
        <is>
          <t>HF CIP Structuring Fee - Development</t>
        </is>
      </c>
      <c r="F3265" s="3" t="n">
        <v>0</v>
      </c>
      <c r="G3265" s="3" t="n">
        <v>782608.0699999999</v>
      </c>
    </row>
    <row r="3266">
      <c r="A3266" s="3" t="inlineStr">
        <is>
          <t>Heron Fields (Pty) Ltd</t>
        </is>
      </c>
      <c r="B3266" s="4" t="n">
        <v>45046</v>
      </c>
      <c r="C3266" s="3" t="inlineStr">
        <is>
          <t>Assets</t>
        </is>
      </c>
      <c r="D3266" s="3" t="inlineStr">
        <is>
          <t>7620/290</t>
        </is>
      </c>
      <c r="E3266" s="3" t="inlineStr">
        <is>
          <t>HF CIP Town Planning</t>
        </is>
      </c>
      <c r="F3266" s="3" t="n">
        <v>0</v>
      </c>
      <c r="G3266" s="3" t="n">
        <v>166550</v>
      </c>
    </row>
    <row r="3267">
      <c r="A3267" s="3" t="inlineStr">
        <is>
          <t>Heron Fields (Pty) Ltd</t>
        </is>
      </c>
      <c r="B3267" s="4" t="n">
        <v>45046</v>
      </c>
      <c r="C3267" s="3" t="inlineStr">
        <is>
          <t>Assets</t>
        </is>
      </c>
      <c r="D3267" s="3" t="inlineStr">
        <is>
          <t>7620/295</t>
        </is>
      </c>
      <c r="E3267" s="3" t="inlineStr">
        <is>
          <t>HF CIP Traffic Planning</t>
        </is>
      </c>
      <c r="F3267" s="3" t="n">
        <v>0</v>
      </c>
      <c r="G3267" s="3" t="n">
        <v>45000</v>
      </c>
    </row>
    <row r="3268">
      <c r="A3268" s="3" t="inlineStr">
        <is>
          <t>Heron Fields (Pty) Ltd</t>
        </is>
      </c>
      <c r="B3268" s="4" t="n">
        <v>45046</v>
      </c>
      <c r="C3268" s="3" t="inlineStr">
        <is>
          <t>Assets</t>
        </is>
      </c>
      <c r="D3268" s="3" t="inlineStr">
        <is>
          <t>7620/600</t>
        </is>
      </c>
      <c r="E3268" s="3" t="inlineStr">
        <is>
          <t>HF CIP Eco work</t>
        </is>
      </c>
      <c r="F3268" s="3" t="n">
        <v>6000</v>
      </c>
      <c r="G3268" s="3" t="n">
        <v>137000</v>
      </c>
    </row>
    <row r="3269">
      <c r="A3269" s="3" t="inlineStr">
        <is>
          <t>Heron View (Pty) Ltd</t>
        </is>
      </c>
      <c r="B3269" s="4" t="n">
        <v>45046</v>
      </c>
      <c r="C3269" s="3" t="inlineStr">
        <is>
          <t>Assets</t>
        </is>
      </c>
      <c r="D3269" s="3" t="inlineStr">
        <is>
          <t>7620/605</t>
        </is>
      </c>
      <c r="E3269" s="3" t="inlineStr">
        <is>
          <t>Heron View CIP Structural Engineers</t>
        </is>
      </c>
      <c r="F3269" s="3" t="n">
        <v>221353.14</v>
      </c>
      <c r="G3269" s="3" t="n">
        <v>221353.14</v>
      </c>
    </row>
    <row r="3270">
      <c r="A3270" s="3" t="inlineStr">
        <is>
          <t>Heron View (Pty) Ltd</t>
        </is>
      </c>
      <c r="B3270" s="4" t="n">
        <v>45046</v>
      </c>
      <c r="C3270" s="3" t="inlineStr">
        <is>
          <t>Assets</t>
        </is>
      </c>
      <c r="D3270" s="3" t="inlineStr">
        <is>
          <t>7620/610</t>
        </is>
      </c>
      <c r="E3270" s="3" t="inlineStr">
        <is>
          <t>HV CIP Retaining wall</t>
        </is>
      </c>
      <c r="F3270" s="3" t="n">
        <v>0</v>
      </c>
      <c r="G3270" s="3" t="n">
        <v>66190.11</v>
      </c>
    </row>
    <row r="3271">
      <c r="A3271" s="3" t="inlineStr">
        <is>
          <t>Heron Fields (Pty) Ltd</t>
        </is>
      </c>
      <c r="B3271" s="4" t="n">
        <v>45046</v>
      </c>
      <c r="C3271" s="3" t="inlineStr">
        <is>
          <t>Assets</t>
        </is>
      </c>
      <c r="D3271" s="3" t="inlineStr">
        <is>
          <t>7620/630</t>
        </is>
      </c>
      <c r="E3271" s="3" t="inlineStr">
        <is>
          <t>HF CIP CoCT development contribution</t>
        </is>
      </c>
      <c r="F3271" s="3" t="n">
        <v>-214050</v>
      </c>
      <c r="G3271" s="3" t="n">
        <v>807275.63</v>
      </c>
    </row>
    <row r="3272">
      <c r="A3272" s="3" t="inlineStr">
        <is>
          <t>Heron View (Pty) Ltd</t>
        </is>
      </c>
      <c r="B3272" s="4" t="n">
        <v>45046</v>
      </c>
      <c r="C3272" s="3" t="inlineStr">
        <is>
          <t>Assets</t>
        </is>
      </c>
      <c r="D3272" s="3" t="inlineStr">
        <is>
          <t>7620/630</t>
        </is>
      </c>
      <c r="E3272" s="3" t="inlineStr">
        <is>
          <t>Heron CIP - CoCT development contribution</t>
        </is>
      </c>
      <c r="F3272" s="3" t="n">
        <v>0</v>
      </c>
      <c r="G3272" s="3" t="n">
        <v>1313735.84</v>
      </c>
    </row>
    <row r="3273">
      <c r="A3273" s="3" t="inlineStr">
        <is>
          <t>Heron Fields (Pty) Ltd</t>
        </is>
      </c>
      <c r="B3273" s="4" t="n">
        <v>45046</v>
      </c>
      <c r="C3273" s="3" t="inlineStr">
        <is>
          <t>Assets</t>
        </is>
      </c>
      <c r="D3273" s="3" t="inlineStr">
        <is>
          <t>7620/640</t>
        </is>
      </c>
      <c r="E3273" s="3" t="inlineStr">
        <is>
          <t>HF CIP Project costs</t>
        </is>
      </c>
      <c r="F3273" s="3" t="n">
        <v>0</v>
      </c>
      <c r="G3273" s="3" t="n">
        <v>622274.51</v>
      </c>
    </row>
    <row r="3274">
      <c r="A3274" s="3" t="inlineStr">
        <is>
          <t>Heron View (Pty) Ltd</t>
        </is>
      </c>
      <c r="B3274" s="4" t="n">
        <v>45046</v>
      </c>
      <c r="C3274" s="3" t="inlineStr">
        <is>
          <t>Assets</t>
        </is>
      </c>
      <c r="D3274" s="3" t="inlineStr">
        <is>
          <t>7620/650</t>
        </is>
      </c>
      <c r="E3274" s="3" t="inlineStr">
        <is>
          <t>CIP - Construction Management</t>
        </is>
      </c>
      <c r="F3274" s="3" t="n">
        <v>18750</v>
      </c>
      <c r="G3274" s="3" t="n">
        <v>63530</v>
      </c>
    </row>
    <row r="3275">
      <c r="A3275" s="3" t="inlineStr">
        <is>
          <t>Heron Fields (Pty) Ltd</t>
        </is>
      </c>
      <c r="B3275" s="4" t="n">
        <v>45046</v>
      </c>
      <c r="C3275" s="3" t="inlineStr">
        <is>
          <t>Assets</t>
        </is>
      </c>
      <c r="D3275" s="3" t="inlineStr">
        <is>
          <t>7620/650</t>
        </is>
      </c>
      <c r="E3275" s="3" t="inlineStr">
        <is>
          <t>HF CIP Electrical</t>
        </is>
      </c>
      <c r="F3275" s="3" t="n">
        <v>0</v>
      </c>
      <c r="G3275" s="3" t="n">
        <v>985049.6800000001</v>
      </c>
    </row>
    <row r="3276">
      <c r="A3276" s="3" t="inlineStr">
        <is>
          <t>Heron View (Pty) Ltd</t>
        </is>
      </c>
      <c r="B3276" s="4" t="n">
        <v>45046</v>
      </c>
      <c r="C3276" s="3" t="inlineStr">
        <is>
          <t>Assets</t>
        </is>
      </c>
      <c r="D3276" s="3" t="inlineStr">
        <is>
          <t>7620/660</t>
        </is>
      </c>
      <c r="E3276" s="3" t="inlineStr">
        <is>
          <t>HV CIP Health &amp; Safety</t>
        </is>
      </c>
      <c r="F3276" s="3" t="n">
        <v>1400</v>
      </c>
      <c r="G3276" s="3" t="n">
        <v>17400</v>
      </c>
    </row>
    <row r="3277">
      <c r="A3277" s="3" t="inlineStr">
        <is>
          <t>Heron View (Pty) Ltd</t>
        </is>
      </c>
      <c r="B3277" s="4" t="n">
        <v>45046</v>
      </c>
      <c r="C3277" s="3" t="inlineStr">
        <is>
          <t>Assets</t>
        </is>
      </c>
      <c r="D3277" s="3" t="inlineStr">
        <is>
          <t>7620/670</t>
        </is>
      </c>
      <c r="E3277" s="3" t="inlineStr">
        <is>
          <t>HV CIP - Project costs CPSD</t>
        </is>
      </c>
      <c r="F3277" s="3" t="n">
        <v>0</v>
      </c>
      <c r="G3277" s="3" t="n">
        <v>684782.6</v>
      </c>
    </row>
    <row r="3278">
      <c r="A3278" s="3" t="inlineStr">
        <is>
          <t>Heron View (Pty) Ltd</t>
        </is>
      </c>
      <c r="B3278" s="4" t="n">
        <v>45046</v>
      </c>
      <c r="C3278" s="3" t="inlineStr">
        <is>
          <t>Assets</t>
        </is>
      </c>
      <c r="D3278" s="3" t="inlineStr">
        <is>
          <t>7620/680</t>
        </is>
      </c>
      <c r="E3278" s="3" t="inlineStr">
        <is>
          <t>HV CIP Elextrical</t>
        </is>
      </c>
      <c r="F3278" s="3" t="n">
        <v>99398.37</v>
      </c>
      <c r="G3278" s="3" t="n">
        <v>969789.71</v>
      </c>
    </row>
    <row r="3279">
      <c r="A3279" s="3" t="inlineStr">
        <is>
          <t>Heron View (Pty) Ltd</t>
        </is>
      </c>
      <c r="B3279" s="4" t="n">
        <v>45046</v>
      </c>
      <c r="C3279" s="3" t="inlineStr">
        <is>
          <t>Assets</t>
        </is>
      </c>
      <c r="D3279" s="3" t="inlineStr">
        <is>
          <t>7620/690</t>
        </is>
      </c>
      <c r="E3279" s="3" t="inlineStr">
        <is>
          <t>HV CIP Site Establishment</t>
        </is>
      </c>
      <c r="F3279" s="3" t="n">
        <v>4336497.82</v>
      </c>
      <c r="G3279" s="3" t="n">
        <v>11465668.45</v>
      </c>
    </row>
    <row r="3280">
      <c r="A3280" s="3" t="inlineStr">
        <is>
          <t>Heron Fields (Pty) Ltd</t>
        </is>
      </c>
      <c r="B3280" s="4" t="n">
        <v>45046</v>
      </c>
      <c r="C3280" s="3" t="inlineStr">
        <is>
          <t>Assets</t>
        </is>
      </c>
      <c r="D3280" s="3" t="inlineStr">
        <is>
          <t>7620/750</t>
        </is>
      </c>
      <c r="E3280" s="3" t="inlineStr">
        <is>
          <t>HF CIP Project costs CPSD</t>
        </is>
      </c>
      <c r="F3280" s="3" t="n">
        <v>0</v>
      </c>
      <c r="G3280" s="3" t="n">
        <v>1502445.03</v>
      </c>
    </row>
    <row r="3281">
      <c r="A3281" s="3" t="inlineStr">
        <is>
          <t>Heron Fields (Pty) Ltd</t>
        </is>
      </c>
      <c r="B3281" s="4" t="n">
        <v>45046</v>
      </c>
      <c r="C3281" s="3" t="inlineStr">
        <is>
          <t>Assets</t>
        </is>
      </c>
      <c r="D3281" s="3" t="inlineStr">
        <is>
          <t>7620/800</t>
        </is>
      </c>
      <c r="E3281" s="3" t="inlineStr">
        <is>
          <t>HF CIP GL Conradie</t>
        </is>
      </c>
      <c r="F3281" s="3" t="n">
        <v>0</v>
      </c>
      <c r="G3281" s="3" t="n">
        <v>1068455</v>
      </c>
    </row>
    <row r="3282">
      <c r="A3282" s="3" t="inlineStr">
        <is>
          <t>Heron Fields (Pty) Ltd</t>
        </is>
      </c>
      <c r="B3282" s="4" t="n">
        <v>45046</v>
      </c>
      <c r="C3282" s="3" t="inlineStr">
        <is>
          <t>Assets</t>
        </is>
      </c>
      <c r="D3282" s="3" t="inlineStr">
        <is>
          <t>7700/010</t>
        </is>
      </c>
      <c r="E3282" s="3" t="inlineStr">
        <is>
          <t>Construction 28 Feb 23 HF</t>
        </is>
      </c>
      <c r="F3282" s="3" t="n">
        <v>0</v>
      </c>
      <c r="G3282" s="3" t="n">
        <v>-24427668.44</v>
      </c>
    </row>
    <row r="3283">
      <c r="A3283" s="3" t="inlineStr">
        <is>
          <t>Cape Projects Construction (Pty) Ltd</t>
        </is>
      </c>
      <c r="B3283" s="4" t="n">
        <v>45046</v>
      </c>
      <c r="C3283" s="3" t="inlineStr">
        <is>
          <t>Assets</t>
        </is>
      </c>
      <c r="D3283" s="3" t="inlineStr">
        <is>
          <t>7800/000</t>
        </is>
      </c>
      <c r="E3283" s="3" t="inlineStr">
        <is>
          <t>Deposits paid</t>
        </is>
      </c>
      <c r="F3283" s="3" t="n">
        <v>0</v>
      </c>
      <c r="G3283" s="3" t="n">
        <v>29600</v>
      </c>
    </row>
    <row r="3284">
      <c r="A3284" s="3" t="inlineStr">
        <is>
          <t>Cape Projects Construction (Pty) Ltd</t>
        </is>
      </c>
      <c r="B3284" s="4" t="n">
        <v>45046</v>
      </c>
      <c r="C3284" s="3" t="inlineStr">
        <is>
          <t>Assets</t>
        </is>
      </c>
      <c r="D3284" s="3" t="inlineStr">
        <is>
          <t>8000/000</t>
        </is>
      </c>
      <c r="E3284" s="3" t="inlineStr">
        <is>
          <t>Customer Control Account</t>
        </is>
      </c>
      <c r="F3284" s="3" t="n">
        <v>-2763027.51</v>
      </c>
      <c r="G3284" s="3" t="n">
        <v>-5442617.35</v>
      </c>
    </row>
    <row r="3285">
      <c r="A3285" s="3" t="inlineStr">
        <is>
          <t>Heron Fields (Pty) Ltd</t>
        </is>
      </c>
      <c r="B3285" s="4" t="n">
        <v>45046</v>
      </c>
      <c r="C3285" s="3" t="inlineStr">
        <is>
          <t>Assets</t>
        </is>
      </c>
      <c r="D3285" s="3" t="inlineStr">
        <is>
          <t>8000/000</t>
        </is>
      </c>
      <c r="E3285" s="3" t="inlineStr">
        <is>
          <t>Customer Control Account</t>
        </is>
      </c>
      <c r="F3285" s="3" t="n">
        <v>-117015.36</v>
      </c>
      <c r="G3285" s="3" t="n">
        <v>345946.61</v>
      </c>
    </row>
    <row r="3286">
      <c r="A3286" s="3" t="inlineStr">
        <is>
          <t>Cape Projects Construction (Pty) Ltd</t>
        </is>
      </c>
      <c r="B3286" s="4" t="n">
        <v>45046</v>
      </c>
      <c r="C3286" s="3" t="inlineStr">
        <is>
          <t>Assets</t>
        </is>
      </c>
      <c r="D3286" s="3" t="inlineStr">
        <is>
          <t>8300/000</t>
        </is>
      </c>
      <c r="E3286" s="3" t="inlineStr">
        <is>
          <t>FNB Credit Card 8812 7100 446 6006</t>
        </is>
      </c>
      <c r="F3286" s="3" t="n">
        <v>-69</v>
      </c>
      <c r="G3286" s="3" t="n">
        <v>0</v>
      </c>
    </row>
    <row r="3287">
      <c r="A3287" s="3" t="inlineStr">
        <is>
          <t>Heron Fields (Pty) Ltd</t>
        </is>
      </c>
      <c r="B3287" s="4" t="n">
        <v>45046</v>
      </c>
      <c r="C3287" s="3" t="inlineStr">
        <is>
          <t>Assets</t>
        </is>
      </c>
      <c r="D3287" s="3" t="inlineStr">
        <is>
          <t>8400/000</t>
        </is>
      </c>
      <c r="E3287" s="3" t="inlineStr">
        <is>
          <t>RMB - 62882379087</t>
        </is>
      </c>
      <c r="F3287" s="3" t="n">
        <v>-3491282.68</v>
      </c>
      <c r="G3287" s="3" t="n">
        <v>412385.21</v>
      </c>
    </row>
    <row r="3288">
      <c r="A3288" s="3" t="inlineStr">
        <is>
          <t>Cape Projects Construction (Pty) Ltd</t>
        </is>
      </c>
      <c r="B3288" s="4" t="n">
        <v>45046</v>
      </c>
      <c r="C3288" s="3" t="inlineStr">
        <is>
          <t>Assets</t>
        </is>
      </c>
      <c r="D3288" s="3" t="inlineStr">
        <is>
          <t>8400/000</t>
        </is>
      </c>
      <c r="E3288" s="3" t="inlineStr">
        <is>
          <t>RMB 62275138470</t>
        </is>
      </c>
      <c r="F3288" s="3" t="n">
        <v>-779595.49</v>
      </c>
      <c r="G3288" s="3" t="n">
        <v>444082.57</v>
      </c>
    </row>
    <row r="3289">
      <c r="A3289" s="3" t="inlineStr">
        <is>
          <t>Cape Projects Construction (Pty) Ltd</t>
        </is>
      </c>
      <c r="B3289" s="4" t="n">
        <v>45046</v>
      </c>
      <c r="C3289" s="3" t="inlineStr">
        <is>
          <t>Assets</t>
        </is>
      </c>
      <c r="D3289" s="3" t="inlineStr">
        <is>
          <t>8420/000</t>
        </is>
      </c>
      <c r="E3289" s="3" t="inlineStr">
        <is>
          <t>Momentum Priv Acc RU502230981</t>
        </is>
      </c>
      <c r="F3289" s="3" t="n">
        <v>3.58</v>
      </c>
      <c r="G3289" s="3" t="n">
        <v>547.71</v>
      </c>
    </row>
    <row r="3290">
      <c r="A3290" s="3" t="inlineStr">
        <is>
          <t>Heron Fields (Pty) Ltd</t>
        </is>
      </c>
      <c r="B3290" s="4" t="n">
        <v>45046</v>
      </c>
      <c r="C3290" s="3" t="inlineStr">
        <is>
          <t>Assets</t>
        </is>
      </c>
      <c r="D3290" s="3" t="inlineStr">
        <is>
          <t>8430/000</t>
        </is>
      </c>
      <c r="E3290" s="3" t="inlineStr">
        <is>
          <t>Momentum Private Account RU502230151</t>
        </is>
      </c>
      <c r="F3290" s="3" t="n">
        <v>5.07</v>
      </c>
      <c r="G3290" s="3" t="n">
        <v>837.98</v>
      </c>
    </row>
    <row r="3291">
      <c r="A3291" s="3" t="inlineStr">
        <is>
          <t>Heron Fields (Pty) Ltd</t>
        </is>
      </c>
      <c r="B3291" s="4" t="n">
        <v>45046</v>
      </c>
      <c r="C3291" s="3" t="inlineStr">
        <is>
          <t>Assets</t>
        </is>
      </c>
      <c r="D3291" s="3" t="inlineStr">
        <is>
          <t>8440/000</t>
        </is>
      </c>
      <c r="E3291" s="3" t="inlineStr">
        <is>
          <t>Momentum Investors Account RU502229930</t>
        </is>
      </c>
      <c r="F3291" s="3" t="n">
        <v>16861452.46</v>
      </c>
      <c r="G3291" s="3" t="n">
        <v>36802478.02</v>
      </c>
    </row>
    <row r="3292">
      <c r="A3292" s="3" t="inlineStr">
        <is>
          <t>Cape Projects Construction (Pty) Ltd</t>
        </is>
      </c>
      <c r="B3292" s="4" t="n">
        <v>45046</v>
      </c>
      <c r="C3292" s="3" t="inlineStr">
        <is>
          <t>Liabilities</t>
        </is>
      </c>
      <c r="D3292" s="3" t="inlineStr">
        <is>
          <t>860</t>
        </is>
      </c>
      <c r="E3292" s="3" t="inlineStr">
        <is>
          <t>Rounding</t>
        </is>
      </c>
      <c r="F3292" s="3" t="n">
        <v>-9.84</v>
      </c>
      <c r="G3292" s="3" t="n">
        <v>-10.23</v>
      </c>
    </row>
    <row r="3293">
      <c r="A3293" s="3" t="inlineStr">
        <is>
          <t>Heron Fields (Pty) Ltd</t>
        </is>
      </c>
      <c r="B3293" s="4" t="n">
        <v>45046</v>
      </c>
      <c r="C3293" s="3" t="inlineStr">
        <is>
          <t>Liabilities</t>
        </is>
      </c>
      <c r="D3293" s="3" t="inlineStr">
        <is>
          <t>860</t>
        </is>
      </c>
      <c r="E3293" s="3" t="inlineStr">
        <is>
          <t>Rounding</t>
        </is>
      </c>
      <c r="F3293" s="3" t="n">
        <v>0.05</v>
      </c>
      <c r="G3293" s="3" t="n">
        <v>0.08</v>
      </c>
    </row>
    <row r="3294">
      <c r="A3294" s="3" t="inlineStr">
        <is>
          <t>Cape Projects Construction (Pty) Ltd</t>
        </is>
      </c>
      <c r="B3294" s="4" t="n">
        <v>45046</v>
      </c>
      <c r="C3294" s="3" t="inlineStr">
        <is>
          <t>Liabilities</t>
        </is>
      </c>
      <c r="D3294" s="3" t="inlineStr">
        <is>
          <t>9000/000</t>
        </is>
      </c>
      <c r="E3294" s="3" t="inlineStr">
        <is>
          <t>Supplier Control Account</t>
        </is>
      </c>
      <c r="F3294" s="3" t="n">
        <v>1171314.84</v>
      </c>
      <c r="G3294" s="3" t="n">
        <v>-1226429.45</v>
      </c>
    </row>
    <row r="3295">
      <c r="A3295" s="3" t="inlineStr">
        <is>
          <t>Heron Fields (Pty) Ltd</t>
        </is>
      </c>
      <c r="B3295" s="4" t="n">
        <v>45046</v>
      </c>
      <c r="C3295" s="3" t="inlineStr">
        <is>
          <t>Liabilities</t>
        </is>
      </c>
      <c r="D3295" s="3" t="inlineStr">
        <is>
          <t>9000/000</t>
        </is>
      </c>
      <c r="E3295" s="3" t="inlineStr">
        <is>
          <t>Supplier Control Account</t>
        </is>
      </c>
      <c r="F3295" s="3" t="n">
        <v>-11019349.15</v>
      </c>
      <c r="G3295" s="3" t="n">
        <v>-129709692.95</v>
      </c>
    </row>
    <row r="3296">
      <c r="A3296" s="3" t="inlineStr">
        <is>
          <t>Heron View (Pty) Ltd</t>
        </is>
      </c>
      <c r="B3296" s="4" t="n">
        <v>45046</v>
      </c>
      <c r="C3296" s="3" t="inlineStr">
        <is>
          <t>Liabilities</t>
        </is>
      </c>
      <c r="D3296" s="3" t="inlineStr">
        <is>
          <t>9000/000</t>
        </is>
      </c>
      <c r="E3296" s="3" t="inlineStr">
        <is>
          <t>Supplier Control Account</t>
        </is>
      </c>
      <c r="F3296" s="3" t="n">
        <v>1582944.96</v>
      </c>
      <c r="G3296" s="3" t="n">
        <v>-1646466.88</v>
      </c>
    </row>
    <row r="3297">
      <c r="A3297" s="3" t="inlineStr">
        <is>
          <t>Cape Projects Construction (Pty) Ltd</t>
        </is>
      </c>
      <c r="B3297" s="4" t="n">
        <v>45046</v>
      </c>
      <c r="C3297" s="3" t="inlineStr">
        <is>
          <t>Liabilities</t>
        </is>
      </c>
      <c r="D3297" s="3" t="inlineStr">
        <is>
          <t>9250/020</t>
        </is>
      </c>
      <c r="E3297" s="3" t="inlineStr">
        <is>
          <t>PAYE, UIF AND SDL CONTROL</t>
        </is>
      </c>
      <c r="F3297" s="3" t="n">
        <v>-1511.74</v>
      </c>
      <c r="G3297" s="3" t="n">
        <v>-84915.49000000001</v>
      </c>
    </row>
    <row r="3298">
      <c r="A3298" s="3" t="inlineStr">
        <is>
          <t>Cape Projects Construction (Pty) Ltd</t>
        </is>
      </c>
      <c r="B3298" s="4" t="n">
        <v>45046</v>
      </c>
      <c r="C3298" s="3" t="inlineStr">
        <is>
          <t>Liabilities</t>
        </is>
      </c>
      <c r="D3298" s="3" t="inlineStr">
        <is>
          <t>9250/030</t>
        </is>
      </c>
      <c r="E3298" s="3" t="inlineStr">
        <is>
          <t>BIBC CONTROL</t>
        </is>
      </c>
      <c r="F3298" s="3" t="n">
        <v>-6809.25</v>
      </c>
      <c r="G3298" s="3" t="n">
        <v>-45395</v>
      </c>
    </row>
    <row r="3299">
      <c r="A3299" s="3" t="inlineStr">
        <is>
          <t>Cape Projects Construction (Pty) Ltd</t>
        </is>
      </c>
      <c r="B3299" s="4" t="n">
        <v>45046</v>
      </c>
      <c r="C3299" s="3" t="inlineStr">
        <is>
          <t>Liabilities</t>
        </is>
      </c>
      <c r="D3299" s="3" t="inlineStr">
        <is>
          <t>9500/000</t>
        </is>
      </c>
      <c r="E3299" s="3" t="inlineStr">
        <is>
          <t>VAT Control Account</t>
        </is>
      </c>
      <c r="F3299" s="3" t="n">
        <v>167124.73</v>
      </c>
      <c r="G3299" s="3" t="n">
        <v>-105771.91</v>
      </c>
    </row>
    <row r="3300">
      <c r="A3300" s="3" t="inlineStr">
        <is>
          <t>Heron Fields (Pty) Ltd</t>
        </is>
      </c>
      <c r="B3300" s="4" t="n">
        <v>45046</v>
      </c>
      <c r="C3300" s="3" t="inlineStr">
        <is>
          <t>Liabilities</t>
        </is>
      </c>
      <c r="D3300" s="3" t="inlineStr">
        <is>
          <t>9500/000</t>
        </is>
      </c>
      <c r="E3300" s="3" t="inlineStr">
        <is>
          <t>Vat / Tax Control Account</t>
        </is>
      </c>
      <c r="F3300" s="3" t="n">
        <v>-1456220.9</v>
      </c>
      <c r="G3300" s="3" t="n">
        <v>-3997162.46</v>
      </c>
    </row>
    <row r="3301">
      <c r="A3301" s="3" t="inlineStr">
        <is>
          <t>Heron View (Pty) Ltd</t>
        </is>
      </c>
      <c r="B3301" s="4" t="n">
        <v>45046</v>
      </c>
      <c r="C3301" s="3" t="inlineStr">
        <is>
          <t>Liabilities</t>
        </is>
      </c>
      <c r="D3301" s="3" t="inlineStr">
        <is>
          <t>9500/000</t>
        </is>
      </c>
      <c r="E3301" s="3" t="inlineStr">
        <is>
          <t>Vat / Tax Control Account</t>
        </is>
      </c>
      <c r="F3301" s="3" t="n">
        <v>731360.5600000001</v>
      </c>
      <c r="G3301" s="3" t="n">
        <v>3600912.7</v>
      </c>
    </row>
    <row r="3302">
      <c r="A3302" s="3" t="inlineStr">
        <is>
          <t>Heron Fields (Pty) Ltd</t>
        </is>
      </c>
      <c r="B3302" s="4" t="n">
        <v>45046</v>
      </c>
      <c r="C3302" s="3" t="inlineStr">
        <is>
          <t>Liabilities</t>
        </is>
      </c>
      <c r="D3302" s="3" t="inlineStr">
        <is>
          <t>9520/000</t>
        </is>
      </c>
      <c r="E3302" s="3" t="inlineStr">
        <is>
          <t>Income Tax Payable</t>
        </is>
      </c>
      <c r="F3302" s="3" t="n">
        <v>0</v>
      </c>
      <c r="G3302" s="3" t="n">
        <v>59039.93</v>
      </c>
    </row>
    <row r="3303">
      <c r="A3303" s="3" t="inlineStr">
        <is>
          <t>Heron Fields (Pty) Ltd</t>
        </is>
      </c>
      <c r="B3303" s="4" t="n">
        <v>45046</v>
      </c>
      <c r="C3303" s="3" t="inlineStr">
        <is>
          <t>Liabilities</t>
        </is>
      </c>
      <c r="D3303" s="3" t="inlineStr">
        <is>
          <t>9899/B208</t>
        </is>
      </c>
      <c r="E3303" s="3" t="inlineStr">
        <is>
          <t>Sales - Unit Reg Control B208</t>
        </is>
      </c>
      <c r="F3303" s="3" t="n">
        <v>0</v>
      </c>
      <c r="G3303" s="3" t="n">
        <v>1209624.06</v>
      </c>
    </row>
    <row r="3304">
      <c r="A3304" s="3" t="inlineStr">
        <is>
          <t>Cape Projects Construction (Pty) Ltd</t>
        </is>
      </c>
      <c r="B3304" s="4" t="n">
        <v>45046</v>
      </c>
      <c r="C3304" s="3" t="inlineStr">
        <is>
          <t>Liabilities</t>
        </is>
      </c>
      <c r="D3304" s="3" t="inlineStr">
        <is>
          <t>B/S</t>
        </is>
      </c>
      <c r="E3304" s="3" t="inlineStr">
        <is>
          <t>Taxation Payable</t>
        </is>
      </c>
      <c r="F3304" s="3" t="n">
        <v>0</v>
      </c>
      <c r="G3304" s="3" t="n">
        <v>28029.81</v>
      </c>
    </row>
    <row r="3305">
      <c r="A3305" s="3" t="inlineStr">
        <is>
          <t>Cape Projects Construction (Pty) Ltd</t>
        </is>
      </c>
      <c r="B3305" s="4" t="n">
        <v>45046</v>
      </c>
      <c r="C3305" s="3" t="inlineStr">
        <is>
          <t>Liabilities</t>
        </is>
      </c>
      <c r="D3305" s="3" t="inlineStr">
        <is>
          <t>TEMP/ACC</t>
        </is>
      </c>
      <c r="E3305" s="3" t="inlineStr">
        <is>
          <t>Conversion Account</t>
        </is>
      </c>
      <c r="F3305" s="3" t="n">
        <v>0</v>
      </c>
      <c r="G3305" s="3" t="n">
        <v>-254.99</v>
      </c>
    </row>
    <row r="3306">
      <c r="A3306" s="3" t="inlineStr">
        <is>
          <t>Heron Fields (Pty) Ltd</t>
        </is>
      </c>
      <c r="B3306" s="4" t="n">
        <v>45077</v>
      </c>
      <c r="C3306" s="3" t="inlineStr">
        <is>
          <t>Revenue</t>
        </is>
      </c>
      <c r="D3306" s="3" t="inlineStr">
        <is>
          <t>1000/100</t>
        </is>
      </c>
      <c r="E3306" s="3" t="inlineStr">
        <is>
          <t>Sales - Heron Fields</t>
        </is>
      </c>
      <c r="F3306" s="3" t="n">
        <v>-4851826.09</v>
      </c>
      <c r="G3306" s="3" t="n">
        <v>-24357478.27</v>
      </c>
    </row>
    <row r="3307">
      <c r="A3307" s="3" t="inlineStr">
        <is>
          <t>Heron Fields (Pty) Ltd</t>
        </is>
      </c>
      <c r="B3307" s="4" t="n">
        <v>45077</v>
      </c>
      <c r="C3307" s="3" t="inlineStr">
        <is>
          <t>Revenue</t>
        </is>
      </c>
      <c r="D3307" s="3" t="inlineStr">
        <is>
          <t>1000/101</t>
        </is>
      </c>
      <c r="E3307" s="3" t="inlineStr">
        <is>
          <t>Sales - Heron Fields occupational rent</t>
        </is>
      </c>
      <c r="F3307" s="3" t="n">
        <v>-65332.85</v>
      </c>
      <c r="G3307" s="3" t="n">
        <v>-94646.91</v>
      </c>
    </row>
    <row r="3308">
      <c r="A3308" s="3" t="inlineStr">
        <is>
          <t>Cape Projects Construction (Pty) Ltd</t>
        </is>
      </c>
      <c r="B3308" s="4" t="n">
        <v>45077</v>
      </c>
      <c r="C3308" s="3" t="inlineStr">
        <is>
          <t>Revenue</t>
        </is>
      </c>
      <c r="D3308" s="3" t="inlineStr">
        <is>
          <t>1040/100</t>
        </is>
      </c>
      <c r="E3308" s="3" t="inlineStr">
        <is>
          <t>Fees - Construction - Heron</t>
        </is>
      </c>
      <c r="F3308" s="3" t="n">
        <v>-4774233.25</v>
      </c>
      <c r="G3308" s="3" t="n">
        <v>-12972050.84</v>
      </c>
    </row>
    <row r="3309">
      <c r="A3309" s="3" t="inlineStr">
        <is>
          <t>Cape Projects Construction (Pty) Ltd</t>
        </is>
      </c>
      <c r="B3309" s="4" t="n">
        <v>45077</v>
      </c>
      <c r="C3309" s="3" t="inlineStr">
        <is>
          <t>Revenue</t>
        </is>
      </c>
      <c r="D3309" s="3" t="inlineStr">
        <is>
          <t>1070/000</t>
        </is>
      </c>
      <c r="E3309" s="3" t="inlineStr">
        <is>
          <t>Rent - CT Office</t>
        </is>
      </c>
      <c r="F3309" s="3" t="n">
        <v>3490.94</v>
      </c>
      <c r="G3309" s="3" t="n">
        <v>3490.94</v>
      </c>
    </row>
    <row r="3310">
      <c r="A3310" s="3" t="inlineStr">
        <is>
          <t>Heron View (Pty) Ltd</t>
        </is>
      </c>
      <c r="B3310" s="4" t="n">
        <v>45077</v>
      </c>
      <c r="C3310" s="3" t="inlineStr">
        <is>
          <t>Expenses</t>
        </is>
      </c>
      <c r="D3310" s="3" t="inlineStr">
        <is>
          <t>2000/030</t>
        </is>
      </c>
      <c r="E3310" s="3" t="inlineStr">
        <is>
          <t>COS - HV COCT Rates clearance</t>
        </is>
      </c>
      <c r="F3310" s="3" t="n">
        <v>192174.7</v>
      </c>
      <c r="G3310" s="3" t="n">
        <v>192174.7</v>
      </c>
    </row>
    <row r="3311">
      <c r="A3311" s="3" t="inlineStr">
        <is>
          <t>Heron Fields (Pty) Ltd</t>
        </is>
      </c>
      <c r="B3311" s="4" t="n">
        <v>45077</v>
      </c>
      <c r="C3311" s="3" t="inlineStr">
        <is>
          <t>Expenses</t>
        </is>
      </c>
      <c r="D3311" s="3" t="inlineStr">
        <is>
          <t>2000/040</t>
        </is>
      </c>
      <c r="E3311" s="3" t="inlineStr">
        <is>
          <t>COS - Legal Fees</t>
        </is>
      </c>
      <c r="F3311" s="3" t="n">
        <v>135356.83</v>
      </c>
      <c r="G3311" s="3" t="n">
        <v>559359.05</v>
      </c>
    </row>
    <row r="3312">
      <c r="A3312" s="3" t="inlineStr">
        <is>
          <t>Heron Fields (Pty) Ltd</t>
        </is>
      </c>
      <c r="B3312" s="4" t="n">
        <v>45077</v>
      </c>
      <c r="C3312" s="3" t="inlineStr">
        <is>
          <t>Expenses</t>
        </is>
      </c>
      <c r="D3312" s="3" t="inlineStr">
        <is>
          <t>2000/050</t>
        </is>
      </c>
      <c r="E3312" s="3" t="inlineStr">
        <is>
          <t>COS - Rates clearance</t>
        </is>
      </c>
      <c r="F3312" s="3" t="n">
        <v>6631.99</v>
      </c>
      <c r="G3312" s="3" t="n">
        <v>18160.92</v>
      </c>
    </row>
    <row r="3313">
      <c r="A3313" s="3" t="inlineStr">
        <is>
          <t>Heron Fields (Pty) Ltd</t>
        </is>
      </c>
      <c r="B3313" s="4" t="n">
        <v>45077</v>
      </c>
      <c r="C3313" s="3" t="inlineStr">
        <is>
          <t>Expenses</t>
        </is>
      </c>
      <c r="D3313" s="3" t="inlineStr">
        <is>
          <t>2000/060</t>
        </is>
      </c>
      <c r="E3313" s="3" t="inlineStr">
        <is>
          <t>COS - Levies</t>
        </is>
      </c>
      <c r="F3313" s="3" t="n">
        <v>171178.44</v>
      </c>
      <c r="G3313" s="3" t="n">
        <v>171178.44</v>
      </c>
    </row>
    <row r="3314">
      <c r="A3314" s="3" t="inlineStr">
        <is>
          <t>Heron Fields (Pty) Ltd</t>
        </is>
      </c>
      <c r="B3314" s="4" t="n">
        <v>45077</v>
      </c>
      <c r="C3314" s="3" t="inlineStr">
        <is>
          <t>Expenses</t>
        </is>
      </c>
      <c r="D3314" s="3" t="inlineStr">
        <is>
          <t>2000/070</t>
        </is>
      </c>
      <c r="E3314" s="3" t="inlineStr">
        <is>
          <t>COS - Commission HF Units</t>
        </is>
      </c>
      <c r="F3314" s="3" t="n">
        <v>242591.31</v>
      </c>
      <c r="G3314" s="3" t="n">
        <v>1156878.26</v>
      </c>
    </row>
    <row r="3315">
      <c r="A3315" s="3" t="inlineStr">
        <is>
          <t>Heron Fields (Pty) Ltd</t>
        </is>
      </c>
      <c r="B3315" s="4" t="n">
        <v>45077</v>
      </c>
      <c r="C3315" s="3" t="inlineStr">
        <is>
          <t>Expenses</t>
        </is>
      </c>
      <c r="D3315" s="3" t="inlineStr">
        <is>
          <t>2000/090</t>
        </is>
      </c>
      <c r="E3315" s="3" t="inlineStr">
        <is>
          <t>COS - Electricity</t>
        </is>
      </c>
      <c r="F3315" s="3" t="n">
        <v>0</v>
      </c>
      <c r="G3315" s="3" t="n">
        <v>250</v>
      </c>
    </row>
    <row r="3316">
      <c r="A3316" s="3" t="inlineStr">
        <is>
          <t>Cape Projects Construction (Pty) Ltd</t>
        </is>
      </c>
      <c r="B3316" s="4" t="n">
        <v>45077</v>
      </c>
      <c r="C3316" s="3" t="inlineStr">
        <is>
          <t>Expenses</t>
        </is>
      </c>
      <c r="D3316" s="3" t="inlineStr">
        <is>
          <t>2000/500</t>
        </is>
      </c>
      <c r="E3316" s="3" t="inlineStr">
        <is>
          <t>COS - Electricity Cost Endulini</t>
        </is>
      </c>
      <c r="F3316" s="3" t="n">
        <v>0</v>
      </c>
      <c r="G3316" s="3" t="n">
        <v>200</v>
      </c>
    </row>
    <row r="3317">
      <c r="A3317" s="3" t="inlineStr">
        <is>
          <t>Cape Projects Construction (Pty) Ltd</t>
        </is>
      </c>
      <c r="B3317" s="4" t="n">
        <v>45077</v>
      </c>
      <c r="C3317" s="3" t="inlineStr">
        <is>
          <t>Expenses</t>
        </is>
      </c>
      <c r="D3317" s="3" t="inlineStr">
        <is>
          <t>2001/000</t>
        </is>
      </c>
      <c r="E3317" s="3" t="inlineStr">
        <is>
          <t>Cost of Sales - SouthWark Project</t>
        </is>
      </c>
      <c r="F3317" s="3" t="n">
        <v>20456.5</v>
      </c>
      <c r="G3317" s="3" t="n">
        <v>20943.45</v>
      </c>
    </row>
    <row r="3318">
      <c r="A3318" s="3" t="inlineStr">
        <is>
          <t>Cape Projects Construction (Pty) Ltd</t>
        </is>
      </c>
      <c r="B3318" s="4" t="n">
        <v>45077</v>
      </c>
      <c r="C3318" s="3" t="inlineStr">
        <is>
          <t>Expenses</t>
        </is>
      </c>
      <c r="D3318" s="3" t="inlineStr">
        <is>
          <t>2006/000</t>
        </is>
      </c>
      <c r="E3318" s="3" t="inlineStr">
        <is>
          <t>COS - Endulini Construction</t>
        </is>
      </c>
      <c r="F3318" s="3" t="n">
        <v>28166.51</v>
      </c>
      <c r="G3318" s="3" t="n">
        <v>221172.3</v>
      </c>
    </row>
    <row r="3319">
      <c r="A3319" s="3" t="inlineStr">
        <is>
          <t>Cape Projects Construction (Pty) Ltd</t>
        </is>
      </c>
      <c r="B3319" s="4" t="n">
        <v>45077</v>
      </c>
      <c r="C3319" s="3" t="inlineStr">
        <is>
          <t>Expenses</t>
        </is>
      </c>
      <c r="D3319" s="3" t="inlineStr">
        <is>
          <t>2006/100</t>
        </is>
      </c>
      <c r="E3319" s="3" t="inlineStr">
        <is>
          <t>COS - Endulini P and G</t>
        </is>
      </c>
      <c r="F3319" s="3" t="n">
        <v>2880.57</v>
      </c>
      <c r="G3319" s="3" t="n">
        <v>28676.11</v>
      </c>
    </row>
    <row r="3320">
      <c r="A3320" s="3" t="inlineStr">
        <is>
          <t>Cape Projects Construction (Pty) Ltd</t>
        </is>
      </c>
      <c r="B3320" s="4" t="n">
        <v>45077</v>
      </c>
      <c r="C3320" s="3" t="inlineStr">
        <is>
          <t>Expenses</t>
        </is>
      </c>
      <c r="D3320" s="3" t="inlineStr">
        <is>
          <t>2006/200</t>
        </is>
      </c>
      <c r="E3320" s="3" t="inlineStr">
        <is>
          <t>COS - Insurance</t>
        </is>
      </c>
      <c r="F3320" s="3" t="n">
        <v>0</v>
      </c>
      <c r="G3320" s="3" t="n">
        <v>2719.43</v>
      </c>
    </row>
    <row r="3321">
      <c r="A3321" s="3" t="inlineStr">
        <is>
          <t>Cape Projects Construction (Pty) Ltd</t>
        </is>
      </c>
      <c r="B3321" s="4" t="n">
        <v>45077</v>
      </c>
      <c r="C3321" s="3" t="inlineStr">
        <is>
          <t>Expenses</t>
        </is>
      </c>
      <c r="D3321" s="3" t="inlineStr">
        <is>
          <t>2006/800</t>
        </is>
      </c>
      <c r="E3321" s="3" t="inlineStr">
        <is>
          <t>COS - Endulini - Telephone &amp; Internet</t>
        </is>
      </c>
      <c r="F3321" s="3" t="n">
        <v>0</v>
      </c>
      <c r="G3321" s="3" t="n">
        <v>760.87</v>
      </c>
    </row>
    <row r="3322">
      <c r="A3322" s="3" t="inlineStr">
        <is>
          <t>Cape Projects Construction (Pty) Ltd</t>
        </is>
      </c>
      <c r="B3322" s="4" t="n">
        <v>45077</v>
      </c>
      <c r="C3322" s="3" t="inlineStr">
        <is>
          <t>Expenses</t>
        </is>
      </c>
      <c r="D3322" s="3" t="inlineStr">
        <is>
          <t>2011/300</t>
        </is>
      </c>
      <c r="E3322" s="3" t="inlineStr">
        <is>
          <t>COS - Heron Fields - Printing &amp; Stationary</t>
        </is>
      </c>
      <c r="F3322" s="3" t="n">
        <v>1129.57</v>
      </c>
      <c r="G3322" s="3" t="n">
        <v>1129.57</v>
      </c>
    </row>
    <row r="3323">
      <c r="A3323" s="3" t="inlineStr">
        <is>
          <t>Cape Projects Construction (Pty) Ltd</t>
        </is>
      </c>
      <c r="B3323" s="4" t="n">
        <v>45077</v>
      </c>
      <c r="C3323" s="3" t="inlineStr">
        <is>
          <t>Expenses</t>
        </is>
      </c>
      <c r="D3323" s="3" t="inlineStr">
        <is>
          <t>2011/500</t>
        </is>
      </c>
      <c r="E3323" s="3" t="inlineStr">
        <is>
          <t>COS - Heron Fields - Construction</t>
        </is>
      </c>
      <c r="F3323" s="3" t="n">
        <v>149683.77</v>
      </c>
      <c r="G3323" s="3" t="n">
        <v>1010982.75</v>
      </c>
    </row>
    <row r="3324">
      <c r="A3324" s="3" t="inlineStr">
        <is>
          <t>Cape Projects Construction (Pty) Ltd</t>
        </is>
      </c>
      <c r="B3324" s="4" t="n">
        <v>45077</v>
      </c>
      <c r="C3324" s="3" t="inlineStr">
        <is>
          <t>Expenses</t>
        </is>
      </c>
      <c r="D3324" s="3" t="inlineStr">
        <is>
          <t>2011/600</t>
        </is>
      </c>
      <c r="E3324" s="3" t="inlineStr">
        <is>
          <t>COS - Heron Fields - P &amp; G</t>
        </is>
      </c>
      <c r="F3324" s="3" t="n">
        <v>50267.62</v>
      </c>
      <c r="G3324" s="3" t="n">
        <v>162429.65</v>
      </c>
    </row>
    <row r="3325">
      <c r="A3325" s="3" t="inlineStr">
        <is>
          <t>Cape Projects Construction (Pty) Ltd</t>
        </is>
      </c>
      <c r="B3325" s="4" t="n">
        <v>45077</v>
      </c>
      <c r="C3325" s="3" t="inlineStr">
        <is>
          <t>Expenses</t>
        </is>
      </c>
      <c r="D3325" s="3" t="inlineStr">
        <is>
          <t>2011/700</t>
        </is>
      </c>
      <c r="E3325" s="3" t="inlineStr">
        <is>
          <t>COS - Heron Fields - Health &amp; Safety</t>
        </is>
      </c>
      <c r="F3325" s="3" t="n">
        <v>0</v>
      </c>
      <c r="G3325" s="3" t="n">
        <v>694.78</v>
      </c>
    </row>
    <row r="3326">
      <c r="A3326" s="3" t="inlineStr">
        <is>
          <t>Cape Projects Construction (Pty) Ltd</t>
        </is>
      </c>
      <c r="B3326" s="4" t="n">
        <v>45077</v>
      </c>
      <c r="C3326" s="3" t="inlineStr">
        <is>
          <t>Expenses</t>
        </is>
      </c>
      <c r="D3326" s="3" t="inlineStr">
        <is>
          <t>2011/900</t>
        </is>
      </c>
      <c r="E3326" s="3" t="inlineStr">
        <is>
          <t>COS - Heron - Internet</t>
        </is>
      </c>
      <c r="F3326" s="3" t="n">
        <v>1189.57</v>
      </c>
      <c r="G3326" s="3" t="n">
        <v>3568.71</v>
      </c>
    </row>
    <row r="3327">
      <c r="A3327" s="3" t="inlineStr">
        <is>
          <t>Cape Projects Construction (Pty) Ltd</t>
        </is>
      </c>
      <c r="B3327" s="4" t="n">
        <v>45077</v>
      </c>
      <c r="C3327" s="3" t="inlineStr">
        <is>
          <t>Expenses</t>
        </is>
      </c>
      <c r="D3327" s="3" t="inlineStr">
        <is>
          <t>2012/001</t>
        </is>
      </c>
      <c r="E3327" s="3" t="inlineStr">
        <is>
          <t>COS - Heron View - Printing &amp; Stationary</t>
        </is>
      </c>
      <c r="F3327" s="3" t="n">
        <v>2170.45</v>
      </c>
      <c r="G3327" s="3" t="n">
        <v>2248.71</v>
      </c>
    </row>
    <row r="3328">
      <c r="A3328" s="3" t="inlineStr">
        <is>
          <t>Cape Projects Construction (Pty) Ltd</t>
        </is>
      </c>
      <c r="B3328" s="4" t="n">
        <v>45077</v>
      </c>
      <c r="C3328" s="3" t="inlineStr">
        <is>
          <t>Expenses</t>
        </is>
      </c>
      <c r="D3328" s="3" t="inlineStr">
        <is>
          <t>2012/002</t>
        </is>
      </c>
      <c r="E3328" s="3" t="inlineStr">
        <is>
          <t>COS - Heron View - Construction</t>
        </is>
      </c>
      <c r="F3328" s="3" t="n">
        <v>3793437.38</v>
      </c>
      <c r="G3328" s="3" t="n">
        <v>9470418.210000001</v>
      </c>
    </row>
    <row r="3329">
      <c r="A3329" s="3" t="inlineStr">
        <is>
          <t>Cape Projects Construction (Pty) Ltd</t>
        </is>
      </c>
      <c r="B3329" s="4" t="n">
        <v>45077</v>
      </c>
      <c r="C3329" s="3" t="inlineStr">
        <is>
          <t>Expenses</t>
        </is>
      </c>
      <c r="D3329" s="3" t="inlineStr">
        <is>
          <t>2012/003</t>
        </is>
      </c>
      <c r="E3329" s="3" t="inlineStr">
        <is>
          <t>COS - Heron View - P&amp;G</t>
        </is>
      </c>
      <c r="F3329" s="3" t="n">
        <v>61021.92</v>
      </c>
      <c r="G3329" s="3" t="n">
        <v>435567.52</v>
      </c>
    </row>
    <row r="3330">
      <c r="A3330" s="3" t="inlineStr">
        <is>
          <t>Cape Projects Construction (Pty) Ltd</t>
        </is>
      </c>
      <c r="B3330" s="4" t="n">
        <v>45077</v>
      </c>
      <c r="C3330" s="3" t="inlineStr">
        <is>
          <t>Expenses</t>
        </is>
      </c>
      <c r="D3330" s="3" t="inlineStr">
        <is>
          <t>2013/000</t>
        </is>
      </c>
      <c r="E3330" s="3" t="inlineStr">
        <is>
          <t>COS - Bakhoven</t>
        </is>
      </c>
      <c r="F3330" s="3" t="n">
        <v>0</v>
      </c>
      <c r="G3330" s="3" t="n">
        <v>17292.48</v>
      </c>
    </row>
    <row r="3331">
      <c r="A3331" s="3" t="inlineStr">
        <is>
          <t>Cape Projects Construction (Pty) Ltd</t>
        </is>
      </c>
      <c r="B3331" s="4" t="n">
        <v>45077</v>
      </c>
      <c r="C3331" s="3" t="inlineStr">
        <is>
          <t>Revenue</t>
        </is>
      </c>
      <c r="D3331" s="3" t="inlineStr">
        <is>
          <t>2750/000</t>
        </is>
      </c>
      <c r="E3331" s="3" t="inlineStr">
        <is>
          <t>Interest Received - FNB</t>
        </is>
      </c>
      <c r="F3331" s="3" t="n">
        <v>-17.19</v>
      </c>
      <c r="G3331" s="3" t="n">
        <v>-337.38</v>
      </c>
    </row>
    <row r="3332">
      <c r="A3332" s="3" t="inlineStr">
        <is>
          <t>Cape Projects Construction (Pty) Ltd</t>
        </is>
      </c>
      <c r="B3332" s="4" t="n">
        <v>45077</v>
      </c>
      <c r="C3332" s="3" t="inlineStr">
        <is>
          <t>Revenue</t>
        </is>
      </c>
      <c r="D3332" s="3" t="inlineStr">
        <is>
          <t>2751/001</t>
        </is>
      </c>
      <c r="E3332" s="3" t="inlineStr">
        <is>
          <t>Interest received - Momentum</t>
        </is>
      </c>
      <c r="F3332" s="3" t="n">
        <v>0</v>
      </c>
      <c r="G3332" s="3" t="n">
        <v>-10.39</v>
      </c>
    </row>
    <row r="3333">
      <c r="A3333" s="3" t="inlineStr">
        <is>
          <t>Heron Fields (Pty) Ltd</t>
        </is>
      </c>
      <c r="B3333" s="4" t="n">
        <v>45077</v>
      </c>
      <c r="C3333" s="3" t="inlineStr">
        <is>
          <t>Revenue</t>
        </is>
      </c>
      <c r="D3333" s="3" t="inlineStr">
        <is>
          <t>2755/001</t>
        </is>
      </c>
      <c r="E3333" s="3" t="inlineStr">
        <is>
          <t>Interest Received - Momentum</t>
        </is>
      </c>
      <c r="F3333" s="3" t="n">
        <v>-222525.45</v>
      </c>
      <c r="G3333" s="3" t="n">
        <v>-553041.54</v>
      </c>
    </row>
    <row r="3334">
      <c r="A3334" s="3" t="inlineStr">
        <is>
          <t>Heron Fields (Pty) Ltd</t>
        </is>
      </c>
      <c r="B3334" s="4" t="n">
        <v>45077</v>
      </c>
      <c r="C3334" s="3" t="inlineStr">
        <is>
          <t>Expenses</t>
        </is>
      </c>
      <c r="D3334" s="3" t="inlineStr">
        <is>
          <t>3050/000</t>
        </is>
      </c>
      <c r="E3334" s="3" t="inlineStr">
        <is>
          <t>Advertising _AND_ Promotions</t>
        </is>
      </c>
      <c r="F3334" s="3" t="n">
        <v>52232.03</v>
      </c>
      <c r="G3334" s="3" t="n">
        <v>98086.78999999999</v>
      </c>
    </row>
    <row r="3335">
      <c r="A3335" s="3" t="inlineStr">
        <is>
          <t>Heron View (Pty) Ltd</t>
        </is>
      </c>
      <c r="B3335" s="4" t="n">
        <v>45077</v>
      </c>
      <c r="C3335" s="3" t="inlineStr">
        <is>
          <t>Expenses</t>
        </is>
      </c>
      <c r="D3335" s="3" t="inlineStr">
        <is>
          <t>3050/000</t>
        </is>
      </c>
      <c r="E3335" s="3" t="inlineStr">
        <is>
          <t>Advertising _AND_ Promotions</t>
        </is>
      </c>
      <c r="F3335" s="3" t="n">
        <v>5637.5</v>
      </c>
      <c r="G3335" s="3" t="n">
        <v>32177.72</v>
      </c>
    </row>
    <row r="3336">
      <c r="A3336" s="3" t="inlineStr">
        <is>
          <t>Heron Fields (Pty) Ltd</t>
        </is>
      </c>
      <c r="B3336" s="4" t="n">
        <v>45077</v>
      </c>
      <c r="C3336" s="3" t="inlineStr">
        <is>
          <t>Expenses</t>
        </is>
      </c>
      <c r="D3336" s="3" t="inlineStr">
        <is>
          <t>3050/100</t>
        </is>
      </c>
      <c r="E3336" s="3" t="inlineStr">
        <is>
          <t>Advertising - Property24</t>
        </is>
      </c>
      <c r="F3336" s="3" t="n">
        <v>-12480</v>
      </c>
      <c r="G3336" s="3" t="n">
        <v>12480</v>
      </c>
    </row>
    <row r="3337">
      <c r="A3337" s="3" t="inlineStr">
        <is>
          <t>Cape Projects Construction (Pty) Ltd</t>
        </is>
      </c>
      <c r="B3337" s="4" t="n">
        <v>45077</v>
      </c>
      <c r="C3337" s="3" t="inlineStr">
        <is>
          <t>Expenses</t>
        </is>
      </c>
      <c r="D3337" s="3" t="inlineStr">
        <is>
          <t>3050/150</t>
        </is>
      </c>
      <c r="E3337" s="3" t="inlineStr">
        <is>
          <t>Advertising - Design Fees</t>
        </is>
      </c>
      <c r="F3337" s="3" t="n">
        <v>0</v>
      </c>
      <c r="G3337" s="3" t="n">
        <v>295</v>
      </c>
    </row>
    <row r="3338">
      <c r="A3338" s="3" t="inlineStr">
        <is>
          <t>Cape Projects Construction (Pty) Ltd</t>
        </is>
      </c>
      <c r="B3338" s="4" t="n">
        <v>45077</v>
      </c>
      <c r="C3338" s="3" t="inlineStr">
        <is>
          <t>Expenses</t>
        </is>
      </c>
      <c r="D3338" s="3" t="inlineStr">
        <is>
          <t>3050/450</t>
        </is>
      </c>
      <c r="E3338" s="3" t="inlineStr">
        <is>
          <t>Advertising - Other</t>
        </is>
      </c>
      <c r="F3338" s="3" t="n">
        <v>0</v>
      </c>
      <c r="G3338" s="3" t="n">
        <v>712</v>
      </c>
    </row>
    <row r="3339">
      <c r="A3339" s="3" t="inlineStr">
        <is>
          <t>Cape Projects Construction (Pty) Ltd</t>
        </is>
      </c>
      <c r="B3339" s="4" t="n">
        <v>45077</v>
      </c>
      <c r="C3339" s="3" t="inlineStr">
        <is>
          <t>Expenses</t>
        </is>
      </c>
      <c r="D3339" s="3" t="inlineStr">
        <is>
          <t>3200/000</t>
        </is>
      </c>
      <c r="E3339" s="3" t="inlineStr">
        <is>
          <t>Bank Charges</t>
        </is>
      </c>
      <c r="F3339" s="3" t="n">
        <v>1869.9</v>
      </c>
      <c r="G3339" s="3" t="n">
        <v>5578.63</v>
      </c>
    </row>
    <row r="3340">
      <c r="A3340" s="3" t="inlineStr">
        <is>
          <t>Heron Fields (Pty) Ltd</t>
        </is>
      </c>
      <c r="B3340" s="4" t="n">
        <v>45077</v>
      </c>
      <c r="C3340" s="3" t="inlineStr">
        <is>
          <t>Expenses</t>
        </is>
      </c>
      <c r="D3340" s="3" t="inlineStr">
        <is>
          <t>3200/000</t>
        </is>
      </c>
      <c r="E3340" s="3" t="inlineStr">
        <is>
          <t>Bank Charges</t>
        </is>
      </c>
      <c r="F3340" s="3" t="n">
        <v>449.38</v>
      </c>
      <c r="G3340" s="3" t="n">
        <v>1406.56</v>
      </c>
    </row>
    <row r="3341">
      <c r="A3341" s="3" t="inlineStr">
        <is>
          <t>Cape Projects Construction (Pty) Ltd</t>
        </is>
      </c>
      <c r="B3341" s="4" t="n">
        <v>45077</v>
      </c>
      <c r="C3341" s="3" t="inlineStr">
        <is>
          <t>Expenses</t>
        </is>
      </c>
      <c r="D3341" s="3" t="inlineStr">
        <is>
          <t>3250/000</t>
        </is>
      </c>
      <c r="E3341" s="3" t="inlineStr">
        <is>
          <t>Cleaning</t>
        </is>
      </c>
      <c r="F3341" s="3" t="n">
        <v>78.25</v>
      </c>
      <c r="G3341" s="3" t="n">
        <v>433.65</v>
      </c>
    </row>
    <row r="3342">
      <c r="A3342" s="3" t="inlineStr">
        <is>
          <t>Cape Projects Construction (Pty) Ltd</t>
        </is>
      </c>
      <c r="B3342" s="4" t="n">
        <v>45077</v>
      </c>
      <c r="C3342" s="3" t="inlineStr">
        <is>
          <t>Expenses</t>
        </is>
      </c>
      <c r="D3342" s="3" t="inlineStr">
        <is>
          <t>3300/000</t>
        </is>
      </c>
      <c r="E3342" s="3" t="inlineStr">
        <is>
          <t>Computer Expenses</t>
        </is>
      </c>
      <c r="F3342" s="3" t="n">
        <v>1999.13</v>
      </c>
      <c r="G3342" s="3" t="n">
        <v>3603.65</v>
      </c>
    </row>
    <row r="3343">
      <c r="A3343" s="3" t="inlineStr">
        <is>
          <t>Cape Projects Construction (Pty) Ltd</t>
        </is>
      </c>
      <c r="B3343" s="4" t="n">
        <v>45077</v>
      </c>
      <c r="C3343" s="3" t="inlineStr">
        <is>
          <t>Expenses</t>
        </is>
      </c>
      <c r="D3343" s="3" t="inlineStr">
        <is>
          <t>3300/100</t>
        </is>
      </c>
      <c r="E3343" s="3" t="inlineStr">
        <is>
          <t>Computer Exp - IT, Internet/Hosting Fee</t>
        </is>
      </c>
      <c r="F3343" s="3" t="n">
        <v>3130</v>
      </c>
      <c r="G3343" s="3" t="n">
        <v>10839</v>
      </c>
    </row>
    <row r="3344">
      <c r="A3344" s="3" t="inlineStr">
        <is>
          <t>Heron Fields (Pty) Ltd</t>
        </is>
      </c>
      <c r="B3344" s="4" t="n">
        <v>45077</v>
      </c>
      <c r="C3344" s="3" t="inlineStr">
        <is>
          <t>Expenses</t>
        </is>
      </c>
      <c r="D3344" s="3" t="inlineStr">
        <is>
          <t>3350/100</t>
        </is>
      </c>
      <c r="E3344" s="3" t="inlineStr">
        <is>
          <t>Consulting Fees - Admin and Finance</t>
        </is>
      </c>
      <c r="F3344" s="3" t="n">
        <v>121658</v>
      </c>
      <c r="G3344" s="3" t="n">
        <v>329184.57</v>
      </c>
    </row>
    <row r="3345">
      <c r="A3345" s="3" t="inlineStr">
        <is>
          <t>Cape Projects Construction (Pty) Ltd</t>
        </is>
      </c>
      <c r="B3345" s="4" t="n">
        <v>45077</v>
      </c>
      <c r="C3345" s="3" t="inlineStr">
        <is>
          <t>Expenses</t>
        </is>
      </c>
      <c r="D3345" s="3" t="inlineStr">
        <is>
          <t>3350/300</t>
        </is>
      </c>
      <c r="E3345" s="3" t="inlineStr">
        <is>
          <t>Consulting Fees - Admin and Finance</t>
        </is>
      </c>
      <c r="F3345" s="3" t="n">
        <v>119527</v>
      </c>
      <c r="G3345" s="3" t="n">
        <v>373995.7</v>
      </c>
    </row>
    <row r="3346">
      <c r="A3346" s="3" t="inlineStr">
        <is>
          <t>Heron Fields (Pty) Ltd</t>
        </is>
      </c>
      <c r="B3346" s="4" t="n">
        <v>45077</v>
      </c>
      <c r="C3346" s="3" t="inlineStr">
        <is>
          <t>Expenses</t>
        </is>
      </c>
      <c r="D3346" s="3" t="inlineStr">
        <is>
          <t>3351/000</t>
        </is>
      </c>
      <c r="E3346" s="3" t="inlineStr">
        <is>
          <t>Consulting fees - Trustee</t>
        </is>
      </c>
      <c r="F3346" s="3" t="n">
        <v>4000</v>
      </c>
      <c r="G3346" s="3" t="n">
        <v>8000</v>
      </c>
    </row>
    <row r="3347">
      <c r="A3347" s="3" t="inlineStr">
        <is>
          <t>Cape Projects Construction (Pty) Ltd</t>
        </is>
      </c>
      <c r="B3347" s="4" t="n">
        <v>45077</v>
      </c>
      <c r="C3347" s="3" t="inlineStr">
        <is>
          <t>Expenses</t>
        </is>
      </c>
      <c r="D3347" s="3" t="inlineStr">
        <is>
          <t>3400/000</t>
        </is>
      </c>
      <c r="E3347" s="3" t="inlineStr">
        <is>
          <t>Courier _AND_ Postage</t>
        </is>
      </c>
      <c r="F3347" s="3" t="n">
        <v>86.09</v>
      </c>
      <c r="G3347" s="3" t="n">
        <v>86.09</v>
      </c>
    </row>
    <row r="3348">
      <c r="A3348" s="3" t="inlineStr">
        <is>
          <t>Cape Projects Construction (Pty) Ltd</t>
        </is>
      </c>
      <c r="B3348" s="4" t="n">
        <v>45077</v>
      </c>
      <c r="C3348" s="3" t="inlineStr">
        <is>
          <t>Expenses</t>
        </is>
      </c>
      <c r="D3348" s="3" t="inlineStr">
        <is>
          <t>3450/001</t>
        </is>
      </c>
      <c r="E3348" s="3" t="inlineStr">
        <is>
          <t>Depreciation - Computer Equipment</t>
        </is>
      </c>
      <c r="F3348" s="3" t="n">
        <v>3323.91</v>
      </c>
      <c r="G3348" s="3" t="n">
        <v>9971.700000000001</v>
      </c>
    </row>
    <row r="3349">
      <c r="A3349" s="3" t="inlineStr">
        <is>
          <t>Cape Projects Construction (Pty) Ltd</t>
        </is>
      </c>
      <c r="B3349" s="4" t="n">
        <v>45077</v>
      </c>
      <c r="C3349" s="3" t="inlineStr">
        <is>
          <t>Expenses</t>
        </is>
      </c>
      <c r="D3349" s="3" t="inlineStr">
        <is>
          <t>3450/002</t>
        </is>
      </c>
      <c r="E3349" s="3" t="inlineStr">
        <is>
          <t>Depreciation - Generator Fixed Asset</t>
        </is>
      </c>
      <c r="F3349" s="3" t="n">
        <v>1188.7</v>
      </c>
      <c r="G3349" s="3" t="n">
        <v>1575.37</v>
      </c>
    </row>
    <row r="3350">
      <c r="A3350" s="3" t="inlineStr">
        <is>
          <t>Cape Projects Construction (Pty) Ltd</t>
        </is>
      </c>
      <c r="B3350" s="4" t="n">
        <v>45077</v>
      </c>
      <c r="C3350" s="3" t="inlineStr">
        <is>
          <t>Expenses</t>
        </is>
      </c>
      <c r="D3350" s="3" t="inlineStr">
        <is>
          <t>3450/030</t>
        </is>
      </c>
      <c r="E3350" s="3" t="inlineStr">
        <is>
          <t>Depreciation - Furniture and Fittings</t>
        </is>
      </c>
      <c r="F3350" s="3" t="n">
        <v>547.6799999999999</v>
      </c>
      <c r="G3350" s="3" t="n">
        <v>1643.03</v>
      </c>
    </row>
    <row r="3351">
      <c r="A3351" s="3" t="inlineStr">
        <is>
          <t>Heron Fields (Pty) Ltd</t>
        </is>
      </c>
      <c r="B3351" s="4" t="n">
        <v>45077</v>
      </c>
      <c r="C3351" s="3" t="inlineStr">
        <is>
          <t>Expenses</t>
        </is>
      </c>
      <c r="D3351" s="3" t="inlineStr">
        <is>
          <t>3650/000</t>
        </is>
      </c>
      <c r="E3351" s="3" t="inlineStr">
        <is>
          <t>CoCT - Electricity</t>
        </is>
      </c>
      <c r="F3351" s="3" t="n">
        <v>2524.84</v>
      </c>
      <c r="G3351" s="3" t="n">
        <v>11263.46</v>
      </c>
    </row>
    <row r="3352">
      <c r="A3352" s="3" t="inlineStr">
        <is>
          <t>Cape Projects Construction (Pty) Ltd</t>
        </is>
      </c>
      <c r="B3352" s="4" t="n">
        <v>45077</v>
      </c>
      <c r="C3352" s="3" t="inlineStr">
        <is>
          <t>Expenses</t>
        </is>
      </c>
      <c r="D3352" s="3" t="inlineStr">
        <is>
          <t>3650/000</t>
        </is>
      </c>
      <c r="E3352" s="3" t="inlineStr">
        <is>
          <t>Electricity _AND_ Water</t>
        </is>
      </c>
      <c r="F3352" s="3" t="n">
        <v>5058.34</v>
      </c>
      <c r="G3352" s="3" t="n">
        <v>19162.49</v>
      </c>
    </row>
    <row r="3353">
      <c r="A3353" s="3" t="inlineStr">
        <is>
          <t>Heron Fields (Pty) Ltd</t>
        </is>
      </c>
      <c r="B3353" s="4" t="n">
        <v>45077</v>
      </c>
      <c r="C3353" s="3" t="inlineStr">
        <is>
          <t>Expenses</t>
        </is>
      </c>
      <c r="D3353" s="3" t="inlineStr">
        <is>
          <t>3660/000</t>
        </is>
      </c>
      <c r="E3353" s="3" t="inlineStr">
        <is>
          <t>CoCT - Water</t>
        </is>
      </c>
      <c r="F3353" s="3" t="n">
        <v>8832.24</v>
      </c>
      <c r="G3353" s="3" t="n">
        <v>43879.43</v>
      </c>
    </row>
    <row r="3354">
      <c r="A3354" s="3" t="inlineStr">
        <is>
          <t>Heron Fields (Pty) Ltd</t>
        </is>
      </c>
      <c r="B3354" s="4" t="n">
        <v>45077</v>
      </c>
      <c r="C3354" s="3" t="inlineStr">
        <is>
          <t>Expenses</t>
        </is>
      </c>
      <c r="D3354" s="3" t="inlineStr">
        <is>
          <t>3670/000</t>
        </is>
      </c>
      <c r="E3354" s="3" t="inlineStr">
        <is>
          <t>CoCT - Refuse</t>
        </is>
      </c>
      <c r="F3354" s="3" t="n">
        <v>0</v>
      </c>
      <c r="G3354" s="3" t="n">
        <v>10690.2</v>
      </c>
    </row>
    <row r="3355">
      <c r="A3355" s="3" t="inlineStr">
        <is>
          <t>Heron Fields (Pty) Ltd</t>
        </is>
      </c>
      <c r="B3355" s="4" t="n">
        <v>45077</v>
      </c>
      <c r="C3355" s="3" t="inlineStr">
        <is>
          <t>Expenses</t>
        </is>
      </c>
      <c r="D3355" s="3" t="inlineStr">
        <is>
          <t>3700/000</t>
        </is>
      </c>
      <c r="E3355" s="3" t="inlineStr">
        <is>
          <t>Entertainment Expenses</t>
        </is>
      </c>
      <c r="F3355" s="3" t="n">
        <v>39.47</v>
      </c>
      <c r="G3355" s="3" t="n">
        <v>39.47</v>
      </c>
    </row>
    <row r="3356">
      <c r="A3356" s="3" t="inlineStr">
        <is>
          <t>Heron Fields (Pty) Ltd</t>
        </is>
      </c>
      <c r="B3356" s="4" t="n">
        <v>45077</v>
      </c>
      <c r="C3356" s="3" t="inlineStr">
        <is>
          <t>Expenses</t>
        </is>
      </c>
      <c r="D3356" s="3" t="inlineStr">
        <is>
          <t>3800/000</t>
        </is>
      </c>
      <c r="E3356" s="3" t="inlineStr">
        <is>
          <t>General Expenses</t>
        </is>
      </c>
      <c r="F3356" s="3" t="n">
        <v>0</v>
      </c>
      <c r="G3356" s="3" t="n">
        <v>199.99</v>
      </c>
    </row>
    <row r="3357">
      <c r="A3357" s="3" t="inlineStr">
        <is>
          <t>Heron Fields (Pty) Ltd</t>
        </is>
      </c>
      <c r="B3357" s="4" t="n">
        <v>45077</v>
      </c>
      <c r="C3357" s="3" t="inlineStr">
        <is>
          <t>Expenses</t>
        </is>
      </c>
      <c r="D3357" s="3" t="inlineStr">
        <is>
          <t>3850/000</t>
        </is>
      </c>
      <c r="E3357" s="3" t="inlineStr">
        <is>
          <t>Insurance</t>
        </is>
      </c>
      <c r="F3357" s="3" t="n">
        <v>8823.9</v>
      </c>
      <c r="G3357" s="3" t="n">
        <v>16174.23</v>
      </c>
    </row>
    <row r="3358">
      <c r="A3358" s="3" t="inlineStr">
        <is>
          <t>Cape Projects Construction (Pty) Ltd</t>
        </is>
      </c>
      <c r="B3358" s="4" t="n">
        <v>45077</v>
      </c>
      <c r="C3358" s="3" t="inlineStr">
        <is>
          <t>Expenses</t>
        </is>
      </c>
      <c r="D3358" s="3" t="inlineStr">
        <is>
          <t>3850/001</t>
        </is>
      </c>
      <c r="E3358" s="3" t="inlineStr">
        <is>
          <t>Insurance - Santam</t>
        </is>
      </c>
      <c r="F3358" s="3" t="n">
        <v>0</v>
      </c>
      <c r="G3358" s="3" t="n">
        <v>5734.41</v>
      </c>
    </row>
    <row r="3359">
      <c r="A3359" s="3" t="inlineStr">
        <is>
          <t>Heron Fields (Pty) Ltd</t>
        </is>
      </c>
      <c r="B3359" s="4" t="n">
        <v>45077</v>
      </c>
      <c r="C3359" s="3" t="inlineStr">
        <is>
          <t>Expenses</t>
        </is>
      </c>
      <c r="D3359" s="3" t="inlineStr">
        <is>
          <t>3900/000</t>
        </is>
      </c>
      <c r="E3359" s="3" t="inlineStr">
        <is>
          <t>Interest Paid</t>
        </is>
      </c>
      <c r="F3359" s="3" t="n">
        <v>0</v>
      </c>
      <c r="G3359" s="3" t="n">
        <v>-533.8</v>
      </c>
    </row>
    <row r="3360">
      <c r="A3360" s="3" t="inlineStr">
        <is>
          <t>Heron Fields (Pty) Ltd</t>
        </is>
      </c>
      <c r="B3360" s="4" t="n">
        <v>45077</v>
      </c>
      <c r="C3360" s="3" t="inlineStr">
        <is>
          <t>Expenses</t>
        </is>
      </c>
      <c r="D3360" s="3" t="inlineStr">
        <is>
          <t>3900/111</t>
        </is>
      </c>
      <c r="E3360" s="3" t="inlineStr">
        <is>
          <t>Interest Paid - Investors @ 6.25%</t>
        </is>
      </c>
      <c r="F3360" s="3" t="n">
        <v>22371.58</v>
      </c>
      <c r="G3360" s="3" t="n">
        <v>147794.21</v>
      </c>
    </row>
    <row r="3361">
      <c r="A3361" s="3" t="inlineStr">
        <is>
          <t>Heron Fields (Pty) Ltd</t>
        </is>
      </c>
      <c r="B3361" s="4" t="n">
        <v>45077</v>
      </c>
      <c r="C3361" s="3" t="inlineStr">
        <is>
          <t>Expenses</t>
        </is>
      </c>
      <c r="D3361" s="3" t="inlineStr">
        <is>
          <t>3900/115</t>
        </is>
      </c>
      <c r="E3361" s="3" t="inlineStr">
        <is>
          <t>Interest Paid - Investors @ 6.5%</t>
        </is>
      </c>
      <c r="F3361" s="3" t="n">
        <v>15457.54</v>
      </c>
      <c r="G3361" s="3" t="n">
        <v>56380.83</v>
      </c>
    </row>
    <row r="3362">
      <c r="A3362" s="3" t="inlineStr">
        <is>
          <t>Heron Fields (Pty) Ltd</t>
        </is>
      </c>
      <c r="B3362" s="4" t="n">
        <v>45077</v>
      </c>
      <c r="C3362" s="3" t="inlineStr">
        <is>
          <t>Expenses</t>
        </is>
      </c>
      <c r="D3362" s="3" t="inlineStr">
        <is>
          <t>3900/117</t>
        </is>
      </c>
      <c r="E3362" s="3" t="inlineStr">
        <is>
          <t>Interest Paid - Investors @ 6.75%</t>
        </is>
      </c>
      <c r="F3362" s="3" t="n">
        <v>13389.04</v>
      </c>
      <c r="G3362" s="3" t="n">
        <v>36302.06</v>
      </c>
    </row>
    <row r="3363">
      <c r="A3363" s="3" t="inlineStr">
        <is>
          <t>Heron Fields (Pty) Ltd</t>
        </is>
      </c>
      <c r="B3363" s="4" t="n">
        <v>45077</v>
      </c>
      <c r="C3363" s="3" t="inlineStr">
        <is>
          <t>Expenses</t>
        </is>
      </c>
      <c r="D3363" s="3" t="inlineStr">
        <is>
          <t>3900/120</t>
        </is>
      </c>
      <c r="E3363" s="3" t="inlineStr">
        <is>
          <t>Interest Paid - Investors @ 7%</t>
        </is>
      </c>
      <c r="F3363" s="3" t="n">
        <v>0</v>
      </c>
      <c r="G3363" s="3" t="n">
        <v>11027.39</v>
      </c>
    </row>
    <row r="3364">
      <c r="A3364" s="3" t="inlineStr">
        <is>
          <t>Heron Fields (Pty) Ltd</t>
        </is>
      </c>
      <c r="B3364" s="4" t="n">
        <v>45077</v>
      </c>
      <c r="C3364" s="3" t="inlineStr">
        <is>
          <t>Expenses</t>
        </is>
      </c>
      <c r="D3364" s="3" t="inlineStr">
        <is>
          <t>3900/190</t>
        </is>
      </c>
      <c r="E3364" s="3" t="inlineStr">
        <is>
          <t>Interest Paid - Investors @ 14%</t>
        </is>
      </c>
      <c r="F3364" s="3" t="n">
        <v>229887.83</v>
      </c>
      <c r="G3364" s="3" t="n">
        <v>270264.54</v>
      </c>
    </row>
    <row r="3365">
      <c r="A3365" s="3" t="inlineStr">
        <is>
          <t>Heron Fields (Pty) Ltd</t>
        </is>
      </c>
      <c r="B3365" s="4" t="n">
        <v>45077</v>
      </c>
      <c r="C3365" s="3" t="inlineStr">
        <is>
          <t>Expenses</t>
        </is>
      </c>
      <c r="D3365" s="3" t="inlineStr">
        <is>
          <t>3900/200</t>
        </is>
      </c>
      <c r="E3365" s="3" t="inlineStr">
        <is>
          <t>Interest Paid - Investors @ 15%</t>
        </is>
      </c>
      <c r="F3365" s="3" t="n">
        <v>117904.12</v>
      </c>
      <c r="G3365" s="3" t="n">
        <v>306719.18</v>
      </c>
    </row>
    <row r="3366">
      <c r="A3366" s="3" t="inlineStr">
        <is>
          <t>Heron Fields (Pty) Ltd</t>
        </is>
      </c>
      <c r="B3366" s="4" t="n">
        <v>45077</v>
      </c>
      <c r="C3366" s="3" t="inlineStr">
        <is>
          <t>Expenses</t>
        </is>
      </c>
      <c r="D3366" s="3" t="inlineStr">
        <is>
          <t>3900/210</t>
        </is>
      </c>
      <c r="E3366" s="3" t="inlineStr">
        <is>
          <t>Interest Paid - Investors @ 16%</t>
        </is>
      </c>
      <c r="F3366" s="3" t="n">
        <v>33052.06</v>
      </c>
      <c r="G3366" s="3" t="n">
        <v>47503.98</v>
      </c>
    </row>
    <row r="3367">
      <c r="A3367" s="3" t="inlineStr">
        <is>
          <t>Heron Fields (Pty) Ltd</t>
        </is>
      </c>
      <c r="B3367" s="4" t="n">
        <v>45077</v>
      </c>
      <c r="C3367" s="3" t="inlineStr">
        <is>
          <t>Expenses</t>
        </is>
      </c>
      <c r="D3367" s="3" t="inlineStr">
        <is>
          <t>3900/230</t>
        </is>
      </c>
      <c r="E3367" s="3" t="inlineStr">
        <is>
          <t>Interest Paid - Investors @ 18%</t>
        </is>
      </c>
      <c r="F3367" s="3" t="n">
        <v>214964.38</v>
      </c>
      <c r="G3367" s="3" t="n">
        <v>2785386.85</v>
      </c>
    </row>
    <row r="3368">
      <c r="A3368" s="3" t="inlineStr">
        <is>
          <t>Cape Projects Construction (Pty) Ltd</t>
        </is>
      </c>
      <c r="B3368" s="4" t="n">
        <v>45077</v>
      </c>
      <c r="C3368" s="3" t="inlineStr">
        <is>
          <t>Expenses</t>
        </is>
      </c>
      <c r="D3368" s="3" t="inlineStr">
        <is>
          <t>4000/000</t>
        </is>
      </c>
      <c r="E3368" s="3" t="inlineStr">
        <is>
          <t>Legal Fees</t>
        </is>
      </c>
      <c r="F3368" s="3" t="n">
        <v>0</v>
      </c>
      <c r="G3368" s="3" t="n">
        <v>5202.88</v>
      </c>
    </row>
    <row r="3369">
      <c r="A3369" s="3" t="inlineStr">
        <is>
          <t>Heron Fields (Pty) Ltd</t>
        </is>
      </c>
      <c r="B3369" s="4" t="n">
        <v>45077</v>
      </c>
      <c r="C3369" s="3" t="inlineStr">
        <is>
          <t>Expenses</t>
        </is>
      </c>
      <c r="D3369" s="3" t="inlineStr">
        <is>
          <t>4100/001</t>
        </is>
      </c>
      <c r="E3369" s="3" t="inlineStr">
        <is>
          <t>Momentum Admin Fee</t>
        </is>
      </c>
      <c r="F3369" s="3" t="n">
        <v>5264.82</v>
      </c>
      <c r="G3369" s="3" t="n">
        <v>18838.97</v>
      </c>
    </row>
    <row r="3370">
      <c r="A3370" s="3" t="inlineStr">
        <is>
          <t>Cape Projects Construction (Pty) Ltd</t>
        </is>
      </c>
      <c r="B3370" s="4" t="n">
        <v>45077</v>
      </c>
      <c r="C3370" s="3" t="inlineStr">
        <is>
          <t>Expenses</t>
        </is>
      </c>
      <c r="D3370" s="3" t="inlineStr">
        <is>
          <t>4150/000</t>
        </is>
      </c>
      <c r="E3370" s="3" t="inlineStr">
        <is>
          <t>Motor Vehicle Expenses</t>
        </is>
      </c>
      <c r="F3370" s="3" t="n">
        <v>0</v>
      </c>
      <c r="G3370" s="3" t="n">
        <v>362</v>
      </c>
    </row>
    <row r="3371">
      <c r="A3371" s="3" t="inlineStr">
        <is>
          <t>Cape Projects Construction (Pty) Ltd</t>
        </is>
      </c>
      <c r="B3371" s="4" t="n">
        <v>45077</v>
      </c>
      <c r="C3371" s="3" t="inlineStr">
        <is>
          <t>Expenses</t>
        </is>
      </c>
      <c r="D3371" s="3" t="inlineStr">
        <is>
          <t>4150/010</t>
        </is>
      </c>
      <c r="E3371" s="3" t="inlineStr">
        <is>
          <t>Motor Vehicle - Petrol _AND_ Oil</t>
        </is>
      </c>
      <c r="F3371" s="3" t="n">
        <v>4892.22</v>
      </c>
      <c r="G3371" s="3" t="n">
        <v>17606.01</v>
      </c>
    </row>
    <row r="3372">
      <c r="A3372" s="3" t="inlineStr">
        <is>
          <t>Cape Projects Construction (Pty) Ltd</t>
        </is>
      </c>
      <c r="B3372" s="4" t="n">
        <v>45077</v>
      </c>
      <c r="C3372" s="3" t="inlineStr">
        <is>
          <t>Expenses</t>
        </is>
      </c>
      <c r="D3372" s="3" t="inlineStr">
        <is>
          <t>4200/000</t>
        </is>
      </c>
      <c r="E3372" s="3" t="inlineStr">
        <is>
          <t>Printing _AND_ Stationery</t>
        </is>
      </c>
      <c r="F3372" s="3" t="n">
        <v>2190.86</v>
      </c>
      <c r="G3372" s="3" t="n">
        <v>5663.9</v>
      </c>
    </row>
    <row r="3373">
      <c r="A3373" s="3" t="inlineStr">
        <is>
          <t>Cape Projects Construction (Pty) Ltd</t>
        </is>
      </c>
      <c r="B3373" s="4" t="n">
        <v>45077</v>
      </c>
      <c r="C3373" s="3" t="inlineStr">
        <is>
          <t>Expenses</t>
        </is>
      </c>
      <c r="D3373" s="3" t="inlineStr">
        <is>
          <t>4201/000</t>
        </is>
      </c>
      <c r="E3373" s="3" t="inlineStr">
        <is>
          <t>Printing - Printer rental</t>
        </is>
      </c>
      <c r="F3373" s="3" t="n">
        <v>2190.96</v>
      </c>
      <c r="G3373" s="3" t="n">
        <v>5344.19</v>
      </c>
    </row>
    <row r="3374">
      <c r="A3374" s="3" t="inlineStr">
        <is>
          <t>Cape Projects Construction (Pty) Ltd</t>
        </is>
      </c>
      <c r="B3374" s="4" t="n">
        <v>45077</v>
      </c>
      <c r="C3374" s="3" t="inlineStr">
        <is>
          <t>Expenses</t>
        </is>
      </c>
      <c r="D3374" s="3" t="inlineStr">
        <is>
          <t>4300/000</t>
        </is>
      </c>
      <c r="E3374" s="3" t="inlineStr">
        <is>
          <t>Rent Paid</t>
        </is>
      </c>
      <c r="F3374" s="3" t="n">
        <v>29600</v>
      </c>
      <c r="G3374" s="3" t="n">
        <v>88800</v>
      </c>
    </row>
    <row r="3375">
      <c r="A3375" s="3" t="inlineStr">
        <is>
          <t>Cape Projects Construction (Pty) Ltd</t>
        </is>
      </c>
      <c r="B3375" s="4" t="n">
        <v>45077</v>
      </c>
      <c r="C3375" s="3" t="inlineStr">
        <is>
          <t>Expenses</t>
        </is>
      </c>
      <c r="D3375" s="3" t="inlineStr">
        <is>
          <t>4310/000</t>
        </is>
      </c>
      <c r="E3375" s="3" t="inlineStr">
        <is>
          <t>Rates</t>
        </is>
      </c>
      <c r="F3375" s="3" t="n">
        <v>843.6</v>
      </c>
      <c r="G3375" s="3" t="n">
        <v>2530.8</v>
      </c>
    </row>
    <row r="3376">
      <c r="A3376" s="3" t="inlineStr">
        <is>
          <t>Heron Fields (Pty) Ltd</t>
        </is>
      </c>
      <c r="B3376" s="4" t="n">
        <v>45077</v>
      </c>
      <c r="C3376" s="3" t="inlineStr">
        <is>
          <t>Expenses</t>
        </is>
      </c>
      <c r="D3376" s="3" t="inlineStr">
        <is>
          <t>4310/000</t>
        </is>
      </c>
      <c r="E3376" s="3" t="inlineStr">
        <is>
          <t>Rates - Heron</t>
        </is>
      </c>
      <c r="F3376" s="3" t="n">
        <v>1.08</v>
      </c>
      <c r="G3376" s="3" t="n">
        <v>-11396.43</v>
      </c>
    </row>
    <row r="3377">
      <c r="A3377" s="3" t="inlineStr">
        <is>
          <t>Cape Projects Construction (Pty) Ltd</t>
        </is>
      </c>
      <c r="B3377" s="4" t="n">
        <v>45077</v>
      </c>
      <c r="C3377" s="3" t="inlineStr">
        <is>
          <t>Expenses</t>
        </is>
      </c>
      <c r="D3377" s="3" t="inlineStr">
        <is>
          <t>4350/000</t>
        </is>
      </c>
      <c r="E3377" s="3" t="inlineStr">
        <is>
          <t>Repairs _AND_ Maintenance</t>
        </is>
      </c>
      <c r="F3377" s="3" t="n">
        <v>2121.6</v>
      </c>
      <c r="G3377" s="3" t="n">
        <v>9224.4</v>
      </c>
    </row>
    <row r="3378">
      <c r="A3378" s="3" t="inlineStr">
        <is>
          <t>Cape Projects Construction (Pty) Ltd</t>
        </is>
      </c>
      <c r="B3378" s="4" t="n">
        <v>45077</v>
      </c>
      <c r="C3378" s="3" t="inlineStr">
        <is>
          <t>Expenses</t>
        </is>
      </c>
      <c r="D3378" s="3" t="inlineStr">
        <is>
          <t>4400/000</t>
        </is>
      </c>
      <c r="E3378" s="3" t="inlineStr">
        <is>
          <t>Salaries _AND_ Wages</t>
        </is>
      </c>
      <c r="F3378" s="3" t="n">
        <v>333418.54</v>
      </c>
      <c r="G3378" s="3" t="n">
        <v>971959.28</v>
      </c>
    </row>
    <row r="3379">
      <c r="A3379" s="3" t="inlineStr">
        <is>
          <t>Cape Projects Construction (Pty) Ltd</t>
        </is>
      </c>
      <c r="B3379" s="4" t="n">
        <v>45077</v>
      </c>
      <c r="C3379" s="3" t="inlineStr">
        <is>
          <t>Expenses</t>
        </is>
      </c>
      <c r="D3379" s="3" t="inlineStr">
        <is>
          <t>4402</t>
        </is>
      </c>
      <c r="E3379" s="3" t="inlineStr">
        <is>
          <t>Salaries &amp; Wages - WCA</t>
        </is>
      </c>
      <c r="F3379" s="3" t="n">
        <v>5192.13</v>
      </c>
      <c r="G3379" s="3" t="n">
        <v>5192.13</v>
      </c>
    </row>
    <row r="3380">
      <c r="A3380" s="3" t="inlineStr">
        <is>
          <t>Cape Projects Construction (Pty) Ltd</t>
        </is>
      </c>
      <c r="B3380" s="4" t="n">
        <v>45077</v>
      </c>
      <c r="C3380" s="3" t="inlineStr">
        <is>
          <t>Expenses</t>
        </is>
      </c>
      <c r="D3380" s="3" t="inlineStr">
        <is>
          <t>4403/000</t>
        </is>
      </c>
      <c r="E3380" s="3" t="inlineStr">
        <is>
          <t>Security</t>
        </is>
      </c>
      <c r="F3380" s="3" t="n">
        <v>177.33</v>
      </c>
      <c r="G3380" s="3" t="n">
        <v>531.99</v>
      </c>
    </row>
    <row r="3381">
      <c r="A3381" s="3" t="inlineStr">
        <is>
          <t>Cape Projects Construction (Pty) Ltd</t>
        </is>
      </c>
      <c r="B3381" s="4" t="n">
        <v>45077</v>
      </c>
      <c r="C3381" s="3" t="inlineStr">
        <is>
          <t>Expenses</t>
        </is>
      </c>
      <c r="D3381" s="3" t="inlineStr">
        <is>
          <t>4420/000</t>
        </is>
      </c>
      <c r="E3381" s="3" t="inlineStr">
        <is>
          <t>Small Assets</t>
        </is>
      </c>
      <c r="F3381" s="3" t="n">
        <v>607.83</v>
      </c>
      <c r="G3381" s="3" t="n">
        <v>3041.74</v>
      </c>
    </row>
    <row r="3382">
      <c r="A3382" s="3" t="inlineStr">
        <is>
          <t>Heron Fields (Pty) Ltd</t>
        </is>
      </c>
      <c r="B3382" s="4" t="n">
        <v>45077</v>
      </c>
      <c r="C3382" s="3" t="inlineStr">
        <is>
          <t>Expenses</t>
        </is>
      </c>
      <c r="D3382" s="3" t="inlineStr">
        <is>
          <t>4420/001</t>
        </is>
      </c>
      <c r="E3382" s="3" t="inlineStr">
        <is>
          <t>Security - ADT</t>
        </is>
      </c>
      <c r="F3382" s="3" t="n">
        <v>328.38</v>
      </c>
      <c r="G3382" s="3" t="n">
        <v>985.14</v>
      </c>
    </row>
    <row r="3383">
      <c r="A3383" s="3" t="inlineStr">
        <is>
          <t>Cape Projects Construction (Pty) Ltd</t>
        </is>
      </c>
      <c r="B3383" s="4" t="n">
        <v>45077</v>
      </c>
      <c r="C3383" s="3" t="inlineStr">
        <is>
          <t>Expenses</t>
        </is>
      </c>
      <c r="D3383" s="3" t="inlineStr">
        <is>
          <t>4500/000</t>
        </is>
      </c>
      <c r="E3383" s="3" t="inlineStr">
        <is>
          <t>Staff Welfare _AND_ Refreshmts</t>
        </is>
      </c>
      <c r="F3383" s="3" t="n">
        <v>2227.4</v>
      </c>
      <c r="G3383" s="3" t="n">
        <v>2472.38</v>
      </c>
    </row>
    <row r="3384">
      <c r="A3384" s="3" t="inlineStr">
        <is>
          <t>Cape Projects Construction (Pty) Ltd</t>
        </is>
      </c>
      <c r="B3384" s="4" t="n">
        <v>45077</v>
      </c>
      <c r="C3384" s="3" t="inlineStr">
        <is>
          <t>Expenses</t>
        </is>
      </c>
      <c r="D3384" s="3" t="inlineStr">
        <is>
          <t>4550/001</t>
        </is>
      </c>
      <c r="E3384" s="3" t="inlineStr">
        <is>
          <t>Subscriptions &amp; Licenses - Sage payroll</t>
        </is>
      </c>
      <c r="F3384" s="3" t="n">
        <v>747</v>
      </c>
      <c r="G3384" s="3" t="n">
        <v>2241</v>
      </c>
    </row>
    <row r="3385">
      <c r="A3385" s="3" t="inlineStr">
        <is>
          <t>Cape Projects Construction (Pty) Ltd</t>
        </is>
      </c>
      <c r="B3385" s="4" t="n">
        <v>45077</v>
      </c>
      <c r="C3385" s="3" t="inlineStr">
        <is>
          <t>Expenses</t>
        </is>
      </c>
      <c r="D3385" s="3" t="inlineStr">
        <is>
          <t>4550/002</t>
        </is>
      </c>
      <c r="E3385" s="3" t="inlineStr">
        <is>
          <t>Subscriptions &amp; Licenses - Caseware</t>
        </is>
      </c>
      <c r="F3385" s="3" t="n">
        <v>0</v>
      </c>
      <c r="G3385" s="3" t="n">
        <v>10825.49</v>
      </c>
    </row>
    <row r="3386">
      <c r="A3386" s="3" t="inlineStr">
        <is>
          <t>Cape Projects Construction (Pty) Ltd</t>
        </is>
      </c>
      <c r="B3386" s="4" t="n">
        <v>45077</v>
      </c>
      <c r="C3386" s="3" t="inlineStr">
        <is>
          <t>Expenses</t>
        </is>
      </c>
      <c r="D3386" s="3" t="inlineStr">
        <is>
          <t>4550/003</t>
        </is>
      </c>
      <c r="E3386" s="3" t="inlineStr">
        <is>
          <t>Subscriptions &amp; Licenses - Xero</t>
        </is>
      </c>
      <c r="F3386" s="3" t="n">
        <v>600</v>
      </c>
      <c r="G3386" s="3" t="n">
        <v>1800</v>
      </c>
    </row>
    <row r="3387">
      <c r="A3387" s="3" t="inlineStr">
        <is>
          <t>Cape Projects Construction (Pty) Ltd</t>
        </is>
      </c>
      <c r="B3387" s="4" t="n">
        <v>45077</v>
      </c>
      <c r="C3387" s="3" t="inlineStr">
        <is>
          <t>Expenses</t>
        </is>
      </c>
      <c r="D3387" s="3" t="inlineStr">
        <is>
          <t>4550/004</t>
        </is>
      </c>
      <c r="E3387" s="3" t="inlineStr">
        <is>
          <t>Subscriptions - Smartsheet</t>
        </is>
      </c>
      <c r="F3387" s="3" t="n">
        <v>937.23</v>
      </c>
      <c r="G3387" s="3" t="n">
        <v>2345.73</v>
      </c>
    </row>
    <row r="3388">
      <c r="A3388" s="3" t="inlineStr">
        <is>
          <t>Heron Fields (Pty) Ltd</t>
        </is>
      </c>
      <c r="B3388" s="4" t="n">
        <v>45077</v>
      </c>
      <c r="C3388" s="3" t="inlineStr">
        <is>
          <t>Expenses</t>
        </is>
      </c>
      <c r="D3388" s="3" t="inlineStr">
        <is>
          <t>4550/100</t>
        </is>
      </c>
      <c r="E3388" s="3" t="inlineStr">
        <is>
          <t>Subscriptions - Xero</t>
        </is>
      </c>
      <c r="F3388" s="3" t="n">
        <v>600</v>
      </c>
      <c r="G3388" s="3" t="n">
        <v>1800</v>
      </c>
    </row>
    <row r="3389">
      <c r="A3389" s="3" t="inlineStr">
        <is>
          <t>Heron View (Pty) Ltd</t>
        </is>
      </c>
      <c r="B3389" s="4" t="n">
        <v>45077</v>
      </c>
      <c r="C3389" s="3" t="inlineStr">
        <is>
          <t>Expenses</t>
        </is>
      </c>
      <c r="D3389" s="3" t="inlineStr">
        <is>
          <t>4550/100</t>
        </is>
      </c>
      <c r="E3389" s="3" t="inlineStr">
        <is>
          <t>Subscriptions - Xero</t>
        </is>
      </c>
      <c r="F3389" s="3" t="n">
        <v>600</v>
      </c>
      <c r="G3389" s="3" t="n">
        <v>1800</v>
      </c>
    </row>
    <row r="3390">
      <c r="A3390" s="3" t="inlineStr">
        <is>
          <t>Cape Projects Construction (Pty) Ltd</t>
        </is>
      </c>
      <c r="B3390" s="4" t="n">
        <v>45077</v>
      </c>
      <c r="C3390" s="3" t="inlineStr">
        <is>
          <t>Expenses</t>
        </is>
      </c>
      <c r="D3390" s="3" t="inlineStr">
        <is>
          <t>4700/000</t>
        </is>
      </c>
      <c r="E3390" s="3" t="inlineStr">
        <is>
          <t>PAYE Contributions</t>
        </is>
      </c>
      <c r="F3390" s="3" t="n">
        <v>77215.96000000001</v>
      </c>
      <c r="G3390" s="3" t="n">
        <v>230024.45</v>
      </c>
    </row>
    <row r="3391">
      <c r="A3391" s="3" t="inlineStr">
        <is>
          <t>Cape Projects Construction (Pty) Ltd</t>
        </is>
      </c>
      <c r="B3391" s="4" t="n">
        <v>45077</v>
      </c>
      <c r="C3391" s="3" t="inlineStr">
        <is>
          <t>Expenses</t>
        </is>
      </c>
      <c r="D3391" s="3" t="inlineStr">
        <is>
          <t>4720/000</t>
        </is>
      </c>
      <c r="E3391" s="3" t="inlineStr">
        <is>
          <t>SDL Contributions</t>
        </is>
      </c>
      <c r="F3391" s="3" t="n">
        <v>3980.49</v>
      </c>
      <c r="G3391" s="3" t="n">
        <v>11643.12</v>
      </c>
    </row>
    <row r="3392">
      <c r="A3392" s="3" t="inlineStr">
        <is>
          <t>Cape Projects Construction (Pty) Ltd</t>
        </is>
      </c>
      <c r="B3392" s="4" t="n">
        <v>45077</v>
      </c>
      <c r="C3392" s="3" t="inlineStr">
        <is>
          <t>Expenses</t>
        </is>
      </c>
      <c r="D3392" s="3" t="inlineStr">
        <is>
          <t>4730/000</t>
        </is>
      </c>
      <c r="E3392" s="3" t="inlineStr">
        <is>
          <t>UIF Company Contributions</t>
        </is>
      </c>
      <c r="F3392" s="3" t="n">
        <v>2059.18</v>
      </c>
      <c r="G3392" s="3" t="n">
        <v>5983.24</v>
      </c>
    </row>
    <row r="3393">
      <c r="A3393" s="3" t="inlineStr">
        <is>
          <t>Cape Projects Construction (Pty) Ltd</t>
        </is>
      </c>
      <c r="B3393" s="4" t="n">
        <v>45077</v>
      </c>
      <c r="C3393" s="3" t="inlineStr">
        <is>
          <t>Expenses</t>
        </is>
      </c>
      <c r="D3393" s="3" t="inlineStr">
        <is>
          <t>4731/000</t>
        </is>
      </c>
      <c r="E3393" s="3" t="inlineStr">
        <is>
          <t>UIF Employee Contribution</t>
        </is>
      </c>
      <c r="F3393" s="3" t="n">
        <v>2059.18</v>
      </c>
      <c r="G3393" s="3" t="n">
        <v>5983.24</v>
      </c>
    </row>
    <row r="3394">
      <c r="A3394" s="3" t="inlineStr">
        <is>
          <t>Cape Projects Construction (Pty) Ltd</t>
        </is>
      </c>
      <c r="B3394" s="4" t="n">
        <v>45077</v>
      </c>
      <c r="C3394" s="3" t="inlineStr">
        <is>
          <t>Expenses</t>
        </is>
      </c>
      <c r="D3394" s="3" t="inlineStr">
        <is>
          <t>4740/000</t>
        </is>
      </c>
      <c r="E3394" s="3" t="inlineStr">
        <is>
          <t>BIBC Company Contribution</t>
        </is>
      </c>
      <c r="F3394" s="3" t="n">
        <v>3007.35</v>
      </c>
      <c r="G3394" s="3" t="n">
        <v>15075.35</v>
      </c>
    </row>
    <row r="3395">
      <c r="A3395" s="3" t="inlineStr">
        <is>
          <t>Cape Projects Construction (Pty) Ltd</t>
        </is>
      </c>
      <c r="B3395" s="4" t="n">
        <v>45077</v>
      </c>
      <c r="C3395" s="3" t="inlineStr">
        <is>
          <t>Expenses</t>
        </is>
      </c>
      <c r="D3395" s="3" t="inlineStr">
        <is>
          <t>4741/000</t>
        </is>
      </c>
      <c r="E3395" s="3" t="inlineStr">
        <is>
          <t>BIBC Employee Contribution</t>
        </is>
      </c>
      <c r="F3395" s="3" t="n">
        <v>1011.6</v>
      </c>
      <c r="G3395" s="3" t="n">
        <v>4562.1</v>
      </c>
    </row>
    <row r="3396">
      <c r="A3396" s="3" t="inlineStr">
        <is>
          <t>Heron Fields (Pty) Ltd</t>
        </is>
      </c>
      <c r="B3396" s="4" t="n">
        <v>45077</v>
      </c>
      <c r="C3396" s="3" t="inlineStr">
        <is>
          <t>Equity</t>
        </is>
      </c>
      <c r="D3396" s="3" t="inlineStr">
        <is>
          <t>5100-000</t>
        </is>
      </c>
      <c r="E3396" s="3" t="inlineStr">
        <is>
          <t>Share Capital</t>
        </is>
      </c>
      <c r="F3396" s="3" t="n">
        <v>0</v>
      </c>
      <c r="G3396" s="3" t="n">
        <v>-100</v>
      </c>
    </row>
    <row r="3397">
      <c r="A3397" s="3" t="inlineStr">
        <is>
          <t>Cape Projects Construction (Pty) Ltd</t>
        </is>
      </c>
      <c r="B3397" s="4" t="n">
        <v>45077</v>
      </c>
      <c r="C3397" s="3" t="inlineStr">
        <is>
          <t>Equity</t>
        </is>
      </c>
      <c r="D3397" s="3" t="inlineStr">
        <is>
          <t>5100/000</t>
        </is>
      </c>
      <c r="E3397" s="3" t="inlineStr">
        <is>
          <t>Share Capital / Members Contribution</t>
        </is>
      </c>
      <c r="F3397" s="3" t="n">
        <v>0</v>
      </c>
      <c r="G3397" s="3" t="n">
        <v>-120</v>
      </c>
    </row>
    <row r="3398">
      <c r="A3398" s="3" t="inlineStr">
        <is>
          <t>Cape Projects Construction (Pty) Ltd</t>
        </is>
      </c>
      <c r="B3398" s="4" t="n">
        <v>45077</v>
      </c>
      <c r="C3398" s="3" t="inlineStr">
        <is>
          <t>Equity</t>
        </is>
      </c>
      <c r="D3398" s="3" t="inlineStr">
        <is>
          <t>5200/000</t>
        </is>
      </c>
      <c r="E3398" s="3" t="inlineStr">
        <is>
          <t>Retained Earnings / Loss</t>
        </is>
      </c>
      <c r="F3398" s="3" t="n">
        <v>0</v>
      </c>
      <c r="G3398" s="3" t="n">
        <v>-296075.58</v>
      </c>
    </row>
    <row r="3399">
      <c r="A3399" s="3" t="inlineStr">
        <is>
          <t>Heron Fields (Pty) Ltd</t>
        </is>
      </c>
      <c r="B3399" s="4" t="n">
        <v>45077</v>
      </c>
      <c r="C3399" s="3" t="inlineStr">
        <is>
          <t>Equity</t>
        </is>
      </c>
      <c r="D3399" s="3" t="inlineStr">
        <is>
          <t>5200/000</t>
        </is>
      </c>
      <c r="E3399" s="3" t="inlineStr">
        <is>
          <t>Retained Earnings / Loss</t>
        </is>
      </c>
      <c r="F3399" s="3" t="n">
        <v>0</v>
      </c>
      <c r="G3399" s="3" t="n">
        <v>-17843179.58</v>
      </c>
    </row>
    <row r="3400">
      <c r="A3400" s="3" t="inlineStr">
        <is>
          <t>Heron View (Pty) Ltd</t>
        </is>
      </c>
      <c r="B3400" s="4" t="n">
        <v>45077</v>
      </c>
      <c r="C3400" s="3" t="inlineStr">
        <is>
          <t>Equity</t>
        </is>
      </c>
      <c r="D3400" s="3" t="inlineStr">
        <is>
          <t>5200/000</t>
        </is>
      </c>
      <c r="E3400" s="3" t="inlineStr">
        <is>
          <t>Retained Earnings / Loss</t>
        </is>
      </c>
      <c r="F3400" s="3" t="n">
        <v>0</v>
      </c>
      <c r="G3400" s="3" t="n">
        <v>70398.12</v>
      </c>
    </row>
    <row r="3401">
      <c r="A3401" s="3" t="inlineStr">
        <is>
          <t>Heron Fields (Pty) Ltd</t>
        </is>
      </c>
      <c r="B3401" s="4" t="n">
        <v>45077</v>
      </c>
      <c r="C3401" s="3" t="inlineStr">
        <is>
          <t>Assets</t>
        </is>
      </c>
      <c r="D3401" s="3" t="inlineStr">
        <is>
          <t>5300/001</t>
        </is>
      </c>
      <c r="E3401" s="3" t="inlineStr">
        <is>
          <t>Revaluation of Land stock</t>
        </is>
      </c>
      <c r="F3401" s="3" t="n">
        <v>0</v>
      </c>
      <c r="G3401" s="3" t="n">
        <v>17562360.85</v>
      </c>
    </row>
    <row r="3402">
      <c r="A3402" s="3" t="inlineStr">
        <is>
          <t>Cape Projects Construction (Pty) Ltd</t>
        </is>
      </c>
      <c r="B3402" s="4" t="n">
        <v>45077</v>
      </c>
      <c r="C3402" s="3" t="inlineStr">
        <is>
          <t>Assets</t>
        </is>
      </c>
      <c r="D3402" s="3" t="inlineStr">
        <is>
          <t>5400/150</t>
        </is>
      </c>
      <c r="E3402" s="3" t="inlineStr">
        <is>
          <t>Loan - Quinate</t>
        </is>
      </c>
      <c r="F3402" s="3" t="n">
        <v>0</v>
      </c>
      <c r="G3402" s="3" t="n">
        <v>185000</v>
      </c>
    </row>
    <row r="3403">
      <c r="A3403" s="3" t="inlineStr">
        <is>
          <t>Cape Projects Construction (Pty) Ltd</t>
        </is>
      </c>
      <c r="B3403" s="4" t="n">
        <v>45077</v>
      </c>
      <c r="C3403" s="3" t="inlineStr">
        <is>
          <t>Assets</t>
        </is>
      </c>
      <c r="D3403" s="3" t="inlineStr">
        <is>
          <t>5400/220</t>
        </is>
      </c>
      <c r="E3403" s="3" t="inlineStr">
        <is>
          <t>Members Loan - WH</t>
        </is>
      </c>
      <c r="F3403" s="3" t="n">
        <v>0</v>
      </c>
      <c r="G3403" s="3" t="n">
        <v>-4342.5</v>
      </c>
    </row>
    <row r="3404">
      <c r="A3404" s="3" t="inlineStr">
        <is>
          <t>Cape Projects Construction (Pty) Ltd</t>
        </is>
      </c>
      <c r="B3404" s="4" t="n">
        <v>45077</v>
      </c>
      <c r="C3404" s="3" t="inlineStr">
        <is>
          <t>Assets</t>
        </is>
      </c>
      <c r="D3404" s="3" t="inlineStr">
        <is>
          <t>5400/450</t>
        </is>
      </c>
      <c r="E3404" s="3" t="inlineStr">
        <is>
          <t>Loan - Opportunity Investment</t>
        </is>
      </c>
      <c r="F3404" s="3" t="n">
        <v>0</v>
      </c>
      <c r="G3404" s="3" t="n">
        <v>-2261000</v>
      </c>
    </row>
    <row r="3405">
      <c r="A3405" s="3" t="inlineStr">
        <is>
          <t>Cape Projects Construction (Pty) Ltd</t>
        </is>
      </c>
      <c r="B3405" s="4" t="n">
        <v>45077</v>
      </c>
      <c r="C3405" s="3" t="inlineStr">
        <is>
          <t>Assets</t>
        </is>
      </c>
      <c r="D3405" s="3" t="inlineStr">
        <is>
          <t>5400/500</t>
        </is>
      </c>
      <c r="E3405" s="3" t="inlineStr">
        <is>
          <t>Loan - Blou Mamba Trust</t>
        </is>
      </c>
      <c r="F3405" s="3" t="n">
        <v>0</v>
      </c>
      <c r="G3405" s="3" t="n">
        <v>4342.5</v>
      </c>
    </row>
    <row r="3406">
      <c r="A3406" s="3" t="inlineStr">
        <is>
          <t>Cape Projects Construction (Pty) Ltd</t>
        </is>
      </c>
      <c r="B3406" s="4" t="n">
        <v>45077</v>
      </c>
      <c r="C3406" s="3" t="inlineStr">
        <is>
          <t>Assets</t>
        </is>
      </c>
      <c r="D3406" s="3" t="inlineStr">
        <is>
          <t>5400/550</t>
        </is>
      </c>
      <c r="E3406" s="3" t="inlineStr">
        <is>
          <t>Loan - Trademark</t>
        </is>
      </c>
      <c r="F3406" s="3" t="n">
        <v>-1200</v>
      </c>
      <c r="G3406" s="3" t="n">
        <v>0</v>
      </c>
    </row>
    <row r="3407">
      <c r="A3407" s="3" t="inlineStr">
        <is>
          <t>Cape Projects Construction (Pty) Ltd</t>
        </is>
      </c>
      <c r="B3407" s="4" t="n">
        <v>45077</v>
      </c>
      <c r="C3407" s="3" t="inlineStr">
        <is>
          <t>Assets</t>
        </is>
      </c>
      <c r="D3407" s="3" t="inlineStr">
        <is>
          <t>5400/600</t>
        </is>
      </c>
      <c r="E3407" s="3" t="inlineStr">
        <is>
          <t>Loan - Heron Projects</t>
        </is>
      </c>
      <c r="F3407" s="3" t="n">
        <v>145000</v>
      </c>
      <c r="G3407" s="3" t="n">
        <v>-10231940.42</v>
      </c>
    </row>
    <row r="3408">
      <c r="A3408" s="3" t="inlineStr">
        <is>
          <t>Cape Projects Construction (Pty) Ltd</t>
        </is>
      </c>
      <c r="B3408" s="4" t="n">
        <v>45077</v>
      </c>
      <c r="C3408" s="3" t="inlineStr">
        <is>
          <t>Assets</t>
        </is>
      </c>
      <c r="D3408" s="3" t="inlineStr">
        <is>
          <t>5400/650</t>
        </is>
      </c>
      <c r="E3408" s="3" t="inlineStr">
        <is>
          <t>Loan - Noble Shield</t>
        </is>
      </c>
      <c r="F3408" s="3" t="n">
        <v>-1200</v>
      </c>
      <c r="G3408" s="3" t="n">
        <v>0</v>
      </c>
    </row>
    <row r="3409">
      <c r="A3409" s="3" t="inlineStr">
        <is>
          <t>Cape Projects Construction (Pty) Ltd</t>
        </is>
      </c>
      <c r="B3409" s="4" t="n">
        <v>45077</v>
      </c>
      <c r="C3409" s="3" t="inlineStr">
        <is>
          <t>Assets</t>
        </is>
      </c>
      <c r="D3409" s="3" t="inlineStr">
        <is>
          <t>5400/750</t>
        </is>
      </c>
      <c r="E3409" s="3" t="inlineStr">
        <is>
          <t>Loan - Endulini</t>
        </is>
      </c>
      <c r="F3409" s="3" t="n">
        <v>2665000</v>
      </c>
      <c r="G3409" s="3" t="n">
        <v>21511187.4</v>
      </c>
    </row>
    <row r="3410">
      <c r="A3410" s="3" t="inlineStr">
        <is>
          <t>Cape Projects Construction (Pty) Ltd</t>
        </is>
      </c>
      <c r="B3410" s="4" t="n">
        <v>45077</v>
      </c>
      <c r="C3410" s="3" t="inlineStr">
        <is>
          <t>Assets</t>
        </is>
      </c>
      <c r="D3410" s="3" t="inlineStr">
        <is>
          <t>5400/800</t>
        </is>
      </c>
      <c r="E3410" s="3" t="inlineStr">
        <is>
          <t>Loan - Opportunity Management Holdings</t>
        </is>
      </c>
      <c r="F3410" s="3" t="n">
        <v>131500</v>
      </c>
      <c r="G3410" s="3" t="n">
        <v>11500</v>
      </c>
    </row>
    <row r="3411">
      <c r="A3411" s="3" t="inlineStr">
        <is>
          <t>Heron View (Pty) Ltd</t>
        </is>
      </c>
      <c r="B3411" s="4" t="n">
        <v>45077</v>
      </c>
      <c r="C3411" s="3" t="inlineStr">
        <is>
          <t>Liabilities</t>
        </is>
      </c>
      <c r="D3411" s="3" t="inlineStr">
        <is>
          <t>5500/001</t>
        </is>
      </c>
      <c r="E3411" s="3" t="inlineStr">
        <is>
          <t>Loan - Heron Fields</t>
        </is>
      </c>
      <c r="F3411" s="3" t="n">
        <v>-8639308.16</v>
      </c>
      <c r="G3411" s="3" t="n">
        <v>-35389035.76</v>
      </c>
    </row>
    <row r="3412">
      <c r="A3412" s="3" t="inlineStr">
        <is>
          <t>Heron Fields (Pty) Ltd</t>
        </is>
      </c>
      <c r="B3412" s="4" t="n">
        <v>45077</v>
      </c>
      <c r="C3412" s="3" t="inlineStr">
        <is>
          <t>Liabilities</t>
        </is>
      </c>
      <c r="D3412" s="3" t="inlineStr">
        <is>
          <t>5500/020</t>
        </is>
      </c>
      <c r="E3412" s="3" t="inlineStr">
        <is>
          <t>Loan - Cape Projects Construction</t>
        </is>
      </c>
      <c r="F3412" s="3" t="n">
        <v>-145000</v>
      </c>
      <c r="G3412" s="3" t="n">
        <v>10231940.42</v>
      </c>
    </row>
    <row r="3413">
      <c r="A3413" s="3" t="inlineStr">
        <is>
          <t>Heron Fields (Pty) Ltd</t>
        </is>
      </c>
      <c r="B3413" s="4" t="n">
        <v>45077</v>
      </c>
      <c r="C3413" s="3" t="inlineStr">
        <is>
          <t>Liabilities</t>
        </is>
      </c>
      <c r="D3413" s="3" t="inlineStr">
        <is>
          <t>5500/030</t>
        </is>
      </c>
      <c r="E3413" s="3" t="inlineStr">
        <is>
          <t>Loan - Opportunity Global Investments</t>
        </is>
      </c>
      <c r="F3413" s="3" t="n">
        <v>349000</v>
      </c>
      <c r="G3413" s="3" t="n">
        <v>3052000</v>
      </c>
    </row>
    <row r="3414">
      <c r="A3414" s="3" t="inlineStr">
        <is>
          <t>Heron Fields (Pty) Ltd</t>
        </is>
      </c>
      <c r="B3414" s="4" t="n">
        <v>45077</v>
      </c>
      <c r="C3414" s="3" t="inlineStr">
        <is>
          <t>Liabilities</t>
        </is>
      </c>
      <c r="D3414" s="3" t="inlineStr">
        <is>
          <t>5500/050</t>
        </is>
      </c>
      <c r="E3414" s="3" t="inlineStr">
        <is>
          <t>Loan - Heron View</t>
        </is>
      </c>
      <c r="F3414" s="3" t="n">
        <v>8639308.16</v>
      </c>
      <c r="G3414" s="3" t="n">
        <v>35389035.76</v>
      </c>
    </row>
    <row r="3415">
      <c r="A3415" s="3" t="inlineStr">
        <is>
          <t>Heron Fields (Pty) Ltd</t>
        </is>
      </c>
      <c r="B3415" s="4" t="n">
        <v>45077</v>
      </c>
      <c r="C3415" s="3" t="inlineStr">
        <is>
          <t>Liabilities</t>
        </is>
      </c>
      <c r="D3415" s="3" t="inlineStr">
        <is>
          <t>5500/060</t>
        </is>
      </c>
      <c r="E3415" s="3" t="inlineStr">
        <is>
          <t>Loan - Opportunity Management Holdings</t>
        </is>
      </c>
      <c r="F3415" s="3" t="n">
        <v>-19000</v>
      </c>
      <c r="G3415" s="3" t="n">
        <v>22000</v>
      </c>
    </row>
    <row r="3416">
      <c r="A3416" s="3" t="inlineStr">
        <is>
          <t>Cape Projects Construction (Pty) Ltd</t>
        </is>
      </c>
      <c r="B3416" s="4" t="n">
        <v>45077</v>
      </c>
      <c r="C3416" s="3" t="inlineStr">
        <is>
          <t>Assets</t>
        </is>
      </c>
      <c r="D3416" s="3" t="inlineStr">
        <is>
          <t>6200/010</t>
        </is>
      </c>
      <c r="E3416" s="3" t="inlineStr">
        <is>
          <t>Motor Vehicles - @ Cost</t>
        </is>
      </c>
      <c r="F3416" s="3" t="n">
        <v>0</v>
      </c>
      <c r="G3416" s="3" t="n">
        <v>216064.1</v>
      </c>
    </row>
    <row r="3417">
      <c r="A3417" s="3" t="inlineStr">
        <is>
          <t>Cape Projects Construction (Pty) Ltd</t>
        </is>
      </c>
      <c r="B3417" s="4" t="n">
        <v>45077</v>
      </c>
      <c r="C3417" s="3" t="inlineStr">
        <is>
          <t>Assets</t>
        </is>
      </c>
      <c r="D3417" s="3" t="inlineStr">
        <is>
          <t>6200/020</t>
        </is>
      </c>
      <c r="E3417" s="3" t="inlineStr">
        <is>
          <t>Motor Vehicles - Accum Depre</t>
        </is>
      </c>
      <c r="F3417" s="3" t="n">
        <v>0</v>
      </c>
      <c r="G3417" s="3" t="n">
        <v>-216063.1</v>
      </c>
    </row>
    <row r="3418">
      <c r="A3418" s="3" t="inlineStr">
        <is>
          <t>Cape Projects Construction (Pty) Ltd</t>
        </is>
      </c>
      <c r="B3418" s="4" t="n">
        <v>45077</v>
      </c>
      <c r="C3418" s="3" t="inlineStr">
        <is>
          <t>Assets</t>
        </is>
      </c>
      <c r="D3418" s="3" t="inlineStr">
        <is>
          <t>6250/010</t>
        </is>
      </c>
      <c r="E3418" s="3" t="inlineStr">
        <is>
          <t>Computer Equipment - @ Cost</t>
        </is>
      </c>
      <c r="F3418" s="3" t="n">
        <v>0</v>
      </c>
      <c r="G3418" s="3" t="n">
        <v>133790.35</v>
      </c>
    </row>
    <row r="3419">
      <c r="A3419" s="3" t="inlineStr">
        <is>
          <t>Cape Projects Construction (Pty) Ltd</t>
        </is>
      </c>
      <c r="B3419" s="4" t="n">
        <v>45077</v>
      </c>
      <c r="C3419" s="3" t="inlineStr">
        <is>
          <t>Assets</t>
        </is>
      </c>
      <c r="D3419" s="3" t="inlineStr">
        <is>
          <t>6250/020</t>
        </is>
      </c>
      <c r="E3419" s="3" t="inlineStr">
        <is>
          <t>Computer Equipment - Accum Depre</t>
        </is>
      </c>
      <c r="F3419" s="3" t="n">
        <v>-3323.91</v>
      </c>
      <c r="G3419" s="3" t="n">
        <v>-52894.69</v>
      </c>
    </row>
    <row r="3420">
      <c r="A3420" s="3" t="inlineStr">
        <is>
          <t>Cape Projects Construction (Pty) Ltd</t>
        </is>
      </c>
      <c r="B3420" s="4" t="n">
        <v>45077</v>
      </c>
      <c r="C3420" s="3" t="inlineStr">
        <is>
          <t>Assets</t>
        </is>
      </c>
      <c r="D3420" s="3" t="inlineStr">
        <is>
          <t>6350/010</t>
        </is>
      </c>
      <c r="E3420" s="3" t="inlineStr">
        <is>
          <t>Furniture _AND_ Fittings - @ Cost</t>
        </is>
      </c>
      <c r="F3420" s="3" t="n">
        <v>0</v>
      </c>
      <c r="G3420" s="3" t="n">
        <v>37955.3</v>
      </c>
    </row>
    <row r="3421">
      <c r="A3421" s="3" t="inlineStr">
        <is>
          <t>Cape Projects Construction (Pty) Ltd</t>
        </is>
      </c>
      <c r="B3421" s="4" t="n">
        <v>45077</v>
      </c>
      <c r="C3421" s="3" t="inlineStr">
        <is>
          <t>Assets</t>
        </is>
      </c>
      <c r="D3421" s="3" t="inlineStr">
        <is>
          <t>6350/020</t>
        </is>
      </c>
      <c r="E3421" s="3" t="inlineStr">
        <is>
          <t>Furniture _AND_ Fittings - Accum Depre</t>
        </is>
      </c>
      <c r="F3421" s="3" t="n">
        <v>-547.6799999999999</v>
      </c>
      <c r="G3421" s="3" t="n">
        <v>-7537.58</v>
      </c>
    </row>
    <row r="3422">
      <c r="A3422" s="3" t="inlineStr">
        <is>
          <t>Cape Projects Construction (Pty) Ltd</t>
        </is>
      </c>
      <c r="B3422" s="4" t="n">
        <v>45077</v>
      </c>
      <c r="C3422" s="3" t="inlineStr">
        <is>
          <t>Assets</t>
        </is>
      </c>
      <c r="D3422" s="3" t="inlineStr">
        <is>
          <t>6600/010</t>
        </is>
      </c>
      <c r="E3422" s="3" t="inlineStr">
        <is>
          <t>Generator Fixed Asset - @ Cost</t>
        </is>
      </c>
      <c r="F3422" s="3" t="n">
        <v>59722</v>
      </c>
      <c r="G3422" s="3" t="n">
        <v>71322</v>
      </c>
    </row>
    <row r="3423">
      <c r="A3423" s="3" t="inlineStr">
        <is>
          <t>Cape Projects Construction (Pty) Ltd</t>
        </is>
      </c>
      <c r="B3423" s="4" t="n">
        <v>45077</v>
      </c>
      <c r="C3423" s="3" t="inlineStr">
        <is>
          <t>Assets</t>
        </is>
      </c>
      <c r="D3423" s="3" t="inlineStr">
        <is>
          <t>6600/020</t>
        </is>
      </c>
      <c r="E3423" s="3" t="inlineStr">
        <is>
          <t>Generator Fixed Asset - Accum Depre</t>
        </is>
      </c>
      <c r="F3423" s="3" t="n">
        <v>-1188.7</v>
      </c>
      <c r="G3423" s="3" t="n">
        <v>-4700.93</v>
      </c>
    </row>
    <row r="3424">
      <c r="A3424" s="3" t="inlineStr">
        <is>
          <t>Heron Fields (Pty) Ltd</t>
        </is>
      </c>
      <c r="B3424" s="4" t="n">
        <v>45077</v>
      </c>
      <c r="C3424" s="3" t="inlineStr">
        <is>
          <t>Assets</t>
        </is>
      </c>
      <c r="D3424" s="3" t="inlineStr">
        <is>
          <t>7610/395</t>
        </is>
      </c>
      <c r="E3424" s="3" t="inlineStr">
        <is>
          <t>HF CIP NHBRC</t>
        </is>
      </c>
      <c r="F3424" s="3" t="n">
        <v>0</v>
      </c>
      <c r="G3424" s="3" t="n">
        <v>874505.75</v>
      </c>
    </row>
    <row r="3425">
      <c r="A3425" s="3" t="inlineStr">
        <is>
          <t>Heron View (Pty) Ltd</t>
        </is>
      </c>
      <c r="B3425" s="4" t="n">
        <v>45077</v>
      </c>
      <c r="C3425" s="3" t="inlineStr">
        <is>
          <t>Assets</t>
        </is>
      </c>
      <c r="D3425" s="3" t="inlineStr">
        <is>
          <t>7610/395</t>
        </is>
      </c>
      <c r="E3425" s="3" t="inlineStr">
        <is>
          <t>Heron CIP NHBRC</t>
        </is>
      </c>
      <c r="F3425" s="3" t="n">
        <v>182721.88</v>
      </c>
      <c r="G3425" s="3" t="n">
        <v>803063.11</v>
      </c>
    </row>
    <row r="3426">
      <c r="A3426" s="3" t="inlineStr">
        <is>
          <t>Heron Fields (Pty) Ltd</t>
        </is>
      </c>
      <c r="B3426" s="4" t="n">
        <v>45077</v>
      </c>
      <c r="C3426" s="3" t="inlineStr">
        <is>
          <t>Assets</t>
        </is>
      </c>
      <c r="D3426" s="3" t="inlineStr">
        <is>
          <t>7620/100</t>
        </is>
      </c>
      <c r="E3426" s="3" t="inlineStr">
        <is>
          <t>Heron View Land</t>
        </is>
      </c>
      <c r="F3426" s="3" t="n">
        <v>0</v>
      </c>
      <c r="G3426" s="3" t="n">
        <v>26200000</v>
      </c>
    </row>
    <row r="3427">
      <c r="A3427" s="3" t="inlineStr">
        <is>
          <t>Heron Fields (Pty) Ltd</t>
        </is>
      </c>
      <c r="B3427" s="4" t="n">
        <v>45077</v>
      </c>
      <c r="C3427" s="3" t="inlineStr">
        <is>
          <t>Assets</t>
        </is>
      </c>
      <c r="D3427" s="3" t="inlineStr">
        <is>
          <t>7620/101</t>
        </is>
      </c>
      <c r="E3427" s="3" t="inlineStr">
        <is>
          <t>HF CIP Bond Registration Fee</t>
        </is>
      </c>
      <c r="F3427" s="3" t="n">
        <v>0</v>
      </c>
      <c r="G3427" s="3" t="n">
        <v>68427</v>
      </c>
    </row>
    <row r="3428">
      <c r="A3428" s="3" t="inlineStr">
        <is>
          <t>Heron Fields (Pty) Ltd</t>
        </is>
      </c>
      <c r="B3428" s="4" t="n">
        <v>45077</v>
      </c>
      <c r="C3428" s="3" t="inlineStr">
        <is>
          <t>Assets</t>
        </is>
      </c>
      <c r="D3428" s="3" t="inlineStr">
        <is>
          <t>7620/102</t>
        </is>
      </c>
      <c r="E3428" s="3" t="inlineStr">
        <is>
          <t>HF CIP Transfer Fee</t>
        </is>
      </c>
      <c r="F3428" s="3" t="n">
        <v>0</v>
      </c>
      <c r="G3428" s="3" t="n">
        <v>103812</v>
      </c>
    </row>
    <row r="3429">
      <c r="A3429" s="3" t="inlineStr">
        <is>
          <t>Heron Fields (Pty) Ltd</t>
        </is>
      </c>
      <c r="B3429" s="4" t="n">
        <v>45077</v>
      </c>
      <c r="C3429" s="3" t="inlineStr">
        <is>
          <t>Assets</t>
        </is>
      </c>
      <c r="D3429" s="3" t="inlineStr">
        <is>
          <t>7620/220</t>
        </is>
      </c>
      <c r="E3429" s="3" t="inlineStr">
        <is>
          <t>HF CIP Architectural Designs</t>
        </is>
      </c>
      <c r="F3429" s="3" t="n">
        <v>0</v>
      </c>
      <c r="G3429" s="3" t="n">
        <v>314087</v>
      </c>
    </row>
    <row r="3430">
      <c r="A3430" s="3" t="inlineStr">
        <is>
          <t>Heron View (Pty) Ltd</t>
        </is>
      </c>
      <c r="B3430" s="4" t="n">
        <v>45077</v>
      </c>
      <c r="C3430" s="3" t="inlineStr">
        <is>
          <t>Assets</t>
        </is>
      </c>
      <c r="D3430" s="3" t="inlineStr">
        <is>
          <t>7620/220</t>
        </is>
      </c>
      <c r="E3430" s="3" t="inlineStr">
        <is>
          <t>Heron View CIP Architectural Designs</t>
        </is>
      </c>
      <c r="F3430" s="3" t="n">
        <v>250404.54</v>
      </c>
      <c r="G3430" s="3" t="n">
        <v>377356.52</v>
      </c>
    </row>
    <row r="3431">
      <c r="A3431" s="3" t="inlineStr">
        <is>
          <t>Heron Fields (Pty) Ltd</t>
        </is>
      </c>
      <c r="B3431" s="4" t="n">
        <v>45077</v>
      </c>
      <c r="C3431" s="3" t="inlineStr">
        <is>
          <t>Assets</t>
        </is>
      </c>
      <c r="D3431" s="3" t="inlineStr">
        <is>
          <t>7620/230</t>
        </is>
      </c>
      <c r="E3431" s="3" t="inlineStr">
        <is>
          <t>HF CIP Construction Management</t>
        </is>
      </c>
      <c r="F3431" s="3" t="n">
        <v>0</v>
      </c>
      <c r="G3431" s="3" t="n">
        <v>139500</v>
      </c>
    </row>
    <row r="3432">
      <c r="A3432" s="3" t="inlineStr">
        <is>
          <t>Heron Fields (Pty) Ltd</t>
        </is>
      </c>
      <c r="B3432" s="4" t="n">
        <v>45077</v>
      </c>
      <c r="C3432" s="3" t="inlineStr">
        <is>
          <t>Assets</t>
        </is>
      </c>
      <c r="D3432" s="3" t="inlineStr">
        <is>
          <t>7620/240</t>
        </is>
      </c>
      <c r="E3432" s="3" t="inlineStr">
        <is>
          <t>HF CIP Civil Engineering</t>
        </is>
      </c>
      <c r="F3432" s="3" t="n">
        <v>0</v>
      </c>
      <c r="G3432" s="3" t="n">
        <v>8557641.800000001</v>
      </c>
    </row>
    <row r="3433">
      <c r="A3433" s="3" t="inlineStr">
        <is>
          <t>Heron Fields (Pty) Ltd</t>
        </is>
      </c>
      <c r="B3433" s="4" t="n">
        <v>45077</v>
      </c>
      <c r="C3433" s="3" t="inlineStr">
        <is>
          <t>Assets</t>
        </is>
      </c>
      <c r="D3433" s="3" t="inlineStr">
        <is>
          <t>7620/245</t>
        </is>
      </c>
      <c r="E3433" s="3" t="inlineStr">
        <is>
          <t>HF CIP Development fee</t>
        </is>
      </c>
      <c r="F3433" s="3" t="n">
        <v>0</v>
      </c>
      <c r="G3433" s="3" t="n">
        <v>13807.78</v>
      </c>
    </row>
    <row r="3434">
      <c r="A3434" s="3" t="inlineStr">
        <is>
          <t>Heron Fields (Pty) Ltd</t>
        </is>
      </c>
      <c r="B3434" s="4" t="n">
        <v>45077</v>
      </c>
      <c r="C3434" s="3" t="inlineStr">
        <is>
          <t>Assets</t>
        </is>
      </c>
      <c r="D3434" s="3" t="inlineStr">
        <is>
          <t>7620/250</t>
        </is>
      </c>
      <c r="E3434" s="3" t="inlineStr">
        <is>
          <t>HF CIP Land Surveyor</t>
        </is>
      </c>
      <c r="F3434" s="3" t="n">
        <v>0</v>
      </c>
      <c r="G3434" s="3" t="n">
        <v>197060.09</v>
      </c>
    </row>
    <row r="3435">
      <c r="A3435" s="3" t="inlineStr">
        <is>
          <t>Heron View (Pty) Ltd</t>
        </is>
      </c>
      <c r="B3435" s="4" t="n">
        <v>45077</v>
      </c>
      <c r="C3435" s="3" t="inlineStr">
        <is>
          <t>Assets</t>
        </is>
      </c>
      <c r="D3435" s="3" t="inlineStr">
        <is>
          <t>7620/250</t>
        </is>
      </c>
      <c r="E3435" s="3" t="inlineStr">
        <is>
          <t>Heron View CIP Land Surveyor</t>
        </is>
      </c>
      <c r="F3435" s="3" t="n">
        <v>0</v>
      </c>
      <c r="G3435" s="3" t="n">
        <v>19185</v>
      </c>
    </row>
    <row r="3436">
      <c r="A3436" s="3" t="inlineStr">
        <is>
          <t>Heron Fields (Pty) Ltd</t>
        </is>
      </c>
      <c r="B3436" s="4" t="n">
        <v>45077</v>
      </c>
      <c r="C3436" s="3" t="inlineStr">
        <is>
          <t>Assets</t>
        </is>
      </c>
      <c r="D3436" s="3" t="inlineStr">
        <is>
          <t>7620/255</t>
        </is>
      </c>
      <c r="E3436" s="3" t="inlineStr">
        <is>
          <t>HF CIP Landscaping</t>
        </is>
      </c>
      <c r="F3436" s="3" t="n">
        <v>0</v>
      </c>
      <c r="G3436" s="3" t="n">
        <v>7500</v>
      </c>
    </row>
    <row r="3437">
      <c r="A3437" s="3" t="inlineStr">
        <is>
          <t>Heron View (Pty) Ltd</t>
        </is>
      </c>
      <c r="B3437" s="4" t="n">
        <v>45077</v>
      </c>
      <c r="C3437" s="3" t="inlineStr">
        <is>
          <t>Assets</t>
        </is>
      </c>
      <c r="D3437" s="3" t="inlineStr">
        <is>
          <t>7620/255</t>
        </is>
      </c>
      <c r="E3437" s="3" t="inlineStr">
        <is>
          <t>Heron View CIP Landscaping</t>
        </is>
      </c>
      <c r="F3437" s="3" t="n">
        <v>0</v>
      </c>
      <c r="G3437" s="3" t="n">
        <v>114370.5</v>
      </c>
    </row>
    <row r="3438">
      <c r="A3438" s="3" t="inlineStr">
        <is>
          <t>Heron Fields (Pty) Ltd</t>
        </is>
      </c>
      <c r="B3438" s="4" t="n">
        <v>45077</v>
      </c>
      <c r="C3438" s="3" t="inlineStr">
        <is>
          <t>Assets</t>
        </is>
      </c>
      <c r="D3438" s="3" t="inlineStr">
        <is>
          <t>7620/260</t>
        </is>
      </c>
      <c r="E3438" s="3" t="inlineStr">
        <is>
          <t>HF CIP Mechanical Engineers</t>
        </is>
      </c>
      <c r="F3438" s="3" t="n">
        <v>0</v>
      </c>
      <c r="G3438" s="3" t="n">
        <v>67400</v>
      </c>
    </row>
    <row r="3439">
      <c r="A3439" s="3" t="inlineStr">
        <is>
          <t>Heron Fields (Pty) Ltd</t>
        </is>
      </c>
      <c r="B3439" s="4" t="n">
        <v>45077</v>
      </c>
      <c r="C3439" s="3" t="inlineStr">
        <is>
          <t>Assets</t>
        </is>
      </c>
      <c r="D3439" s="3" t="inlineStr">
        <is>
          <t>7620/265</t>
        </is>
      </c>
      <c r="E3439" s="3" t="inlineStr">
        <is>
          <t>HF CIP Health &amp; Safety</t>
        </is>
      </c>
      <c r="F3439" s="3" t="n">
        <v>0</v>
      </c>
      <c r="G3439" s="3" t="n">
        <v>20600</v>
      </c>
    </row>
    <row r="3440">
      <c r="A3440" s="3" t="inlineStr">
        <is>
          <t>Heron Fields (Pty) Ltd</t>
        </is>
      </c>
      <c r="B3440" s="4" t="n">
        <v>45077</v>
      </c>
      <c r="C3440" s="3" t="inlineStr">
        <is>
          <t>Assets</t>
        </is>
      </c>
      <c r="D3440" s="3" t="inlineStr">
        <is>
          <t>7620/270</t>
        </is>
      </c>
      <c r="E3440" s="3" t="inlineStr">
        <is>
          <t>HF CIP Geotechnical</t>
        </is>
      </c>
      <c r="F3440" s="3" t="n">
        <v>0</v>
      </c>
      <c r="G3440" s="3" t="n">
        <v>15175</v>
      </c>
    </row>
    <row r="3441">
      <c r="A3441" s="3" t="inlineStr">
        <is>
          <t>Heron Fields (Pty) Ltd</t>
        </is>
      </c>
      <c r="B3441" s="4" t="n">
        <v>45077</v>
      </c>
      <c r="C3441" s="3" t="inlineStr">
        <is>
          <t>Assets</t>
        </is>
      </c>
      <c r="D3441" s="3" t="inlineStr">
        <is>
          <t>7620/275</t>
        </is>
      </c>
      <c r="E3441" s="3" t="inlineStr">
        <is>
          <t>HF CIP Retaining Wall</t>
        </is>
      </c>
      <c r="F3441" s="3" t="n">
        <v>0</v>
      </c>
      <c r="G3441" s="3" t="n">
        <v>570856.08</v>
      </c>
    </row>
    <row r="3442">
      <c r="A3442" s="3" t="inlineStr">
        <is>
          <t>Heron Fields (Pty) Ltd</t>
        </is>
      </c>
      <c r="B3442" s="4" t="n">
        <v>45077</v>
      </c>
      <c r="C3442" s="3" t="inlineStr">
        <is>
          <t>Assets</t>
        </is>
      </c>
      <c r="D3442" s="3" t="inlineStr">
        <is>
          <t>7620/280</t>
        </is>
      </c>
      <c r="E3442" s="3" t="inlineStr">
        <is>
          <t>HF CIP Site Establishment</t>
        </is>
      </c>
      <c r="F3442" s="3" t="n">
        <v>0</v>
      </c>
      <c r="G3442" s="3" t="n">
        <v>47748851.51</v>
      </c>
    </row>
    <row r="3443">
      <c r="A3443" s="3" t="inlineStr">
        <is>
          <t>Heron View (Pty) Ltd</t>
        </is>
      </c>
      <c r="B3443" s="4" t="n">
        <v>45077</v>
      </c>
      <c r="C3443" s="3" t="inlineStr">
        <is>
          <t>Assets</t>
        </is>
      </c>
      <c r="D3443" s="3" t="inlineStr">
        <is>
          <t>7620/280</t>
        </is>
      </c>
      <c r="E3443" s="3" t="inlineStr">
        <is>
          <t>Heron View CIP Site Establishment</t>
        </is>
      </c>
      <c r="F3443" s="3" t="n">
        <v>0</v>
      </c>
      <c r="G3443" s="3" t="n">
        <v>7187757.92</v>
      </c>
    </row>
    <row r="3444">
      <c r="A3444" s="3" t="inlineStr">
        <is>
          <t>Heron Fields (Pty) Ltd</t>
        </is>
      </c>
      <c r="B3444" s="4" t="n">
        <v>45077</v>
      </c>
      <c r="C3444" s="3" t="inlineStr">
        <is>
          <t>Assets</t>
        </is>
      </c>
      <c r="D3444" s="3" t="inlineStr">
        <is>
          <t>7620/285</t>
        </is>
      </c>
      <c r="E3444" s="3" t="inlineStr">
        <is>
          <t>HF CIP Structuring Fee - Invest</t>
        </is>
      </c>
      <c r="F3444" s="3" t="n">
        <v>0</v>
      </c>
      <c r="G3444" s="3" t="n">
        <v>3850818.04</v>
      </c>
    </row>
    <row r="3445">
      <c r="A3445" s="3" t="inlineStr">
        <is>
          <t>Heron View (Pty) Ltd</t>
        </is>
      </c>
      <c r="B3445" s="4" t="n">
        <v>45077</v>
      </c>
      <c r="C3445" s="3" t="inlineStr">
        <is>
          <t>Assets</t>
        </is>
      </c>
      <c r="D3445" s="3" t="inlineStr">
        <is>
          <t>7620/285</t>
        </is>
      </c>
      <c r="E3445" s="3" t="inlineStr">
        <is>
          <t>Heron View CIP Structuring Fee - Invest</t>
        </is>
      </c>
      <c r="F3445" s="3" t="n">
        <v>0</v>
      </c>
      <c r="G3445" s="3" t="n">
        <v>1826086.96</v>
      </c>
    </row>
    <row r="3446">
      <c r="A3446" s="3" t="inlineStr">
        <is>
          <t>Heron Fields (Pty) Ltd</t>
        </is>
      </c>
      <c r="B3446" s="4" t="n">
        <v>45077</v>
      </c>
      <c r="C3446" s="3" t="inlineStr">
        <is>
          <t>Assets</t>
        </is>
      </c>
      <c r="D3446" s="3" t="inlineStr">
        <is>
          <t>7620/287</t>
        </is>
      </c>
      <c r="E3446" s="3" t="inlineStr">
        <is>
          <t>HF CIP Structuring Fee - Development</t>
        </is>
      </c>
      <c r="F3446" s="3" t="n">
        <v>0</v>
      </c>
      <c r="G3446" s="3" t="n">
        <v>782608.0699999999</v>
      </c>
    </row>
    <row r="3447">
      <c r="A3447" s="3" t="inlineStr">
        <is>
          <t>Heron Fields (Pty) Ltd</t>
        </is>
      </c>
      <c r="B3447" s="4" t="n">
        <v>45077</v>
      </c>
      <c r="C3447" s="3" t="inlineStr">
        <is>
          <t>Assets</t>
        </is>
      </c>
      <c r="D3447" s="3" t="inlineStr">
        <is>
          <t>7620/290</t>
        </is>
      </c>
      <c r="E3447" s="3" t="inlineStr">
        <is>
          <t>HF CIP Town Planning</t>
        </is>
      </c>
      <c r="F3447" s="3" t="n">
        <v>0</v>
      </c>
      <c r="G3447" s="3" t="n">
        <v>166550</v>
      </c>
    </row>
    <row r="3448">
      <c r="A3448" s="3" t="inlineStr">
        <is>
          <t>Heron Fields (Pty) Ltd</t>
        </is>
      </c>
      <c r="B3448" s="4" t="n">
        <v>45077</v>
      </c>
      <c r="C3448" s="3" t="inlineStr">
        <is>
          <t>Assets</t>
        </is>
      </c>
      <c r="D3448" s="3" t="inlineStr">
        <is>
          <t>7620/295</t>
        </is>
      </c>
      <c r="E3448" s="3" t="inlineStr">
        <is>
          <t>HF CIP Traffic Planning</t>
        </is>
      </c>
      <c r="F3448" s="3" t="n">
        <v>0</v>
      </c>
      <c r="G3448" s="3" t="n">
        <v>45000</v>
      </c>
    </row>
    <row r="3449">
      <c r="A3449" s="3" t="inlineStr">
        <is>
          <t>Heron Fields (Pty) Ltd</t>
        </is>
      </c>
      <c r="B3449" s="4" t="n">
        <v>45077</v>
      </c>
      <c r="C3449" s="3" t="inlineStr">
        <is>
          <t>Assets</t>
        </is>
      </c>
      <c r="D3449" s="3" t="inlineStr">
        <is>
          <t>7620/600</t>
        </is>
      </c>
      <c r="E3449" s="3" t="inlineStr">
        <is>
          <t>HF CIP Eco work</t>
        </is>
      </c>
      <c r="F3449" s="3" t="n">
        <v>0</v>
      </c>
      <c r="G3449" s="3" t="n">
        <v>137000</v>
      </c>
    </row>
    <row r="3450">
      <c r="A3450" s="3" t="inlineStr">
        <is>
          <t>Heron View (Pty) Ltd</t>
        </is>
      </c>
      <c r="B3450" s="4" t="n">
        <v>45077</v>
      </c>
      <c r="C3450" s="3" t="inlineStr">
        <is>
          <t>Assets</t>
        </is>
      </c>
      <c r="D3450" s="3" t="inlineStr">
        <is>
          <t>7620/605</t>
        </is>
      </c>
      <c r="E3450" s="3" t="inlineStr">
        <is>
          <t>Heron View CIP Structural Engineers</t>
        </is>
      </c>
      <c r="F3450" s="3" t="n">
        <v>0</v>
      </c>
      <c r="G3450" s="3" t="n">
        <v>221353.14</v>
      </c>
    </row>
    <row r="3451">
      <c r="A3451" s="3" t="inlineStr">
        <is>
          <t>Heron View (Pty) Ltd</t>
        </is>
      </c>
      <c r="B3451" s="4" t="n">
        <v>45077</v>
      </c>
      <c r="C3451" s="3" t="inlineStr">
        <is>
          <t>Assets</t>
        </is>
      </c>
      <c r="D3451" s="3" t="inlineStr">
        <is>
          <t>7620/610</t>
        </is>
      </c>
      <c r="E3451" s="3" t="inlineStr">
        <is>
          <t>HV CIP Retaining wall</t>
        </is>
      </c>
      <c r="F3451" s="3" t="n">
        <v>0</v>
      </c>
      <c r="G3451" s="3" t="n">
        <v>66190.11</v>
      </c>
    </row>
    <row r="3452">
      <c r="A3452" s="3" t="inlineStr">
        <is>
          <t>Heron Fields (Pty) Ltd</t>
        </is>
      </c>
      <c r="B3452" s="4" t="n">
        <v>45077</v>
      </c>
      <c r="C3452" s="3" t="inlineStr">
        <is>
          <t>Assets</t>
        </is>
      </c>
      <c r="D3452" s="3" t="inlineStr">
        <is>
          <t>7620/630</t>
        </is>
      </c>
      <c r="E3452" s="3" t="inlineStr">
        <is>
          <t>HF CIP CoCT development contribution</t>
        </is>
      </c>
      <c r="F3452" s="3" t="n">
        <v>15120.46</v>
      </c>
      <c r="G3452" s="3" t="n">
        <v>822396.09</v>
      </c>
    </row>
    <row r="3453">
      <c r="A3453" s="3" t="inlineStr">
        <is>
          <t>Heron View (Pty) Ltd</t>
        </is>
      </c>
      <c r="B3453" s="4" t="n">
        <v>45077</v>
      </c>
      <c r="C3453" s="3" t="inlineStr">
        <is>
          <t>Assets</t>
        </is>
      </c>
      <c r="D3453" s="3" t="inlineStr">
        <is>
          <t>7620/630</t>
        </is>
      </c>
      <c r="E3453" s="3" t="inlineStr">
        <is>
          <t>Heron CIP - CoCT development contribution</t>
        </is>
      </c>
      <c r="F3453" s="3" t="n">
        <v>0</v>
      </c>
      <c r="G3453" s="3" t="n">
        <v>1313735.84</v>
      </c>
    </row>
    <row r="3454">
      <c r="A3454" s="3" t="inlineStr">
        <is>
          <t>Heron Fields (Pty) Ltd</t>
        </is>
      </c>
      <c r="B3454" s="4" t="n">
        <v>45077</v>
      </c>
      <c r="C3454" s="3" t="inlineStr">
        <is>
          <t>Assets</t>
        </is>
      </c>
      <c r="D3454" s="3" t="inlineStr">
        <is>
          <t>7620/640</t>
        </is>
      </c>
      <c r="E3454" s="3" t="inlineStr">
        <is>
          <t>HF CIP Project costs</t>
        </is>
      </c>
      <c r="F3454" s="3" t="n">
        <v>0</v>
      </c>
      <c r="G3454" s="3" t="n">
        <v>622274.51</v>
      </c>
    </row>
    <row r="3455">
      <c r="A3455" s="3" t="inlineStr">
        <is>
          <t>Heron View (Pty) Ltd</t>
        </is>
      </c>
      <c r="B3455" s="4" t="n">
        <v>45077</v>
      </c>
      <c r="C3455" s="3" t="inlineStr">
        <is>
          <t>Assets</t>
        </is>
      </c>
      <c r="D3455" s="3" t="inlineStr">
        <is>
          <t>7620/650</t>
        </is>
      </c>
      <c r="E3455" s="3" t="inlineStr">
        <is>
          <t>CIP - Construction Management</t>
        </is>
      </c>
      <c r="F3455" s="3" t="n">
        <v>13000</v>
      </c>
      <c r="G3455" s="3" t="n">
        <v>76530</v>
      </c>
    </row>
    <row r="3456">
      <c r="A3456" s="3" t="inlineStr">
        <is>
          <t>Heron Fields (Pty) Ltd</t>
        </is>
      </c>
      <c r="B3456" s="4" t="n">
        <v>45077</v>
      </c>
      <c r="C3456" s="3" t="inlineStr">
        <is>
          <t>Assets</t>
        </is>
      </c>
      <c r="D3456" s="3" t="inlineStr">
        <is>
          <t>7620/650</t>
        </is>
      </c>
      <c r="E3456" s="3" t="inlineStr">
        <is>
          <t>HF CIP Electrical</t>
        </is>
      </c>
      <c r="F3456" s="3" t="n">
        <v>0</v>
      </c>
      <c r="G3456" s="3" t="n">
        <v>985049.6800000001</v>
      </c>
    </row>
    <row r="3457">
      <c r="A3457" s="3" t="inlineStr">
        <is>
          <t>Heron View (Pty) Ltd</t>
        </is>
      </c>
      <c r="B3457" s="4" t="n">
        <v>45077</v>
      </c>
      <c r="C3457" s="3" t="inlineStr">
        <is>
          <t>Assets</t>
        </is>
      </c>
      <c r="D3457" s="3" t="inlineStr">
        <is>
          <t>7620/660</t>
        </is>
      </c>
      <c r="E3457" s="3" t="inlineStr">
        <is>
          <t>HV CIP Health &amp; Safety</t>
        </is>
      </c>
      <c r="F3457" s="3" t="n">
        <v>1400</v>
      </c>
      <c r="G3457" s="3" t="n">
        <v>18800</v>
      </c>
    </row>
    <row r="3458">
      <c r="A3458" s="3" t="inlineStr">
        <is>
          <t>Heron View (Pty) Ltd</t>
        </is>
      </c>
      <c r="B3458" s="4" t="n">
        <v>45077</v>
      </c>
      <c r="C3458" s="3" t="inlineStr">
        <is>
          <t>Assets</t>
        </is>
      </c>
      <c r="D3458" s="3" t="inlineStr">
        <is>
          <t>7620/670</t>
        </is>
      </c>
      <c r="E3458" s="3" t="inlineStr">
        <is>
          <t>HV CIP - Project costs CPSD</t>
        </is>
      </c>
      <c r="F3458" s="3" t="n">
        <v>0</v>
      </c>
      <c r="G3458" s="3" t="n">
        <v>684782.6</v>
      </c>
    </row>
    <row r="3459">
      <c r="A3459" s="3" t="inlineStr">
        <is>
          <t>Heron View (Pty) Ltd</t>
        </is>
      </c>
      <c r="B3459" s="4" t="n">
        <v>45077</v>
      </c>
      <c r="C3459" s="3" t="inlineStr">
        <is>
          <t>Assets</t>
        </is>
      </c>
      <c r="D3459" s="3" t="inlineStr">
        <is>
          <t>7620/680</t>
        </is>
      </c>
      <c r="E3459" s="3" t="inlineStr">
        <is>
          <t>HV CIP Elextrical</t>
        </is>
      </c>
      <c r="F3459" s="3" t="n">
        <v>160310.23</v>
      </c>
      <c r="G3459" s="3" t="n">
        <v>1130099.94</v>
      </c>
    </row>
    <row r="3460">
      <c r="A3460" s="3" t="inlineStr">
        <is>
          <t>Heron View (Pty) Ltd</t>
        </is>
      </c>
      <c r="B3460" s="4" t="n">
        <v>45077</v>
      </c>
      <c r="C3460" s="3" t="inlineStr">
        <is>
          <t>Assets</t>
        </is>
      </c>
      <c r="D3460" s="3" t="inlineStr">
        <is>
          <t>7620/690</t>
        </is>
      </c>
      <c r="E3460" s="3" t="inlineStr">
        <is>
          <t>HV CIP Site Establishment</t>
        </is>
      </c>
      <c r="F3460" s="3" t="n">
        <v>4774233.25</v>
      </c>
      <c r="G3460" s="3" t="n">
        <v>16239901.7</v>
      </c>
    </row>
    <row r="3461">
      <c r="A3461" s="3" t="inlineStr">
        <is>
          <t>Heron Fields (Pty) Ltd</t>
        </is>
      </c>
      <c r="B3461" s="4" t="n">
        <v>45077</v>
      </c>
      <c r="C3461" s="3" t="inlineStr">
        <is>
          <t>Assets</t>
        </is>
      </c>
      <c r="D3461" s="3" t="inlineStr">
        <is>
          <t>7620/750</t>
        </is>
      </c>
      <c r="E3461" s="3" t="inlineStr">
        <is>
          <t>HF CIP Project costs CPSD</t>
        </is>
      </c>
      <c r="F3461" s="3" t="n">
        <v>272525.08</v>
      </c>
      <c r="G3461" s="3" t="n">
        <v>1774970.11</v>
      </c>
    </row>
    <row r="3462">
      <c r="A3462" s="3" t="inlineStr">
        <is>
          <t>Heron Fields (Pty) Ltd</t>
        </is>
      </c>
      <c r="B3462" s="4" t="n">
        <v>45077</v>
      </c>
      <c r="C3462" s="3" t="inlineStr">
        <is>
          <t>Assets</t>
        </is>
      </c>
      <c r="D3462" s="3" t="inlineStr">
        <is>
          <t>7620/800</t>
        </is>
      </c>
      <c r="E3462" s="3" t="inlineStr">
        <is>
          <t>HF CIP GL Conradie</t>
        </is>
      </c>
      <c r="F3462" s="3" t="n">
        <v>0</v>
      </c>
      <c r="G3462" s="3" t="n">
        <v>1068455</v>
      </c>
    </row>
    <row r="3463">
      <c r="A3463" s="3" t="inlineStr">
        <is>
          <t>Heron Fields (Pty) Ltd</t>
        </is>
      </c>
      <c r="B3463" s="4" t="n">
        <v>45077</v>
      </c>
      <c r="C3463" s="3" t="inlineStr">
        <is>
          <t>Assets</t>
        </is>
      </c>
      <c r="D3463" s="3" t="inlineStr">
        <is>
          <t>7700/010</t>
        </is>
      </c>
      <c r="E3463" s="3" t="inlineStr">
        <is>
          <t>Construction 28 Feb 23 HF</t>
        </is>
      </c>
      <c r="F3463" s="3" t="n">
        <v>0</v>
      </c>
      <c r="G3463" s="3" t="n">
        <v>-24427668.44</v>
      </c>
    </row>
    <row r="3464">
      <c r="A3464" s="3" t="inlineStr">
        <is>
          <t>Cape Projects Construction (Pty) Ltd</t>
        </is>
      </c>
      <c r="B3464" s="4" t="n">
        <v>45077</v>
      </c>
      <c r="C3464" s="3" t="inlineStr">
        <is>
          <t>Assets</t>
        </is>
      </c>
      <c r="D3464" s="3" t="inlineStr">
        <is>
          <t>7800/000</t>
        </is>
      </c>
      <c r="E3464" s="3" t="inlineStr">
        <is>
          <t>Deposits paid</t>
        </is>
      </c>
      <c r="F3464" s="3" t="n">
        <v>0</v>
      </c>
      <c r="G3464" s="3" t="n">
        <v>29600</v>
      </c>
    </row>
    <row r="3465">
      <c r="A3465" s="3" t="inlineStr">
        <is>
          <t>Cape Projects Construction (Pty) Ltd</t>
        </is>
      </c>
      <c r="B3465" s="4" t="n">
        <v>45077</v>
      </c>
      <c r="C3465" s="3" t="inlineStr">
        <is>
          <t>Assets</t>
        </is>
      </c>
      <c r="D3465" s="3" t="inlineStr">
        <is>
          <t>8000/000</t>
        </is>
      </c>
      <c r="E3465" s="3" t="inlineStr">
        <is>
          <t>Customer Control Account</t>
        </is>
      </c>
      <c r="F3465" s="3" t="n">
        <v>-1963646.34</v>
      </c>
      <c r="G3465" s="3" t="n">
        <v>-7406263.69</v>
      </c>
    </row>
    <row r="3466">
      <c r="A3466" s="3" t="inlineStr">
        <is>
          <t>Heron Fields (Pty) Ltd</t>
        </is>
      </c>
      <c r="B3466" s="4" t="n">
        <v>45077</v>
      </c>
      <c r="C3466" s="3" t="inlineStr">
        <is>
          <t>Assets</t>
        </is>
      </c>
      <c r="D3466" s="3" t="inlineStr">
        <is>
          <t>8000/000</t>
        </is>
      </c>
      <c r="E3466" s="3" t="inlineStr">
        <is>
          <t>Customer Control Account</t>
        </is>
      </c>
      <c r="F3466" s="3" t="n">
        <v>0</v>
      </c>
      <c r="G3466" s="3" t="n">
        <v>345946.61</v>
      </c>
    </row>
    <row r="3467">
      <c r="A3467" s="3" t="inlineStr">
        <is>
          <t>Heron Fields (Pty) Ltd</t>
        </is>
      </c>
      <c r="B3467" s="4" t="n">
        <v>45077</v>
      </c>
      <c r="C3467" s="3" t="inlineStr">
        <is>
          <t>Assets</t>
        </is>
      </c>
      <c r="D3467" s="3" t="inlineStr">
        <is>
          <t>8400/000</t>
        </is>
      </c>
      <c r="E3467" s="3" t="inlineStr">
        <is>
          <t>RMB - 62882379087</t>
        </is>
      </c>
      <c r="F3467" s="3" t="n">
        <v>-229699.62</v>
      </c>
      <c r="G3467" s="3" t="n">
        <v>182685.59</v>
      </c>
    </row>
    <row r="3468">
      <c r="A3468" s="3" t="inlineStr">
        <is>
          <t>Cape Projects Construction (Pty) Ltd</t>
        </is>
      </c>
      <c r="B3468" s="4" t="n">
        <v>45077</v>
      </c>
      <c r="C3468" s="3" t="inlineStr">
        <is>
          <t>Assets</t>
        </is>
      </c>
      <c r="D3468" s="3" t="inlineStr">
        <is>
          <t>8400/000</t>
        </is>
      </c>
      <c r="E3468" s="3" t="inlineStr">
        <is>
          <t>RMB 62275138470</t>
        </is>
      </c>
      <c r="F3468" s="3" t="n">
        <v>55669.87</v>
      </c>
      <c r="G3468" s="3" t="n">
        <v>499752.44</v>
      </c>
    </row>
    <row r="3469">
      <c r="A3469" s="3" t="inlineStr">
        <is>
          <t>Cape Projects Construction (Pty) Ltd</t>
        </is>
      </c>
      <c r="B3469" s="4" t="n">
        <v>45077</v>
      </c>
      <c r="C3469" s="3" t="inlineStr">
        <is>
          <t>Assets</t>
        </is>
      </c>
      <c r="D3469" s="3" t="inlineStr">
        <is>
          <t>8420/000</t>
        </is>
      </c>
      <c r="E3469" s="3" t="inlineStr">
        <is>
          <t>Momentum Priv Acc RU502230981</t>
        </is>
      </c>
      <c r="F3469" s="3" t="n">
        <v>0</v>
      </c>
      <c r="G3469" s="3" t="n">
        <v>547.71</v>
      </c>
    </row>
    <row r="3470">
      <c r="A3470" s="3" t="inlineStr">
        <is>
          <t>Heron Fields (Pty) Ltd</t>
        </is>
      </c>
      <c r="B3470" s="4" t="n">
        <v>45077</v>
      </c>
      <c r="C3470" s="3" t="inlineStr">
        <is>
          <t>Assets</t>
        </is>
      </c>
      <c r="D3470" s="3" t="inlineStr">
        <is>
          <t>8430/000</t>
        </is>
      </c>
      <c r="E3470" s="3" t="inlineStr">
        <is>
          <t>Momentum Private Account RU502230151</t>
        </is>
      </c>
      <c r="F3470" s="3" t="n">
        <v>5.43</v>
      </c>
      <c r="G3470" s="3" t="n">
        <v>843.41</v>
      </c>
    </row>
    <row r="3471">
      <c r="A3471" s="3" t="inlineStr">
        <is>
          <t>Heron Fields (Pty) Ltd</t>
        </is>
      </c>
      <c r="B3471" s="4" t="n">
        <v>45077</v>
      </c>
      <c r="C3471" s="3" t="inlineStr">
        <is>
          <t>Assets</t>
        </is>
      </c>
      <c r="D3471" s="3" t="inlineStr">
        <is>
          <t>8440/000</t>
        </is>
      </c>
      <c r="E3471" s="3" t="inlineStr">
        <is>
          <t>Momentum Investors Account RU502229930</t>
        </is>
      </c>
      <c r="F3471" s="3" t="n">
        <v>-3171923.1</v>
      </c>
      <c r="G3471" s="3" t="n">
        <v>33630554.92</v>
      </c>
    </row>
    <row r="3472">
      <c r="A3472" s="3" t="inlineStr">
        <is>
          <t>Cape Projects Construction (Pty) Ltd</t>
        </is>
      </c>
      <c r="B3472" s="4" t="n">
        <v>45077</v>
      </c>
      <c r="C3472" s="3" t="inlineStr">
        <is>
          <t>Liabilities</t>
        </is>
      </c>
      <c r="D3472" s="3" t="inlineStr">
        <is>
          <t>860</t>
        </is>
      </c>
      <c r="E3472" s="3" t="inlineStr">
        <is>
          <t>Rounding</t>
        </is>
      </c>
      <c r="F3472" s="3" t="n">
        <v>-17.58</v>
      </c>
      <c r="G3472" s="3" t="n">
        <v>-27.81</v>
      </c>
    </row>
    <row r="3473">
      <c r="A3473" s="3" t="inlineStr">
        <is>
          <t>Heron Fields (Pty) Ltd</t>
        </is>
      </c>
      <c r="B3473" s="4" t="n">
        <v>45077</v>
      </c>
      <c r="C3473" s="3" t="inlineStr">
        <is>
          <t>Liabilities</t>
        </is>
      </c>
      <c r="D3473" s="3" t="inlineStr">
        <is>
          <t>860</t>
        </is>
      </c>
      <c r="E3473" s="3" t="inlineStr">
        <is>
          <t>Rounding</t>
        </is>
      </c>
      <c r="F3473" s="3" t="n">
        <v>0</v>
      </c>
      <c r="G3473" s="3" t="n">
        <v>0.08</v>
      </c>
    </row>
    <row r="3474">
      <c r="A3474" s="3" t="inlineStr">
        <is>
          <t>Cape Projects Construction (Pty) Ltd</t>
        </is>
      </c>
      <c r="B3474" s="4" t="n">
        <v>45077</v>
      </c>
      <c r="C3474" s="3" t="inlineStr">
        <is>
          <t>Liabilities</t>
        </is>
      </c>
      <c r="D3474" s="3" t="inlineStr">
        <is>
          <t>9000/000</t>
        </is>
      </c>
      <c r="E3474" s="3" t="inlineStr">
        <is>
          <t>Supplier Control Account</t>
        </is>
      </c>
      <c r="F3474" s="3" t="n">
        <v>-906809.09</v>
      </c>
      <c r="G3474" s="3" t="n">
        <v>-2133238.54</v>
      </c>
    </row>
    <row r="3475">
      <c r="A3475" s="3" t="inlineStr">
        <is>
          <t>Heron Fields (Pty) Ltd</t>
        </is>
      </c>
      <c r="B3475" s="4" t="n">
        <v>45077</v>
      </c>
      <c r="C3475" s="3" t="inlineStr">
        <is>
          <t>Liabilities</t>
        </is>
      </c>
      <c r="D3475" s="3" t="inlineStr">
        <is>
          <t>9000/000</t>
        </is>
      </c>
      <c r="E3475" s="3" t="inlineStr">
        <is>
          <t>Supplier Control Account</t>
        </is>
      </c>
      <c r="F3475" s="3" t="n">
        <v>-1805372.25</v>
      </c>
      <c r="G3475" s="3" t="n">
        <v>-131515065.2</v>
      </c>
    </row>
    <row r="3476">
      <c r="A3476" s="3" t="inlineStr">
        <is>
          <t>Heron View (Pty) Ltd</t>
        </is>
      </c>
      <c r="B3476" s="4" t="n">
        <v>45077</v>
      </c>
      <c r="C3476" s="3" t="inlineStr">
        <is>
          <t>Liabilities</t>
        </is>
      </c>
      <c r="D3476" s="3" t="inlineStr">
        <is>
          <t>9000/000</t>
        </is>
      </c>
      <c r="E3476" s="3" t="inlineStr">
        <is>
          <t>Supplier Control Account</t>
        </is>
      </c>
      <c r="F3476" s="3" t="n">
        <v>2283483.86</v>
      </c>
      <c r="G3476" s="3" t="n">
        <v>637016.98</v>
      </c>
    </row>
    <row r="3477">
      <c r="A3477" s="3" t="inlineStr">
        <is>
          <t>Cape Projects Construction (Pty) Ltd</t>
        </is>
      </c>
      <c r="B3477" s="4" t="n">
        <v>45077</v>
      </c>
      <c r="C3477" s="3" t="inlineStr">
        <is>
          <t>Liabilities</t>
        </is>
      </c>
      <c r="D3477" s="3" t="inlineStr">
        <is>
          <t>9200/000</t>
        </is>
      </c>
      <c r="E3477" s="3" t="inlineStr">
        <is>
          <t>Sundry Suppliers</t>
        </is>
      </c>
      <c r="F3477" s="3" t="n">
        <v>1309</v>
      </c>
      <c r="G3477" s="3" t="n">
        <v>1309</v>
      </c>
    </row>
    <row r="3478">
      <c r="A3478" s="3" t="inlineStr">
        <is>
          <t>Cape Projects Construction (Pty) Ltd</t>
        </is>
      </c>
      <c r="B3478" s="4" t="n">
        <v>45077</v>
      </c>
      <c r="C3478" s="3" t="inlineStr">
        <is>
          <t>Liabilities</t>
        </is>
      </c>
      <c r="D3478" s="3" t="inlineStr">
        <is>
          <t>9250/010</t>
        </is>
      </c>
      <c r="E3478" s="3" t="inlineStr">
        <is>
          <t>SALARY CONTROL</t>
        </is>
      </c>
      <c r="F3478" s="3" t="n">
        <v>-257.48</v>
      </c>
      <c r="G3478" s="3" t="n">
        <v>-257.48</v>
      </c>
    </row>
    <row r="3479">
      <c r="A3479" s="3" t="inlineStr">
        <is>
          <t>Cape Projects Construction (Pty) Ltd</t>
        </is>
      </c>
      <c r="B3479" s="4" t="n">
        <v>45077</v>
      </c>
      <c r="C3479" s="3" t="inlineStr">
        <is>
          <t>Liabilities</t>
        </is>
      </c>
      <c r="D3479" s="3" t="inlineStr">
        <is>
          <t>9250/020</t>
        </is>
      </c>
      <c r="E3479" s="3" t="inlineStr">
        <is>
          <t>PAYE, UIF AND SDL CONTROL</t>
        </is>
      </c>
      <c r="F3479" s="3" t="n">
        <v>-399.32</v>
      </c>
      <c r="G3479" s="3" t="n">
        <v>-85314.81</v>
      </c>
    </row>
    <row r="3480">
      <c r="A3480" s="3" t="inlineStr">
        <is>
          <t>Cape Projects Construction (Pty) Ltd</t>
        </is>
      </c>
      <c r="B3480" s="4" t="n">
        <v>45077</v>
      </c>
      <c r="C3480" s="3" t="inlineStr">
        <is>
          <t>Liabilities</t>
        </is>
      </c>
      <c r="D3480" s="3" t="inlineStr">
        <is>
          <t>9250/030</t>
        </is>
      </c>
      <c r="E3480" s="3" t="inlineStr">
        <is>
          <t>BIBC CONTROL</t>
        </is>
      </c>
      <c r="F3480" s="3" t="n">
        <v>-4018.95</v>
      </c>
      <c r="G3480" s="3" t="n">
        <v>-49413.95</v>
      </c>
    </row>
    <row r="3481">
      <c r="A3481" s="3" t="inlineStr">
        <is>
          <t>Cape Projects Construction (Pty) Ltd</t>
        </is>
      </c>
      <c r="B3481" s="4" t="n">
        <v>45077</v>
      </c>
      <c r="C3481" s="3" t="inlineStr">
        <is>
          <t>Liabilities</t>
        </is>
      </c>
      <c r="D3481" s="3" t="inlineStr">
        <is>
          <t>9500/000</t>
        </is>
      </c>
      <c r="E3481" s="3" t="inlineStr">
        <is>
          <t>VAT Control Account</t>
        </is>
      </c>
      <c r="F3481" s="3" t="n">
        <v>-127125.64</v>
      </c>
      <c r="G3481" s="3" t="n">
        <v>-232897.55</v>
      </c>
    </row>
    <row r="3482">
      <c r="A3482" s="3" t="inlineStr">
        <is>
          <t>Heron Fields (Pty) Ltd</t>
        </is>
      </c>
      <c r="B3482" s="4" t="n">
        <v>45077</v>
      </c>
      <c r="C3482" s="3" t="inlineStr">
        <is>
          <t>Liabilities</t>
        </is>
      </c>
      <c r="D3482" s="3" t="inlineStr">
        <is>
          <t>9500/000</t>
        </is>
      </c>
      <c r="E3482" s="3" t="inlineStr">
        <is>
          <t>Vat / Tax Control Account</t>
        </is>
      </c>
      <c r="F3482" s="3" t="n">
        <v>-160339.03</v>
      </c>
      <c r="G3482" s="3" t="n">
        <v>-4157501.49</v>
      </c>
    </row>
    <row r="3483">
      <c r="A3483" s="3" t="inlineStr">
        <is>
          <t>Heron View (Pty) Ltd</t>
        </is>
      </c>
      <c r="B3483" s="4" t="n">
        <v>45077</v>
      </c>
      <c r="C3483" s="3" t="inlineStr">
        <is>
          <t>Liabilities</t>
        </is>
      </c>
      <c r="D3483" s="3" t="inlineStr">
        <is>
          <t>9500/000</t>
        </is>
      </c>
      <c r="E3483" s="3" t="inlineStr">
        <is>
          <t>Vat / Tax Control Account</t>
        </is>
      </c>
      <c r="F3483" s="3" t="n">
        <v>775342.2</v>
      </c>
      <c r="G3483" s="3" t="n">
        <v>4376254.9</v>
      </c>
    </row>
    <row r="3484">
      <c r="A3484" s="3" t="inlineStr">
        <is>
          <t>Heron Fields (Pty) Ltd</t>
        </is>
      </c>
      <c r="B3484" s="4" t="n">
        <v>45077</v>
      </c>
      <c r="C3484" s="3" t="inlineStr">
        <is>
          <t>Liabilities</t>
        </is>
      </c>
      <c r="D3484" s="3" t="inlineStr">
        <is>
          <t>9520/000</t>
        </is>
      </c>
      <c r="E3484" s="3" t="inlineStr">
        <is>
          <t>Income Tax Payable</t>
        </is>
      </c>
      <c r="F3484" s="3" t="n">
        <v>0</v>
      </c>
      <c r="G3484" s="3" t="n">
        <v>59039.93</v>
      </c>
    </row>
    <row r="3485">
      <c r="A3485" s="3" t="inlineStr">
        <is>
          <t>Heron Fields (Pty) Ltd</t>
        </is>
      </c>
      <c r="B3485" s="4" t="n">
        <v>45077</v>
      </c>
      <c r="C3485" s="3" t="inlineStr">
        <is>
          <t>Liabilities</t>
        </is>
      </c>
      <c r="D3485" s="3" t="inlineStr">
        <is>
          <t>9899/B208</t>
        </is>
      </c>
      <c r="E3485" s="3" t="inlineStr">
        <is>
          <t>Sales - Unit Reg Control B208</t>
        </is>
      </c>
      <c r="F3485" s="3" t="n">
        <v>0</v>
      </c>
      <c r="G3485" s="3" t="n">
        <v>1209624.06</v>
      </c>
    </row>
    <row r="3486">
      <c r="A3486" s="3" t="inlineStr">
        <is>
          <t>Cape Projects Construction (Pty) Ltd</t>
        </is>
      </c>
      <c r="B3486" s="4" t="n">
        <v>45077</v>
      </c>
      <c r="C3486" s="3" t="inlineStr">
        <is>
          <t>Liabilities</t>
        </is>
      </c>
      <c r="D3486" s="3" t="inlineStr">
        <is>
          <t>B/S</t>
        </is>
      </c>
      <c r="E3486" s="3" t="inlineStr">
        <is>
          <t>Taxation Payable</t>
        </is>
      </c>
      <c r="F3486" s="3" t="n">
        <v>0</v>
      </c>
      <c r="G3486" s="3" t="n">
        <v>28029.81</v>
      </c>
    </row>
    <row r="3487">
      <c r="A3487" s="3" t="inlineStr">
        <is>
          <t>Cape Projects Construction (Pty) Ltd</t>
        </is>
      </c>
      <c r="B3487" s="4" t="n">
        <v>45077</v>
      </c>
      <c r="C3487" s="3" t="inlineStr">
        <is>
          <t>Liabilities</t>
        </is>
      </c>
      <c r="D3487" s="3" t="inlineStr">
        <is>
          <t>TEMP/ACC</t>
        </is>
      </c>
      <c r="E3487" s="3" t="inlineStr">
        <is>
          <t>Conversion Account</t>
        </is>
      </c>
      <c r="F3487" s="3" t="n">
        <v>0</v>
      </c>
      <c r="G3487" s="3" t="n">
        <v>-254.99</v>
      </c>
    </row>
    <row r="3488">
      <c r="A3488" s="3" t="inlineStr">
        <is>
          <t>Heron Fields (Pty) Ltd</t>
        </is>
      </c>
      <c r="B3488" s="4" t="n">
        <v>45107</v>
      </c>
      <c r="C3488" s="3" t="inlineStr">
        <is>
          <t>Revenue</t>
        </is>
      </c>
      <c r="D3488" s="3" t="inlineStr">
        <is>
          <t>1000/100</t>
        </is>
      </c>
      <c r="E3488" s="3" t="inlineStr">
        <is>
          <t>Sales - Heron Fields</t>
        </is>
      </c>
      <c r="F3488" s="3" t="n">
        <v>-1243391.3</v>
      </c>
      <c r="G3488" s="3" t="n">
        <v>-25600869.57</v>
      </c>
    </row>
    <row r="3489">
      <c r="A3489" s="3" t="inlineStr">
        <is>
          <t>Heron Fields (Pty) Ltd</t>
        </is>
      </c>
      <c r="B3489" s="4" t="n">
        <v>45107</v>
      </c>
      <c r="C3489" s="3" t="inlineStr">
        <is>
          <t>Revenue</t>
        </is>
      </c>
      <c r="D3489" s="3" t="inlineStr">
        <is>
          <t>1000/101</t>
        </is>
      </c>
      <c r="E3489" s="3" t="inlineStr">
        <is>
          <t>Sales - Heron Fields occupational rent</t>
        </is>
      </c>
      <c r="F3489" s="3" t="n">
        <v>0</v>
      </c>
      <c r="G3489" s="3" t="n">
        <v>-94646.91</v>
      </c>
    </row>
    <row r="3490">
      <c r="A3490" s="3" t="inlineStr">
        <is>
          <t>Cape Projects Construction (Pty) Ltd</t>
        </is>
      </c>
      <c r="B3490" s="4" t="n">
        <v>45107</v>
      </c>
      <c r="C3490" s="3" t="inlineStr">
        <is>
          <t>Revenue</t>
        </is>
      </c>
      <c r="D3490" s="3" t="inlineStr">
        <is>
          <t>1040/100</t>
        </is>
      </c>
      <c r="E3490" s="3" t="inlineStr">
        <is>
          <t>Fees - Construction - Heron</t>
        </is>
      </c>
      <c r="F3490" s="3" t="n">
        <v>-3889214.05</v>
      </c>
      <c r="G3490" s="3" t="n">
        <v>-16861264.89</v>
      </c>
    </row>
    <row r="3491">
      <c r="A3491" s="3" t="inlineStr">
        <is>
          <t>Cape Projects Construction (Pty) Ltd</t>
        </is>
      </c>
      <c r="B3491" s="4" t="n">
        <v>45107</v>
      </c>
      <c r="C3491" s="3" t="inlineStr">
        <is>
          <t>Revenue</t>
        </is>
      </c>
      <c r="D3491" s="3" t="inlineStr">
        <is>
          <t>1070/000</t>
        </is>
      </c>
      <c r="E3491" s="3" t="inlineStr">
        <is>
          <t>Rent - CT Office</t>
        </is>
      </c>
      <c r="F3491" s="3" t="n">
        <v>0</v>
      </c>
      <c r="G3491" s="3" t="n">
        <v>3490.94</v>
      </c>
    </row>
    <row r="3492">
      <c r="A3492" s="3" t="inlineStr">
        <is>
          <t>Heron View (Pty) Ltd</t>
        </is>
      </c>
      <c r="B3492" s="4" t="n">
        <v>45107</v>
      </c>
      <c r="C3492" s="3" t="inlineStr">
        <is>
          <t>Expenses</t>
        </is>
      </c>
      <c r="D3492" s="3" t="inlineStr">
        <is>
          <t>2000/030</t>
        </is>
      </c>
      <c r="E3492" s="3" t="inlineStr">
        <is>
          <t>COS - HV COCT Rates clearance</t>
        </is>
      </c>
      <c r="F3492" s="3" t="n">
        <v>0</v>
      </c>
      <c r="G3492" s="3" t="n">
        <v>192174.7</v>
      </c>
    </row>
    <row r="3493">
      <c r="A3493" s="3" t="inlineStr">
        <is>
          <t>Heron Fields (Pty) Ltd</t>
        </is>
      </c>
      <c r="B3493" s="4" t="n">
        <v>45107</v>
      </c>
      <c r="C3493" s="3" t="inlineStr">
        <is>
          <t>Expenses</t>
        </is>
      </c>
      <c r="D3493" s="3" t="inlineStr">
        <is>
          <t>2000/040</t>
        </is>
      </c>
      <c r="E3493" s="3" t="inlineStr">
        <is>
          <t>COS - Legal Fees</t>
        </is>
      </c>
      <c r="F3493" s="3" t="n">
        <v>18544.25</v>
      </c>
      <c r="G3493" s="3" t="n">
        <v>577903.3</v>
      </c>
    </row>
    <row r="3494">
      <c r="A3494" s="3" t="inlineStr">
        <is>
          <t>Heron View (Pty) Ltd</t>
        </is>
      </c>
      <c r="B3494" s="4" t="n">
        <v>45107</v>
      </c>
      <c r="C3494" s="3" t="inlineStr">
        <is>
          <t>Expenses</t>
        </is>
      </c>
      <c r="D3494" s="3" t="inlineStr">
        <is>
          <t>2000/041</t>
        </is>
      </c>
      <c r="E3494" s="3" t="inlineStr">
        <is>
          <t>COS - Legal Fees Opening of Sec Title Fees</t>
        </is>
      </c>
      <c r="F3494" s="3" t="n">
        <v>14689.94</v>
      </c>
      <c r="G3494" s="3" t="n">
        <v>14689.94</v>
      </c>
    </row>
    <row r="3495">
      <c r="A3495" s="3" t="inlineStr">
        <is>
          <t>Heron Fields (Pty) Ltd</t>
        </is>
      </c>
      <c r="B3495" s="4" t="n">
        <v>45107</v>
      </c>
      <c r="C3495" s="3" t="inlineStr">
        <is>
          <t>Expenses</t>
        </is>
      </c>
      <c r="D3495" s="3" t="inlineStr">
        <is>
          <t>2000/050</t>
        </is>
      </c>
      <c r="E3495" s="3" t="inlineStr">
        <is>
          <t>COS - Rates clearance</t>
        </is>
      </c>
      <c r="F3495" s="3" t="n">
        <v>0</v>
      </c>
      <c r="G3495" s="3" t="n">
        <v>18160.92</v>
      </c>
    </row>
    <row r="3496">
      <c r="A3496" s="3" t="inlineStr">
        <is>
          <t>Heron Fields (Pty) Ltd</t>
        </is>
      </c>
      <c r="B3496" s="4" t="n">
        <v>45107</v>
      </c>
      <c r="C3496" s="3" t="inlineStr">
        <is>
          <t>Expenses</t>
        </is>
      </c>
      <c r="D3496" s="3" t="inlineStr">
        <is>
          <t>2000/060</t>
        </is>
      </c>
      <c r="E3496" s="3" t="inlineStr">
        <is>
          <t>COS - Levies</t>
        </is>
      </c>
      <c r="F3496" s="3" t="n">
        <v>0</v>
      </c>
      <c r="G3496" s="3" t="n">
        <v>171178.44</v>
      </c>
    </row>
    <row r="3497">
      <c r="A3497" s="3" t="inlineStr">
        <is>
          <t>Heron Fields (Pty) Ltd</t>
        </is>
      </c>
      <c r="B3497" s="4" t="n">
        <v>45107</v>
      </c>
      <c r="C3497" s="3" t="inlineStr">
        <is>
          <t>Expenses</t>
        </is>
      </c>
      <c r="D3497" s="3" t="inlineStr">
        <is>
          <t>2000/070</t>
        </is>
      </c>
      <c r="E3497" s="3" t="inlineStr">
        <is>
          <t>COS - Commission HF Units</t>
        </is>
      </c>
      <c r="F3497" s="3" t="n">
        <v>62169.57</v>
      </c>
      <c r="G3497" s="3" t="n">
        <v>1219047.83</v>
      </c>
    </row>
    <row r="3498">
      <c r="A3498" s="3" t="inlineStr">
        <is>
          <t>Heron Fields (Pty) Ltd</t>
        </is>
      </c>
      <c r="B3498" s="4" t="n">
        <v>45107</v>
      </c>
      <c r="C3498" s="3" t="inlineStr">
        <is>
          <t>Expenses</t>
        </is>
      </c>
      <c r="D3498" s="3" t="inlineStr">
        <is>
          <t>2000/090</t>
        </is>
      </c>
      <c r="E3498" s="3" t="inlineStr">
        <is>
          <t>COS - Electricity</t>
        </is>
      </c>
      <c r="F3498" s="3" t="n">
        <v>0</v>
      </c>
      <c r="G3498" s="3" t="n">
        <v>250</v>
      </c>
    </row>
    <row r="3499">
      <c r="A3499" s="3" t="inlineStr">
        <is>
          <t>Heron Fields (Pty) Ltd</t>
        </is>
      </c>
      <c r="B3499" s="4" t="n">
        <v>45107</v>
      </c>
      <c r="C3499" s="3" t="inlineStr">
        <is>
          <t>Expenses</t>
        </is>
      </c>
      <c r="D3499" s="3" t="inlineStr">
        <is>
          <t>2000/100</t>
        </is>
      </c>
      <c r="E3499" s="3" t="inlineStr">
        <is>
          <t>COS - Inverters</t>
        </is>
      </c>
      <c r="F3499" s="3" t="n">
        <v>31600</v>
      </c>
      <c r="G3499" s="3" t="n">
        <v>31600</v>
      </c>
    </row>
    <row r="3500">
      <c r="A3500" s="3" t="inlineStr">
        <is>
          <t>Cape Projects Construction (Pty) Ltd</t>
        </is>
      </c>
      <c r="B3500" s="4" t="n">
        <v>45107</v>
      </c>
      <c r="C3500" s="3" t="inlineStr">
        <is>
          <t>Expenses</t>
        </is>
      </c>
      <c r="D3500" s="3" t="inlineStr">
        <is>
          <t>2000/500</t>
        </is>
      </c>
      <c r="E3500" s="3" t="inlineStr">
        <is>
          <t>COS - Electricity Cost Endulini</t>
        </is>
      </c>
      <c r="F3500" s="3" t="n">
        <v>86.95999999999999</v>
      </c>
      <c r="G3500" s="3" t="n">
        <v>286.96</v>
      </c>
    </row>
    <row r="3501">
      <c r="A3501" s="3" t="inlineStr">
        <is>
          <t>Cape Projects Construction (Pty) Ltd</t>
        </is>
      </c>
      <c r="B3501" s="4" t="n">
        <v>45107</v>
      </c>
      <c r="C3501" s="3" t="inlineStr">
        <is>
          <t>Expenses</t>
        </is>
      </c>
      <c r="D3501" s="3" t="inlineStr">
        <is>
          <t>2000/501</t>
        </is>
      </c>
      <c r="E3501" s="3" t="inlineStr">
        <is>
          <t>COS - Electricity Cost Heron Field</t>
        </is>
      </c>
      <c r="F3501" s="3" t="n">
        <v>86.95999999999999</v>
      </c>
      <c r="G3501" s="3" t="n">
        <v>86.95999999999999</v>
      </c>
    </row>
    <row r="3502">
      <c r="A3502" s="3" t="inlineStr">
        <is>
          <t>Cape Projects Construction (Pty) Ltd</t>
        </is>
      </c>
      <c r="B3502" s="4" t="n">
        <v>45107</v>
      </c>
      <c r="C3502" s="3" t="inlineStr">
        <is>
          <t>Expenses</t>
        </is>
      </c>
      <c r="D3502" s="3" t="inlineStr">
        <is>
          <t>2001/000</t>
        </is>
      </c>
      <c r="E3502" s="3" t="inlineStr">
        <is>
          <t>Cost of Sales - SouthWark Project</t>
        </is>
      </c>
      <c r="F3502" s="3" t="n">
        <v>2500</v>
      </c>
      <c r="G3502" s="3" t="n">
        <v>23443.45</v>
      </c>
    </row>
    <row r="3503">
      <c r="A3503" s="3" t="inlineStr">
        <is>
          <t>Cape Projects Construction (Pty) Ltd</t>
        </is>
      </c>
      <c r="B3503" s="4" t="n">
        <v>45107</v>
      </c>
      <c r="C3503" s="3" t="inlineStr">
        <is>
          <t>Expenses</t>
        </is>
      </c>
      <c r="D3503" s="3" t="inlineStr">
        <is>
          <t>2002/252</t>
        </is>
      </c>
      <c r="E3503" s="3" t="inlineStr">
        <is>
          <t>COS - Security - Guarding</t>
        </is>
      </c>
      <c r="F3503" s="3" t="n">
        <v>30013.04</v>
      </c>
      <c r="G3503" s="3" t="n">
        <v>30013.04</v>
      </c>
    </row>
    <row r="3504">
      <c r="A3504" s="3" t="inlineStr">
        <is>
          <t>Cape Projects Construction (Pty) Ltd</t>
        </is>
      </c>
      <c r="B3504" s="4" t="n">
        <v>45107</v>
      </c>
      <c r="C3504" s="3" t="inlineStr">
        <is>
          <t>Expenses</t>
        </is>
      </c>
      <c r="D3504" s="3" t="inlineStr">
        <is>
          <t>2006/000</t>
        </is>
      </c>
      <c r="E3504" s="3" t="inlineStr">
        <is>
          <t>COS - Endulini Construction</t>
        </is>
      </c>
      <c r="F3504" s="3" t="n">
        <v>16372.1</v>
      </c>
      <c r="G3504" s="3" t="n">
        <v>237544.4</v>
      </c>
    </row>
    <row r="3505">
      <c r="A3505" s="3" t="inlineStr">
        <is>
          <t>Cape Projects Construction (Pty) Ltd</t>
        </is>
      </c>
      <c r="B3505" s="4" t="n">
        <v>45107</v>
      </c>
      <c r="C3505" s="3" t="inlineStr">
        <is>
          <t>Expenses</t>
        </is>
      </c>
      <c r="D3505" s="3" t="inlineStr">
        <is>
          <t>2006/100</t>
        </is>
      </c>
      <c r="E3505" s="3" t="inlineStr">
        <is>
          <t>COS - Endulini P and G</t>
        </is>
      </c>
      <c r="F3505" s="3" t="n">
        <v>2570.42</v>
      </c>
      <c r="G3505" s="3" t="n">
        <v>31246.53</v>
      </c>
    </row>
    <row r="3506">
      <c r="A3506" s="3" t="inlineStr">
        <is>
          <t>Cape Projects Construction (Pty) Ltd</t>
        </is>
      </c>
      <c r="B3506" s="4" t="n">
        <v>45107</v>
      </c>
      <c r="C3506" s="3" t="inlineStr">
        <is>
          <t>Expenses</t>
        </is>
      </c>
      <c r="D3506" s="3" t="inlineStr">
        <is>
          <t>2006/200</t>
        </is>
      </c>
      <c r="E3506" s="3" t="inlineStr">
        <is>
          <t>COS - Insurance</t>
        </is>
      </c>
      <c r="F3506" s="3" t="n">
        <v>0</v>
      </c>
      <c r="G3506" s="3" t="n">
        <v>2719.43</v>
      </c>
    </row>
    <row r="3507">
      <c r="A3507" s="3" t="inlineStr">
        <is>
          <t>Cape Projects Construction (Pty) Ltd</t>
        </is>
      </c>
      <c r="B3507" s="4" t="n">
        <v>45107</v>
      </c>
      <c r="C3507" s="3" t="inlineStr">
        <is>
          <t>Expenses</t>
        </is>
      </c>
      <c r="D3507" s="3" t="inlineStr">
        <is>
          <t>2006/800</t>
        </is>
      </c>
      <c r="E3507" s="3" t="inlineStr">
        <is>
          <t>COS - Endulini - Telephone &amp; Internet</t>
        </is>
      </c>
      <c r="F3507" s="3" t="n">
        <v>0</v>
      </c>
      <c r="G3507" s="3" t="n">
        <v>760.87</v>
      </c>
    </row>
    <row r="3508">
      <c r="A3508" s="3" t="inlineStr">
        <is>
          <t>Cape Projects Construction (Pty) Ltd</t>
        </is>
      </c>
      <c r="B3508" s="4" t="n">
        <v>45107</v>
      </c>
      <c r="C3508" s="3" t="inlineStr">
        <is>
          <t>Expenses</t>
        </is>
      </c>
      <c r="D3508" s="3" t="inlineStr">
        <is>
          <t>2011/300</t>
        </is>
      </c>
      <c r="E3508" s="3" t="inlineStr">
        <is>
          <t>COS - Heron Fields - Printing &amp; Stationary</t>
        </is>
      </c>
      <c r="F3508" s="3" t="n">
        <v>0</v>
      </c>
      <c r="G3508" s="3" t="n">
        <v>1129.57</v>
      </c>
    </row>
    <row r="3509">
      <c r="A3509" s="3" t="inlineStr">
        <is>
          <t>Cape Projects Construction (Pty) Ltd</t>
        </is>
      </c>
      <c r="B3509" s="4" t="n">
        <v>45107</v>
      </c>
      <c r="C3509" s="3" t="inlineStr">
        <is>
          <t>Expenses</t>
        </is>
      </c>
      <c r="D3509" s="3" t="inlineStr">
        <is>
          <t>2011/500</t>
        </is>
      </c>
      <c r="E3509" s="3" t="inlineStr">
        <is>
          <t>COS - Heron Fields - Construction</t>
        </is>
      </c>
      <c r="F3509" s="3" t="n">
        <v>328611.84</v>
      </c>
      <c r="G3509" s="3" t="n">
        <v>1339594.59</v>
      </c>
    </row>
    <row r="3510">
      <c r="A3510" s="3" t="inlineStr">
        <is>
          <t>Cape Projects Construction (Pty) Ltd</t>
        </is>
      </c>
      <c r="B3510" s="4" t="n">
        <v>45107</v>
      </c>
      <c r="C3510" s="3" t="inlineStr">
        <is>
          <t>Expenses</t>
        </is>
      </c>
      <c r="D3510" s="3" t="inlineStr">
        <is>
          <t>2011/600</t>
        </is>
      </c>
      <c r="E3510" s="3" t="inlineStr">
        <is>
          <t>COS - Heron Fields - P &amp; G</t>
        </is>
      </c>
      <c r="F3510" s="3" t="n">
        <v>40224.74</v>
      </c>
      <c r="G3510" s="3" t="n">
        <v>202654.39</v>
      </c>
    </row>
    <row r="3511">
      <c r="A3511" s="3" t="inlineStr">
        <is>
          <t>Cape Projects Construction (Pty) Ltd</t>
        </is>
      </c>
      <c r="B3511" s="4" t="n">
        <v>45107</v>
      </c>
      <c r="C3511" s="3" t="inlineStr">
        <is>
          <t>Expenses</t>
        </is>
      </c>
      <c r="D3511" s="3" t="inlineStr">
        <is>
          <t>2011/700</t>
        </is>
      </c>
      <c r="E3511" s="3" t="inlineStr">
        <is>
          <t>COS - Heron Fields - Health &amp; Safety</t>
        </is>
      </c>
      <c r="F3511" s="3" t="n">
        <v>0</v>
      </c>
      <c r="G3511" s="3" t="n">
        <v>694.78</v>
      </c>
    </row>
    <row r="3512">
      <c r="A3512" s="3" t="inlineStr">
        <is>
          <t>Cape Projects Construction (Pty) Ltd</t>
        </is>
      </c>
      <c r="B3512" s="4" t="n">
        <v>45107</v>
      </c>
      <c r="C3512" s="3" t="inlineStr">
        <is>
          <t>Expenses</t>
        </is>
      </c>
      <c r="D3512" s="3" t="inlineStr">
        <is>
          <t>2011/900</t>
        </is>
      </c>
      <c r="E3512" s="3" t="inlineStr">
        <is>
          <t>COS - Heron - Internet</t>
        </is>
      </c>
      <c r="F3512" s="3" t="n">
        <v>1440.87</v>
      </c>
      <c r="G3512" s="3" t="n">
        <v>5009.58</v>
      </c>
    </row>
    <row r="3513">
      <c r="A3513" s="3" t="inlineStr">
        <is>
          <t>Cape Projects Construction (Pty) Ltd</t>
        </is>
      </c>
      <c r="B3513" s="4" t="n">
        <v>45107</v>
      </c>
      <c r="C3513" s="3" t="inlineStr">
        <is>
          <t>Expenses</t>
        </is>
      </c>
      <c r="D3513" s="3" t="inlineStr">
        <is>
          <t>2012/001</t>
        </is>
      </c>
      <c r="E3513" s="3" t="inlineStr">
        <is>
          <t>COS - Heron View - Printing &amp; Stationary</t>
        </is>
      </c>
      <c r="F3513" s="3" t="n">
        <v>8882.139999999999</v>
      </c>
      <c r="G3513" s="3" t="n">
        <v>11130.85</v>
      </c>
    </row>
    <row r="3514">
      <c r="A3514" s="3" t="inlineStr">
        <is>
          <t>Cape Projects Construction (Pty) Ltd</t>
        </is>
      </c>
      <c r="B3514" s="4" t="n">
        <v>45107</v>
      </c>
      <c r="C3514" s="3" t="inlineStr">
        <is>
          <t>Expenses</t>
        </is>
      </c>
      <c r="D3514" s="3" t="inlineStr">
        <is>
          <t>2012/002</t>
        </is>
      </c>
      <c r="E3514" s="3" t="inlineStr">
        <is>
          <t>COS - Heron View - Construction</t>
        </is>
      </c>
      <c r="F3514" s="3" t="n">
        <v>2684636.77</v>
      </c>
      <c r="G3514" s="3" t="n">
        <v>12155054.98</v>
      </c>
    </row>
    <row r="3515">
      <c r="A3515" s="3" t="inlineStr">
        <is>
          <t>Cape Projects Construction (Pty) Ltd</t>
        </is>
      </c>
      <c r="B3515" s="4" t="n">
        <v>45107</v>
      </c>
      <c r="C3515" s="3" t="inlineStr">
        <is>
          <t>Expenses</t>
        </is>
      </c>
      <c r="D3515" s="3" t="inlineStr">
        <is>
          <t>2012/003</t>
        </is>
      </c>
      <c r="E3515" s="3" t="inlineStr">
        <is>
          <t>COS - Heron View - P&amp;G</t>
        </is>
      </c>
      <c r="F3515" s="3" t="n">
        <v>28694.56</v>
      </c>
      <c r="G3515" s="3" t="n">
        <v>464262.08</v>
      </c>
    </row>
    <row r="3516">
      <c r="A3516" s="3" t="inlineStr">
        <is>
          <t>Cape Projects Construction (Pty) Ltd</t>
        </is>
      </c>
      <c r="B3516" s="4" t="n">
        <v>45107</v>
      </c>
      <c r="C3516" s="3" t="inlineStr">
        <is>
          <t>Expenses</t>
        </is>
      </c>
      <c r="D3516" s="3" t="inlineStr">
        <is>
          <t>2013/000</t>
        </is>
      </c>
      <c r="E3516" s="3" t="inlineStr">
        <is>
          <t>COS - Bakhoven</t>
        </is>
      </c>
      <c r="F3516" s="3" t="n">
        <v>0</v>
      </c>
      <c r="G3516" s="3" t="n">
        <v>17292.48</v>
      </c>
    </row>
    <row r="3517">
      <c r="A3517" s="3" t="inlineStr">
        <is>
          <t>Cape Projects Construction (Pty) Ltd</t>
        </is>
      </c>
      <c r="B3517" s="4" t="n">
        <v>45107</v>
      </c>
      <c r="C3517" s="3" t="inlineStr">
        <is>
          <t>Revenue</t>
        </is>
      </c>
      <c r="D3517" s="3" t="inlineStr">
        <is>
          <t>2750/000</t>
        </is>
      </c>
      <c r="E3517" s="3" t="inlineStr">
        <is>
          <t>Interest Received - FNB</t>
        </is>
      </c>
      <c r="F3517" s="3" t="n">
        <v>-67.93000000000001</v>
      </c>
      <c r="G3517" s="3" t="n">
        <v>-405.31</v>
      </c>
    </row>
    <row r="3518">
      <c r="A3518" s="3" t="inlineStr">
        <is>
          <t>Cape Projects Construction (Pty) Ltd</t>
        </is>
      </c>
      <c r="B3518" s="4" t="n">
        <v>45107</v>
      </c>
      <c r="C3518" s="3" t="inlineStr">
        <is>
          <t>Revenue</t>
        </is>
      </c>
      <c r="D3518" s="3" t="inlineStr">
        <is>
          <t>2751/001</t>
        </is>
      </c>
      <c r="E3518" s="3" t="inlineStr">
        <is>
          <t>Interest received - Momentum</t>
        </is>
      </c>
      <c r="F3518" s="3" t="n">
        <v>-7.64</v>
      </c>
      <c r="G3518" s="3" t="n">
        <v>-18.03</v>
      </c>
    </row>
    <row r="3519">
      <c r="A3519" s="3" t="inlineStr">
        <is>
          <t>Heron Fields (Pty) Ltd</t>
        </is>
      </c>
      <c r="B3519" s="4" t="n">
        <v>45107</v>
      </c>
      <c r="C3519" s="3" t="inlineStr">
        <is>
          <t>Revenue</t>
        </is>
      </c>
      <c r="D3519" s="3" t="inlineStr">
        <is>
          <t>2755/001</t>
        </is>
      </c>
      <c r="E3519" s="3" t="inlineStr">
        <is>
          <t>Interest Received - Momentum</t>
        </is>
      </c>
      <c r="F3519" s="3" t="n">
        <v>-393902.07</v>
      </c>
      <c r="G3519" s="3" t="n">
        <v>-946943.61</v>
      </c>
    </row>
    <row r="3520">
      <c r="A3520" s="3" t="inlineStr">
        <is>
          <t>Cape Projects Construction (Pty) Ltd</t>
        </is>
      </c>
      <c r="B3520" s="4" t="n">
        <v>45107</v>
      </c>
      <c r="C3520" s="3" t="inlineStr">
        <is>
          <t>Expenses</t>
        </is>
      </c>
      <c r="D3520" s="3" t="inlineStr">
        <is>
          <t>3001/000</t>
        </is>
      </c>
      <c r="E3520" s="3" t="inlineStr">
        <is>
          <t>Accounting Fees - Other</t>
        </is>
      </c>
      <c r="F3520" s="3" t="n">
        <v>580</v>
      </c>
      <c r="G3520" s="3" t="n">
        <v>580</v>
      </c>
    </row>
    <row r="3521">
      <c r="A3521" s="3" t="inlineStr">
        <is>
          <t>Cape Projects Construction (Pty) Ltd</t>
        </is>
      </c>
      <c r="B3521" s="4" t="n">
        <v>45107</v>
      </c>
      <c r="C3521" s="3" t="inlineStr">
        <is>
          <t>Expenses</t>
        </is>
      </c>
      <c r="D3521" s="3" t="inlineStr">
        <is>
          <t>3002/000</t>
        </is>
      </c>
      <c r="E3521" s="3" t="inlineStr">
        <is>
          <t>Accounting Fees - Audit</t>
        </is>
      </c>
      <c r="F3521" s="3" t="n">
        <v>11170</v>
      </c>
      <c r="G3521" s="3" t="n">
        <v>11170</v>
      </c>
    </row>
    <row r="3522">
      <c r="A3522" s="3" t="inlineStr">
        <is>
          <t>Cape Projects Construction (Pty) Ltd</t>
        </is>
      </c>
      <c r="B3522" s="4" t="n">
        <v>45107</v>
      </c>
      <c r="C3522" s="3" t="inlineStr">
        <is>
          <t>Expenses</t>
        </is>
      </c>
      <c r="D3522" s="3" t="inlineStr">
        <is>
          <t>3050/000</t>
        </is>
      </c>
      <c r="E3522" s="3" t="inlineStr">
        <is>
          <t>Advertising _AND_ Promotions</t>
        </is>
      </c>
      <c r="F3522" s="3" t="n">
        <v>1200</v>
      </c>
      <c r="G3522" s="3" t="n">
        <v>1200</v>
      </c>
    </row>
    <row r="3523">
      <c r="A3523" s="3" t="inlineStr">
        <is>
          <t>Heron Fields (Pty) Ltd</t>
        </is>
      </c>
      <c r="B3523" s="4" t="n">
        <v>45107</v>
      </c>
      <c r="C3523" s="3" t="inlineStr">
        <is>
          <t>Expenses</t>
        </is>
      </c>
      <c r="D3523" s="3" t="inlineStr">
        <is>
          <t>3050/000</t>
        </is>
      </c>
      <c r="E3523" s="3" t="inlineStr">
        <is>
          <t>Advertising _AND_ Promotions</t>
        </is>
      </c>
      <c r="F3523" s="3" t="n">
        <v>39589.13</v>
      </c>
      <c r="G3523" s="3" t="n">
        <v>137675.92</v>
      </c>
    </row>
    <row r="3524">
      <c r="A3524" s="3" t="inlineStr">
        <is>
          <t>Heron View (Pty) Ltd</t>
        </is>
      </c>
      <c r="B3524" s="4" t="n">
        <v>45107</v>
      </c>
      <c r="C3524" s="3" t="inlineStr">
        <is>
          <t>Expenses</t>
        </is>
      </c>
      <c r="D3524" s="3" t="inlineStr">
        <is>
          <t>3050/000</t>
        </is>
      </c>
      <c r="E3524" s="3" t="inlineStr">
        <is>
          <t>Advertising _AND_ Promotions</t>
        </is>
      </c>
      <c r="F3524" s="3" t="n">
        <v>1293.75</v>
      </c>
      <c r="G3524" s="3" t="n">
        <v>33471.47</v>
      </c>
    </row>
    <row r="3525">
      <c r="A3525" s="3" t="inlineStr">
        <is>
          <t>Heron Fields (Pty) Ltd</t>
        </is>
      </c>
      <c r="B3525" s="4" t="n">
        <v>45107</v>
      </c>
      <c r="C3525" s="3" t="inlineStr">
        <is>
          <t>Expenses</t>
        </is>
      </c>
      <c r="D3525" s="3" t="inlineStr">
        <is>
          <t>3050/100</t>
        </is>
      </c>
      <c r="E3525" s="3" t="inlineStr">
        <is>
          <t>Advertising - Property24</t>
        </is>
      </c>
      <c r="F3525" s="3" t="n">
        <v>0</v>
      </c>
      <c r="G3525" s="3" t="n">
        <v>12480</v>
      </c>
    </row>
    <row r="3526">
      <c r="A3526" s="3" t="inlineStr">
        <is>
          <t>Cape Projects Construction (Pty) Ltd</t>
        </is>
      </c>
      <c r="B3526" s="4" t="n">
        <v>45107</v>
      </c>
      <c r="C3526" s="3" t="inlineStr">
        <is>
          <t>Expenses</t>
        </is>
      </c>
      <c r="D3526" s="3" t="inlineStr">
        <is>
          <t>3050/150</t>
        </is>
      </c>
      <c r="E3526" s="3" t="inlineStr">
        <is>
          <t>Advertising - Design Fees</t>
        </is>
      </c>
      <c r="F3526" s="3" t="n">
        <v>0</v>
      </c>
      <c r="G3526" s="3" t="n">
        <v>295</v>
      </c>
    </row>
    <row r="3527">
      <c r="A3527" s="3" t="inlineStr">
        <is>
          <t>Cape Projects Construction (Pty) Ltd</t>
        </is>
      </c>
      <c r="B3527" s="4" t="n">
        <v>45107</v>
      </c>
      <c r="C3527" s="3" t="inlineStr">
        <is>
          <t>Expenses</t>
        </is>
      </c>
      <c r="D3527" s="3" t="inlineStr">
        <is>
          <t>3050/450</t>
        </is>
      </c>
      <c r="E3527" s="3" t="inlineStr">
        <is>
          <t>Advertising - Other</t>
        </is>
      </c>
      <c r="F3527" s="3" t="n">
        <v>885</v>
      </c>
      <c r="G3527" s="3" t="n">
        <v>1597</v>
      </c>
    </row>
    <row r="3528">
      <c r="A3528" s="3" t="inlineStr">
        <is>
          <t>Cape Projects Construction (Pty) Ltd</t>
        </is>
      </c>
      <c r="B3528" s="4" t="n">
        <v>45107</v>
      </c>
      <c r="C3528" s="3" t="inlineStr">
        <is>
          <t>Expenses</t>
        </is>
      </c>
      <c r="D3528" s="3" t="inlineStr">
        <is>
          <t>3200/000</t>
        </is>
      </c>
      <c r="E3528" s="3" t="inlineStr">
        <is>
          <t>Bank Charges</t>
        </is>
      </c>
      <c r="F3528" s="3" t="n">
        <v>1821.46</v>
      </c>
      <c r="G3528" s="3" t="n">
        <v>7400.09</v>
      </c>
    </row>
    <row r="3529">
      <c r="A3529" s="3" t="inlineStr">
        <is>
          <t>Heron Fields (Pty) Ltd</t>
        </is>
      </c>
      <c r="B3529" s="4" t="n">
        <v>45107</v>
      </c>
      <c r="C3529" s="3" t="inlineStr">
        <is>
          <t>Expenses</t>
        </is>
      </c>
      <c r="D3529" s="3" t="inlineStr">
        <is>
          <t>3200/000</t>
        </is>
      </c>
      <c r="E3529" s="3" t="inlineStr">
        <is>
          <t>Bank Charges</t>
        </is>
      </c>
      <c r="F3529" s="3" t="n">
        <v>516.95</v>
      </c>
      <c r="G3529" s="3" t="n">
        <v>1923.51</v>
      </c>
    </row>
    <row r="3530">
      <c r="A3530" s="3" t="inlineStr">
        <is>
          <t>Cape Projects Construction (Pty) Ltd</t>
        </is>
      </c>
      <c r="B3530" s="4" t="n">
        <v>45107</v>
      </c>
      <c r="C3530" s="3" t="inlineStr">
        <is>
          <t>Expenses</t>
        </is>
      </c>
      <c r="D3530" s="3" t="inlineStr">
        <is>
          <t>3250/000</t>
        </is>
      </c>
      <c r="E3530" s="3" t="inlineStr">
        <is>
          <t>Cleaning</t>
        </is>
      </c>
      <c r="F3530" s="3" t="n">
        <v>0</v>
      </c>
      <c r="G3530" s="3" t="n">
        <v>433.65</v>
      </c>
    </row>
    <row r="3531">
      <c r="A3531" s="3" t="inlineStr">
        <is>
          <t>Cape Projects Construction (Pty) Ltd</t>
        </is>
      </c>
      <c r="B3531" s="4" t="n">
        <v>45107</v>
      </c>
      <c r="C3531" s="3" t="inlineStr">
        <is>
          <t>Expenses</t>
        </is>
      </c>
      <c r="D3531" s="3" t="inlineStr">
        <is>
          <t>3300/000</t>
        </is>
      </c>
      <c r="E3531" s="3" t="inlineStr">
        <is>
          <t>Computer Expenses</t>
        </is>
      </c>
      <c r="F3531" s="3" t="n">
        <v>0</v>
      </c>
      <c r="G3531" s="3" t="n">
        <v>3603.65</v>
      </c>
    </row>
    <row r="3532">
      <c r="A3532" s="3" t="inlineStr">
        <is>
          <t>Cape Projects Construction (Pty) Ltd</t>
        </is>
      </c>
      <c r="B3532" s="4" t="n">
        <v>45107</v>
      </c>
      <c r="C3532" s="3" t="inlineStr">
        <is>
          <t>Expenses</t>
        </is>
      </c>
      <c r="D3532" s="3" t="inlineStr">
        <is>
          <t>3300/100</t>
        </is>
      </c>
      <c r="E3532" s="3" t="inlineStr">
        <is>
          <t>Computer Exp - IT, Internet/Hosting Fee</t>
        </is>
      </c>
      <c r="F3532" s="3" t="n">
        <v>4230</v>
      </c>
      <c r="G3532" s="3" t="n">
        <v>15069</v>
      </c>
    </row>
    <row r="3533">
      <c r="A3533" s="3" t="inlineStr">
        <is>
          <t>Heron Fields (Pty) Ltd</t>
        </is>
      </c>
      <c r="B3533" s="4" t="n">
        <v>45107</v>
      </c>
      <c r="C3533" s="3" t="inlineStr">
        <is>
          <t>Expenses</t>
        </is>
      </c>
      <c r="D3533" s="3" t="inlineStr">
        <is>
          <t>3350/100</t>
        </is>
      </c>
      <c r="E3533" s="3" t="inlineStr">
        <is>
          <t>Consulting Fees - Admin and Finance</t>
        </is>
      </c>
      <c r="F3533" s="3" t="n">
        <v>121658</v>
      </c>
      <c r="G3533" s="3" t="n">
        <v>450842.57</v>
      </c>
    </row>
    <row r="3534">
      <c r="A3534" s="3" t="inlineStr">
        <is>
          <t>Cape Projects Construction (Pty) Ltd</t>
        </is>
      </c>
      <c r="B3534" s="4" t="n">
        <v>45107</v>
      </c>
      <c r="C3534" s="3" t="inlineStr">
        <is>
          <t>Expenses</t>
        </is>
      </c>
      <c r="D3534" s="3" t="inlineStr">
        <is>
          <t>3350/300</t>
        </is>
      </c>
      <c r="E3534" s="3" t="inlineStr">
        <is>
          <t>Consulting Fees - Admin and Finance</t>
        </is>
      </c>
      <c r="F3534" s="3" t="n">
        <v>119527</v>
      </c>
      <c r="G3534" s="3" t="n">
        <v>493522.7</v>
      </c>
    </row>
    <row r="3535">
      <c r="A3535" s="3" t="inlineStr">
        <is>
          <t>Heron Fields (Pty) Ltd</t>
        </is>
      </c>
      <c r="B3535" s="4" t="n">
        <v>45107</v>
      </c>
      <c r="C3535" s="3" t="inlineStr">
        <is>
          <t>Expenses</t>
        </is>
      </c>
      <c r="D3535" s="3" t="inlineStr">
        <is>
          <t>3351/000</t>
        </is>
      </c>
      <c r="E3535" s="3" t="inlineStr">
        <is>
          <t>Consulting fees - Trustee</t>
        </is>
      </c>
      <c r="F3535" s="3" t="n">
        <v>4200</v>
      </c>
      <c r="G3535" s="3" t="n">
        <v>12200</v>
      </c>
    </row>
    <row r="3536">
      <c r="A3536" s="3" t="inlineStr">
        <is>
          <t>Heron View (Pty) Ltd</t>
        </is>
      </c>
      <c r="B3536" s="4" t="n">
        <v>45107</v>
      </c>
      <c r="C3536" s="3" t="inlineStr">
        <is>
          <t>Expenses</t>
        </is>
      </c>
      <c r="D3536" s="3" t="inlineStr">
        <is>
          <t>3351/000</t>
        </is>
      </c>
      <c r="E3536" s="3" t="inlineStr">
        <is>
          <t>Consulting fees - Trustee</t>
        </is>
      </c>
      <c r="F3536" s="3" t="n">
        <v>7250</v>
      </c>
      <c r="G3536" s="3" t="n">
        <v>7250</v>
      </c>
    </row>
    <row r="3537">
      <c r="A3537" s="3" t="inlineStr">
        <is>
          <t>Cape Projects Construction (Pty) Ltd</t>
        </is>
      </c>
      <c r="B3537" s="4" t="n">
        <v>45107</v>
      </c>
      <c r="C3537" s="3" t="inlineStr">
        <is>
          <t>Expenses</t>
        </is>
      </c>
      <c r="D3537" s="3" t="inlineStr">
        <is>
          <t>3400/000</t>
        </is>
      </c>
      <c r="E3537" s="3" t="inlineStr">
        <is>
          <t>Courier _AND_ Postage</t>
        </is>
      </c>
      <c r="F3537" s="3" t="n">
        <v>0</v>
      </c>
      <c r="G3537" s="3" t="n">
        <v>86.09</v>
      </c>
    </row>
    <row r="3538">
      <c r="A3538" s="3" t="inlineStr">
        <is>
          <t>Cape Projects Construction (Pty) Ltd</t>
        </is>
      </c>
      <c r="B3538" s="4" t="n">
        <v>45107</v>
      </c>
      <c r="C3538" s="3" t="inlineStr">
        <is>
          <t>Expenses</t>
        </is>
      </c>
      <c r="D3538" s="3" t="inlineStr">
        <is>
          <t>3450/001</t>
        </is>
      </c>
      <c r="E3538" s="3" t="inlineStr">
        <is>
          <t>Depreciation - Computer Equipment</t>
        </is>
      </c>
      <c r="F3538" s="3" t="n">
        <v>3323.88</v>
      </c>
      <c r="G3538" s="3" t="n">
        <v>13295.58</v>
      </c>
    </row>
    <row r="3539">
      <c r="A3539" s="3" t="inlineStr">
        <is>
          <t>Cape Projects Construction (Pty) Ltd</t>
        </is>
      </c>
      <c r="B3539" s="4" t="n">
        <v>45107</v>
      </c>
      <c r="C3539" s="3" t="inlineStr">
        <is>
          <t>Expenses</t>
        </is>
      </c>
      <c r="D3539" s="3" t="inlineStr">
        <is>
          <t>3450/002</t>
        </is>
      </c>
      <c r="E3539" s="3" t="inlineStr">
        <is>
          <t>Depreciation - Generator Fixed Asset</t>
        </is>
      </c>
      <c r="F3539" s="3" t="n">
        <v>1188.69</v>
      </c>
      <c r="G3539" s="3" t="n">
        <v>2764.06</v>
      </c>
    </row>
    <row r="3540">
      <c r="A3540" s="3" t="inlineStr">
        <is>
          <t>Cape Projects Construction (Pty) Ltd</t>
        </is>
      </c>
      <c r="B3540" s="4" t="n">
        <v>45107</v>
      </c>
      <c r="C3540" s="3" t="inlineStr">
        <is>
          <t>Expenses</t>
        </is>
      </c>
      <c r="D3540" s="3" t="inlineStr">
        <is>
          <t>3450/030</t>
        </is>
      </c>
      <c r="E3540" s="3" t="inlineStr">
        <is>
          <t>Depreciation - Furniture and Fittings</t>
        </is>
      </c>
      <c r="F3540" s="3" t="n">
        <v>547.67</v>
      </c>
      <c r="G3540" s="3" t="n">
        <v>2190.7</v>
      </c>
    </row>
    <row r="3541">
      <c r="A3541" s="3" t="inlineStr">
        <is>
          <t>Heron Fields (Pty) Ltd</t>
        </is>
      </c>
      <c r="B3541" s="4" t="n">
        <v>45107</v>
      </c>
      <c r="C3541" s="3" t="inlineStr">
        <is>
          <t>Expenses</t>
        </is>
      </c>
      <c r="D3541" s="3" t="inlineStr">
        <is>
          <t>3650/000</t>
        </is>
      </c>
      <c r="E3541" s="3" t="inlineStr">
        <is>
          <t>CoCT - Electricity</t>
        </is>
      </c>
      <c r="F3541" s="3" t="n">
        <v>0</v>
      </c>
      <c r="G3541" s="3" t="n">
        <v>11263.46</v>
      </c>
    </row>
    <row r="3542">
      <c r="A3542" s="3" t="inlineStr">
        <is>
          <t>Cape Projects Construction (Pty) Ltd</t>
        </is>
      </c>
      <c r="B3542" s="4" t="n">
        <v>45107</v>
      </c>
      <c r="C3542" s="3" t="inlineStr">
        <is>
          <t>Expenses</t>
        </is>
      </c>
      <c r="D3542" s="3" t="inlineStr">
        <is>
          <t>3650/000</t>
        </is>
      </c>
      <c r="E3542" s="3" t="inlineStr">
        <is>
          <t>Electricity _AND_ Water</t>
        </is>
      </c>
      <c r="F3542" s="3" t="n">
        <v>6082.97</v>
      </c>
      <c r="G3542" s="3" t="n">
        <v>25245.46</v>
      </c>
    </row>
    <row r="3543">
      <c r="A3543" s="3" t="inlineStr">
        <is>
          <t>Heron Fields (Pty) Ltd</t>
        </is>
      </c>
      <c r="B3543" s="4" t="n">
        <v>45107</v>
      </c>
      <c r="C3543" s="3" t="inlineStr">
        <is>
          <t>Expenses</t>
        </is>
      </c>
      <c r="D3543" s="3" t="inlineStr">
        <is>
          <t>3660/000</t>
        </is>
      </c>
      <c r="E3543" s="3" t="inlineStr">
        <is>
          <t>CoCT - Water</t>
        </is>
      </c>
      <c r="F3543" s="3" t="n">
        <v>0</v>
      </c>
      <c r="G3543" s="3" t="n">
        <v>43879.43</v>
      </c>
    </row>
    <row r="3544">
      <c r="A3544" s="3" t="inlineStr">
        <is>
          <t>Heron Fields (Pty) Ltd</t>
        </is>
      </c>
      <c r="B3544" s="4" t="n">
        <v>45107</v>
      </c>
      <c r="C3544" s="3" t="inlineStr">
        <is>
          <t>Expenses</t>
        </is>
      </c>
      <c r="D3544" s="3" t="inlineStr">
        <is>
          <t>3670/000</t>
        </is>
      </c>
      <c r="E3544" s="3" t="inlineStr">
        <is>
          <t>CoCT - Refuse</t>
        </is>
      </c>
      <c r="F3544" s="3" t="n">
        <v>0</v>
      </c>
      <c r="G3544" s="3" t="n">
        <v>10690.2</v>
      </c>
    </row>
    <row r="3545">
      <c r="A3545" s="3" t="inlineStr">
        <is>
          <t>Heron Fields (Pty) Ltd</t>
        </is>
      </c>
      <c r="B3545" s="4" t="n">
        <v>45107</v>
      </c>
      <c r="C3545" s="3" t="inlineStr">
        <is>
          <t>Expenses</t>
        </is>
      </c>
      <c r="D3545" s="3" t="inlineStr">
        <is>
          <t>3700/000</t>
        </is>
      </c>
      <c r="E3545" s="3" t="inlineStr">
        <is>
          <t>Entertainment Expenses</t>
        </is>
      </c>
      <c r="F3545" s="3" t="n">
        <v>0</v>
      </c>
      <c r="G3545" s="3" t="n">
        <v>39.47</v>
      </c>
    </row>
    <row r="3546">
      <c r="A3546" s="3" t="inlineStr">
        <is>
          <t>Heron Fields (Pty) Ltd</t>
        </is>
      </c>
      <c r="B3546" s="4" t="n">
        <v>45107</v>
      </c>
      <c r="C3546" s="3" t="inlineStr">
        <is>
          <t>Expenses</t>
        </is>
      </c>
      <c r="D3546" s="3" t="inlineStr">
        <is>
          <t>3800/000</t>
        </is>
      </c>
      <c r="E3546" s="3" t="inlineStr">
        <is>
          <t>General Expenses</t>
        </is>
      </c>
      <c r="F3546" s="3" t="n">
        <v>0</v>
      </c>
      <c r="G3546" s="3" t="n">
        <v>199.99</v>
      </c>
    </row>
    <row r="3547">
      <c r="A3547" s="3" t="inlineStr">
        <is>
          <t>Heron Fields (Pty) Ltd</t>
        </is>
      </c>
      <c r="B3547" s="4" t="n">
        <v>45107</v>
      </c>
      <c r="C3547" s="3" t="inlineStr">
        <is>
          <t>Expenses</t>
        </is>
      </c>
      <c r="D3547" s="3" t="inlineStr">
        <is>
          <t>3850/000</t>
        </is>
      </c>
      <c r="E3547" s="3" t="inlineStr">
        <is>
          <t>Insurance</t>
        </is>
      </c>
      <c r="F3547" s="3" t="n">
        <v>10741.66</v>
      </c>
      <c r="G3547" s="3" t="n">
        <v>26915.89</v>
      </c>
    </row>
    <row r="3548">
      <c r="A3548" s="3" t="inlineStr">
        <is>
          <t>Cape Projects Construction (Pty) Ltd</t>
        </is>
      </c>
      <c r="B3548" s="4" t="n">
        <v>45107</v>
      </c>
      <c r="C3548" s="3" t="inlineStr">
        <is>
          <t>Expenses</t>
        </is>
      </c>
      <c r="D3548" s="3" t="inlineStr">
        <is>
          <t>3850/001</t>
        </is>
      </c>
      <c r="E3548" s="3" t="inlineStr">
        <is>
          <t>Insurance - Santam</t>
        </is>
      </c>
      <c r="F3548" s="3" t="n">
        <v>2089.86</v>
      </c>
      <c r="G3548" s="3" t="n">
        <v>7824.27</v>
      </c>
    </row>
    <row r="3549">
      <c r="A3549" s="3" t="inlineStr">
        <is>
          <t>Heron Fields (Pty) Ltd</t>
        </is>
      </c>
      <c r="B3549" s="4" t="n">
        <v>45107</v>
      </c>
      <c r="C3549" s="3" t="inlineStr">
        <is>
          <t>Expenses</t>
        </is>
      </c>
      <c r="D3549" s="3" t="inlineStr">
        <is>
          <t>3900/000</t>
        </is>
      </c>
      <c r="E3549" s="3" t="inlineStr">
        <is>
          <t>Interest Paid</t>
        </is>
      </c>
      <c r="F3549" s="3" t="n">
        <v>0</v>
      </c>
      <c r="G3549" s="3" t="n">
        <v>-533.8</v>
      </c>
    </row>
    <row r="3550">
      <c r="A3550" s="3" t="inlineStr">
        <is>
          <t>Heron Fields (Pty) Ltd</t>
        </is>
      </c>
      <c r="B3550" s="4" t="n">
        <v>45107</v>
      </c>
      <c r="C3550" s="3" t="inlineStr">
        <is>
          <t>Expenses</t>
        </is>
      </c>
      <c r="D3550" s="3" t="inlineStr">
        <is>
          <t>3900/111</t>
        </is>
      </c>
      <c r="E3550" s="3" t="inlineStr">
        <is>
          <t>Interest Paid - Investors @ 6.25%</t>
        </is>
      </c>
      <c r="F3550" s="3" t="n">
        <v>4041.1</v>
      </c>
      <c r="G3550" s="3" t="n">
        <v>151835.31</v>
      </c>
    </row>
    <row r="3551">
      <c r="A3551" s="3" t="inlineStr">
        <is>
          <t>Heron Fields (Pty) Ltd</t>
        </is>
      </c>
      <c r="B3551" s="4" t="n">
        <v>45107</v>
      </c>
      <c r="C3551" s="3" t="inlineStr">
        <is>
          <t>Expenses</t>
        </is>
      </c>
      <c r="D3551" s="3" t="inlineStr">
        <is>
          <t>3900/115</t>
        </is>
      </c>
      <c r="E3551" s="3" t="inlineStr">
        <is>
          <t>Interest Paid - Investors @ 6.5%</t>
        </is>
      </c>
      <c r="F3551" s="3" t="n">
        <v>5520.55</v>
      </c>
      <c r="G3551" s="3" t="n">
        <v>61901.38</v>
      </c>
    </row>
    <row r="3552">
      <c r="A3552" s="3" t="inlineStr">
        <is>
          <t>Heron Fields (Pty) Ltd</t>
        </is>
      </c>
      <c r="B3552" s="4" t="n">
        <v>45107</v>
      </c>
      <c r="C3552" s="3" t="inlineStr">
        <is>
          <t>Expenses</t>
        </is>
      </c>
      <c r="D3552" s="3" t="inlineStr">
        <is>
          <t>3900/117</t>
        </is>
      </c>
      <c r="E3552" s="3" t="inlineStr">
        <is>
          <t>Interest Paid - Investors @ 6.75%</t>
        </is>
      </c>
      <c r="F3552" s="3" t="n">
        <v>3014.39</v>
      </c>
      <c r="G3552" s="3" t="n">
        <v>39316.45</v>
      </c>
    </row>
    <row r="3553">
      <c r="A3553" s="3" t="inlineStr">
        <is>
          <t>Heron Fields (Pty) Ltd</t>
        </is>
      </c>
      <c r="B3553" s="4" t="n">
        <v>45107</v>
      </c>
      <c r="C3553" s="3" t="inlineStr">
        <is>
          <t>Expenses</t>
        </is>
      </c>
      <c r="D3553" s="3" t="inlineStr">
        <is>
          <t>3900/120</t>
        </is>
      </c>
      <c r="E3553" s="3" t="inlineStr">
        <is>
          <t>Interest Paid - Investors @ 7%</t>
        </is>
      </c>
      <c r="F3553" s="3" t="n">
        <v>650.9400000000001</v>
      </c>
      <c r="G3553" s="3" t="n">
        <v>11678.33</v>
      </c>
    </row>
    <row r="3554">
      <c r="A3554" s="3" t="inlineStr">
        <is>
          <t>Heron Fields (Pty) Ltd</t>
        </is>
      </c>
      <c r="B3554" s="4" t="n">
        <v>45107</v>
      </c>
      <c r="C3554" s="3" t="inlineStr">
        <is>
          <t>Expenses</t>
        </is>
      </c>
      <c r="D3554" s="3" t="inlineStr">
        <is>
          <t>3900/126</t>
        </is>
      </c>
      <c r="E3554" s="3" t="inlineStr">
        <is>
          <t>Interest Paid - Investors @ 7.5%</t>
        </is>
      </c>
      <c r="F3554" s="3" t="n">
        <v>430.32</v>
      </c>
      <c r="G3554" s="3" t="n">
        <v>430.32</v>
      </c>
    </row>
    <row r="3555">
      <c r="A3555" s="3" t="inlineStr">
        <is>
          <t>Heron Fields (Pty) Ltd</t>
        </is>
      </c>
      <c r="B3555" s="4" t="n">
        <v>45107</v>
      </c>
      <c r="C3555" s="3" t="inlineStr">
        <is>
          <t>Expenses</t>
        </is>
      </c>
      <c r="D3555" s="3" t="inlineStr">
        <is>
          <t>3900/190</t>
        </is>
      </c>
      <c r="E3555" s="3" t="inlineStr">
        <is>
          <t>Interest Paid - Investors @ 14%</t>
        </is>
      </c>
      <c r="F3555" s="3" t="n">
        <v>130102.66</v>
      </c>
      <c r="G3555" s="3" t="n">
        <v>400367.2</v>
      </c>
    </row>
    <row r="3556">
      <c r="A3556" s="3" t="inlineStr">
        <is>
          <t>Heron Fields (Pty) Ltd</t>
        </is>
      </c>
      <c r="B3556" s="4" t="n">
        <v>45107</v>
      </c>
      <c r="C3556" s="3" t="inlineStr">
        <is>
          <t>Expenses</t>
        </is>
      </c>
      <c r="D3556" s="3" t="inlineStr">
        <is>
          <t>3900/200</t>
        </is>
      </c>
      <c r="E3556" s="3" t="inlineStr">
        <is>
          <t>Interest Paid - Investors @ 15%</t>
        </is>
      </c>
      <c r="F3556" s="3" t="n">
        <v>0</v>
      </c>
      <c r="G3556" s="3" t="n">
        <v>306719.18</v>
      </c>
    </row>
    <row r="3557">
      <c r="A3557" s="3" t="inlineStr">
        <is>
          <t>Heron Fields (Pty) Ltd</t>
        </is>
      </c>
      <c r="B3557" s="4" t="n">
        <v>45107</v>
      </c>
      <c r="C3557" s="3" t="inlineStr">
        <is>
          <t>Expenses</t>
        </is>
      </c>
      <c r="D3557" s="3" t="inlineStr">
        <is>
          <t>3900/210</t>
        </is>
      </c>
      <c r="E3557" s="3" t="inlineStr">
        <is>
          <t>Interest Paid - Investors @ 16%</t>
        </is>
      </c>
      <c r="F3557" s="3" t="n">
        <v>-30</v>
      </c>
      <c r="G3557" s="3" t="n">
        <v>47473.98</v>
      </c>
    </row>
    <row r="3558">
      <c r="A3558" s="3" t="inlineStr">
        <is>
          <t>Heron Fields (Pty) Ltd</t>
        </is>
      </c>
      <c r="B3558" s="4" t="n">
        <v>45107</v>
      </c>
      <c r="C3558" s="3" t="inlineStr">
        <is>
          <t>Expenses</t>
        </is>
      </c>
      <c r="D3558" s="3" t="inlineStr">
        <is>
          <t>3900/230</t>
        </is>
      </c>
      <c r="E3558" s="3" t="inlineStr">
        <is>
          <t>Interest Paid - Investors @ 18%</t>
        </is>
      </c>
      <c r="F3558" s="3" t="n">
        <v>0</v>
      </c>
      <c r="G3558" s="3" t="n">
        <v>2785386.85</v>
      </c>
    </row>
    <row r="3559">
      <c r="A3559" s="3" t="inlineStr">
        <is>
          <t>Cape Projects Construction (Pty) Ltd</t>
        </is>
      </c>
      <c r="B3559" s="4" t="n">
        <v>45107</v>
      </c>
      <c r="C3559" s="3" t="inlineStr">
        <is>
          <t>Expenses</t>
        </is>
      </c>
      <c r="D3559" s="3" t="inlineStr">
        <is>
          <t>4000/000</t>
        </is>
      </c>
      <c r="E3559" s="3" t="inlineStr">
        <is>
          <t>Legal Fees</t>
        </is>
      </c>
      <c r="F3559" s="3" t="n">
        <v>0</v>
      </c>
      <c r="G3559" s="3" t="n">
        <v>5202.88</v>
      </c>
    </row>
    <row r="3560">
      <c r="A3560" s="3" t="inlineStr">
        <is>
          <t>Heron Fields (Pty) Ltd</t>
        </is>
      </c>
      <c r="B3560" s="4" t="n">
        <v>45107</v>
      </c>
      <c r="C3560" s="3" t="inlineStr">
        <is>
          <t>Expenses</t>
        </is>
      </c>
      <c r="D3560" s="3" t="inlineStr">
        <is>
          <t>4050/100</t>
        </is>
      </c>
      <c r="E3560" s="3" t="inlineStr">
        <is>
          <t>Developers Levies</t>
        </is>
      </c>
      <c r="F3560" s="3" t="n">
        <v>71583.14999999999</v>
      </c>
      <c r="G3560" s="3" t="n">
        <v>71583.14999999999</v>
      </c>
    </row>
    <row r="3561">
      <c r="A3561" s="3" t="inlineStr">
        <is>
          <t>Heron View (Pty) Ltd</t>
        </is>
      </c>
      <c r="B3561" s="4" t="n">
        <v>45107</v>
      </c>
      <c r="C3561" s="3" t="inlineStr">
        <is>
          <t>Expenses</t>
        </is>
      </c>
      <c r="D3561" s="3" t="inlineStr">
        <is>
          <t>4070/000</t>
        </is>
      </c>
      <c r="E3561" s="3" t="inlineStr">
        <is>
          <t>Management fees - OMH</t>
        </is>
      </c>
      <c r="F3561" s="3" t="n">
        <v>350000</v>
      </c>
      <c r="G3561" s="3" t="n">
        <v>350000</v>
      </c>
    </row>
    <row r="3562">
      <c r="A3562" s="3" t="inlineStr">
        <is>
          <t>Heron Fields (Pty) Ltd</t>
        </is>
      </c>
      <c r="B3562" s="4" t="n">
        <v>45107</v>
      </c>
      <c r="C3562" s="3" t="inlineStr">
        <is>
          <t>Expenses</t>
        </is>
      </c>
      <c r="D3562" s="3" t="inlineStr">
        <is>
          <t>4100/001</t>
        </is>
      </c>
      <c r="E3562" s="3" t="inlineStr">
        <is>
          <t>Momentum Admin Fee</t>
        </is>
      </c>
      <c r="F3562" s="3" t="n">
        <v>10523.82</v>
      </c>
      <c r="G3562" s="3" t="n">
        <v>29362.79</v>
      </c>
    </row>
    <row r="3563">
      <c r="A3563" s="3" t="inlineStr">
        <is>
          <t>Cape Projects Construction (Pty) Ltd</t>
        </is>
      </c>
      <c r="B3563" s="4" t="n">
        <v>45107</v>
      </c>
      <c r="C3563" s="3" t="inlineStr">
        <is>
          <t>Expenses</t>
        </is>
      </c>
      <c r="D3563" s="3" t="inlineStr">
        <is>
          <t>4150/000</t>
        </is>
      </c>
      <c r="E3563" s="3" t="inlineStr">
        <is>
          <t>Motor Vehicle Expenses</t>
        </is>
      </c>
      <c r="F3563" s="3" t="n">
        <v>0</v>
      </c>
      <c r="G3563" s="3" t="n">
        <v>362</v>
      </c>
    </row>
    <row r="3564">
      <c r="A3564" s="3" t="inlineStr">
        <is>
          <t>Cape Projects Construction (Pty) Ltd</t>
        </is>
      </c>
      <c r="B3564" s="4" t="n">
        <v>45107</v>
      </c>
      <c r="C3564" s="3" t="inlineStr">
        <is>
          <t>Expenses</t>
        </is>
      </c>
      <c r="D3564" s="3" t="inlineStr">
        <is>
          <t>4150/010</t>
        </is>
      </c>
      <c r="E3564" s="3" t="inlineStr">
        <is>
          <t>Motor Vehicle - Petrol _AND_ Oil</t>
        </is>
      </c>
      <c r="F3564" s="3" t="n">
        <v>3175.51</v>
      </c>
      <c r="G3564" s="3" t="n">
        <v>20781.52</v>
      </c>
    </row>
    <row r="3565">
      <c r="A3565" s="3" t="inlineStr">
        <is>
          <t>Cape Projects Construction (Pty) Ltd</t>
        </is>
      </c>
      <c r="B3565" s="4" t="n">
        <v>45107</v>
      </c>
      <c r="C3565" s="3" t="inlineStr">
        <is>
          <t>Expenses</t>
        </is>
      </c>
      <c r="D3565" s="3" t="inlineStr">
        <is>
          <t>4150/030</t>
        </is>
      </c>
      <c r="E3565" s="3" t="inlineStr">
        <is>
          <t>Motor Vehicle - Insurance _AND_ Licence</t>
        </is>
      </c>
      <c r="F3565" s="3" t="n">
        <v>1069</v>
      </c>
      <c r="G3565" s="3" t="n">
        <v>1069</v>
      </c>
    </row>
    <row r="3566">
      <c r="A3566" s="3" t="inlineStr">
        <is>
          <t>Cape Projects Construction (Pty) Ltd</t>
        </is>
      </c>
      <c r="B3566" s="4" t="n">
        <v>45107</v>
      </c>
      <c r="C3566" s="3" t="inlineStr">
        <is>
          <t>Expenses</t>
        </is>
      </c>
      <c r="D3566" s="3" t="inlineStr">
        <is>
          <t>4200/000</t>
        </is>
      </c>
      <c r="E3566" s="3" t="inlineStr">
        <is>
          <t>Printing _AND_ Stationery</t>
        </is>
      </c>
      <c r="F3566" s="3" t="n">
        <v>4327.12</v>
      </c>
      <c r="G3566" s="3" t="n">
        <v>9991.02</v>
      </c>
    </row>
    <row r="3567">
      <c r="A3567" s="3" t="inlineStr">
        <is>
          <t>Cape Projects Construction (Pty) Ltd</t>
        </is>
      </c>
      <c r="B3567" s="4" t="n">
        <v>45107</v>
      </c>
      <c r="C3567" s="3" t="inlineStr">
        <is>
          <t>Expenses</t>
        </is>
      </c>
      <c r="D3567" s="3" t="inlineStr">
        <is>
          <t>4201/000</t>
        </is>
      </c>
      <c r="E3567" s="3" t="inlineStr">
        <is>
          <t>Printing - Printer rental</t>
        </is>
      </c>
      <c r="F3567" s="3" t="n">
        <v>704.96</v>
      </c>
      <c r="G3567" s="3" t="n">
        <v>6049.15</v>
      </c>
    </row>
    <row r="3568">
      <c r="A3568" s="3" t="inlineStr">
        <is>
          <t>Cape Projects Construction (Pty) Ltd</t>
        </is>
      </c>
      <c r="B3568" s="4" t="n">
        <v>45107</v>
      </c>
      <c r="C3568" s="3" t="inlineStr">
        <is>
          <t>Expenses</t>
        </is>
      </c>
      <c r="D3568" s="3" t="inlineStr">
        <is>
          <t>4300/000</t>
        </is>
      </c>
      <c r="E3568" s="3" t="inlineStr">
        <is>
          <t>Rent Paid</t>
        </is>
      </c>
      <c r="F3568" s="3" t="n">
        <v>29600</v>
      </c>
      <c r="G3568" s="3" t="n">
        <v>118400</v>
      </c>
    </row>
    <row r="3569">
      <c r="A3569" s="3" t="inlineStr">
        <is>
          <t>Cape Projects Construction (Pty) Ltd</t>
        </is>
      </c>
      <c r="B3569" s="4" t="n">
        <v>45107</v>
      </c>
      <c r="C3569" s="3" t="inlineStr">
        <is>
          <t>Expenses</t>
        </is>
      </c>
      <c r="D3569" s="3" t="inlineStr">
        <is>
          <t>4310/000</t>
        </is>
      </c>
      <c r="E3569" s="3" t="inlineStr">
        <is>
          <t>Rates</t>
        </is>
      </c>
      <c r="F3569" s="3" t="n">
        <v>843.6</v>
      </c>
      <c r="G3569" s="3" t="n">
        <v>3374.4</v>
      </c>
    </row>
    <row r="3570">
      <c r="A3570" s="3" t="inlineStr">
        <is>
          <t>Heron Fields (Pty) Ltd</t>
        </is>
      </c>
      <c r="B3570" s="4" t="n">
        <v>45107</v>
      </c>
      <c r="C3570" s="3" t="inlineStr">
        <is>
          <t>Expenses</t>
        </is>
      </c>
      <c r="D3570" s="3" t="inlineStr">
        <is>
          <t>4310/000</t>
        </is>
      </c>
      <c r="E3570" s="3" t="inlineStr">
        <is>
          <t>Rates - Heron</t>
        </is>
      </c>
      <c r="F3570" s="3" t="n">
        <v>0</v>
      </c>
      <c r="G3570" s="3" t="n">
        <v>-11396.43</v>
      </c>
    </row>
    <row r="3571">
      <c r="A3571" s="3" t="inlineStr">
        <is>
          <t>Cape Projects Construction (Pty) Ltd</t>
        </is>
      </c>
      <c r="B3571" s="4" t="n">
        <v>45107</v>
      </c>
      <c r="C3571" s="3" t="inlineStr">
        <is>
          <t>Expenses</t>
        </is>
      </c>
      <c r="D3571" s="3" t="inlineStr">
        <is>
          <t>4350/000</t>
        </is>
      </c>
      <c r="E3571" s="3" t="inlineStr">
        <is>
          <t>Repairs _AND_ Maintenance</t>
        </is>
      </c>
      <c r="F3571" s="3" t="n">
        <v>155</v>
      </c>
      <c r="G3571" s="3" t="n">
        <v>9379.4</v>
      </c>
    </row>
    <row r="3572">
      <c r="A3572" s="3" t="inlineStr">
        <is>
          <t>Cape Projects Construction (Pty) Ltd</t>
        </is>
      </c>
      <c r="B3572" s="4" t="n">
        <v>45107</v>
      </c>
      <c r="C3572" s="3" t="inlineStr">
        <is>
          <t>Expenses</t>
        </is>
      </c>
      <c r="D3572" s="3" t="inlineStr">
        <is>
          <t>4400/000</t>
        </is>
      </c>
      <c r="E3572" s="3" t="inlineStr">
        <is>
          <t>Salaries _AND_ Wages</t>
        </is>
      </c>
      <c r="F3572" s="3" t="n">
        <v>373109.3</v>
      </c>
      <c r="G3572" s="3" t="n">
        <v>1345068.58</v>
      </c>
    </row>
    <row r="3573">
      <c r="A3573" s="3" t="inlineStr">
        <is>
          <t>Cape Projects Construction (Pty) Ltd</t>
        </is>
      </c>
      <c r="B3573" s="4" t="n">
        <v>45107</v>
      </c>
      <c r="C3573" s="3" t="inlineStr">
        <is>
          <t>Expenses</t>
        </is>
      </c>
      <c r="D3573" s="3" t="inlineStr">
        <is>
          <t>4402</t>
        </is>
      </c>
      <c r="E3573" s="3" t="inlineStr">
        <is>
          <t>Salaries &amp; Wages - WCA</t>
        </is>
      </c>
      <c r="F3573" s="3" t="n">
        <v>0</v>
      </c>
      <c r="G3573" s="3" t="n">
        <v>5192.13</v>
      </c>
    </row>
    <row r="3574">
      <c r="A3574" s="3" t="inlineStr">
        <is>
          <t>Cape Projects Construction (Pty) Ltd</t>
        </is>
      </c>
      <c r="B3574" s="4" t="n">
        <v>45107</v>
      </c>
      <c r="C3574" s="3" t="inlineStr">
        <is>
          <t>Expenses</t>
        </is>
      </c>
      <c r="D3574" s="3" t="inlineStr">
        <is>
          <t>4403/000</t>
        </is>
      </c>
      <c r="E3574" s="3" t="inlineStr">
        <is>
          <t>Security</t>
        </is>
      </c>
      <c r="F3574" s="3" t="n">
        <v>177.33</v>
      </c>
      <c r="G3574" s="3" t="n">
        <v>709.3200000000001</v>
      </c>
    </row>
    <row r="3575">
      <c r="A3575" s="3" t="inlineStr">
        <is>
          <t>Cape Projects Construction (Pty) Ltd</t>
        </is>
      </c>
      <c r="B3575" s="4" t="n">
        <v>45107</v>
      </c>
      <c r="C3575" s="3" t="inlineStr">
        <is>
          <t>Expenses</t>
        </is>
      </c>
      <c r="D3575" s="3" t="inlineStr">
        <is>
          <t>4420/000</t>
        </is>
      </c>
      <c r="E3575" s="3" t="inlineStr">
        <is>
          <t>Small Assets</t>
        </is>
      </c>
      <c r="F3575" s="3" t="n">
        <v>4172.17</v>
      </c>
      <c r="G3575" s="3" t="n">
        <v>7213.91</v>
      </c>
    </row>
    <row r="3576">
      <c r="A3576" s="3" t="inlineStr">
        <is>
          <t>Heron Fields (Pty) Ltd</t>
        </is>
      </c>
      <c r="B3576" s="4" t="n">
        <v>45107</v>
      </c>
      <c r="C3576" s="3" t="inlineStr">
        <is>
          <t>Expenses</t>
        </is>
      </c>
      <c r="D3576" s="3" t="inlineStr">
        <is>
          <t>4420/001</t>
        </is>
      </c>
      <c r="E3576" s="3" t="inlineStr">
        <is>
          <t>Security - ADT</t>
        </is>
      </c>
      <c r="F3576" s="3" t="n">
        <v>366.14</v>
      </c>
      <c r="G3576" s="3" t="n">
        <v>1351.28</v>
      </c>
    </row>
    <row r="3577">
      <c r="A3577" s="3" t="inlineStr">
        <is>
          <t>Cape Projects Construction (Pty) Ltd</t>
        </is>
      </c>
      <c r="B3577" s="4" t="n">
        <v>45107</v>
      </c>
      <c r="C3577" s="3" t="inlineStr">
        <is>
          <t>Expenses</t>
        </is>
      </c>
      <c r="D3577" s="3" t="inlineStr">
        <is>
          <t>4500/000</t>
        </is>
      </c>
      <c r="E3577" s="3" t="inlineStr">
        <is>
          <t>Staff Welfare _AND_ Refreshmts</t>
        </is>
      </c>
      <c r="F3577" s="3" t="n">
        <v>2814.73</v>
      </c>
      <c r="G3577" s="3" t="n">
        <v>5287.11</v>
      </c>
    </row>
    <row r="3578">
      <c r="A3578" s="3" t="inlineStr">
        <is>
          <t>Cape Projects Construction (Pty) Ltd</t>
        </is>
      </c>
      <c r="B3578" s="4" t="n">
        <v>45107</v>
      </c>
      <c r="C3578" s="3" t="inlineStr">
        <is>
          <t>Expenses</t>
        </is>
      </c>
      <c r="D3578" s="3" t="inlineStr">
        <is>
          <t>4550/000</t>
        </is>
      </c>
      <c r="E3578" s="3" t="inlineStr">
        <is>
          <t>Subscriptions / Licenses</t>
        </is>
      </c>
      <c r="F3578" s="3" t="n">
        <v>8349.65</v>
      </c>
      <c r="G3578" s="3" t="n">
        <v>8349.65</v>
      </c>
    </row>
    <row r="3579">
      <c r="A3579" s="3" t="inlineStr">
        <is>
          <t>Cape Projects Construction (Pty) Ltd</t>
        </is>
      </c>
      <c r="B3579" s="4" t="n">
        <v>45107</v>
      </c>
      <c r="C3579" s="3" t="inlineStr">
        <is>
          <t>Expenses</t>
        </is>
      </c>
      <c r="D3579" s="3" t="inlineStr">
        <is>
          <t>4550/001</t>
        </is>
      </c>
      <c r="E3579" s="3" t="inlineStr">
        <is>
          <t>Subscriptions &amp; Licenses - Sage payroll</t>
        </is>
      </c>
      <c r="F3579" s="3" t="n">
        <v>747</v>
      </c>
      <c r="G3579" s="3" t="n">
        <v>2988</v>
      </c>
    </row>
    <row r="3580">
      <c r="A3580" s="3" t="inlineStr">
        <is>
          <t>Cape Projects Construction (Pty) Ltd</t>
        </is>
      </c>
      <c r="B3580" s="4" t="n">
        <v>45107</v>
      </c>
      <c r="C3580" s="3" t="inlineStr">
        <is>
          <t>Expenses</t>
        </is>
      </c>
      <c r="D3580" s="3" t="inlineStr">
        <is>
          <t>4550/002</t>
        </is>
      </c>
      <c r="E3580" s="3" t="inlineStr">
        <is>
          <t>Subscriptions &amp; Licenses - Caseware</t>
        </is>
      </c>
      <c r="F3580" s="3" t="n">
        <v>0</v>
      </c>
      <c r="G3580" s="3" t="n">
        <v>10825.49</v>
      </c>
    </row>
    <row r="3581">
      <c r="A3581" s="3" t="inlineStr">
        <is>
          <t>Cape Projects Construction (Pty) Ltd</t>
        </is>
      </c>
      <c r="B3581" s="4" t="n">
        <v>45107</v>
      </c>
      <c r="C3581" s="3" t="inlineStr">
        <is>
          <t>Expenses</t>
        </is>
      </c>
      <c r="D3581" s="3" t="inlineStr">
        <is>
          <t>4550/003</t>
        </is>
      </c>
      <c r="E3581" s="3" t="inlineStr">
        <is>
          <t>Subscriptions &amp; Licenses - Xero</t>
        </is>
      </c>
      <c r="F3581" s="3" t="n">
        <v>600</v>
      </c>
      <c r="G3581" s="3" t="n">
        <v>2400</v>
      </c>
    </row>
    <row r="3582">
      <c r="A3582" s="3" t="inlineStr">
        <is>
          <t>Cape Projects Construction (Pty) Ltd</t>
        </is>
      </c>
      <c r="B3582" s="4" t="n">
        <v>45107</v>
      </c>
      <c r="C3582" s="3" t="inlineStr">
        <is>
          <t>Expenses</t>
        </is>
      </c>
      <c r="D3582" s="3" t="inlineStr">
        <is>
          <t>4550/004</t>
        </is>
      </c>
      <c r="E3582" s="3" t="inlineStr">
        <is>
          <t>Subscriptions - Smartsheet</t>
        </is>
      </c>
      <c r="F3582" s="3" t="n">
        <v>847</v>
      </c>
      <c r="G3582" s="3" t="n">
        <v>3192.73</v>
      </c>
    </row>
    <row r="3583">
      <c r="A3583" s="3" t="inlineStr">
        <is>
          <t>Heron Fields (Pty) Ltd</t>
        </is>
      </c>
      <c r="B3583" s="4" t="n">
        <v>45107</v>
      </c>
      <c r="C3583" s="3" t="inlineStr">
        <is>
          <t>Expenses</t>
        </is>
      </c>
      <c r="D3583" s="3" t="inlineStr">
        <is>
          <t>4550/100</t>
        </is>
      </c>
      <c r="E3583" s="3" t="inlineStr">
        <is>
          <t>Subscriptions - Xero</t>
        </is>
      </c>
      <c r="F3583" s="3" t="n">
        <v>600</v>
      </c>
      <c r="G3583" s="3" t="n">
        <v>2400</v>
      </c>
    </row>
    <row r="3584">
      <c r="A3584" s="3" t="inlineStr">
        <is>
          <t>Heron View (Pty) Ltd</t>
        </is>
      </c>
      <c r="B3584" s="4" t="n">
        <v>45107</v>
      </c>
      <c r="C3584" s="3" t="inlineStr">
        <is>
          <t>Expenses</t>
        </is>
      </c>
      <c r="D3584" s="3" t="inlineStr">
        <is>
          <t>4550/100</t>
        </is>
      </c>
      <c r="E3584" s="3" t="inlineStr">
        <is>
          <t>Subscriptions - Xero</t>
        </is>
      </c>
      <c r="F3584" s="3" t="n">
        <v>600</v>
      </c>
      <c r="G3584" s="3" t="n">
        <v>2400</v>
      </c>
    </row>
    <row r="3585">
      <c r="A3585" s="3" t="inlineStr">
        <is>
          <t>Cape Projects Construction (Pty) Ltd</t>
        </is>
      </c>
      <c r="B3585" s="4" t="n">
        <v>45107</v>
      </c>
      <c r="C3585" s="3" t="inlineStr">
        <is>
          <t>Expenses</t>
        </is>
      </c>
      <c r="D3585" s="3" t="inlineStr">
        <is>
          <t>4700/000</t>
        </is>
      </c>
      <c r="E3585" s="3" t="inlineStr">
        <is>
          <t>PAYE Contributions</t>
        </is>
      </c>
      <c r="F3585" s="3" t="n">
        <v>82763.78</v>
      </c>
      <c r="G3585" s="3" t="n">
        <v>312788.23</v>
      </c>
    </row>
    <row r="3586">
      <c r="A3586" s="3" t="inlineStr">
        <is>
          <t>Cape Projects Construction (Pty) Ltd</t>
        </is>
      </c>
      <c r="B3586" s="4" t="n">
        <v>45107</v>
      </c>
      <c r="C3586" s="3" t="inlineStr">
        <is>
          <t>Expenses</t>
        </is>
      </c>
      <c r="D3586" s="3" t="inlineStr">
        <is>
          <t>4720/000</t>
        </is>
      </c>
      <c r="E3586" s="3" t="inlineStr">
        <is>
          <t>SDL Contributions</t>
        </is>
      </c>
      <c r="F3586" s="3" t="n">
        <v>4434.64</v>
      </c>
      <c r="G3586" s="3" t="n">
        <v>16077.76</v>
      </c>
    </row>
    <row r="3587">
      <c r="A3587" s="3" t="inlineStr">
        <is>
          <t>Cape Projects Construction (Pty) Ltd</t>
        </is>
      </c>
      <c r="B3587" s="4" t="n">
        <v>45107</v>
      </c>
      <c r="C3587" s="3" t="inlineStr">
        <is>
          <t>Expenses</t>
        </is>
      </c>
      <c r="D3587" s="3" t="inlineStr">
        <is>
          <t>4730/000</t>
        </is>
      </c>
      <c r="E3587" s="3" t="inlineStr">
        <is>
          <t>UIF Company Contributions</t>
        </is>
      </c>
      <c r="F3587" s="3" t="n">
        <v>2442.38</v>
      </c>
      <c r="G3587" s="3" t="n">
        <v>8425.620000000001</v>
      </c>
    </row>
    <row r="3588">
      <c r="A3588" s="3" t="inlineStr">
        <is>
          <t>Cape Projects Construction (Pty) Ltd</t>
        </is>
      </c>
      <c r="B3588" s="4" t="n">
        <v>45107</v>
      </c>
      <c r="C3588" s="3" t="inlineStr">
        <is>
          <t>Expenses</t>
        </is>
      </c>
      <c r="D3588" s="3" t="inlineStr">
        <is>
          <t>4731/000</t>
        </is>
      </c>
      <c r="E3588" s="3" t="inlineStr">
        <is>
          <t>UIF Employee Contribution</t>
        </is>
      </c>
      <c r="F3588" s="3" t="n">
        <v>2442.38</v>
      </c>
      <c r="G3588" s="3" t="n">
        <v>8425.620000000001</v>
      </c>
    </row>
    <row r="3589">
      <c r="A3589" s="3" t="inlineStr">
        <is>
          <t>Cape Projects Construction (Pty) Ltd</t>
        </is>
      </c>
      <c r="B3589" s="4" t="n">
        <v>45107</v>
      </c>
      <c r="C3589" s="3" t="inlineStr">
        <is>
          <t>Expenses</t>
        </is>
      </c>
      <c r="D3589" s="3" t="inlineStr">
        <is>
          <t>4740/000</t>
        </is>
      </c>
      <c r="E3589" s="3" t="inlineStr">
        <is>
          <t>BIBC Company Contribution</t>
        </is>
      </c>
      <c r="F3589" s="3" t="n">
        <v>0</v>
      </c>
      <c r="G3589" s="3" t="n">
        <v>15075.35</v>
      </c>
    </row>
    <row r="3590">
      <c r="A3590" s="3" t="inlineStr">
        <is>
          <t>Cape Projects Construction (Pty) Ltd</t>
        </is>
      </c>
      <c r="B3590" s="4" t="n">
        <v>45107</v>
      </c>
      <c r="C3590" s="3" t="inlineStr">
        <is>
          <t>Expenses</t>
        </is>
      </c>
      <c r="D3590" s="3" t="inlineStr">
        <is>
          <t>4741/000</t>
        </is>
      </c>
      <c r="E3590" s="3" t="inlineStr">
        <is>
          <t>BIBC Employee Contribution</t>
        </is>
      </c>
      <c r="F3590" s="3" t="n">
        <v>0</v>
      </c>
      <c r="G3590" s="3" t="n">
        <v>4562.1</v>
      </c>
    </row>
    <row r="3591">
      <c r="A3591" s="3" t="inlineStr">
        <is>
          <t>Heron Fields (Pty) Ltd</t>
        </is>
      </c>
      <c r="B3591" s="4" t="n">
        <v>45107</v>
      </c>
      <c r="C3591" s="3" t="inlineStr">
        <is>
          <t>Equity</t>
        </is>
      </c>
      <c r="D3591" s="3" t="inlineStr">
        <is>
          <t>5100-000</t>
        </is>
      </c>
      <c r="E3591" s="3" t="inlineStr">
        <is>
          <t>Share Capital</t>
        </is>
      </c>
      <c r="F3591" s="3" t="n">
        <v>0</v>
      </c>
      <c r="G3591" s="3" t="n">
        <v>-100</v>
      </c>
    </row>
    <row r="3592">
      <c r="A3592" s="3" t="inlineStr">
        <is>
          <t>Cape Projects Construction (Pty) Ltd</t>
        </is>
      </c>
      <c r="B3592" s="4" t="n">
        <v>45107</v>
      </c>
      <c r="C3592" s="3" t="inlineStr">
        <is>
          <t>Equity</t>
        </is>
      </c>
      <c r="D3592" s="3" t="inlineStr">
        <is>
          <t>5100/000</t>
        </is>
      </c>
      <c r="E3592" s="3" t="inlineStr">
        <is>
          <t>Share Capital / Members Contribution</t>
        </is>
      </c>
      <c r="F3592" s="3" t="n">
        <v>0</v>
      </c>
      <c r="G3592" s="3" t="n">
        <v>-120</v>
      </c>
    </row>
    <row r="3593">
      <c r="A3593" s="3" t="inlineStr">
        <is>
          <t>Cape Projects Construction (Pty) Ltd</t>
        </is>
      </c>
      <c r="B3593" s="4" t="n">
        <v>45107</v>
      </c>
      <c r="C3593" s="3" t="inlineStr">
        <is>
          <t>Equity</t>
        </is>
      </c>
      <c r="D3593" s="3" t="inlineStr">
        <is>
          <t>5200/000</t>
        </is>
      </c>
      <c r="E3593" s="3" t="inlineStr">
        <is>
          <t>Retained Earnings / Loss</t>
        </is>
      </c>
      <c r="F3593" s="3" t="n">
        <v>0</v>
      </c>
      <c r="G3593" s="3" t="n">
        <v>-296075.58</v>
      </c>
    </row>
    <row r="3594">
      <c r="A3594" s="3" t="inlineStr">
        <is>
          <t>Heron Fields (Pty) Ltd</t>
        </is>
      </c>
      <c r="B3594" s="4" t="n">
        <v>45107</v>
      </c>
      <c r="C3594" s="3" t="inlineStr">
        <is>
          <t>Equity</t>
        </is>
      </c>
      <c r="D3594" s="3" t="inlineStr">
        <is>
          <t>5200/000</t>
        </is>
      </c>
      <c r="E3594" s="3" t="inlineStr">
        <is>
          <t>Retained Earnings / Loss</t>
        </is>
      </c>
      <c r="F3594" s="3" t="n">
        <v>0</v>
      </c>
      <c r="G3594" s="3" t="n">
        <v>-17843179.58</v>
      </c>
    </row>
    <row r="3595">
      <c r="A3595" s="3" t="inlineStr">
        <is>
          <t>Heron View (Pty) Ltd</t>
        </is>
      </c>
      <c r="B3595" s="4" t="n">
        <v>45107</v>
      </c>
      <c r="C3595" s="3" t="inlineStr">
        <is>
          <t>Equity</t>
        </is>
      </c>
      <c r="D3595" s="3" t="inlineStr">
        <is>
          <t>5200/000</t>
        </is>
      </c>
      <c r="E3595" s="3" t="inlineStr">
        <is>
          <t>Retained Earnings / Loss</t>
        </is>
      </c>
      <c r="F3595" s="3" t="n">
        <v>0</v>
      </c>
      <c r="G3595" s="3" t="n">
        <v>70398.12</v>
      </c>
    </row>
    <row r="3596">
      <c r="A3596" s="3" t="inlineStr">
        <is>
          <t>Heron Fields (Pty) Ltd</t>
        </is>
      </c>
      <c r="B3596" s="4" t="n">
        <v>45107</v>
      </c>
      <c r="C3596" s="3" t="inlineStr">
        <is>
          <t>Assets</t>
        </is>
      </c>
      <c r="D3596" s="3" t="inlineStr">
        <is>
          <t>5300/001</t>
        </is>
      </c>
      <c r="E3596" s="3" t="inlineStr">
        <is>
          <t>Revaluation of Land stock</t>
        </is>
      </c>
      <c r="F3596" s="3" t="n">
        <v>0</v>
      </c>
      <c r="G3596" s="3" t="n">
        <v>17562360.85</v>
      </c>
    </row>
    <row r="3597">
      <c r="A3597" s="3" t="inlineStr">
        <is>
          <t>Cape Projects Construction (Pty) Ltd</t>
        </is>
      </c>
      <c r="B3597" s="4" t="n">
        <v>45107</v>
      </c>
      <c r="C3597" s="3" t="inlineStr">
        <is>
          <t>Assets</t>
        </is>
      </c>
      <c r="D3597" s="3" t="inlineStr">
        <is>
          <t>5400/150</t>
        </is>
      </c>
      <c r="E3597" s="3" t="inlineStr">
        <is>
          <t>Loan - Quinate</t>
        </is>
      </c>
      <c r="F3597" s="3" t="n">
        <v>0</v>
      </c>
      <c r="G3597" s="3" t="n">
        <v>185000</v>
      </c>
    </row>
    <row r="3598">
      <c r="A3598" s="3" t="inlineStr">
        <is>
          <t>Cape Projects Construction (Pty) Ltd</t>
        </is>
      </c>
      <c r="B3598" s="4" t="n">
        <v>45107</v>
      </c>
      <c r="C3598" s="3" t="inlineStr">
        <is>
          <t>Assets</t>
        </is>
      </c>
      <c r="D3598" s="3" t="inlineStr">
        <is>
          <t>5400/220</t>
        </is>
      </c>
      <c r="E3598" s="3" t="inlineStr">
        <is>
          <t>Members Loan - WH</t>
        </is>
      </c>
      <c r="F3598" s="3" t="n">
        <v>0</v>
      </c>
      <c r="G3598" s="3" t="n">
        <v>-4342.5</v>
      </c>
    </row>
    <row r="3599">
      <c r="A3599" s="3" t="inlineStr">
        <is>
          <t>Cape Projects Construction (Pty) Ltd</t>
        </is>
      </c>
      <c r="B3599" s="4" t="n">
        <v>45107</v>
      </c>
      <c r="C3599" s="3" t="inlineStr">
        <is>
          <t>Assets</t>
        </is>
      </c>
      <c r="D3599" s="3" t="inlineStr">
        <is>
          <t>5400/450</t>
        </is>
      </c>
      <c r="E3599" s="3" t="inlineStr">
        <is>
          <t>Loan - Opportunity Investment</t>
        </is>
      </c>
      <c r="F3599" s="3" t="n">
        <v>0</v>
      </c>
      <c r="G3599" s="3" t="n">
        <v>-2261000</v>
      </c>
    </row>
    <row r="3600">
      <c r="A3600" s="3" t="inlineStr">
        <is>
          <t>Cape Projects Construction (Pty) Ltd</t>
        </is>
      </c>
      <c r="B3600" s="4" t="n">
        <v>45107</v>
      </c>
      <c r="C3600" s="3" t="inlineStr">
        <is>
          <t>Assets</t>
        </is>
      </c>
      <c r="D3600" s="3" t="inlineStr">
        <is>
          <t>5400/500</t>
        </is>
      </c>
      <c r="E3600" s="3" t="inlineStr">
        <is>
          <t>Loan - Blou Mamba Trust</t>
        </is>
      </c>
      <c r="F3600" s="3" t="n">
        <v>0</v>
      </c>
      <c r="G3600" s="3" t="n">
        <v>4342.5</v>
      </c>
    </row>
    <row r="3601">
      <c r="A3601" s="3" t="inlineStr">
        <is>
          <t>Cape Projects Construction (Pty) Ltd</t>
        </is>
      </c>
      <c r="B3601" s="4" t="n">
        <v>45107</v>
      </c>
      <c r="C3601" s="3" t="inlineStr">
        <is>
          <t>Assets</t>
        </is>
      </c>
      <c r="D3601" s="3" t="inlineStr">
        <is>
          <t>5400/550</t>
        </is>
      </c>
      <c r="E3601" s="3" t="inlineStr">
        <is>
          <t>Loan - Trademark</t>
        </is>
      </c>
      <c r="F3601" s="3" t="n">
        <v>-20000</v>
      </c>
      <c r="G3601" s="3" t="n">
        <v>-20000</v>
      </c>
    </row>
    <row r="3602">
      <c r="A3602" s="3" t="inlineStr">
        <is>
          <t>Cape Projects Construction (Pty) Ltd</t>
        </is>
      </c>
      <c r="B3602" s="4" t="n">
        <v>45107</v>
      </c>
      <c r="C3602" s="3" t="inlineStr">
        <is>
          <t>Assets</t>
        </is>
      </c>
      <c r="D3602" s="3" t="inlineStr">
        <is>
          <t>5400/600</t>
        </is>
      </c>
      <c r="E3602" s="3" t="inlineStr">
        <is>
          <t>Loan - Heron Projects</t>
        </is>
      </c>
      <c r="F3602" s="3" t="n">
        <v>80000</v>
      </c>
      <c r="G3602" s="3" t="n">
        <v>-10151940.42</v>
      </c>
    </row>
    <row r="3603">
      <c r="A3603" s="3" t="inlineStr">
        <is>
          <t>Cape Projects Construction (Pty) Ltd</t>
        </is>
      </c>
      <c r="B3603" s="4" t="n">
        <v>45107</v>
      </c>
      <c r="C3603" s="3" t="inlineStr">
        <is>
          <t>Assets</t>
        </is>
      </c>
      <c r="D3603" s="3" t="inlineStr">
        <is>
          <t>5400/650</t>
        </is>
      </c>
      <c r="E3603" s="3" t="inlineStr">
        <is>
          <t>Loan - Noble Shield</t>
        </is>
      </c>
      <c r="F3603" s="3" t="n">
        <v>-20000</v>
      </c>
      <c r="G3603" s="3" t="n">
        <v>-20000</v>
      </c>
    </row>
    <row r="3604">
      <c r="A3604" s="3" t="inlineStr">
        <is>
          <t>Cape Projects Construction (Pty) Ltd</t>
        </is>
      </c>
      <c r="B3604" s="4" t="n">
        <v>45107</v>
      </c>
      <c r="C3604" s="3" t="inlineStr">
        <is>
          <t>Assets</t>
        </is>
      </c>
      <c r="D3604" s="3" t="inlineStr">
        <is>
          <t>5400/750</t>
        </is>
      </c>
      <c r="E3604" s="3" t="inlineStr">
        <is>
          <t>Loan - Endulini</t>
        </is>
      </c>
      <c r="F3604" s="3" t="n">
        <v>-762000</v>
      </c>
      <c r="G3604" s="3" t="n">
        <v>20749187.4</v>
      </c>
    </row>
    <row r="3605">
      <c r="A3605" s="3" t="inlineStr">
        <is>
          <t>Cape Projects Construction (Pty) Ltd</t>
        </is>
      </c>
      <c r="B3605" s="4" t="n">
        <v>45107</v>
      </c>
      <c r="C3605" s="3" t="inlineStr">
        <is>
          <t>Assets</t>
        </is>
      </c>
      <c r="D3605" s="3" t="inlineStr">
        <is>
          <t>5400/800</t>
        </is>
      </c>
      <c r="E3605" s="3" t="inlineStr">
        <is>
          <t>Loan - Opportunity Management Holdings</t>
        </is>
      </c>
      <c r="F3605" s="3" t="n">
        <v>-65000</v>
      </c>
      <c r="G3605" s="3" t="n">
        <v>-53500</v>
      </c>
    </row>
    <row r="3606">
      <c r="A3606" s="3" t="inlineStr">
        <is>
          <t>Heron View (Pty) Ltd</t>
        </is>
      </c>
      <c r="B3606" s="4" t="n">
        <v>45107</v>
      </c>
      <c r="C3606" s="3" t="inlineStr">
        <is>
          <t>Liabilities</t>
        </is>
      </c>
      <c r="D3606" s="3" t="inlineStr">
        <is>
          <t>5500/001</t>
        </is>
      </c>
      <c r="E3606" s="3" t="inlineStr">
        <is>
          <t>Loan - Heron Fields</t>
        </is>
      </c>
      <c r="F3606" s="3" t="n">
        <v>-5517023.9</v>
      </c>
      <c r="G3606" s="3" t="n">
        <v>-40906059.66</v>
      </c>
    </row>
    <row r="3607">
      <c r="A3607" s="3" t="inlineStr">
        <is>
          <t>Heron Fields (Pty) Ltd</t>
        </is>
      </c>
      <c r="B3607" s="4" t="n">
        <v>45107</v>
      </c>
      <c r="C3607" s="3" t="inlineStr">
        <is>
          <t>Liabilities</t>
        </is>
      </c>
      <c r="D3607" s="3" t="inlineStr">
        <is>
          <t>5500/020</t>
        </is>
      </c>
      <c r="E3607" s="3" t="inlineStr">
        <is>
          <t>Loan - Cape Projects Construction</t>
        </is>
      </c>
      <c r="F3607" s="3" t="n">
        <v>-80000</v>
      </c>
      <c r="G3607" s="3" t="n">
        <v>10151940.42</v>
      </c>
    </row>
    <row r="3608">
      <c r="A3608" s="3" t="inlineStr">
        <is>
          <t>Heron Fields (Pty) Ltd</t>
        </is>
      </c>
      <c r="B3608" s="4" t="n">
        <v>45107</v>
      </c>
      <c r="C3608" s="3" t="inlineStr">
        <is>
          <t>Liabilities</t>
        </is>
      </c>
      <c r="D3608" s="3" t="inlineStr">
        <is>
          <t>5500/030</t>
        </is>
      </c>
      <c r="E3608" s="3" t="inlineStr">
        <is>
          <t>Loan - Opportunity Global Investments</t>
        </is>
      </c>
      <c r="F3608" s="3" t="n">
        <v>40000</v>
      </c>
      <c r="G3608" s="3" t="n">
        <v>3092000</v>
      </c>
    </row>
    <row r="3609">
      <c r="A3609" s="3" t="inlineStr">
        <is>
          <t>Heron Fields (Pty) Ltd</t>
        </is>
      </c>
      <c r="B3609" s="4" t="n">
        <v>45107</v>
      </c>
      <c r="C3609" s="3" t="inlineStr">
        <is>
          <t>Liabilities</t>
        </is>
      </c>
      <c r="D3609" s="3" t="inlineStr">
        <is>
          <t>5500/050</t>
        </is>
      </c>
      <c r="E3609" s="3" t="inlineStr">
        <is>
          <t>Loan - Heron View</t>
        </is>
      </c>
      <c r="F3609" s="3" t="n">
        <v>5517023.9</v>
      </c>
      <c r="G3609" s="3" t="n">
        <v>40906059.66</v>
      </c>
    </row>
    <row r="3610">
      <c r="A3610" s="3" t="inlineStr">
        <is>
          <t>Heron Fields (Pty) Ltd</t>
        </is>
      </c>
      <c r="B3610" s="4" t="n">
        <v>45107</v>
      </c>
      <c r="C3610" s="3" t="inlineStr">
        <is>
          <t>Liabilities</t>
        </is>
      </c>
      <c r="D3610" s="3" t="inlineStr">
        <is>
          <t>5500/060</t>
        </is>
      </c>
      <c r="E3610" s="3" t="inlineStr">
        <is>
          <t>Loan - Opportunity Management Holdings</t>
        </is>
      </c>
      <c r="F3610" s="3" t="n">
        <v>30000</v>
      </c>
      <c r="G3610" s="3" t="n">
        <v>52000</v>
      </c>
    </row>
    <row r="3611">
      <c r="A3611" s="3" t="inlineStr">
        <is>
          <t>Cape Projects Construction (Pty) Ltd</t>
        </is>
      </c>
      <c r="B3611" s="4" t="n">
        <v>45107</v>
      </c>
      <c r="C3611" s="3" t="inlineStr">
        <is>
          <t>Assets</t>
        </is>
      </c>
      <c r="D3611" s="3" t="inlineStr">
        <is>
          <t>6200/010</t>
        </is>
      </c>
      <c r="E3611" s="3" t="inlineStr">
        <is>
          <t>Motor Vehicles - @ Cost</t>
        </is>
      </c>
      <c r="F3611" s="3" t="n">
        <v>0</v>
      </c>
      <c r="G3611" s="3" t="n">
        <v>216064.1</v>
      </c>
    </row>
    <row r="3612">
      <c r="A3612" s="3" t="inlineStr">
        <is>
          <t>Cape Projects Construction (Pty) Ltd</t>
        </is>
      </c>
      <c r="B3612" s="4" t="n">
        <v>45107</v>
      </c>
      <c r="C3612" s="3" t="inlineStr">
        <is>
          <t>Assets</t>
        </is>
      </c>
      <c r="D3612" s="3" t="inlineStr">
        <is>
          <t>6200/020</t>
        </is>
      </c>
      <c r="E3612" s="3" t="inlineStr">
        <is>
          <t>Motor Vehicles - Accum Depre</t>
        </is>
      </c>
      <c r="F3612" s="3" t="n">
        <v>0</v>
      </c>
      <c r="G3612" s="3" t="n">
        <v>-216063.1</v>
      </c>
    </row>
    <row r="3613">
      <c r="A3613" s="3" t="inlineStr">
        <is>
          <t>Cape Projects Construction (Pty) Ltd</t>
        </is>
      </c>
      <c r="B3613" s="4" t="n">
        <v>45107</v>
      </c>
      <c r="C3613" s="3" t="inlineStr">
        <is>
          <t>Assets</t>
        </is>
      </c>
      <c r="D3613" s="3" t="inlineStr">
        <is>
          <t>6250/010</t>
        </is>
      </c>
      <c r="E3613" s="3" t="inlineStr">
        <is>
          <t>Computer Equipment - @ Cost</t>
        </is>
      </c>
      <c r="F3613" s="3" t="n">
        <v>0</v>
      </c>
      <c r="G3613" s="3" t="n">
        <v>133790.35</v>
      </c>
    </row>
    <row r="3614">
      <c r="A3614" s="3" t="inlineStr">
        <is>
          <t>Cape Projects Construction (Pty) Ltd</t>
        </is>
      </c>
      <c r="B3614" s="4" t="n">
        <v>45107</v>
      </c>
      <c r="C3614" s="3" t="inlineStr">
        <is>
          <t>Assets</t>
        </is>
      </c>
      <c r="D3614" s="3" t="inlineStr">
        <is>
          <t>6250/020</t>
        </is>
      </c>
      <c r="E3614" s="3" t="inlineStr">
        <is>
          <t>Computer Equipment - Accum Depre</t>
        </is>
      </c>
      <c r="F3614" s="3" t="n">
        <v>-3323.88</v>
      </c>
      <c r="G3614" s="3" t="n">
        <v>-56218.57</v>
      </c>
    </row>
    <row r="3615">
      <c r="A3615" s="3" t="inlineStr">
        <is>
          <t>Cape Projects Construction (Pty) Ltd</t>
        </is>
      </c>
      <c r="B3615" s="4" t="n">
        <v>45107</v>
      </c>
      <c r="C3615" s="3" t="inlineStr">
        <is>
          <t>Assets</t>
        </is>
      </c>
      <c r="D3615" s="3" t="inlineStr">
        <is>
          <t>6350/010</t>
        </is>
      </c>
      <c r="E3615" s="3" t="inlineStr">
        <is>
          <t>Furniture _AND_ Fittings - @ Cost</t>
        </is>
      </c>
      <c r="F3615" s="3" t="n">
        <v>0</v>
      </c>
      <c r="G3615" s="3" t="n">
        <v>37955.3</v>
      </c>
    </row>
    <row r="3616">
      <c r="A3616" s="3" t="inlineStr">
        <is>
          <t>Cape Projects Construction (Pty) Ltd</t>
        </is>
      </c>
      <c r="B3616" s="4" t="n">
        <v>45107</v>
      </c>
      <c r="C3616" s="3" t="inlineStr">
        <is>
          <t>Assets</t>
        </is>
      </c>
      <c r="D3616" s="3" t="inlineStr">
        <is>
          <t>6350/020</t>
        </is>
      </c>
      <c r="E3616" s="3" t="inlineStr">
        <is>
          <t>Furniture _AND_ Fittings - Accum Depre</t>
        </is>
      </c>
      <c r="F3616" s="3" t="n">
        <v>-547.67</v>
      </c>
      <c r="G3616" s="3" t="n">
        <v>-8085.25</v>
      </c>
    </row>
    <row r="3617">
      <c r="A3617" s="3" t="inlineStr">
        <is>
          <t>Cape Projects Construction (Pty) Ltd</t>
        </is>
      </c>
      <c r="B3617" s="4" t="n">
        <v>45107</v>
      </c>
      <c r="C3617" s="3" t="inlineStr">
        <is>
          <t>Assets</t>
        </is>
      </c>
      <c r="D3617" s="3" t="inlineStr">
        <is>
          <t>6600/010</t>
        </is>
      </c>
      <c r="E3617" s="3" t="inlineStr">
        <is>
          <t>Generator Fixed Asset - @ Cost</t>
        </is>
      </c>
      <c r="F3617" s="3" t="n">
        <v>0</v>
      </c>
      <c r="G3617" s="3" t="n">
        <v>71322</v>
      </c>
    </row>
    <row r="3618">
      <c r="A3618" s="3" t="inlineStr">
        <is>
          <t>Cape Projects Construction (Pty) Ltd</t>
        </is>
      </c>
      <c r="B3618" s="4" t="n">
        <v>45107</v>
      </c>
      <c r="C3618" s="3" t="inlineStr">
        <is>
          <t>Assets</t>
        </is>
      </c>
      <c r="D3618" s="3" t="inlineStr">
        <is>
          <t>6600/020</t>
        </is>
      </c>
      <c r="E3618" s="3" t="inlineStr">
        <is>
          <t>Generator Fixed Asset - Accum Depre</t>
        </is>
      </c>
      <c r="F3618" s="3" t="n">
        <v>-1188.69</v>
      </c>
      <c r="G3618" s="3" t="n">
        <v>-5889.62</v>
      </c>
    </row>
    <row r="3619">
      <c r="A3619" s="3" t="inlineStr">
        <is>
          <t>Heron Fields (Pty) Ltd</t>
        </is>
      </c>
      <c r="B3619" s="4" t="n">
        <v>45107</v>
      </c>
      <c r="C3619" s="3" t="inlineStr">
        <is>
          <t>Assets</t>
        </is>
      </c>
      <c r="D3619" s="3" t="inlineStr">
        <is>
          <t>7610/395</t>
        </is>
      </c>
      <c r="E3619" s="3" t="inlineStr">
        <is>
          <t>HF CIP NHBRC</t>
        </is>
      </c>
      <c r="F3619" s="3" t="n">
        <v>0</v>
      </c>
      <c r="G3619" s="3" t="n">
        <v>874505.75</v>
      </c>
    </row>
    <row r="3620">
      <c r="A3620" s="3" t="inlineStr">
        <is>
          <t>Heron View (Pty) Ltd</t>
        </is>
      </c>
      <c r="B3620" s="4" t="n">
        <v>45107</v>
      </c>
      <c r="C3620" s="3" t="inlineStr">
        <is>
          <t>Assets</t>
        </is>
      </c>
      <c r="D3620" s="3" t="inlineStr">
        <is>
          <t>7610/395</t>
        </is>
      </c>
      <c r="E3620" s="3" t="inlineStr">
        <is>
          <t>Heron CIP NHBRC</t>
        </is>
      </c>
      <c r="F3620" s="3" t="n">
        <v>0</v>
      </c>
      <c r="G3620" s="3" t="n">
        <v>803063.11</v>
      </c>
    </row>
    <row r="3621">
      <c r="A3621" s="3" t="inlineStr">
        <is>
          <t>Heron Fields (Pty) Ltd</t>
        </is>
      </c>
      <c r="B3621" s="4" t="n">
        <v>45107</v>
      </c>
      <c r="C3621" s="3" t="inlineStr">
        <is>
          <t>Assets</t>
        </is>
      </c>
      <c r="D3621" s="3" t="inlineStr">
        <is>
          <t>7620/100</t>
        </is>
      </c>
      <c r="E3621" s="3" t="inlineStr">
        <is>
          <t>Heron View Land</t>
        </is>
      </c>
      <c r="F3621" s="3" t="n">
        <v>0</v>
      </c>
      <c r="G3621" s="3" t="n">
        <v>26200000</v>
      </c>
    </row>
    <row r="3622">
      <c r="A3622" s="3" t="inlineStr">
        <is>
          <t>Heron Fields (Pty) Ltd</t>
        </is>
      </c>
      <c r="B3622" s="4" t="n">
        <v>45107</v>
      </c>
      <c r="C3622" s="3" t="inlineStr">
        <is>
          <t>Assets</t>
        </is>
      </c>
      <c r="D3622" s="3" t="inlineStr">
        <is>
          <t>7620/101</t>
        </is>
      </c>
      <c r="E3622" s="3" t="inlineStr">
        <is>
          <t>HF CIP Bond Registration Fee</t>
        </is>
      </c>
      <c r="F3622" s="3" t="n">
        <v>0</v>
      </c>
      <c r="G3622" s="3" t="n">
        <v>68427</v>
      </c>
    </row>
    <row r="3623">
      <c r="A3623" s="3" t="inlineStr">
        <is>
          <t>Heron Fields (Pty) Ltd</t>
        </is>
      </c>
      <c r="B3623" s="4" t="n">
        <v>45107</v>
      </c>
      <c r="C3623" s="3" t="inlineStr">
        <is>
          <t>Assets</t>
        </is>
      </c>
      <c r="D3623" s="3" t="inlineStr">
        <is>
          <t>7620/102</t>
        </is>
      </c>
      <c r="E3623" s="3" t="inlineStr">
        <is>
          <t>HF CIP Transfer Fee</t>
        </is>
      </c>
      <c r="F3623" s="3" t="n">
        <v>0</v>
      </c>
      <c r="G3623" s="3" t="n">
        <v>103812</v>
      </c>
    </row>
    <row r="3624">
      <c r="A3624" s="3" t="inlineStr">
        <is>
          <t>Heron Fields (Pty) Ltd</t>
        </is>
      </c>
      <c r="B3624" s="4" t="n">
        <v>45107</v>
      </c>
      <c r="C3624" s="3" t="inlineStr">
        <is>
          <t>Assets</t>
        </is>
      </c>
      <c r="D3624" s="3" t="inlineStr">
        <is>
          <t>7620/220</t>
        </is>
      </c>
      <c r="E3624" s="3" t="inlineStr">
        <is>
          <t>HF CIP Architectural Designs</t>
        </is>
      </c>
      <c r="F3624" s="3" t="n">
        <v>0</v>
      </c>
      <c r="G3624" s="3" t="n">
        <v>314087</v>
      </c>
    </row>
    <row r="3625">
      <c r="A3625" s="3" t="inlineStr">
        <is>
          <t>Heron View (Pty) Ltd</t>
        </is>
      </c>
      <c r="B3625" s="4" t="n">
        <v>45107</v>
      </c>
      <c r="C3625" s="3" t="inlineStr">
        <is>
          <t>Assets</t>
        </is>
      </c>
      <c r="D3625" s="3" t="inlineStr">
        <is>
          <t>7620/220</t>
        </is>
      </c>
      <c r="E3625" s="3" t="inlineStr">
        <is>
          <t>Heron View CIP Architectural Designs</t>
        </is>
      </c>
      <c r="F3625" s="3" t="n">
        <v>336956.98</v>
      </c>
      <c r="G3625" s="3" t="n">
        <v>714313.5</v>
      </c>
    </row>
    <row r="3626">
      <c r="A3626" s="3" t="inlineStr">
        <is>
          <t>Heron Fields (Pty) Ltd</t>
        </is>
      </c>
      <c r="B3626" s="4" t="n">
        <v>45107</v>
      </c>
      <c r="C3626" s="3" t="inlineStr">
        <is>
          <t>Assets</t>
        </is>
      </c>
      <c r="D3626" s="3" t="inlineStr">
        <is>
          <t>7620/230</t>
        </is>
      </c>
      <c r="E3626" s="3" t="inlineStr">
        <is>
          <t>HF CIP Construction Management</t>
        </is>
      </c>
      <c r="F3626" s="3" t="n">
        <v>0</v>
      </c>
      <c r="G3626" s="3" t="n">
        <v>139500</v>
      </c>
    </row>
    <row r="3627">
      <c r="A3627" s="3" t="inlineStr">
        <is>
          <t>Heron Fields (Pty) Ltd</t>
        </is>
      </c>
      <c r="B3627" s="4" t="n">
        <v>45107</v>
      </c>
      <c r="C3627" s="3" t="inlineStr">
        <is>
          <t>Assets</t>
        </is>
      </c>
      <c r="D3627" s="3" t="inlineStr">
        <is>
          <t>7620/240</t>
        </is>
      </c>
      <c r="E3627" s="3" t="inlineStr">
        <is>
          <t>HF CIP Civil Engineering</t>
        </is>
      </c>
      <c r="F3627" s="3" t="n">
        <v>0</v>
      </c>
      <c r="G3627" s="3" t="n">
        <v>8557641.800000001</v>
      </c>
    </row>
    <row r="3628">
      <c r="A3628" s="3" t="inlineStr">
        <is>
          <t>Heron Fields (Pty) Ltd</t>
        </is>
      </c>
      <c r="B3628" s="4" t="n">
        <v>45107</v>
      </c>
      <c r="C3628" s="3" t="inlineStr">
        <is>
          <t>Assets</t>
        </is>
      </c>
      <c r="D3628" s="3" t="inlineStr">
        <is>
          <t>7620/245</t>
        </is>
      </c>
      <c r="E3628" s="3" t="inlineStr">
        <is>
          <t>HF CIP Development fee</t>
        </is>
      </c>
      <c r="F3628" s="3" t="n">
        <v>0</v>
      </c>
      <c r="G3628" s="3" t="n">
        <v>13807.78</v>
      </c>
    </row>
    <row r="3629">
      <c r="A3629" s="3" t="inlineStr">
        <is>
          <t>Heron Fields (Pty) Ltd</t>
        </is>
      </c>
      <c r="B3629" s="4" t="n">
        <v>45107</v>
      </c>
      <c r="C3629" s="3" t="inlineStr">
        <is>
          <t>Assets</t>
        </is>
      </c>
      <c r="D3629" s="3" t="inlineStr">
        <is>
          <t>7620/250</t>
        </is>
      </c>
      <c r="E3629" s="3" t="inlineStr">
        <is>
          <t>HF CIP Land Surveyor</t>
        </is>
      </c>
      <c r="F3629" s="3" t="n">
        <v>0</v>
      </c>
      <c r="G3629" s="3" t="n">
        <v>197060.09</v>
      </c>
    </row>
    <row r="3630">
      <c r="A3630" s="3" t="inlineStr">
        <is>
          <t>Heron View (Pty) Ltd</t>
        </is>
      </c>
      <c r="B3630" s="4" t="n">
        <v>45107</v>
      </c>
      <c r="C3630" s="3" t="inlineStr">
        <is>
          <t>Assets</t>
        </is>
      </c>
      <c r="D3630" s="3" t="inlineStr">
        <is>
          <t>7620/250</t>
        </is>
      </c>
      <c r="E3630" s="3" t="inlineStr">
        <is>
          <t>Heron View CIP Land Surveyor</t>
        </is>
      </c>
      <c r="F3630" s="3" t="n">
        <v>123587.03</v>
      </c>
      <c r="G3630" s="3" t="n">
        <v>142772.03</v>
      </c>
    </row>
    <row r="3631">
      <c r="A3631" s="3" t="inlineStr">
        <is>
          <t>Heron Fields (Pty) Ltd</t>
        </is>
      </c>
      <c r="B3631" s="4" t="n">
        <v>45107</v>
      </c>
      <c r="C3631" s="3" t="inlineStr">
        <is>
          <t>Assets</t>
        </is>
      </c>
      <c r="D3631" s="3" t="inlineStr">
        <is>
          <t>7620/255</t>
        </is>
      </c>
      <c r="E3631" s="3" t="inlineStr">
        <is>
          <t>HF CIP Landscaping</t>
        </is>
      </c>
      <c r="F3631" s="3" t="n">
        <v>0</v>
      </c>
      <c r="G3631" s="3" t="n">
        <v>7500</v>
      </c>
    </row>
    <row r="3632">
      <c r="A3632" s="3" t="inlineStr">
        <is>
          <t>Heron View (Pty) Ltd</t>
        </is>
      </c>
      <c r="B3632" s="4" t="n">
        <v>45107</v>
      </c>
      <c r="C3632" s="3" t="inlineStr">
        <is>
          <t>Assets</t>
        </is>
      </c>
      <c r="D3632" s="3" t="inlineStr">
        <is>
          <t>7620/255</t>
        </is>
      </c>
      <c r="E3632" s="3" t="inlineStr">
        <is>
          <t>Heron View CIP Landscaping</t>
        </is>
      </c>
      <c r="F3632" s="3" t="n">
        <v>0</v>
      </c>
      <c r="G3632" s="3" t="n">
        <v>114370.5</v>
      </c>
    </row>
    <row r="3633">
      <c r="A3633" s="3" t="inlineStr">
        <is>
          <t>Heron Fields (Pty) Ltd</t>
        </is>
      </c>
      <c r="B3633" s="4" t="n">
        <v>45107</v>
      </c>
      <c r="C3633" s="3" t="inlineStr">
        <is>
          <t>Assets</t>
        </is>
      </c>
      <c r="D3633" s="3" t="inlineStr">
        <is>
          <t>7620/260</t>
        </is>
      </c>
      <c r="E3633" s="3" t="inlineStr">
        <is>
          <t>HF CIP Mechanical Engineers</t>
        </is>
      </c>
      <c r="F3633" s="3" t="n">
        <v>0</v>
      </c>
      <c r="G3633" s="3" t="n">
        <v>67400</v>
      </c>
    </row>
    <row r="3634">
      <c r="A3634" s="3" t="inlineStr">
        <is>
          <t>Heron Fields (Pty) Ltd</t>
        </is>
      </c>
      <c r="B3634" s="4" t="n">
        <v>45107</v>
      </c>
      <c r="C3634" s="3" t="inlineStr">
        <is>
          <t>Assets</t>
        </is>
      </c>
      <c r="D3634" s="3" t="inlineStr">
        <is>
          <t>7620/265</t>
        </is>
      </c>
      <c r="E3634" s="3" t="inlineStr">
        <is>
          <t>HF CIP Health &amp; Safety</t>
        </is>
      </c>
      <c r="F3634" s="3" t="n">
        <v>0</v>
      </c>
      <c r="G3634" s="3" t="n">
        <v>20600</v>
      </c>
    </row>
    <row r="3635">
      <c r="A3635" s="3" t="inlineStr">
        <is>
          <t>Heron Fields (Pty) Ltd</t>
        </is>
      </c>
      <c r="B3635" s="4" t="n">
        <v>45107</v>
      </c>
      <c r="C3635" s="3" t="inlineStr">
        <is>
          <t>Assets</t>
        </is>
      </c>
      <c r="D3635" s="3" t="inlineStr">
        <is>
          <t>7620/270</t>
        </is>
      </c>
      <c r="E3635" s="3" t="inlineStr">
        <is>
          <t>HF CIP Geotechnical</t>
        </is>
      </c>
      <c r="F3635" s="3" t="n">
        <v>0</v>
      </c>
      <c r="G3635" s="3" t="n">
        <v>15175</v>
      </c>
    </row>
    <row r="3636">
      <c r="A3636" s="3" t="inlineStr">
        <is>
          <t>Heron Fields (Pty) Ltd</t>
        </is>
      </c>
      <c r="B3636" s="4" t="n">
        <v>45107</v>
      </c>
      <c r="C3636" s="3" t="inlineStr">
        <is>
          <t>Assets</t>
        </is>
      </c>
      <c r="D3636" s="3" t="inlineStr">
        <is>
          <t>7620/275</t>
        </is>
      </c>
      <c r="E3636" s="3" t="inlineStr">
        <is>
          <t>HF CIP Retaining Wall</t>
        </is>
      </c>
      <c r="F3636" s="3" t="n">
        <v>0</v>
      </c>
      <c r="G3636" s="3" t="n">
        <v>570856.08</v>
      </c>
    </row>
    <row r="3637">
      <c r="A3637" s="3" t="inlineStr">
        <is>
          <t>Heron Fields (Pty) Ltd</t>
        </is>
      </c>
      <c r="B3637" s="4" t="n">
        <v>45107</v>
      </c>
      <c r="C3637" s="3" t="inlineStr">
        <is>
          <t>Assets</t>
        </is>
      </c>
      <c r="D3637" s="3" t="inlineStr">
        <is>
          <t>7620/280</t>
        </is>
      </c>
      <c r="E3637" s="3" t="inlineStr">
        <is>
          <t>HF CIP Site Establishment</t>
        </is>
      </c>
      <c r="F3637" s="3" t="n">
        <v>0</v>
      </c>
      <c r="G3637" s="3" t="n">
        <v>47748851.51</v>
      </c>
    </row>
    <row r="3638">
      <c r="A3638" s="3" t="inlineStr">
        <is>
          <t>Heron View (Pty) Ltd</t>
        </is>
      </c>
      <c r="B3638" s="4" t="n">
        <v>45107</v>
      </c>
      <c r="C3638" s="3" t="inlineStr">
        <is>
          <t>Assets</t>
        </is>
      </c>
      <c r="D3638" s="3" t="inlineStr">
        <is>
          <t>7620/280</t>
        </is>
      </c>
      <c r="E3638" s="3" t="inlineStr">
        <is>
          <t>Heron View CIP Site Establishment</t>
        </is>
      </c>
      <c r="F3638" s="3" t="n">
        <v>0</v>
      </c>
      <c r="G3638" s="3" t="n">
        <v>7187757.92</v>
      </c>
    </row>
    <row r="3639">
      <c r="A3639" s="3" t="inlineStr">
        <is>
          <t>Heron Fields (Pty) Ltd</t>
        </is>
      </c>
      <c r="B3639" s="4" t="n">
        <v>45107</v>
      </c>
      <c r="C3639" s="3" t="inlineStr">
        <is>
          <t>Assets</t>
        </is>
      </c>
      <c r="D3639" s="3" t="inlineStr">
        <is>
          <t>7620/285</t>
        </is>
      </c>
      <c r="E3639" s="3" t="inlineStr">
        <is>
          <t>HF CIP Structuring Fee - Invest</t>
        </is>
      </c>
      <c r="F3639" s="3" t="n">
        <v>0</v>
      </c>
      <c r="G3639" s="3" t="n">
        <v>3850818.04</v>
      </c>
    </row>
    <row r="3640">
      <c r="A3640" s="3" t="inlineStr">
        <is>
          <t>Heron View (Pty) Ltd</t>
        </is>
      </c>
      <c r="B3640" s="4" t="n">
        <v>45107</v>
      </c>
      <c r="C3640" s="3" t="inlineStr">
        <is>
          <t>Assets</t>
        </is>
      </c>
      <c r="D3640" s="3" t="inlineStr">
        <is>
          <t>7620/285</t>
        </is>
      </c>
      <c r="E3640" s="3" t="inlineStr">
        <is>
          <t>Heron View CIP Structuring Fee - Invest</t>
        </is>
      </c>
      <c r="F3640" s="3" t="n">
        <v>0</v>
      </c>
      <c r="G3640" s="3" t="n">
        <v>1826086.96</v>
      </c>
    </row>
    <row r="3641">
      <c r="A3641" s="3" t="inlineStr">
        <is>
          <t>Heron Fields (Pty) Ltd</t>
        </is>
      </c>
      <c r="B3641" s="4" t="n">
        <v>45107</v>
      </c>
      <c r="C3641" s="3" t="inlineStr">
        <is>
          <t>Assets</t>
        </is>
      </c>
      <c r="D3641" s="3" t="inlineStr">
        <is>
          <t>7620/287</t>
        </is>
      </c>
      <c r="E3641" s="3" t="inlineStr">
        <is>
          <t>HF CIP Structuring Fee - Development</t>
        </is>
      </c>
      <c r="F3641" s="3" t="n">
        <v>0</v>
      </c>
      <c r="G3641" s="3" t="n">
        <v>782608.0699999999</v>
      </c>
    </row>
    <row r="3642">
      <c r="A3642" s="3" t="inlineStr">
        <is>
          <t>Heron Fields (Pty) Ltd</t>
        </is>
      </c>
      <c r="B3642" s="4" t="n">
        <v>45107</v>
      </c>
      <c r="C3642" s="3" t="inlineStr">
        <is>
          <t>Assets</t>
        </is>
      </c>
      <c r="D3642" s="3" t="inlineStr">
        <is>
          <t>7620/290</t>
        </is>
      </c>
      <c r="E3642" s="3" t="inlineStr">
        <is>
          <t>HF CIP Town Planning</t>
        </is>
      </c>
      <c r="F3642" s="3" t="n">
        <v>0</v>
      </c>
      <c r="G3642" s="3" t="n">
        <v>166550</v>
      </c>
    </row>
    <row r="3643">
      <c r="A3643" s="3" t="inlineStr">
        <is>
          <t>Heron Fields (Pty) Ltd</t>
        </is>
      </c>
      <c r="B3643" s="4" t="n">
        <v>45107</v>
      </c>
      <c r="C3643" s="3" t="inlineStr">
        <is>
          <t>Assets</t>
        </is>
      </c>
      <c r="D3643" s="3" t="inlineStr">
        <is>
          <t>7620/295</t>
        </is>
      </c>
      <c r="E3643" s="3" t="inlineStr">
        <is>
          <t>HF CIP Traffic Planning</t>
        </is>
      </c>
      <c r="F3643" s="3" t="n">
        <v>0</v>
      </c>
      <c r="G3643" s="3" t="n">
        <v>45000</v>
      </c>
    </row>
    <row r="3644">
      <c r="A3644" s="3" t="inlineStr">
        <is>
          <t>Heron Fields (Pty) Ltd</t>
        </is>
      </c>
      <c r="B3644" s="4" t="n">
        <v>45107</v>
      </c>
      <c r="C3644" s="3" t="inlineStr">
        <is>
          <t>Assets</t>
        </is>
      </c>
      <c r="D3644" s="3" t="inlineStr">
        <is>
          <t>7620/600</t>
        </is>
      </c>
      <c r="E3644" s="3" t="inlineStr">
        <is>
          <t>HF CIP Eco work</t>
        </is>
      </c>
      <c r="F3644" s="3" t="n">
        <v>12000</v>
      </c>
      <c r="G3644" s="3" t="n">
        <v>149000</v>
      </c>
    </row>
    <row r="3645">
      <c r="A3645" s="3" t="inlineStr">
        <is>
          <t>Heron View (Pty) Ltd</t>
        </is>
      </c>
      <c r="B3645" s="4" t="n">
        <v>45107</v>
      </c>
      <c r="C3645" s="3" t="inlineStr">
        <is>
          <t>Assets</t>
        </is>
      </c>
      <c r="D3645" s="3" t="inlineStr">
        <is>
          <t>7620/605</t>
        </is>
      </c>
      <c r="E3645" s="3" t="inlineStr">
        <is>
          <t>Heron View CIP Structural Engineers</t>
        </is>
      </c>
      <c r="F3645" s="3" t="n">
        <v>71400</v>
      </c>
      <c r="G3645" s="3" t="n">
        <v>292753.14</v>
      </c>
    </row>
    <row r="3646">
      <c r="A3646" s="3" t="inlineStr">
        <is>
          <t>Heron View (Pty) Ltd</t>
        </is>
      </c>
      <c r="B3646" s="4" t="n">
        <v>45107</v>
      </c>
      <c r="C3646" s="3" t="inlineStr">
        <is>
          <t>Assets</t>
        </is>
      </c>
      <c r="D3646" s="3" t="inlineStr">
        <is>
          <t>7620/610</t>
        </is>
      </c>
      <c r="E3646" s="3" t="inlineStr">
        <is>
          <t>HV CIP Retaining wall</t>
        </is>
      </c>
      <c r="F3646" s="3" t="n">
        <v>0</v>
      </c>
      <c r="G3646" s="3" t="n">
        <v>66190.11</v>
      </c>
    </row>
    <row r="3647">
      <c r="A3647" s="3" t="inlineStr">
        <is>
          <t>Heron Fields (Pty) Ltd</t>
        </is>
      </c>
      <c r="B3647" s="4" t="n">
        <v>45107</v>
      </c>
      <c r="C3647" s="3" t="inlineStr">
        <is>
          <t>Assets</t>
        </is>
      </c>
      <c r="D3647" s="3" t="inlineStr">
        <is>
          <t>7620/630</t>
        </is>
      </c>
      <c r="E3647" s="3" t="inlineStr">
        <is>
          <t>HF CIP CoCT development contribution</t>
        </is>
      </c>
      <c r="F3647" s="3" t="n">
        <v>2430363.86</v>
      </c>
      <c r="G3647" s="3" t="n">
        <v>3252759.95</v>
      </c>
    </row>
    <row r="3648">
      <c r="A3648" s="3" t="inlineStr">
        <is>
          <t>Heron View (Pty) Ltd</t>
        </is>
      </c>
      <c r="B3648" s="4" t="n">
        <v>45107</v>
      </c>
      <c r="C3648" s="3" t="inlineStr">
        <is>
          <t>Assets</t>
        </is>
      </c>
      <c r="D3648" s="3" t="inlineStr">
        <is>
          <t>7620/630</t>
        </is>
      </c>
      <c r="E3648" s="3" t="inlineStr">
        <is>
          <t>Heron CIP - CoCT development contribution</t>
        </is>
      </c>
      <c r="F3648" s="3" t="n">
        <v>209563.05</v>
      </c>
      <c r="G3648" s="3" t="n">
        <v>1523298.89</v>
      </c>
    </row>
    <row r="3649">
      <c r="A3649" s="3" t="inlineStr">
        <is>
          <t>Heron Fields (Pty) Ltd</t>
        </is>
      </c>
      <c r="B3649" s="4" t="n">
        <v>45107</v>
      </c>
      <c r="C3649" s="3" t="inlineStr">
        <is>
          <t>Assets</t>
        </is>
      </c>
      <c r="D3649" s="3" t="inlineStr">
        <is>
          <t>7620/640</t>
        </is>
      </c>
      <c r="E3649" s="3" t="inlineStr">
        <is>
          <t>HF CIP Project costs</t>
        </is>
      </c>
      <c r="F3649" s="3" t="n">
        <v>0</v>
      </c>
      <c r="G3649" s="3" t="n">
        <v>622274.51</v>
      </c>
    </row>
    <row r="3650">
      <c r="A3650" s="3" t="inlineStr">
        <is>
          <t>Heron View (Pty) Ltd</t>
        </is>
      </c>
      <c r="B3650" s="4" t="n">
        <v>45107</v>
      </c>
      <c r="C3650" s="3" t="inlineStr">
        <is>
          <t>Assets</t>
        </is>
      </c>
      <c r="D3650" s="3" t="inlineStr">
        <is>
          <t>7620/650</t>
        </is>
      </c>
      <c r="E3650" s="3" t="inlineStr">
        <is>
          <t>CIP - Construction Management</t>
        </is>
      </c>
      <c r="F3650" s="3" t="n">
        <v>0</v>
      </c>
      <c r="G3650" s="3" t="n">
        <v>76530</v>
      </c>
    </row>
    <row r="3651">
      <c r="A3651" s="3" t="inlineStr">
        <is>
          <t>Heron Fields (Pty) Ltd</t>
        </is>
      </c>
      <c r="B3651" s="4" t="n">
        <v>45107</v>
      </c>
      <c r="C3651" s="3" t="inlineStr">
        <is>
          <t>Assets</t>
        </is>
      </c>
      <c r="D3651" s="3" t="inlineStr">
        <is>
          <t>7620/650</t>
        </is>
      </c>
      <c r="E3651" s="3" t="inlineStr">
        <is>
          <t>HF CIP Electrical</t>
        </is>
      </c>
      <c r="F3651" s="3" t="n">
        <v>0</v>
      </c>
      <c r="G3651" s="3" t="n">
        <v>985049.6800000001</v>
      </c>
    </row>
    <row r="3652">
      <c r="A3652" s="3" t="inlineStr">
        <is>
          <t>Heron View (Pty) Ltd</t>
        </is>
      </c>
      <c r="B3652" s="4" t="n">
        <v>45107</v>
      </c>
      <c r="C3652" s="3" t="inlineStr">
        <is>
          <t>Assets</t>
        </is>
      </c>
      <c r="D3652" s="3" t="inlineStr">
        <is>
          <t>7620/660</t>
        </is>
      </c>
      <c r="E3652" s="3" t="inlineStr">
        <is>
          <t>HV CIP Health &amp; Safety</t>
        </is>
      </c>
      <c r="F3652" s="3" t="n">
        <v>0</v>
      </c>
      <c r="G3652" s="3" t="n">
        <v>18800</v>
      </c>
    </row>
    <row r="3653">
      <c r="A3653" s="3" t="inlineStr">
        <is>
          <t>Heron View (Pty) Ltd</t>
        </is>
      </c>
      <c r="B3653" s="4" t="n">
        <v>45107</v>
      </c>
      <c r="C3653" s="3" t="inlineStr">
        <is>
          <t>Assets</t>
        </is>
      </c>
      <c r="D3653" s="3" t="inlineStr">
        <is>
          <t>7620/670</t>
        </is>
      </c>
      <c r="E3653" s="3" t="inlineStr">
        <is>
          <t>HV CIP - Project costs CPSD</t>
        </is>
      </c>
      <c r="F3653" s="3" t="n">
        <v>0</v>
      </c>
      <c r="G3653" s="3" t="n">
        <v>684782.6</v>
      </c>
    </row>
    <row r="3654">
      <c r="A3654" s="3" t="inlineStr">
        <is>
          <t>Heron View (Pty) Ltd</t>
        </is>
      </c>
      <c r="B3654" s="4" t="n">
        <v>45107</v>
      </c>
      <c r="C3654" s="3" t="inlineStr">
        <is>
          <t>Assets</t>
        </is>
      </c>
      <c r="D3654" s="3" t="inlineStr">
        <is>
          <t>7620/680</t>
        </is>
      </c>
      <c r="E3654" s="3" t="inlineStr">
        <is>
          <t>HV CIP Elextrical</t>
        </is>
      </c>
      <c r="F3654" s="3" t="n">
        <v>0</v>
      </c>
      <c r="G3654" s="3" t="n">
        <v>1130099.94</v>
      </c>
    </row>
    <row r="3655">
      <c r="A3655" s="3" t="inlineStr">
        <is>
          <t>Heron View (Pty) Ltd</t>
        </is>
      </c>
      <c r="B3655" s="4" t="n">
        <v>45107</v>
      </c>
      <c r="C3655" s="3" t="inlineStr">
        <is>
          <t>Assets</t>
        </is>
      </c>
      <c r="D3655" s="3" t="inlineStr">
        <is>
          <t>7620/690</t>
        </is>
      </c>
      <c r="E3655" s="3" t="inlineStr">
        <is>
          <t>HV CIP Site Establishment</t>
        </is>
      </c>
      <c r="F3655" s="3" t="n">
        <v>3889214.05</v>
      </c>
      <c r="G3655" s="3" t="n">
        <v>20129115.75</v>
      </c>
    </row>
    <row r="3656">
      <c r="A3656" s="3" t="inlineStr">
        <is>
          <t>Heron Fields (Pty) Ltd</t>
        </is>
      </c>
      <c r="B3656" s="4" t="n">
        <v>45107</v>
      </c>
      <c r="C3656" s="3" t="inlineStr">
        <is>
          <t>Assets</t>
        </is>
      </c>
      <c r="D3656" s="3" t="inlineStr">
        <is>
          <t>7620/750</t>
        </is>
      </c>
      <c r="E3656" s="3" t="inlineStr">
        <is>
          <t>HF CIP Project costs CPSD</t>
        </is>
      </c>
      <c r="F3656" s="3" t="n">
        <v>200000</v>
      </c>
      <c r="G3656" s="3" t="n">
        <v>1974970.11</v>
      </c>
    </row>
    <row r="3657">
      <c r="A3657" s="3" t="inlineStr">
        <is>
          <t>Heron Fields (Pty) Ltd</t>
        </is>
      </c>
      <c r="B3657" s="4" t="n">
        <v>45107</v>
      </c>
      <c r="C3657" s="3" t="inlineStr">
        <is>
          <t>Assets</t>
        </is>
      </c>
      <c r="D3657" s="3" t="inlineStr">
        <is>
          <t>7620/800</t>
        </is>
      </c>
      <c r="E3657" s="3" t="inlineStr">
        <is>
          <t>HF CIP GL Conradie</t>
        </is>
      </c>
      <c r="F3657" s="3" t="n">
        <v>0</v>
      </c>
      <c r="G3657" s="3" t="n">
        <v>1068455</v>
      </c>
    </row>
    <row r="3658">
      <c r="A3658" s="3" t="inlineStr">
        <is>
          <t>Heron Fields (Pty) Ltd</t>
        </is>
      </c>
      <c r="B3658" s="4" t="n">
        <v>45107</v>
      </c>
      <c r="C3658" s="3" t="inlineStr">
        <is>
          <t>Assets</t>
        </is>
      </c>
      <c r="D3658" s="3" t="inlineStr">
        <is>
          <t>7700/010</t>
        </is>
      </c>
      <c r="E3658" s="3" t="inlineStr">
        <is>
          <t>Construction 28 Feb 23 HF</t>
        </is>
      </c>
      <c r="F3658" s="3" t="n">
        <v>0</v>
      </c>
      <c r="G3658" s="3" t="n">
        <v>-24427668.44</v>
      </c>
    </row>
    <row r="3659">
      <c r="A3659" s="3" t="inlineStr">
        <is>
          <t>Cape Projects Construction (Pty) Ltd</t>
        </is>
      </c>
      <c r="B3659" s="4" t="n">
        <v>45107</v>
      </c>
      <c r="C3659" s="3" t="inlineStr">
        <is>
          <t>Assets</t>
        </is>
      </c>
      <c r="D3659" s="3" t="inlineStr">
        <is>
          <t>7800/000</t>
        </is>
      </c>
      <c r="E3659" s="3" t="inlineStr">
        <is>
          <t>Deposits paid</t>
        </is>
      </c>
      <c r="F3659" s="3" t="n">
        <v>0</v>
      </c>
      <c r="G3659" s="3" t="n">
        <v>29600</v>
      </c>
    </row>
    <row r="3660">
      <c r="A3660" s="3" t="inlineStr">
        <is>
          <t>Cape Projects Construction (Pty) Ltd</t>
        </is>
      </c>
      <c r="B3660" s="4" t="n">
        <v>45107</v>
      </c>
      <c r="C3660" s="3" t="inlineStr">
        <is>
          <t>Assets</t>
        </is>
      </c>
      <c r="D3660" s="3" t="inlineStr">
        <is>
          <t>8000/000</t>
        </is>
      </c>
      <c r="E3660" s="3" t="inlineStr">
        <is>
          <t>Customer Control Account</t>
        </is>
      </c>
      <c r="F3660" s="3" t="n">
        <v>-447403.84</v>
      </c>
      <c r="G3660" s="3" t="n">
        <v>-7853667.53</v>
      </c>
    </row>
    <row r="3661">
      <c r="A3661" s="3" t="inlineStr">
        <is>
          <t>Heron Fields (Pty) Ltd</t>
        </is>
      </c>
      <c r="B3661" s="4" t="n">
        <v>45107</v>
      </c>
      <c r="C3661" s="3" t="inlineStr">
        <is>
          <t>Assets</t>
        </is>
      </c>
      <c r="D3661" s="3" t="inlineStr">
        <is>
          <t>8000/000</t>
        </is>
      </c>
      <c r="E3661" s="3" t="inlineStr">
        <is>
          <t>Customer Control Account</t>
        </is>
      </c>
      <c r="F3661" s="3" t="n">
        <v>0</v>
      </c>
      <c r="G3661" s="3" t="n">
        <v>345946.61</v>
      </c>
    </row>
    <row r="3662">
      <c r="A3662" s="3" t="inlineStr">
        <is>
          <t>Heron Fields (Pty) Ltd</t>
        </is>
      </c>
      <c r="B3662" s="4" t="n">
        <v>45107</v>
      </c>
      <c r="C3662" s="3" t="inlineStr">
        <is>
          <t>Assets</t>
        </is>
      </c>
      <c r="D3662" s="3" t="inlineStr">
        <is>
          <t>8400/000</t>
        </is>
      </c>
      <c r="E3662" s="3" t="inlineStr">
        <is>
          <t>RMB - 62882379087</t>
        </is>
      </c>
      <c r="F3662" s="3" t="n">
        <v>792268.6800000001</v>
      </c>
      <c r="G3662" s="3" t="n">
        <v>974954.27</v>
      </c>
    </row>
    <row r="3663">
      <c r="A3663" s="3" t="inlineStr">
        <is>
          <t>Cape Projects Construction (Pty) Ltd</t>
        </is>
      </c>
      <c r="B3663" s="4" t="n">
        <v>45107</v>
      </c>
      <c r="C3663" s="3" t="inlineStr">
        <is>
          <t>Assets</t>
        </is>
      </c>
      <c r="D3663" s="3" t="inlineStr">
        <is>
          <t>8400/000</t>
        </is>
      </c>
      <c r="E3663" s="3" t="inlineStr">
        <is>
          <t>RMB 62275138470</t>
        </is>
      </c>
      <c r="F3663" s="3" t="n">
        <v>234494.48</v>
      </c>
      <c r="G3663" s="3" t="n">
        <v>734246.92</v>
      </c>
    </row>
    <row r="3664">
      <c r="A3664" s="3" t="inlineStr">
        <is>
          <t>Cape Projects Construction (Pty) Ltd</t>
        </is>
      </c>
      <c r="B3664" s="4" t="n">
        <v>45107</v>
      </c>
      <c r="C3664" s="3" t="inlineStr">
        <is>
          <t>Assets</t>
        </is>
      </c>
      <c r="D3664" s="3" t="inlineStr">
        <is>
          <t>8410/000</t>
        </is>
      </c>
      <c r="E3664" s="3" t="inlineStr">
        <is>
          <t>Petty Cash</t>
        </is>
      </c>
      <c r="F3664" s="3" t="n">
        <v>-1188</v>
      </c>
      <c r="G3664" s="3" t="n">
        <v>-1188</v>
      </c>
    </row>
    <row r="3665">
      <c r="A3665" s="3" t="inlineStr">
        <is>
          <t>Cape Projects Construction (Pty) Ltd</t>
        </is>
      </c>
      <c r="B3665" s="4" t="n">
        <v>45107</v>
      </c>
      <c r="C3665" s="3" t="inlineStr">
        <is>
          <t>Assets</t>
        </is>
      </c>
      <c r="D3665" s="3" t="inlineStr">
        <is>
          <t>8420/000</t>
        </is>
      </c>
      <c r="E3665" s="3" t="inlineStr">
        <is>
          <t>Momentum Priv Acc RU502230981</t>
        </is>
      </c>
      <c r="F3665" s="3" t="n">
        <v>7.64</v>
      </c>
      <c r="G3665" s="3" t="n">
        <v>555.35</v>
      </c>
    </row>
    <row r="3666">
      <c r="A3666" s="3" t="inlineStr">
        <is>
          <t>Heron Fields (Pty) Ltd</t>
        </is>
      </c>
      <c r="B3666" s="4" t="n">
        <v>45107</v>
      </c>
      <c r="C3666" s="3" t="inlineStr">
        <is>
          <t>Assets</t>
        </is>
      </c>
      <c r="D3666" s="3" t="inlineStr">
        <is>
          <t>8430/000</t>
        </is>
      </c>
      <c r="E3666" s="3" t="inlineStr">
        <is>
          <t>Momentum Private Account RU502230151</t>
        </is>
      </c>
      <c r="F3666" s="3" t="n">
        <v>5.44</v>
      </c>
      <c r="G3666" s="3" t="n">
        <v>848.85</v>
      </c>
    </row>
    <row r="3667">
      <c r="A3667" s="3" t="inlineStr">
        <is>
          <t>Heron Fields (Pty) Ltd</t>
        </is>
      </c>
      <c r="B3667" s="4" t="n">
        <v>45107</v>
      </c>
      <c r="C3667" s="3" t="inlineStr">
        <is>
          <t>Assets</t>
        </is>
      </c>
      <c r="D3667" s="3" t="inlineStr">
        <is>
          <t>8440/000</t>
        </is>
      </c>
      <c r="E3667" s="3" t="inlineStr">
        <is>
          <t>Momentum Investors Account RU502229930</t>
        </is>
      </c>
      <c r="F3667" s="3" t="n">
        <v>3791417.77</v>
      </c>
      <c r="G3667" s="3" t="n">
        <v>37421972.69</v>
      </c>
    </row>
    <row r="3668">
      <c r="A3668" s="3" t="inlineStr">
        <is>
          <t>Cape Projects Construction (Pty) Ltd</t>
        </is>
      </c>
      <c r="B3668" s="4" t="n">
        <v>45107</v>
      </c>
      <c r="C3668" s="3" t="inlineStr">
        <is>
          <t>Liabilities</t>
        </is>
      </c>
      <c r="D3668" s="3" t="inlineStr">
        <is>
          <t>860</t>
        </is>
      </c>
      <c r="E3668" s="3" t="inlineStr">
        <is>
          <t>Rounding</t>
        </is>
      </c>
      <c r="F3668" s="3" t="n">
        <v>-1.19</v>
      </c>
      <c r="G3668" s="3" t="n">
        <v>-29</v>
      </c>
    </row>
    <row r="3669">
      <c r="A3669" s="3" t="inlineStr">
        <is>
          <t>Heron Fields (Pty) Ltd</t>
        </is>
      </c>
      <c r="B3669" s="4" t="n">
        <v>45107</v>
      </c>
      <c r="C3669" s="3" t="inlineStr">
        <is>
          <t>Liabilities</t>
        </is>
      </c>
      <c r="D3669" s="3" t="inlineStr">
        <is>
          <t>860</t>
        </is>
      </c>
      <c r="E3669" s="3" t="inlineStr">
        <is>
          <t>Rounding</t>
        </is>
      </c>
      <c r="F3669" s="3" t="n">
        <v>0</v>
      </c>
      <c r="G3669" s="3" t="n">
        <v>0.08</v>
      </c>
    </row>
    <row r="3670">
      <c r="A3670" s="3" t="inlineStr">
        <is>
          <t>Cape Projects Construction (Pty) Ltd</t>
        </is>
      </c>
      <c r="B3670" s="4" t="n">
        <v>45107</v>
      </c>
      <c r="C3670" s="3" t="inlineStr">
        <is>
          <t>Liabilities</t>
        </is>
      </c>
      <c r="D3670" s="3" t="inlineStr">
        <is>
          <t>9000/000</t>
        </is>
      </c>
      <c r="E3670" s="3" t="inlineStr">
        <is>
          <t>Supplier Control Account</t>
        </is>
      </c>
      <c r="F3670" s="3" t="n">
        <v>882644.96</v>
      </c>
      <c r="G3670" s="3" t="n">
        <v>-1250593.58</v>
      </c>
    </row>
    <row r="3671">
      <c r="A3671" s="3" t="inlineStr">
        <is>
          <t>Heron Fields (Pty) Ltd</t>
        </is>
      </c>
      <c r="B3671" s="4" t="n">
        <v>45107</v>
      </c>
      <c r="C3671" s="3" t="inlineStr">
        <is>
          <t>Liabilities</t>
        </is>
      </c>
      <c r="D3671" s="3" t="inlineStr">
        <is>
          <t>9000/000</t>
        </is>
      </c>
      <c r="E3671" s="3" t="inlineStr">
        <is>
          <t>Supplier Control Account</t>
        </is>
      </c>
      <c r="F3671" s="3" t="n">
        <v>-11860657.33</v>
      </c>
      <c r="G3671" s="3" t="n">
        <v>-143375722.53</v>
      </c>
    </row>
    <row r="3672">
      <c r="A3672" s="3" t="inlineStr">
        <is>
          <t>Heron View (Pty) Ltd</t>
        </is>
      </c>
      <c r="B3672" s="4" t="n">
        <v>45107</v>
      </c>
      <c r="C3672" s="3" t="inlineStr">
        <is>
          <t>Liabilities</t>
        </is>
      </c>
      <c r="D3672" s="3" t="inlineStr">
        <is>
          <t>9000/000</t>
        </is>
      </c>
      <c r="E3672" s="3" t="inlineStr">
        <is>
          <t>Supplier Control Account</t>
        </is>
      </c>
      <c r="F3672" s="3" t="n">
        <v>-236256.97</v>
      </c>
      <c r="G3672" s="3" t="n">
        <v>400760.01</v>
      </c>
    </row>
    <row r="3673">
      <c r="A3673" s="3" t="inlineStr">
        <is>
          <t>Cape Projects Construction (Pty) Ltd</t>
        </is>
      </c>
      <c r="B3673" s="4" t="n">
        <v>45107</v>
      </c>
      <c r="C3673" s="3" t="inlineStr">
        <is>
          <t>Liabilities</t>
        </is>
      </c>
      <c r="D3673" s="3" t="inlineStr">
        <is>
          <t>9200/000</t>
        </is>
      </c>
      <c r="E3673" s="3" t="inlineStr">
        <is>
          <t>Sundry Suppliers</t>
        </is>
      </c>
      <c r="F3673" s="3" t="n">
        <v>0</v>
      </c>
      <c r="G3673" s="3" t="n">
        <v>1309</v>
      </c>
    </row>
    <row r="3674">
      <c r="A3674" s="3" t="inlineStr">
        <is>
          <t>Cape Projects Construction (Pty) Ltd</t>
        </is>
      </c>
      <c r="B3674" s="4" t="n">
        <v>45107</v>
      </c>
      <c r="C3674" s="3" t="inlineStr">
        <is>
          <t>Liabilities</t>
        </is>
      </c>
      <c r="D3674" s="3" t="inlineStr">
        <is>
          <t>9250/010</t>
        </is>
      </c>
      <c r="E3674" s="3" t="inlineStr">
        <is>
          <t>SALARY CONTROL</t>
        </is>
      </c>
      <c r="F3674" s="3" t="n">
        <v>257.5</v>
      </c>
      <c r="G3674" s="3" t="n">
        <v>0.02</v>
      </c>
    </row>
    <row r="3675">
      <c r="A3675" s="3" t="inlineStr">
        <is>
          <t>Cape Projects Construction (Pty) Ltd</t>
        </is>
      </c>
      <c r="B3675" s="4" t="n">
        <v>45107</v>
      </c>
      <c r="C3675" s="3" t="inlineStr">
        <is>
          <t>Liabilities</t>
        </is>
      </c>
      <c r="D3675" s="3" t="inlineStr">
        <is>
          <t>9250/020</t>
        </is>
      </c>
      <c r="E3675" s="3" t="inlineStr">
        <is>
          <t>PAYE, UIF AND SDL CONTROL</t>
        </is>
      </c>
      <c r="F3675" s="3" t="n">
        <v>-6768.37</v>
      </c>
      <c r="G3675" s="3" t="n">
        <v>-92083.17999999999</v>
      </c>
    </row>
    <row r="3676">
      <c r="A3676" s="3" t="inlineStr">
        <is>
          <t>Cape Projects Construction (Pty) Ltd</t>
        </is>
      </c>
      <c r="B3676" s="4" t="n">
        <v>45107</v>
      </c>
      <c r="C3676" s="3" t="inlineStr">
        <is>
          <t>Liabilities</t>
        </is>
      </c>
      <c r="D3676" s="3" t="inlineStr">
        <is>
          <t>9250/030</t>
        </is>
      </c>
      <c r="E3676" s="3" t="inlineStr">
        <is>
          <t>BIBC CONTROL</t>
        </is>
      </c>
      <c r="F3676" s="3" t="n">
        <v>0</v>
      </c>
      <c r="G3676" s="3" t="n">
        <v>-49413.95</v>
      </c>
    </row>
    <row r="3677">
      <c r="A3677" s="3" t="inlineStr">
        <is>
          <t>Cape Projects Construction (Pty) Ltd</t>
        </is>
      </c>
      <c r="B3677" s="4" t="n">
        <v>45107</v>
      </c>
      <c r="C3677" s="3" t="inlineStr">
        <is>
          <t>Liabilities</t>
        </is>
      </c>
      <c r="D3677" s="3" t="inlineStr">
        <is>
          <t>9500/000</t>
        </is>
      </c>
      <c r="E3677" s="3" t="inlineStr">
        <is>
          <t>VAT Control Account</t>
        </is>
      </c>
      <c r="F3677" s="3" t="n">
        <v>199764.2</v>
      </c>
      <c r="G3677" s="3" t="n">
        <v>-33133.35</v>
      </c>
    </row>
    <row r="3678">
      <c r="A3678" s="3" t="inlineStr">
        <is>
          <t>Heron Fields (Pty) Ltd</t>
        </is>
      </c>
      <c r="B3678" s="4" t="n">
        <v>45107</v>
      </c>
      <c r="C3678" s="3" t="inlineStr">
        <is>
          <t>Liabilities</t>
        </is>
      </c>
      <c r="D3678" s="3" t="inlineStr">
        <is>
          <t>9500/000</t>
        </is>
      </c>
      <c r="E3678" s="3" t="inlineStr">
        <is>
          <t>Vat / Tax Control Account</t>
        </is>
      </c>
      <c r="F3678" s="3" t="n">
        <v>249048.42</v>
      </c>
      <c r="G3678" s="3" t="n">
        <v>-3908453.07</v>
      </c>
    </row>
    <row r="3679">
      <c r="A3679" s="3" t="inlineStr">
        <is>
          <t>Heron View (Pty) Ltd</t>
        </is>
      </c>
      <c r="B3679" s="4" t="n">
        <v>45107</v>
      </c>
      <c r="C3679" s="3" t="inlineStr">
        <is>
          <t>Liabilities</t>
        </is>
      </c>
      <c r="D3679" s="3" t="inlineStr">
        <is>
          <t>9500/000</t>
        </is>
      </c>
      <c r="E3679" s="3" t="inlineStr">
        <is>
          <t>Vat / Tax Control Account</t>
        </is>
      </c>
      <c r="F3679" s="3" t="n">
        <v>748726.0699999999</v>
      </c>
      <c r="G3679" s="3" t="n">
        <v>5124980.97</v>
      </c>
    </row>
    <row r="3680">
      <c r="A3680" s="3" t="inlineStr">
        <is>
          <t>Heron Fields (Pty) Ltd</t>
        </is>
      </c>
      <c r="B3680" s="4" t="n">
        <v>45107</v>
      </c>
      <c r="C3680" s="3" t="inlineStr">
        <is>
          <t>Liabilities</t>
        </is>
      </c>
      <c r="D3680" s="3" t="inlineStr">
        <is>
          <t>9520/000</t>
        </is>
      </c>
      <c r="E3680" s="3" t="inlineStr">
        <is>
          <t>Income Tax Payable</t>
        </is>
      </c>
      <c r="F3680" s="3" t="n">
        <v>0</v>
      </c>
      <c r="G3680" s="3" t="n">
        <v>59039.93</v>
      </c>
    </row>
    <row r="3681">
      <c r="A3681" s="3" t="inlineStr">
        <is>
          <t>Heron Fields (Pty) Ltd</t>
        </is>
      </c>
      <c r="B3681" s="4" t="n">
        <v>45107</v>
      </c>
      <c r="C3681" s="3" t="inlineStr">
        <is>
          <t>Liabilities</t>
        </is>
      </c>
      <c r="D3681" s="3" t="inlineStr">
        <is>
          <t>9899/B208</t>
        </is>
      </c>
      <c r="E3681" s="3" t="inlineStr">
        <is>
          <t>Sales - Unit Reg Control B208</t>
        </is>
      </c>
      <c r="F3681" s="3" t="n">
        <v>0</v>
      </c>
      <c r="G3681" s="3" t="n">
        <v>1209624.06</v>
      </c>
    </row>
    <row r="3682">
      <c r="A3682" s="3" t="inlineStr">
        <is>
          <t>Cape Projects Construction (Pty) Ltd</t>
        </is>
      </c>
      <c r="B3682" s="4" t="n">
        <v>45107</v>
      </c>
      <c r="C3682" s="3" t="inlineStr">
        <is>
          <t>Liabilities</t>
        </is>
      </c>
      <c r="D3682" s="3" t="inlineStr">
        <is>
          <t>B/S</t>
        </is>
      </c>
      <c r="E3682" s="3" t="inlineStr">
        <is>
          <t>Taxation Payable</t>
        </is>
      </c>
      <c r="F3682" s="3" t="n">
        <v>0</v>
      </c>
      <c r="G3682" s="3" t="n">
        <v>28029.81</v>
      </c>
    </row>
    <row r="3683">
      <c r="A3683" s="3" t="inlineStr">
        <is>
          <t>Cape Projects Construction (Pty) Ltd</t>
        </is>
      </c>
      <c r="B3683" s="4" t="n">
        <v>45107</v>
      </c>
      <c r="C3683" s="3" t="inlineStr">
        <is>
          <t>Liabilities</t>
        </is>
      </c>
      <c r="D3683" s="3" t="inlineStr">
        <is>
          <t>TEMP/ACC</t>
        </is>
      </c>
      <c r="E3683" s="3" t="inlineStr">
        <is>
          <t>Conversion Account</t>
        </is>
      </c>
      <c r="F3683" s="3" t="n">
        <v>0</v>
      </c>
      <c r="G3683" s="3" t="n">
        <v>-254.99</v>
      </c>
    </row>
    <row r="3684">
      <c r="A3684" s="3" t="inlineStr">
        <is>
          <t>Heron Fields (Pty) Ltd</t>
        </is>
      </c>
      <c r="B3684" s="4" t="n">
        <v>45138</v>
      </c>
      <c r="C3684" s="3" t="inlineStr">
        <is>
          <t>Revenue</t>
        </is>
      </c>
      <c r="D3684" s="3" t="inlineStr">
        <is>
          <t>1000/100</t>
        </is>
      </c>
      <c r="E3684" s="3" t="inlineStr">
        <is>
          <t>Sales - Heron Fields</t>
        </is>
      </c>
      <c r="F3684" s="3" t="n">
        <v>-1314691.31</v>
      </c>
      <c r="G3684" s="3" t="n">
        <v>-26915560.88</v>
      </c>
    </row>
    <row r="3685">
      <c r="A3685" s="3" t="inlineStr">
        <is>
          <t>Heron Fields (Pty) Ltd</t>
        </is>
      </c>
      <c r="B3685" s="4" t="n">
        <v>45138</v>
      </c>
      <c r="C3685" s="3" t="inlineStr">
        <is>
          <t>Revenue</t>
        </is>
      </c>
      <c r="D3685" s="3" t="inlineStr">
        <is>
          <t>1000/101</t>
        </is>
      </c>
      <c r="E3685" s="3" t="inlineStr">
        <is>
          <t>Sales - Heron Fields occupational rent</t>
        </is>
      </c>
      <c r="F3685" s="3" t="n">
        <v>-7741.94</v>
      </c>
      <c r="G3685" s="3" t="n">
        <v>-102388.85</v>
      </c>
    </row>
    <row r="3686">
      <c r="A3686" s="3" t="inlineStr">
        <is>
          <t>Cape Projects Construction (Pty) Ltd</t>
        </is>
      </c>
      <c r="B3686" s="4" t="n">
        <v>45138</v>
      </c>
      <c r="C3686" s="3" t="inlineStr">
        <is>
          <t>Revenue</t>
        </is>
      </c>
      <c r="D3686" s="3" t="inlineStr">
        <is>
          <t>1040/100</t>
        </is>
      </c>
      <c r="E3686" s="3" t="inlineStr">
        <is>
          <t>Fees - Construction - Heron</t>
        </is>
      </c>
      <c r="F3686" s="3" t="n">
        <v>-3821545.56</v>
      </c>
      <c r="G3686" s="3" t="n">
        <v>-20682810.45</v>
      </c>
    </row>
    <row r="3687">
      <c r="A3687" s="3" t="inlineStr">
        <is>
          <t>Cape Projects Construction (Pty) Ltd</t>
        </is>
      </c>
      <c r="B3687" s="4" t="n">
        <v>45138</v>
      </c>
      <c r="C3687" s="3" t="inlineStr">
        <is>
          <t>Revenue</t>
        </is>
      </c>
      <c r="D3687" s="3" t="inlineStr">
        <is>
          <t>1070/000</t>
        </is>
      </c>
      <c r="E3687" s="3" t="inlineStr">
        <is>
          <t>Rent - CT Office</t>
        </is>
      </c>
      <c r="F3687" s="3" t="n">
        <v>0</v>
      </c>
      <c r="G3687" s="3" t="n">
        <v>3490.94</v>
      </c>
    </row>
    <row r="3688">
      <c r="A3688" s="3" t="inlineStr">
        <is>
          <t>Heron Fields (Pty) Ltd</t>
        </is>
      </c>
      <c r="B3688" s="4" t="n">
        <v>45138</v>
      </c>
      <c r="C3688" s="3" t="inlineStr">
        <is>
          <t>Revenue</t>
        </is>
      </c>
      <c r="D3688" s="3" t="inlineStr">
        <is>
          <t>1500/002</t>
        </is>
      </c>
      <c r="E3688" s="3" t="inlineStr">
        <is>
          <t>Rental Income</t>
        </is>
      </c>
      <c r="F3688" s="3" t="n">
        <v>-37500</v>
      </c>
      <c r="G3688" s="3" t="n">
        <v>-37500</v>
      </c>
    </row>
    <row r="3689">
      <c r="A3689" s="3" t="inlineStr">
        <is>
          <t>Heron Fields (Pty) Ltd</t>
        </is>
      </c>
      <c r="B3689" s="4" t="n">
        <v>45138</v>
      </c>
      <c r="C3689" s="3" t="inlineStr">
        <is>
          <t>Expenses</t>
        </is>
      </c>
      <c r="D3689" s="3" t="inlineStr">
        <is>
          <t>2000/011</t>
        </is>
      </c>
      <c r="E3689" s="3" t="inlineStr">
        <is>
          <t>COS - Heron View Showhouse</t>
        </is>
      </c>
      <c r="F3689" s="3" t="n">
        <v>45300.43</v>
      </c>
      <c r="G3689" s="3" t="n">
        <v>45300.43</v>
      </c>
    </row>
    <row r="3690">
      <c r="A3690" s="3" t="inlineStr">
        <is>
          <t>Heron View (Pty) Ltd</t>
        </is>
      </c>
      <c r="B3690" s="4" t="n">
        <v>45138</v>
      </c>
      <c r="C3690" s="3" t="inlineStr">
        <is>
          <t>Expenses</t>
        </is>
      </c>
      <c r="D3690" s="3" t="inlineStr">
        <is>
          <t>2000/030</t>
        </is>
      </c>
      <c r="E3690" s="3" t="inlineStr">
        <is>
          <t>COS - HV COCT Rates clearance</t>
        </is>
      </c>
      <c r="F3690" s="3" t="n">
        <v>44968.24</v>
      </c>
      <c r="G3690" s="3" t="n">
        <v>237142.94</v>
      </c>
    </row>
    <row r="3691">
      <c r="A3691" s="3" t="inlineStr">
        <is>
          <t>Heron Fields (Pty) Ltd</t>
        </is>
      </c>
      <c r="B3691" s="4" t="n">
        <v>45138</v>
      </c>
      <c r="C3691" s="3" t="inlineStr">
        <is>
          <t>Expenses</t>
        </is>
      </c>
      <c r="D3691" s="3" t="inlineStr">
        <is>
          <t>2000/040</t>
        </is>
      </c>
      <c r="E3691" s="3" t="inlineStr">
        <is>
          <t>COS - Legal Fees</t>
        </is>
      </c>
      <c r="F3691" s="3" t="n">
        <v>71053.34</v>
      </c>
      <c r="G3691" s="3" t="n">
        <v>648956.64</v>
      </c>
    </row>
    <row r="3692">
      <c r="A3692" s="3" t="inlineStr">
        <is>
          <t>Heron View (Pty) Ltd</t>
        </is>
      </c>
      <c r="B3692" s="4" t="n">
        <v>45138</v>
      </c>
      <c r="C3692" s="3" t="inlineStr">
        <is>
          <t>Expenses</t>
        </is>
      </c>
      <c r="D3692" s="3" t="inlineStr">
        <is>
          <t>2000/041</t>
        </is>
      </c>
      <c r="E3692" s="3" t="inlineStr">
        <is>
          <t>COS - Legal Fees Opening of Sec Title Fees</t>
        </is>
      </c>
      <c r="F3692" s="3" t="n">
        <v>0</v>
      </c>
      <c r="G3692" s="3" t="n">
        <v>14689.94</v>
      </c>
    </row>
    <row r="3693">
      <c r="A3693" s="3" t="inlineStr">
        <is>
          <t>Heron Fields (Pty) Ltd</t>
        </is>
      </c>
      <c r="B3693" s="4" t="n">
        <v>45138</v>
      </c>
      <c r="C3693" s="3" t="inlineStr">
        <is>
          <t>Expenses</t>
        </is>
      </c>
      <c r="D3693" s="3" t="inlineStr">
        <is>
          <t>2000/050</t>
        </is>
      </c>
      <c r="E3693" s="3" t="inlineStr">
        <is>
          <t>COS - Rates clearance</t>
        </is>
      </c>
      <c r="F3693" s="3" t="n">
        <v>3875.85</v>
      </c>
      <c r="G3693" s="3" t="n">
        <v>22036.77</v>
      </c>
    </row>
    <row r="3694">
      <c r="A3694" s="3" t="inlineStr">
        <is>
          <t>Heron Fields (Pty) Ltd</t>
        </is>
      </c>
      <c r="B3694" s="4" t="n">
        <v>45138</v>
      </c>
      <c r="C3694" s="3" t="inlineStr">
        <is>
          <t>Expenses</t>
        </is>
      </c>
      <c r="D3694" s="3" t="inlineStr">
        <is>
          <t>2000/060</t>
        </is>
      </c>
      <c r="E3694" s="3" t="inlineStr">
        <is>
          <t>COS - Levies</t>
        </is>
      </c>
      <c r="F3694" s="3" t="n">
        <v>0</v>
      </c>
      <c r="G3694" s="3" t="n">
        <v>171178.44</v>
      </c>
    </row>
    <row r="3695">
      <c r="A3695" s="3" t="inlineStr">
        <is>
          <t>Heron Fields (Pty) Ltd</t>
        </is>
      </c>
      <c r="B3695" s="4" t="n">
        <v>45138</v>
      </c>
      <c r="C3695" s="3" t="inlineStr">
        <is>
          <t>Expenses</t>
        </is>
      </c>
      <c r="D3695" s="3" t="inlineStr">
        <is>
          <t>2000/070</t>
        </is>
      </c>
      <c r="E3695" s="3" t="inlineStr">
        <is>
          <t>COS - Commission HF Units</t>
        </is>
      </c>
      <c r="F3695" s="3" t="n">
        <v>61865.22</v>
      </c>
      <c r="G3695" s="3" t="n">
        <v>1280913.05</v>
      </c>
    </row>
    <row r="3696">
      <c r="A3696" s="3" t="inlineStr">
        <is>
          <t>Heron View (Pty) Ltd</t>
        </is>
      </c>
      <c r="B3696" s="4" t="n">
        <v>45138</v>
      </c>
      <c r="C3696" s="3" t="inlineStr">
        <is>
          <t>Expenses</t>
        </is>
      </c>
      <c r="D3696" s="3" t="inlineStr">
        <is>
          <t>2000/080</t>
        </is>
      </c>
      <c r="E3696" s="3" t="inlineStr">
        <is>
          <t>COS - Showhouse - HV</t>
        </is>
      </c>
      <c r="F3696" s="3" t="n">
        <v>6212.85</v>
      </c>
      <c r="G3696" s="3" t="n">
        <v>6212.85</v>
      </c>
    </row>
    <row r="3697">
      <c r="A3697" s="3" t="inlineStr">
        <is>
          <t>Heron Fields (Pty) Ltd</t>
        </is>
      </c>
      <c r="B3697" s="4" t="n">
        <v>45138</v>
      </c>
      <c r="C3697" s="3" t="inlineStr">
        <is>
          <t>Expenses</t>
        </is>
      </c>
      <c r="D3697" s="3" t="inlineStr">
        <is>
          <t>2000/090</t>
        </is>
      </c>
      <c r="E3697" s="3" t="inlineStr">
        <is>
          <t>COS - Electricity</t>
        </is>
      </c>
      <c r="F3697" s="3" t="n">
        <v>0</v>
      </c>
      <c r="G3697" s="3" t="n">
        <v>250</v>
      </c>
    </row>
    <row r="3698">
      <c r="A3698" s="3" t="inlineStr">
        <is>
          <t>Heron Fields (Pty) Ltd</t>
        </is>
      </c>
      <c r="B3698" s="4" t="n">
        <v>45138</v>
      </c>
      <c r="C3698" s="3" t="inlineStr">
        <is>
          <t>Expenses</t>
        </is>
      </c>
      <c r="D3698" s="3" t="inlineStr">
        <is>
          <t>2000/100</t>
        </is>
      </c>
      <c r="E3698" s="3" t="inlineStr">
        <is>
          <t>COS - Inverters</t>
        </is>
      </c>
      <c r="F3698" s="3" t="n">
        <v>0</v>
      </c>
      <c r="G3698" s="3" t="n">
        <v>31600</v>
      </c>
    </row>
    <row r="3699">
      <c r="A3699" s="3" t="inlineStr">
        <is>
          <t>Cape Projects Construction (Pty) Ltd</t>
        </is>
      </c>
      <c r="B3699" s="4" t="n">
        <v>45138</v>
      </c>
      <c r="C3699" s="3" t="inlineStr">
        <is>
          <t>Expenses</t>
        </is>
      </c>
      <c r="D3699" s="3" t="inlineStr">
        <is>
          <t>2000/500</t>
        </is>
      </c>
      <c r="E3699" s="3" t="inlineStr">
        <is>
          <t>COS - Electricity Cost Endulini</t>
        </is>
      </c>
      <c r="F3699" s="3" t="n">
        <v>0</v>
      </c>
      <c r="G3699" s="3" t="n">
        <v>286.96</v>
      </c>
    </row>
    <row r="3700">
      <c r="A3700" s="3" t="inlineStr">
        <is>
          <t>Cape Projects Construction (Pty) Ltd</t>
        </is>
      </c>
      <c r="B3700" s="4" t="n">
        <v>45138</v>
      </c>
      <c r="C3700" s="3" t="inlineStr">
        <is>
          <t>Expenses</t>
        </is>
      </c>
      <c r="D3700" s="3" t="inlineStr">
        <is>
          <t>2000/501</t>
        </is>
      </c>
      <c r="E3700" s="3" t="inlineStr">
        <is>
          <t>COS - Electricity Cost Heron Field</t>
        </is>
      </c>
      <c r="F3700" s="3" t="n">
        <v>0</v>
      </c>
      <c r="G3700" s="3" t="n">
        <v>86.95999999999999</v>
      </c>
    </row>
    <row r="3701">
      <c r="A3701" s="3" t="inlineStr">
        <is>
          <t>Cape Projects Construction (Pty) Ltd</t>
        </is>
      </c>
      <c r="B3701" s="4" t="n">
        <v>45138</v>
      </c>
      <c r="C3701" s="3" t="inlineStr">
        <is>
          <t>Expenses</t>
        </is>
      </c>
      <c r="D3701" s="3" t="inlineStr">
        <is>
          <t>2001/000</t>
        </is>
      </c>
      <c r="E3701" s="3" t="inlineStr">
        <is>
          <t>Cost of Sales - SouthWark Project</t>
        </is>
      </c>
      <c r="F3701" s="3" t="n">
        <v>-19.48</v>
      </c>
      <c r="G3701" s="3" t="n">
        <v>23423.97</v>
      </c>
    </row>
    <row r="3702">
      <c r="A3702" s="3" t="inlineStr">
        <is>
          <t>Cape Projects Construction (Pty) Ltd</t>
        </is>
      </c>
      <c r="B3702" s="4" t="n">
        <v>45138</v>
      </c>
      <c r="C3702" s="3" t="inlineStr">
        <is>
          <t>Expenses</t>
        </is>
      </c>
      <c r="D3702" s="3" t="inlineStr">
        <is>
          <t>2002/252</t>
        </is>
      </c>
      <c r="E3702" s="3" t="inlineStr">
        <is>
          <t>COS - Security - Guarding</t>
        </is>
      </c>
      <c r="F3702" s="3" t="n">
        <v>11607.87</v>
      </c>
      <c r="G3702" s="3" t="n">
        <v>41620.91</v>
      </c>
    </row>
    <row r="3703">
      <c r="A3703" s="3" t="inlineStr">
        <is>
          <t>Cape Projects Construction (Pty) Ltd</t>
        </is>
      </c>
      <c r="B3703" s="4" t="n">
        <v>45138</v>
      </c>
      <c r="C3703" s="3" t="inlineStr">
        <is>
          <t>Expenses</t>
        </is>
      </c>
      <c r="D3703" s="3" t="inlineStr">
        <is>
          <t>2006/000</t>
        </is>
      </c>
      <c r="E3703" s="3" t="inlineStr">
        <is>
          <t>COS - Endulini Construction</t>
        </is>
      </c>
      <c r="F3703" s="3" t="n">
        <v>12386.25</v>
      </c>
      <c r="G3703" s="3" t="n">
        <v>249930.65</v>
      </c>
    </row>
    <row r="3704">
      <c r="A3704" s="3" t="inlineStr">
        <is>
          <t>Cape Projects Construction (Pty) Ltd</t>
        </is>
      </c>
      <c r="B3704" s="4" t="n">
        <v>45138</v>
      </c>
      <c r="C3704" s="3" t="inlineStr">
        <is>
          <t>Expenses</t>
        </is>
      </c>
      <c r="D3704" s="3" t="inlineStr">
        <is>
          <t>2006/100</t>
        </is>
      </c>
      <c r="E3704" s="3" t="inlineStr">
        <is>
          <t>COS - Endulini P and G</t>
        </is>
      </c>
      <c r="F3704" s="3" t="n">
        <v>115757.06</v>
      </c>
      <c r="G3704" s="3" t="n">
        <v>147003.59</v>
      </c>
    </row>
    <row r="3705">
      <c r="A3705" s="3" t="inlineStr">
        <is>
          <t>Cape Projects Construction (Pty) Ltd</t>
        </is>
      </c>
      <c r="B3705" s="4" t="n">
        <v>45138</v>
      </c>
      <c r="C3705" s="3" t="inlineStr">
        <is>
          <t>Expenses</t>
        </is>
      </c>
      <c r="D3705" s="3" t="inlineStr">
        <is>
          <t>2006/200</t>
        </is>
      </c>
      <c r="E3705" s="3" t="inlineStr">
        <is>
          <t>COS - Insurance</t>
        </is>
      </c>
      <c r="F3705" s="3" t="n">
        <v>0</v>
      </c>
      <c r="G3705" s="3" t="n">
        <v>2719.43</v>
      </c>
    </row>
    <row r="3706">
      <c r="A3706" s="3" t="inlineStr">
        <is>
          <t>Cape Projects Construction (Pty) Ltd</t>
        </is>
      </c>
      <c r="B3706" s="4" t="n">
        <v>45138</v>
      </c>
      <c r="C3706" s="3" t="inlineStr">
        <is>
          <t>Expenses</t>
        </is>
      </c>
      <c r="D3706" s="3" t="inlineStr">
        <is>
          <t>2006/800</t>
        </is>
      </c>
      <c r="E3706" s="3" t="inlineStr">
        <is>
          <t>COS - Endulini - Telephone &amp; Internet</t>
        </is>
      </c>
      <c r="F3706" s="3" t="n">
        <v>0</v>
      </c>
      <c r="G3706" s="3" t="n">
        <v>760.87</v>
      </c>
    </row>
    <row r="3707">
      <c r="A3707" s="3" t="inlineStr">
        <is>
          <t>Cape Projects Construction (Pty) Ltd</t>
        </is>
      </c>
      <c r="B3707" s="4" t="n">
        <v>45138</v>
      </c>
      <c r="C3707" s="3" t="inlineStr">
        <is>
          <t>Expenses</t>
        </is>
      </c>
      <c r="D3707" s="3" t="inlineStr">
        <is>
          <t>2007/000</t>
        </is>
      </c>
      <c r="E3707" s="3" t="inlineStr">
        <is>
          <t>COS - Repairs &amp; Maintenance - SW Southwark</t>
        </is>
      </c>
      <c r="F3707" s="3" t="n">
        <v>25461.52</v>
      </c>
      <c r="G3707" s="3" t="n">
        <v>25461.52</v>
      </c>
    </row>
    <row r="3708">
      <c r="A3708" s="3" t="inlineStr">
        <is>
          <t>Cape Projects Construction (Pty) Ltd</t>
        </is>
      </c>
      <c r="B3708" s="4" t="n">
        <v>45138</v>
      </c>
      <c r="C3708" s="3" t="inlineStr">
        <is>
          <t>Expenses</t>
        </is>
      </c>
      <c r="D3708" s="3" t="inlineStr">
        <is>
          <t>2008/000</t>
        </is>
      </c>
      <c r="E3708" s="3" t="inlineStr">
        <is>
          <t>COS - Repairs &amp; Maintenance - SH Soho</t>
        </is>
      </c>
      <c r="F3708" s="3" t="n">
        <v>468.7</v>
      </c>
      <c r="G3708" s="3" t="n">
        <v>468.7</v>
      </c>
    </row>
    <row r="3709">
      <c r="A3709" s="3" t="inlineStr">
        <is>
          <t>Cape Projects Construction (Pty) Ltd</t>
        </is>
      </c>
      <c r="B3709" s="4" t="n">
        <v>45138</v>
      </c>
      <c r="C3709" s="3" t="inlineStr">
        <is>
          <t>Expenses</t>
        </is>
      </c>
      <c r="D3709" s="3" t="inlineStr">
        <is>
          <t>2011/300</t>
        </is>
      </c>
      <c r="E3709" s="3" t="inlineStr">
        <is>
          <t>COS - Heron Fields - Printing &amp; Stationary</t>
        </is>
      </c>
      <c r="F3709" s="3" t="n">
        <v>0</v>
      </c>
      <c r="G3709" s="3" t="n">
        <v>1129.57</v>
      </c>
    </row>
    <row r="3710">
      <c r="A3710" s="3" t="inlineStr">
        <is>
          <t>Cape Projects Construction (Pty) Ltd</t>
        </is>
      </c>
      <c r="B3710" s="4" t="n">
        <v>45138</v>
      </c>
      <c r="C3710" s="3" t="inlineStr">
        <is>
          <t>Expenses</t>
        </is>
      </c>
      <c r="D3710" s="3" t="inlineStr">
        <is>
          <t>2011/500</t>
        </is>
      </c>
      <c r="E3710" s="3" t="inlineStr">
        <is>
          <t>COS - Heron Fields - Construction</t>
        </is>
      </c>
      <c r="F3710" s="3" t="n">
        <v>75191</v>
      </c>
      <c r="G3710" s="3" t="n">
        <v>1414785.59</v>
      </c>
    </row>
    <row r="3711">
      <c r="A3711" s="3" t="inlineStr">
        <is>
          <t>Cape Projects Construction (Pty) Ltd</t>
        </is>
      </c>
      <c r="B3711" s="4" t="n">
        <v>45138</v>
      </c>
      <c r="C3711" s="3" t="inlineStr">
        <is>
          <t>Expenses</t>
        </is>
      </c>
      <c r="D3711" s="3" t="inlineStr">
        <is>
          <t>2011/600</t>
        </is>
      </c>
      <c r="E3711" s="3" t="inlineStr">
        <is>
          <t>COS - Heron Fields - P &amp; G</t>
        </is>
      </c>
      <c r="F3711" s="3" t="n">
        <v>79865.24000000001</v>
      </c>
      <c r="G3711" s="3" t="n">
        <v>282519.63</v>
      </c>
    </row>
    <row r="3712">
      <c r="A3712" s="3" t="inlineStr">
        <is>
          <t>Cape Projects Construction (Pty) Ltd</t>
        </is>
      </c>
      <c r="B3712" s="4" t="n">
        <v>45138</v>
      </c>
      <c r="C3712" s="3" t="inlineStr">
        <is>
          <t>Expenses</t>
        </is>
      </c>
      <c r="D3712" s="3" t="inlineStr">
        <is>
          <t>2011/700</t>
        </is>
      </c>
      <c r="E3712" s="3" t="inlineStr">
        <is>
          <t>COS - Heron Fields - Health &amp; Safety</t>
        </is>
      </c>
      <c r="F3712" s="3" t="n">
        <v>0</v>
      </c>
      <c r="G3712" s="3" t="n">
        <v>694.78</v>
      </c>
    </row>
    <row r="3713">
      <c r="A3713" s="3" t="inlineStr">
        <is>
          <t>Cape Projects Construction (Pty) Ltd</t>
        </is>
      </c>
      <c r="B3713" s="4" t="n">
        <v>45138</v>
      </c>
      <c r="C3713" s="3" t="inlineStr">
        <is>
          <t>Expenses</t>
        </is>
      </c>
      <c r="D3713" s="3" t="inlineStr">
        <is>
          <t>2011/900</t>
        </is>
      </c>
      <c r="E3713" s="3" t="inlineStr">
        <is>
          <t>COS - Heron - Internet</t>
        </is>
      </c>
      <c r="F3713" s="3" t="n">
        <v>1483.14</v>
      </c>
      <c r="G3713" s="3" t="n">
        <v>6492.72</v>
      </c>
    </row>
    <row r="3714">
      <c r="A3714" s="3" t="inlineStr">
        <is>
          <t>Cape Projects Construction (Pty) Ltd</t>
        </is>
      </c>
      <c r="B3714" s="4" t="n">
        <v>45138</v>
      </c>
      <c r="C3714" s="3" t="inlineStr">
        <is>
          <t>Expenses</t>
        </is>
      </c>
      <c r="D3714" s="3" t="inlineStr">
        <is>
          <t>2012/001</t>
        </is>
      </c>
      <c r="E3714" s="3" t="inlineStr">
        <is>
          <t>COS - Heron View - Printing &amp; Stationary</t>
        </is>
      </c>
      <c r="F3714" s="3" t="n">
        <v>107.39</v>
      </c>
      <c r="G3714" s="3" t="n">
        <v>11238.24</v>
      </c>
    </row>
    <row r="3715">
      <c r="A3715" s="3" t="inlineStr">
        <is>
          <t>Cape Projects Construction (Pty) Ltd</t>
        </is>
      </c>
      <c r="B3715" s="4" t="n">
        <v>45138</v>
      </c>
      <c r="C3715" s="3" t="inlineStr">
        <is>
          <t>Expenses</t>
        </is>
      </c>
      <c r="D3715" s="3" t="inlineStr">
        <is>
          <t>2012/002</t>
        </is>
      </c>
      <c r="E3715" s="3" t="inlineStr">
        <is>
          <t>COS - Heron View - Construction</t>
        </is>
      </c>
      <c r="F3715" s="3" t="n">
        <v>3233584.29</v>
      </c>
      <c r="G3715" s="3" t="n">
        <v>15388639.27</v>
      </c>
    </row>
    <row r="3716">
      <c r="A3716" s="3" t="inlineStr">
        <is>
          <t>Cape Projects Construction (Pty) Ltd</t>
        </is>
      </c>
      <c r="B3716" s="4" t="n">
        <v>45138</v>
      </c>
      <c r="C3716" s="3" t="inlineStr">
        <is>
          <t>Expenses</t>
        </is>
      </c>
      <c r="D3716" s="3" t="inlineStr">
        <is>
          <t>2012/003</t>
        </is>
      </c>
      <c r="E3716" s="3" t="inlineStr">
        <is>
          <t>COS - Heron View - P&amp;G</t>
        </is>
      </c>
      <c r="F3716" s="3" t="n">
        <v>24793.88</v>
      </c>
      <c r="G3716" s="3" t="n">
        <v>489055.96</v>
      </c>
    </row>
    <row r="3717">
      <c r="A3717" s="3" t="inlineStr">
        <is>
          <t>Cape Projects Construction (Pty) Ltd</t>
        </is>
      </c>
      <c r="B3717" s="4" t="n">
        <v>45138</v>
      </c>
      <c r="C3717" s="3" t="inlineStr">
        <is>
          <t>Expenses</t>
        </is>
      </c>
      <c r="D3717" s="3" t="inlineStr">
        <is>
          <t>2013/000</t>
        </is>
      </c>
      <c r="E3717" s="3" t="inlineStr">
        <is>
          <t>COS - Bakhoven</t>
        </is>
      </c>
      <c r="F3717" s="3" t="n">
        <v>0</v>
      </c>
      <c r="G3717" s="3" t="n">
        <v>17292.48</v>
      </c>
    </row>
    <row r="3718">
      <c r="A3718" s="3" t="inlineStr">
        <is>
          <t>Cape Projects Construction (Pty) Ltd</t>
        </is>
      </c>
      <c r="B3718" s="4" t="n">
        <v>45138</v>
      </c>
      <c r="C3718" s="3" t="inlineStr">
        <is>
          <t>Revenue</t>
        </is>
      </c>
      <c r="D3718" s="3" t="inlineStr">
        <is>
          <t>2750/000</t>
        </is>
      </c>
      <c r="E3718" s="3" t="inlineStr">
        <is>
          <t>Interest Received - FNB</t>
        </is>
      </c>
      <c r="F3718" s="3" t="n">
        <v>-99.59999999999999</v>
      </c>
      <c r="G3718" s="3" t="n">
        <v>-504.91</v>
      </c>
    </row>
    <row r="3719">
      <c r="A3719" s="3" t="inlineStr">
        <is>
          <t>Cape Projects Construction (Pty) Ltd</t>
        </is>
      </c>
      <c r="B3719" s="4" t="n">
        <v>45138</v>
      </c>
      <c r="C3719" s="3" t="inlineStr">
        <is>
          <t>Revenue</t>
        </is>
      </c>
      <c r="D3719" s="3" t="inlineStr">
        <is>
          <t>2751/001</t>
        </is>
      </c>
      <c r="E3719" s="3" t="inlineStr">
        <is>
          <t>Interest received - Momentum</t>
        </is>
      </c>
      <c r="F3719" s="3" t="n">
        <v>-4.02</v>
      </c>
      <c r="G3719" s="3" t="n">
        <v>-22.05</v>
      </c>
    </row>
    <row r="3720">
      <c r="A3720" s="3" t="inlineStr">
        <is>
          <t>Heron Fields (Pty) Ltd</t>
        </is>
      </c>
      <c r="B3720" s="4" t="n">
        <v>45138</v>
      </c>
      <c r="C3720" s="3" t="inlineStr">
        <is>
          <t>Revenue</t>
        </is>
      </c>
      <c r="D3720" s="3" t="inlineStr">
        <is>
          <t>2755/001</t>
        </is>
      </c>
      <c r="E3720" s="3" t="inlineStr">
        <is>
          <t>Interest Received - Momentum</t>
        </is>
      </c>
      <c r="F3720" s="3" t="n">
        <v>-259590.93</v>
      </c>
      <c r="G3720" s="3" t="n">
        <v>-1206534.54</v>
      </c>
    </row>
    <row r="3721">
      <c r="A3721" s="3" t="inlineStr">
        <is>
          <t>Heron Fields (Pty) Ltd</t>
        </is>
      </c>
      <c r="B3721" s="4" t="n">
        <v>45138</v>
      </c>
      <c r="C3721" s="3" t="inlineStr">
        <is>
          <t>Expenses</t>
        </is>
      </c>
      <c r="D3721" s="3" t="inlineStr">
        <is>
          <t>3000/000</t>
        </is>
      </c>
      <c r="E3721" s="3" t="inlineStr">
        <is>
          <t>Accounting Fees</t>
        </is>
      </c>
      <c r="F3721" s="3" t="n">
        <v>13404.96</v>
      </c>
      <c r="G3721" s="3" t="n">
        <v>13404.96</v>
      </c>
    </row>
    <row r="3722">
      <c r="A3722" s="3" t="inlineStr">
        <is>
          <t>Heron Fields (Pty) Ltd</t>
        </is>
      </c>
      <c r="B3722" s="4" t="n">
        <v>45138</v>
      </c>
      <c r="C3722" s="3" t="inlineStr">
        <is>
          <t>Expenses</t>
        </is>
      </c>
      <c r="D3722" s="3" t="inlineStr">
        <is>
          <t>3000/100</t>
        </is>
      </c>
      <c r="E3722" s="3" t="inlineStr">
        <is>
          <t>Accounting - CIPC</t>
        </is>
      </c>
      <c r="F3722" s="3" t="n">
        <v>3050</v>
      </c>
      <c r="G3722" s="3" t="n">
        <v>3050</v>
      </c>
    </row>
    <row r="3723">
      <c r="A3723" s="3" t="inlineStr">
        <is>
          <t>Cape Projects Construction (Pty) Ltd</t>
        </is>
      </c>
      <c r="B3723" s="4" t="n">
        <v>45138</v>
      </c>
      <c r="C3723" s="3" t="inlineStr">
        <is>
          <t>Expenses</t>
        </is>
      </c>
      <c r="D3723" s="3" t="inlineStr">
        <is>
          <t>3001/000</t>
        </is>
      </c>
      <c r="E3723" s="3" t="inlineStr">
        <is>
          <t>Accounting Fees - Other</t>
        </is>
      </c>
      <c r="F3723" s="3" t="n">
        <v>700</v>
      </c>
      <c r="G3723" s="3" t="n">
        <v>1280</v>
      </c>
    </row>
    <row r="3724">
      <c r="A3724" s="3" t="inlineStr">
        <is>
          <t>Cape Projects Construction (Pty) Ltd</t>
        </is>
      </c>
      <c r="B3724" s="4" t="n">
        <v>45138</v>
      </c>
      <c r="C3724" s="3" t="inlineStr">
        <is>
          <t>Expenses</t>
        </is>
      </c>
      <c r="D3724" s="3" t="inlineStr">
        <is>
          <t>3002/000</t>
        </is>
      </c>
      <c r="E3724" s="3" t="inlineStr">
        <is>
          <t>Accounting Fees - Audit</t>
        </is>
      </c>
      <c r="F3724" s="3" t="n">
        <v>0</v>
      </c>
      <c r="G3724" s="3" t="n">
        <v>11170</v>
      </c>
    </row>
    <row r="3725">
      <c r="A3725" s="3" t="inlineStr">
        <is>
          <t>Cape Projects Construction (Pty) Ltd</t>
        </is>
      </c>
      <c r="B3725" s="4" t="n">
        <v>45138</v>
      </c>
      <c r="C3725" s="3" t="inlineStr">
        <is>
          <t>Expenses</t>
        </is>
      </c>
      <c r="D3725" s="3" t="inlineStr">
        <is>
          <t>3050/000</t>
        </is>
      </c>
      <c r="E3725" s="3" t="inlineStr">
        <is>
          <t>Advertising _AND_ Promotions</t>
        </is>
      </c>
      <c r="F3725" s="3" t="n">
        <v>3450</v>
      </c>
      <c r="G3725" s="3" t="n">
        <v>4650</v>
      </c>
    </row>
    <row r="3726">
      <c r="A3726" s="3" t="inlineStr">
        <is>
          <t>Heron Fields (Pty) Ltd</t>
        </is>
      </c>
      <c r="B3726" s="4" t="n">
        <v>45138</v>
      </c>
      <c r="C3726" s="3" t="inlineStr">
        <is>
          <t>Expenses</t>
        </is>
      </c>
      <c r="D3726" s="3" t="inlineStr">
        <is>
          <t>3050/000</t>
        </is>
      </c>
      <c r="E3726" s="3" t="inlineStr">
        <is>
          <t>Advertising _AND_ Promotions</t>
        </is>
      </c>
      <c r="F3726" s="3" t="n">
        <v>26226.57</v>
      </c>
      <c r="G3726" s="3" t="n">
        <v>163902.49</v>
      </c>
    </row>
    <row r="3727">
      <c r="A3727" s="3" t="inlineStr">
        <is>
          <t>Heron View (Pty) Ltd</t>
        </is>
      </c>
      <c r="B3727" s="4" t="n">
        <v>45138</v>
      </c>
      <c r="C3727" s="3" t="inlineStr">
        <is>
          <t>Expenses</t>
        </is>
      </c>
      <c r="D3727" s="3" t="inlineStr">
        <is>
          <t>3050/000</t>
        </is>
      </c>
      <c r="E3727" s="3" t="inlineStr">
        <is>
          <t>Advertising _AND_ Promotions</t>
        </is>
      </c>
      <c r="F3727" s="3" t="n">
        <v>7705</v>
      </c>
      <c r="G3727" s="3" t="n">
        <v>41176.47</v>
      </c>
    </row>
    <row r="3728">
      <c r="A3728" s="3" t="inlineStr">
        <is>
          <t>Heron Fields (Pty) Ltd</t>
        </is>
      </c>
      <c r="B3728" s="4" t="n">
        <v>45138</v>
      </c>
      <c r="C3728" s="3" t="inlineStr">
        <is>
          <t>Expenses</t>
        </is>
      </c>
      <c r="D3728" s="3" t="inlineStr">
        <is>
          <t>3050/100</t>
        </is>
      </c>
      <c r="E3728" s="3" t="inlineStr">
        <is>
          <t>Advertising - Property24</t>
        </is>
      </c>
      <c r="F3728" s="3" t="n">
        <v>0</v>
      </c>
      <c r="G3728" s="3" t="n">
        <v>12480</v>
      </c>
    </row>
    <row r="3729">
      <c r="A3729" s="3" t="inlineStr">
        <is>
          <t>Cape Projects Construction (Pty) Ltd</t>
        </is>
      </c>
      <c r="B3729" s="4" t="n">
        <v>45138</v>
      </c>
      <c r="C3729" s="3" t="inlineStr">
        <is>
          <t>Expenses</t>
        </is>
      </c>
      <c r="D3729" s="3" t="inlineStr">
        <is>
          <t>3050/150</t>
        </is>
      </c>
      <c r="E3729" s="3" t="inlineStr">
        <is>
          <t>Advertising - Design Fees</t>
        </is>
      </c>
      <c r="F3729" s="3" t="n">
        <v>0</v>
      </c>
      <c r="G3729" s="3" t="n">
        <v>295</v>
      </c>
    </row>
    <row r="3730">
      <c r="A3730" s="3" t="inlineStr">
        <is>
          <t>Heron View (Pty) Ltd</t>
        </is>
      </c>
      <c r="B3730" s="4" t="n">
        <v>45138</v>
      </c>
      <c r="C3730" s="3" t="inlineStr">
        <is>
          <t>Expenses</t>
        </is>
      </c>
      <c r="D3730" s="3" t="inlineStr">
        <is>
          <t>3050/400</t>
        </is>
      </c>
      <c r="E3730" s="3" t="inlineStr">
        <is>
          <t>Advertising - Pure Brand Activation</t>
        </is>
      </c>
      <c r="F3730" s="3" t="n">
        <v>4602</v>
      </c>
      <c r="G3730" s="3" t="n">
        <v>4602</v>
      </c>
    </row>
    <row r="3731">
      <c r="A3731" s="3" t="inlineStr">
        <is>
          <t>Cape Projects Construction (Pty) Ltd</t>
        </is>
      </c>
      <c r="B3731" s="4" t="n">
        <v>45138</v>
      </c>
      <c r="C3731" s="3" t="inlineStr">
        <is>
          <t>Expenses</t>
        </is>
      </c>
      <c r="D3731" s="3" t="inlineStr">
        <is>
          <t>3050/450</t>
        </is>
      </c>
      <c r="E3731" s="3" t="inlineStr">
        <is>
          <t>Advertising - Other</t>
        </is>
      </c>
      <c r="F3731" s="3" t="n">
        <v>0</v>
      </c>
      <c r="G3731" s="3" t="n">
        <v>1597</v>
      </c>
    </row>
    <row r="3732">
      <c r="A3732" s="3" t="inlineStr">
        <is>
          <t>Cape Projects Construction (Pty) Ltd</t>
        </is>
      </c>
      <c r="B3732" s="4" t="n">
        <v>45138</v>
      </c>
      <c r="C3732" s="3" t="inlineStr">
        <is>
          <t>Expenses</t>
        </is>
      </c>
      <c r="D3732" s="3" t="inlineStr">
        <is>
          <t>3200/000</t>
        </is>
      </c>
      <c r="E3732" s="3" t="inlineStr">
        <is>
          <t>Bank Charges</t>
        </is>
      </c>
      <c r="F3732" s="3" t="n">
        <v>1918.65</v>
      </c>
      <c r="G3732" s="3" t="n">
        <v>9318.74</v>
      </c>
    </row>
    <row r="3733">
      <c r="A3733" s="3" t="inlineStr">
        <is>
          <t>Heron Fields (Pty) Ltd</t>
        </is>
      </c>
      <c r="B3733" s="4" t="n">
        <v>45138</v>
      </c>
      <c r="C3733" s="3" t="inlineStr">
        <is>
          <t>Expenses</t>
        </is>
      </c>
      <c r="D3733" s="3" t="inlineStr">
        <is>
          <t>3200/000</t>
        </is>
      </c>
      <c r="E3733" s="3" t="inlineStr">
        <is>
          <t>Bank Charges</t>
        </is>
      </c>
      <c r="F3733" s="3" t="n">
        <v>644.17</v>
      </c>
      <c r="G3733" s="3" t="n">
        <v>2567.68</v>
      </c>
    </row>
    <row r="3734">
      <c r="A3734" s="3" t="inlineStr">
        <is>
          <t>Cape Projects Construction (Pty) Ltd</t>
        </is>
      </c>
      <c r="B3734" s="4" t="n">
        <v>45138</v>
      </c>
      <c r="C3734" s="3" t="inlineStr">
        <is>
          <t>Expenses</t>
        </is>
      </c>
      <c r="D3734" s="3" t="inlineStr">
        <is>
          <t>3250/000</t>
        </is>
      </c>
      <c r="E3734" s="3" t="inlineStr">
        <is>
          <t>Cleaning</t>
        </is>
      </c>
      <c r="F3734" s="3" t="n">
        <v>78.23999999999999</v>
      </c>
      <c r="G3734" s="3" t="n">
        <v>511.89</v>
      </c>
    </row>
    <row r="3735">
      <c r="A3735" s="3" t="inlineStr">
        <is>
          <t>Cape Projects Construction (Pty) Ltd</t>
        </is>
      </c>
      <c r="B3735" s="4" t="n">
        <v>45138</v>
      </c>
      <c r="C3735" s="3" t="inlineStr">
        <is>
          <t>Expenses</t>
        </is>
      </c>
      <c r="D3735" s="3" t="inlineStr">
        <is>
          <t>3300/000</t>
        </is>
      </c>
      <c r="E3735" s="3" t="inlineStr">
        <is>
          <t>Computer Expenses</t>
        </is>
      </c>
      <c r="F3735" s="3" t="n">
        <v>749</v>
      </c>
      <c r="G3735" s="3" t="n">
        <v>4352.65</v>
      </c>
    </row>
    <row r="3736">
      <c r="A3736" s="3" t="inlineStr">
        <is>
          <t>Cape Projects Construction (Pty) Ltd</t>
        </is>
      </c>
      <c r="B3736" s="4" t="n">
        <v>45138</v>
      </c>
      <c r="C3736" s="3" t="inlineStr">
        <is>
          <t>Expenses</t>
        </is>
      </c>
      <c r="D3736" s="3" t="inlineStr">
        <is>
          <t>3300/100</t>
        </is>
      </c>
      <c r="E3736" s="3" t="inlineStr">
        <is>
          <t>Computer Exp - IT, Internet/Hosting Fee</t>
        </is>
      </c>
      <c r="F3736" s="3" t="n">
        <v>3130</v>
      </c>
      <c r="G3736" s="3" t="n">
        <v>18199</v>
      </c>
    </row>
    <row r="3737">
      <c r="A3737" s="3" t="inlineStr">
        <is>
          <t>Heron Fields (Pty) Ltd</t>
        </is>
      </c>
      <c r="B3737" s="4" t="n">
        <v>45138</v>
      </c>
      <c r="C3737" s="3" t="inlineStr">
        <is>
          <t>Expenses</t>
        </is>
      </c>
      <c r="D3737" s="3" t="inlineStr">
        <is>
          <t>3350/100</t>
        </is>
      </c>
      <c r="E3737" s="3" t="inlineStr">
        <is>
          <t>Consulting Fees - Admin and Finance</t>
        </is>
      </c>
      <c r="F3737" s="3" t="n">
        <v>121658</v>
      </c>
      <c r="G3737" s="3" t="n">
        <v>572500.5699999999</v>
      </c>
    </row>
    <row r="3738">
      <c r="A3738" s="3" t="inlineStr">
        <is>
          <t>Cape Projects Construction (Pty) Ltd</t>
        </is>
      </c>
      <c r="B3738" s="4" t="n">
        <v>45138</v>
      </c>
      <c r="C3738" s="3" t="inlineStr">
        <is>
          <t>Expenses</t>
        </is>
      </c>
      <c r="D3738" s="3" t="inlineStr">
        <is>
          <t>3350/300</t>
        </is>
      </c>
      <c r="E3738" s="3" t="inlineStr">
        <is>
          <t>Consulting Fees - Admin and Finance</t>
        </is>
      </c>
      <c r="F3738" s="3" t="n">
        <v>119527</v>
      </c>
      <c r="G3738" s="3" t="n">
        <v>613049.7</v>
      </c>
    </row>
    <row r="3739">
      <c r="A3739" s="3" t="inlineStr">
        <is>
          <t>Heron Fields (Pty) Ltd</t>
        </is>
      </c>
      <c r="B3739" s="4" t="n">
        <v>45138</v>
      </c>
      <c r="C3739" s="3" t="inlineStr">
        <is>
          <t>Expenses</t>
        </is>
      </c>
      <c r="D3739" s="3" t="inlineStr">
        <is>
          <t>3351/000</t>
        </is>
      </c>
      <c r="E3739" s="3" t="inlineStr">
        <is>
          <t>Consulting fees - Trustee</t>
        </is>
      </c>
      <c r="F3739" s="3" t="n">
        <v>0</v>
      </c>
      <c r="G3739" s="3" t="n">
        <v>12200</v>
      </c>
    </row>
    <row r="3740">
      <c r="A3740" s="3" t="inlineStr">
        <is>
          <t>Heron View (Pty) Ltd</t>
        </is>
      </c>
      <c r="B3740" s="4" t="n">
        <v>45138</v>
      </c>
      <c r="C3740" s="3" t="inlineStr">
        <is>
          <t>Expenses</t>
        </is>
      </c>
      <c r="D3740" s="3" t="inlineStr">
        <is>
          <t>3351/000</t>
        </is>
      </c>
      <c r="E3740" s="3" t="inlineStr">
        <is>
          <t>Consulting fees - Trustee</t>
        </is>
      </c>
      <c r="F3740" s="3" t="n">
        <v>7250</v>
      </c>
      <c r="G3740" s="3" t="n">
        <v>14500</v>
      </c>
    </row>
    <row r="3741">
      <c r="A3741" s="3" t="inlineStr">
        <is>
          <t>Cape Projects Construction (Pty) Ltd</t>
        </is>
      </c>
      <c r="B3741" s="4" t="n">
        <v>45138</v>
      </c>
      <c r="C3741" s="3" t="inlineStr">
        <is>
          <t>Expenses</t>
        </is>
      </c>
      <c r="D3741" s="3" t="inlineStr">
        <is>
          <t>3400/000</t>
        </is>
      </c>
      <c r="E3741" s="3" t="inlineStr">
        <is>
          <t>Courier _AND_ Postage</t>
        </is>
      </c>
      <c r="F3741" s="3" t="n">
        <v>0</v>
      </c>
      <c r="G3741" s="3" t="n">
        <v>86.09</v>
      </c>
    </row>
    <row r="3742">
      <c r="A3742" s="3" t="inlineStr">
        <is>
          <t>Cape Projects Construction (Pty) Ltd</t>
        </is>
      </c>
      <c r="B3742" s="4" t="n">
        <v>45138</v>
      </c>
      <c r="C3742" s="3" t="inlineStr">
        <is>
          <t>Expenses</t>
        </is>
      </c>
      <c r="D3742" s="3" t="inlineStr">
        <is>
          <t>3450/001</t>
        </is>
      </c>
      <c r="E3742" s="3" t="inlineStr">
        <is>
          <t>Depreciation - Computer Equipment</t>
        </is>
      </c>
      <c r="F3742" s="3" t="n">
        <v>3323.92</v>
      </c>
      <c r="G3742" s="3" t="n">
        <v>16619.5</v>
      </c>
    </row>
    <row r="3743">
      <c r="A3743" s="3" t="inlineStr">
        <is>
          <t>Cape Projects Construction (Pty) Ltd</t>
        </is>
      </c>
      <c r="B3743" s="4" t="n">
        <v>45138</v>
      </c>
      <c r="C3743" s="3" t="inlineStr">
        <is>
          <t>Expenses</t>
        </is>
      </c>
      <c r="D3743" s="3" t="inlineStr">
        <is>
          <t>3450/002</t>
        </is>
      </c>
      <c r="E3743" s="3" t="inlineStr">
        <is>
          <t>Depreciation - Generator Fixed Asset</t>
        </is>
      </c>
      <c r="F3743" s="3" t="n">
        <v>1188.71</v>
      </c>
      <c r="G3743" s="3" t="n">
        <v>3952.77</v>
      </c>
    </row>
    <row r="3744">
      <c r="A3744" s="3" t="inlineStr">
        <is>
          <t>Cape Projects Construction (Pty) Ltd</t>
        </is>
      </c>
      <c r="B3744" s="4" t="n">
        <v>45138</v>
      </c>
      <c r="C3744" s="3" t="inlineStr">
        <is>
          <t>Expenses</t>
        </is>
      </c>
      <c r="D3744" s="3" t="inlineStr">
        <is>
          <t>3450/030</t>
        </is>
      </c>
      <c r="E3744" s="3" t="inlineStr">
        <is>
          <t>Depreciation - Furniture and Fittings</t>
        </is>
      </c>
      <c r="F3744" s="3" t="n">
        <v>547.6900000000001</v>
      </c>
      <c r="G3744" s="3" t="n">
        <v>2738.39</v>
      </c>
    </row>
    <row r="3745">
      <c r="A3745" s="3" t="inlineStr">
        <is>
          <t>Heron Fields (Pty) Ltd</t>
        </is>
      </c>
      <c r="B3745" s="4" t="n">
        <v>45138</v>
      </c>
      <c r="C3745" s="3" t="inlineStr">
        <is>
          <t>Expenses</t>
        </is>
      </c>
      <c r="D3745" s="3" t="inlineStr">
        <is>
          <t>3650/000</t>
        </is>
      </c>
      <c r="E3745" s="3" t="inlineStr">
        <is>
          <t>CoCT - Electricity</t>
        </is>
      </c>
      <c r="F3745" s="3" t="n">
        <v>0</v>
      </c>
      <c r="G3745" s="3" t="n">
        <v>11263.46</v>
      </c>
    </row>
    <row r="3746">
      <c r="A3746" s="3" t="inlineStr">
        <is>
          <t>Cape Projects Construction (Pty) Ltd</t>
        </is>
      </c>
      <c r="B3746" s="4" t="n">
        <v>45138</v>
      </c>
      <c r="C3746" s="3" t="inlineStr">
        <is>
          <t>Expenses</t>
        </is>
      </c>
      <c r="D3746" s="3" t="inlineStr">
        <is>
          <t>3650/000</t>
        </is>
      </c>
      <c r="E3746" s="3" t="inlineStr">
        <is>
          <t>Electricity _AND_ Water</t>
        </is>
      </c>
      <c r="F3746" s="3" t="n">
        <v>7214.2</v>
      </c>
      <c r="G3746" s="3" t="n">
        <v>32459.66</v>
      </c>
    </row>
    <row r="3747">
      <c r="A3747" s="3" t="inlineStr">
        <is>
          <t>Heron Fields (Pty) Ltd</t>
        </is>
      </c>
      <c r="B3747" s="4" t="n">
        <v>45138</v>
      </c>
      <c r="C3747" s="3" t="inlineStr">
        <is>
          <t>Expenses</t>
        </is>
      </c>
      <c r="D3747" s="3" t="inlineStr">
        <is>
          <t>3660/000</t>
        </is>
      </c>
      <c r="E3747" s="3" t="inlineStr">
        <is>
          <t>CoCT - Water</t>
        </is>
      </c>
      <c r="F3747" s="3" t="n">
        <v>0</v>
      </c>
      <c r="G3747" s="3" t="n">
        <v>43879.43</v>
      </c>
    </row>
    <row r="3748">
      <c r="A3748" s="3" t="inlineStr">
        <is>
          <t>Heron Fields (Pty) Ltd</t>
        </is>
      </c>
      <c r="B3748" s="4" t="n">
        <v>45138</v>
      </c>
      <c r="C3748" s="3" t="inlineStr">
        <is>
          <t>Expenses</t>
        </is>
      </c>
      <c r="D3748" s="3" t="inlineStr">
        <is>
          <t>3670/000</t>
        </is>
      </c>
      <c r="E3748" s="3" t="inlineStr">
        <is>
          <t>CoCT - Refuse</t>
        </is>
      </c>
      <c r="F3748" s="3" t="n">
        <v>0</v>
      </c>
      <c r="G3748" s="3" t="n">
        <v>10690.2</v>
      </c>
    </row>
    <row r="3749">
      <c r="A3749" s="3" t="inlineStr">
        <is>
          <t>Heron Fields (Pty) Ltd</t>
        </is>
      </c>
      <c r="B3749" s="4" t="n">
        <v>45138</v>
      </c>
      <c r="C3749" s="3" t="inlineStr">
        <is>
          <t>Expenses</t>
        </is>
      </c>
      <c r="D3749" s="3" t="inlineStr">
        <is>
          <t>3700/000</t>
        </is>
      </c>
      <c r="E3749" s="3" t="inlineStr">
        <is>
          <t>Entertainment Expenses</t>
        </is>
      </c>
      <c r="F3749" s="3" t="n">
        <v>0</v>
      </c>
      <c r="G3749" s="3" t="n">
        <v>39.47</v>
      </c>
    </row>
    <row r="3750">
      <c r="A3750" s="3" t="inlineStr">
        <is>
          <t>Heron Fields (Pty) Ltd</t>
        </is>
      </c>
      <c r="B3750" s="4" t="n">
        <v>45138</v>
      </c>
      <c r="C3750" s="3" t="inlineStr">
        <is>
          <t>Expenses</t>
        </is>
      </c>
      <c r="D3750" s="3" t="inlineStr">
        <is>
          <t>3800/000</t>
        </is>
      </c>
      <c r="E3750" s="3" t="inlineStr">
        <is>
          <t>General Expenses</t>
        </is>
      </c>
      <c r="F3750" s="3" t="n">
        <v>0</v>
      </c>
      <c r="G3750" s="3" t="n">
        <v>199.99</v>
      </c>
    </row>
    <row r="3751">
      <c r="A3751" s="3" t="inlineStr">
        <is>
          <t>Heron Fields (Pty) Ltd</t>
        </is>
      </c>
      <c r="B3751" s="4" t="n">
        <v>45138</v>
      </c>
      <c r="C3751" s="3" t="inlineStr">
        <is>
          <t>Expenses</t>
        </is>
      </c>
      <c r="D3751" s="3" t="inlineStr">
        <is>
          <t>3850/000</t>
        </is>
      </c>
      <c r="E3751" s="3" t="inlineStr">
        <is>
          <t>Insurance</t>
        </is>
      </c>
      <c r="F3751" s="3" t="n">
        <v>10459.97</v>
      </c>
      <c r="G3751" s="3" t="n">
        <v>37375.86</v>
      </c>
    </row>
    <row r="3752">
      <c r="A3752" s="3" t="inlineStr">
        <is>
          <t>Cape Projects Construction (Pty) Ltd</t>
        </is>
      </c>
      <c r="B3752" s="4" t="n">
        <v>45138</v>
      </c>
      <c r="C3752" s="3" t="inlineStr">
        <is>
          <t>Expenses</t>
        </is>
      </c>
      <c r="D3752" s="3" t="inlineStr">
        <is>
          <t>3850/001</t>
        </is>
      </c>
      <c r="E3752" s="3" t="inlineStr">
        <is>
          <t>Insurance - Santam</t>
        </is>
      </c>
      <c r="F3752" s="3" t="n">
        <v>2063.15</v>
      </c>
      <c r="G3752" s="3" t="n">
        <v>9887.42</v>
      </c>
    </row>
    <row r="3753">
      <c r="A3753" s="3" t="inlineStr">
        <is>
          <t>Heron Fields (Pty) Ltd</t>
        </is>
      </c>
      <c r="B3753" s="4" t="n">
        <v>45138</v>
      </c>
      <c r="C3753" s="3" t="inlineStr">
        <is>
          <t>Expenses</t>
        </is>
      </c>
      <c r="D3753" s="3" t="inlineStr">
        <is>
          <t>3900/000</t>
        </is>
      </c>
      <c r="E3753" s="3" t="inlineStr">
        <is>
          <t>Interest Paid</t>
        </is>
      </c>
      <c r="F3753" s="3" t="n">
        <v>0</v>
      </c>
      <c r="G3753" s="3" t="n">
        <v>-533.8</v>
      </c>
    </row>
    <row r="3754">
      <c r="A3754" s="3" t="inlineStr">
        <is>
          <t>Heron Fields (Pty) Ltd</t>
        </is>
      </c>
      <c r="B3754" s="4" t="n">
        <v>45138</v>
      </c>
      <c r="C3754" s="3" t="inlineStr">
        <is>
          <t>Expenses</t>
        </is>
      </c>
      <c r="D3754" s="3" t="inlineStr">
        <is>
          <t>3900/111</t>
        </is>
      </c>
      <c r="E3754" s="3" t="inlineStr">
        <is>
          <t>Interest Paid - Investors @ 6.25%</t>
        </is>
      </c>
      <c r="F3754" s="3" t="n">
        <v>15410.95</v>
      </c>
      <c r="G3754" s="3" t="n">
        <v>167246.26</v>
      </c>
    </row>
    <row r="3755">
      <c r="A3755" s="3" t="inlineStr">
        <is>
          <t>Heron Fields (Pty) Ltd</t>
        </is>
      </c>
      <c r="B3755" s="4" t="n">
        <v>45138</v>
      </c>
      <c r="C3755" s="3" t="inlineStr">
        <is>
          <t>Expenses</t>
        </is>
      </c>
      <c r="D3755" s="3" t="inlineStr">
        <is>
          <t>3900/115</t>
        </is>
      </c>
      <c r="E3755" s="3" t="inlineStr">
        <is>
          <t>Interest Paid - Investors @ 6.5%</t>
        </is>
      </c>
      <c r="F3755" s="3" t="n">
        <v>11041.1</v>
      </c>
      <c r="G3755" s="3" t="n">
        <v>72942.48</v>
      </c>
    </row>
    <row r="3756">
      <c r="A3756" s="3" t="inlineStr">
        <is>
          <t>Heron Fields (Pty) Ltd</t>
        </is>
      </c>
      <c r="B3756" s="4" t="n">
        <v>45138</v>
      </c>
      <c r="C3756" s="3" t="inlineStr">
        <is>
          <t>Expenses</t>
        </is>
      </c>
      <c r="D3756" s="3" t="inlineStr">
        <is>
          <t>3900/117</t>
        </is>
      </c>
      <c r="E3756" s="3" t="inlineStr">
        <is>
          <t>Interest Paid - Investors @ 6.75%</t>
        </is>
      </c>
      <c r="F3756" s="3" t="n">
        <v>4808.22</v>
      </c>
      <c r="G3756" s="3" t="n">
        <v>44124.67</v>
      </c>
    </row>
    <row r="3757">
      <c r="A3757" s="3" t="inlineStr">
        <is>
          <t>Heron Fields (Pty) Ltd</t>
        </is>
      </c>
      <c r="B3757" s="4" t="n">
        <v>45138</v>
      </c>
      <c r="C3757" s="3" t="inlineStr">
        <is>
          <t>Expenses</t>
        </is>
      </c>
      <c r="D3757" s="3" t="inlineStr">
        <is>
          <t>3900/120</t>
        </is>
      </c>
      <c r="E3757" s="3" t="inlineStr">
        <is>
          <t>Interest Paid - Investors @ 7%</t>
        </is>
      </c>
      <c r="F3757" s="3" t="n">
        <v>0</v>
      </c>
      <c r="G3757" s="3" t="n">
        <v>11678.33</v>
      </c>
    </row>
    <row r="3758">
      <c r="A3758" s="3" t="inlineStr">
        <is>
          <t>Heron Fields (Pty) Ltd</t>
        </is>
      </c>
      <c r="B3758" s="4" t="n">
        <v>45138</v>
      </c>
      <c r="C3758" s="3" t="inlineStr">
        <is>
          <t>Expenses</t>
        </is>
      </c>
      <c r="D3758" s="3" t="inlineStr">
        <is>
          <t>3900/126</t>
        </is>
      </c>
      <c r="E3758" s="3" t="inlineStr">
        <is>
          <t>Interest Paid - Investors @ 7.5%</t>
        </is>
      </c>
      <c r="F3758" s="3" t="n">
        <v>821.92</v>
      </c>
      <c r="G3758" s="3" t="n">
        <v>1252.24</v>
      </c>
    </row>
    <row r="3759">
      <c r="A3759" s="3" t="inlineStr">
        <is>
          <t>Heron Fields (Pty) Ltd</t>
        </is>
      </c>
      <c r="B3759" s="4" t="n">
        <v>45138</v>
      </c>
      <c r="C3759" s="3" t="inlineStr">
        <is>
          <t>Expenses</t>
        </is>
      </c>
      <c r="D3759" s="3" t="inlineStr">
        <is>
          <t>3900/133</t>
        </is>
      </c>
      <c r="E3759" s="3" t="inlineStr">
        <is>
          <t>Interest Paid - Investors @ 8.25%</t>
        </is>
      </c>
      <c r="F3759" s="3" t="n">
        <v>5515.07</v>
      </c>
      <c r="G3759" s="3" t="n">
        <v>5515.07</v>
      </c>
    </row>
    <row r="3760">
      <c r="A3760" s="3" t="inlineStr">
        <is>
          <t>Heron Fields (Pty) Ltd</t>
        </is>
      </c>
      <c r="B3760" s="4" t="n">
        <v>45138</v>
      </c>
      <c r="C3760" s="3" t="inlineStr">
        <is>
          <t>Expenses</t>
        </is>
      </c>
      <c r="D3760" s="3" t="inlineStr">
        <is>
          <t>3900/140</t>
        </is>
      </c>
      <c r="E3760" s="3" t="inlineStr">
        <is>
          <t>Interest Paid - Investors @ 9%</t>
        </is>
      </c>
      <c r="F3760" s="3" t="n">
        <v>591.78</v>
      </c>
      <c r="G3760" s="3" t="n">
        <v>591.78</v>
      </c>
    </row>
    <row r="3761">
      <c r="A3761" s="3" t="inlineStr">
        <is>
          <t>Heron Fields (Pty) Ltd</t>
        </is>
      </c>
      <c r="B3761" s="4" t="n">
        <v>45138</v>
      </c>
      <c r="C3761" s="3" t="inlineStr">
        <is>
          <t>Expenses</t>
        </is>
      </c>
      <c r="D3761" s="3" t="inlineStr">
        <is>
          <t>3900/190</t>
        </is>
      </c>
      <c r="E3761" s="3" t="inlineStr">
        <is>
          <t>Interest Paid - Investors @ 14%</t>
        </is>
      </c>
      <c r="F3761" s="3" t="n">
        <v>0</v>
      </c>
      <c r="G3761" s="3" t="n">
        <v>400367.2</v>
      </c>
    </row>
    <row r="3762">
      <c r="A3762" s="3" t="inlineStr">
        <is>
          <t>Heron Fields (Pty) Ltd</t>
        </is>
      </c>
      <c r="B3762" s="4" t="n">
        <v>45138</v>
      </c>
      <c r="C3762" s="3" t="inlineStr">
        <is>
          <t>Expenses</t>
        </is>
      </c>
      <c r="D3762" s="3" t="inlineStr">
        <is>
          <t>3900/200</t>
        </is>
      </c>
      <c r="E3762" s="3" t="inlineStr">
        <is>
          <t>Interest Paid - Investors @ 15%</t>
        </is>
      </c>
      <c r="F3762" s="3" t="n">
        <v>26630.13</v>
      </c>
      <c r="G3762" s="3" t="n">
        <v>333349.31</v>
      </c>
    </row>
    <row r="3763">
      <c r="A3763" s="3" t="inlineStr">
        <is>
          <t>Heron Fields (Pty) Ltd</t>
        </is>
      </c>
      <c r="B3763" s="4" t="n">
        <v>45138</v>
      </c>
      <c r="C3763" s="3" t="inlineStr">
        <is>
          <t>Expenses</t>
        </is>
      </c>
      <c r="D3763" s="3" t="inlineStr">
        <is>
          <t>3900/210</t>
        </is>
      </c>
      <c r="E3763" s="3" t="inlineStr">
        <is>
          <t>Interest Paid - Investors @ 16%</t>
        </is>
      </c>
      <c r="F3763" s="3" t="n">
        <v>0</v>
      </c>
      <c r="G3763" s="3" t="n">
        <v>47473.98</v>
      </c>
    </row>
    <row r="3764">
      <c r="A3764" s="3" t="inlineStr">
        <is>
          <t>Heron Fields (Pty) Ltd</t>
        </is>
      </c>
      <c r="B3764" s="4" t="n">
        <v>45138</v>
      </c>
      <c r="C3764" s="3" t="inlineStr">
        <is>
          <t>Expenses</t>
        </is>
      </c>
      <c r="D3764" s="3" t="inlineStr">
        <is>
          <t>3900/230</t>
        </is>
      </c>
      <c r="E3764" s="3" t="inlineStr">
        <is>
          <t>Interest Paid - Investors @ 18%</t>
        </is>
      </c>
      <c r="F3764" s="3" t="n">
        <v>411780.83</v>
      </c>
      <c r="G3764" s="3" t="n">
        <v>3197167.68</v>
      </c>
    </row>
    <row r="3765">
      <c r="A3765" s="3" t="inlineStr">
        <is>
          <t>Cape Projects Construction (Pty) Ltd</t>
        </is>
      </c>
      <c r="B3765" s="4" t="n">
        <v>45138</v>
      </c>
      <c r="C3765" s="3" t="inlineStr">
        <is>
          <t>Expenses</t>
        </is>
      </c>
      <c r="D3765" s="3" t="inlineStr">
        <is>
          <t>4000/000</t>
        </is>
      </c>
      <c r="E3765" s="3" t="inlineStr">
        <is>
          <t>Legal Fees</t>
        </is>
      </c>
      <c r="F3765" s="3" t="n">
        <v>0</v>
      </c>
      <c r="G3765" s="3" t="n">
        <v>5202.88</v>
      </c>
    </row>
    <row r="3766">
      <c r="A3766" s="3" t="inlineStr">
        <is>
          <t>Heron Fields (Pty) Ltd</t>
        </is>
      </c>
      <c r="B3766" s="4" t="n">
        <v>45138</v>
      </c>
      <c r="C3766" s="3" t="inlineStr">
        <is>
          <t>Expenses</t>
        </is>
      </c>
      <c r="D3766" s="3" t="inlineStr">
        <is>
          <t>4050/100</t>
        </is>
      </c>
      <c r="E3766" s="3" t="inlineStr">
        <is>
          <t>Developers Levies</t>
        </is>
      </c>
      <c r="F3766" s="3" t="n">
        <v>5282.68</v>
      </c>
      <c r="G3766" s="3" t="n">
        <v>76865.83</v>
      </c>
    </row>
    <row r="3767">
      <c r="A3767" s="3" t="inlineStr">
        <is>
          <t>Heron View (Pty) Ltd</t>
        </is>
      </c>
      <c r="B3767" s="4" t="n">
        <v>45138</v>
      </c>
      <c r="C3767" s="3" t="inlineStr">
        <is>
          <t>Expenses</t>
        </is>
      </c>
      <c r="D3767" s="3" t="inlineStr">
        <is>
          <t>4070/000</t>
        </is>
      </c>
      <c r="E3767" s="3" t="inlineStr">
        <is>
          <t>Management fees - OMH</t>
        </is>
      </c>
      <c r="F3767" s="3" t="n">
        <v>0</v>
      </c>
      <c r="G3767" s="3" t="n">
        <v>350000</v>
      </c>
    </row>
    <row r="3768">
      <c r="A3768" s="3" t="inlineStr">
        <is>
          <t>Heron Fields (Pty) Ltd</t>
        </is>
      </c>
      <c r="B3768" s="4" t="n">
        <v>45138</v>
      </c>
      <c r="C3768" s="3" t="inlineStr">
        <is>
          <t>Expenses</t>
        </is>
      </c>
      <c r="D3768" s="3" t="inlineStr">
        <is>
          <t>4100/001</t>
        </is>
      </c>
      <c r="E3768" s="3" t="inlineStr">
        <is>
          <t>Momentum Admin Fee</t>
        </is>
      </c>
      <c r="F3768" s="3" t="n">
        <v>15190</v>
      </c>
      <c r="G3768" s="3" t="n">
        <v>44552.79</v>
      </c>
    </row>
    <row r="3769">
      <c r="A3769" s="3" t="inlineStr">
        <is>
          <t>Cape Projects Construction (Pty) Ltd</t>
        </is>
      </c>
      <c r="B3769" s="4" t="n">
        <v>45138</v>
      </c>
      <c r="C3769" s="3" t="inlineStr">
        <is>
          <t>Expenses</t>
        </is>
      </c>
      <c r="D3769" s="3" t="inlineStr">
        <is>
          <t>4150/000</t>
        </is>
      </c>
      <c r="E3769" s="3" t="inlineStr">
        <is>
          <t>Motor Vehicle Expenses</t>
        </is>
      </c>
      <c r="F3769" s="3" t="n">
        <v>0</v>
      </c>
      <c r="G3769" s="3" t="n">
        <v>362</v>
      </c>
    </row>
    <row r="3770">
      <c r="A3770" s="3" t="inlineStr">
        <is>
          <t>Heron Fields (Pty) Ltd</t>
        </is>
      </c>
      <c r="B3770" s="4" t="n">
        <v>45138</v>
      </c>
      <c r="C3770" s="3" t="inlineStr">
        <is>
          <t>Expenses</t>
        </is>
      </c>
      <c r="D3770" s="3" t="inlineStr">
        <is>
          <t>4150/000</t>
        </is>
      </c>
      <c r="E3770" s="3" t="inlineStr">
        <is>
          <t>Motor Vehicle Expenses</t>
        </is>
      </c>
      <c r="F3770" s="3" t="n">
        <v>20</v>
      </c>
      <c r="G3770" s="3" t="n">
        <v>20</v>
      </c>
    </row>
    <row r="3771">
      <c r="A3771" s="3" t="inlineStr">
        <is>
          <t>Cape Projects Construction (Pty) Ltd</t>
        </is>
      </c>
      <c r="B3771" s="4" t="n">
        <v>45138</v>
      </c>
      <c r="C3771" s="3" t="inlineStr">
        <is>
          <t>Expenses</t>
        </is>
      </c>
      <c r="D3771" s="3" t="inlineStr">
        <is>
          <t>4150/010</t>
        </is>
      </c>
      <c r="E3771" s="3" t="inlineStr">
        <is>
          <t>Motor Vehicle - Petrol _AND_ Oil</t>
        </is>
      </c>
      <c r="F3771" s="3" t="n">
        <v>4022.51</v>
      </c>
      <c r="G3771" s="3" t="n">
        <v>24804.03</v>
      </c>
    </row>
    <row r="3772">
      <c r="A3772" s="3" t="inlineStr">
        <is>
          <t>Cape Projects Construction (Pty) Ltd</t>
        </is>
      </c>
      <c r="B3772" s="4" t="n">
        <v>45138</v>
      </c>
      <c r="C3772" s="3" t="inlineStr">
        <is>
          <t>Expenses</t>
        </is>
      </c>
      <c r="D3772" s="3" t="inlineStr">
        <is>
          <t>4150/030</t>
        </is>
      </c>
      <c r="E3772" s="3" t="inlineStr">
        <is>
          <t>Motor Vehicle - Insurance _AND_ Licence</t>
        </is>
      </c>
      <c r="F3772" s="3" t="n">
        <v>0</v>
      </c>
      <c r="G3772" s="3" t="n">
        <v>1069</v>
      </c>
    </row>
    <row r="3773">
      <c r="A3773" s="3" t="inlineStr">
        <is>
          <t>Cape Projects Construction (Pty) Ltd</t>
        </is>
      </c>
      <c r="B3773" s="4" t="n">
        <v>45138</v>
      </c>
      <c r="C3773" s="3" t="inlineStr">
        <is>
          <t>Expenses</t>
        </is>
      </c>
      <c r="D3773" s="3" t="inlineStr">
        <is>
          <t>4200/000</t>
        </is>
      </c>
      <c r="E3773" s="3" t="inlineStr">
        <is>
          <t>Printing _AND_ Stationery</t>
        </is>
      </c>
      <c r="F3773" s="3" t="n">
        <v>5699.68</v>
      </c>
      <c r="G3773" s="3" t="n">
        <v>15690.7</v>
      </c>
    </row>
    <row r="3774">
      <c r="A3774" s="3" t="inlineStr">
        <is>
          <t>Cape Projects Construction (Pty) Ltd</t>
        </is>
      </c>
      <c r="B3774" s="4" t="n">
        <v>45138</v>
      </c>
      <c r="C3774" s="3" t="inlineStr">
        <is>
          <t>Expenses</t>
        </is>
      </c>
      <c r="D3774" s="3" t="inlineStr">
        <is>
          <t>4201/000</t>
        </is>
      </c>
      <c r="E3774" s="3" t="inlineStr">
        <is>
          <t>Printing - Printer rental</t>
        </is>
      </c>
      <c r="F3774" s="3" t="n">
        <v>1459.35</v>
      </c>
      <c r="G3774" s="3" t="n">
        <v>7508.5</v>
      </c>
    </row>
    <row r="3775">
      <c r="A3775" s="3" t="inlineStr">
        <is>
          <t>Cape Projects Construction (Pty) Ltd</t>
        </is>
      </c>
      <c r="B3775" s="4" t="n">
        <v>45138</v>
      </c>
      <c r="C3775" s="3" t="inlineStr">
        <is>
          <t>Expenses</t>
        </is>
      </c>
      <c r="D3775" s="3" t="inlineStr">
        <is>
          <t>4300/000</t>
        </is>
      </c>
      <c r="E3775" s="3" t="inlineStr">
        <is>
          <t>Rent Paid</t>
        </is>
      </c>
      <c r="F3775" s="3" t="n">
        <v>29600</v>
      </c>
      <c r="G3775" s="3" t="n">
        <v>148000</v>
      </c>
    </row>
    <row r="3776">
      <c r="A3776" s="3" t="inlineStr">
        <is>
          <t>Cape Projects Construction (Pty) Ltd</t>
        </is>
      </c>
      <c r="B3776" s="4" t="n">
        <v>45138</v>
      </c>
      <c r="C3776" s="3" t="inlineStr">
        <is>
          <t>Expenses</t>
        </is>
      </c>
      <c r="D3776" s="3" t="inlineStr">
        <is>
          <t>4310/000</t>
        </is>
      </c>
      <c r="E3776" s="3" t="inlineStr">
        <is>
          <t>Rates</t>
        </is>
      </c>
      <c r="F3776" s="3" t="n">
        <v>843.6</v>
      </c>
      <c r="G3776" s="3" t="n">
        <v>4218</v>
      </c>
    </row>
    <row r="3777">
      <c r="A3777" s="3" t="inlineStr">
        <is>
          <t>Heron Fields (Pty) Ltd</t>
        </is>
      </c>
      <c r="B3777" s="4" t="n">
        <v>45138</v>
      </c>
      <c r="C3777" s="3" t="inlineStr">
        <is>
          <t>Expenses</t>
        </is>
      </c>
      <c r="D3777" s="3" t="inlineStr">
        <is>
          <t>4310/000</t>
        </is>
      </c>
      <c r="E3777" s="3" t="inlineStr">
        <is>
          <t>Rates - Heron</t>
        </is>
      </c>
      <c r="F3777" s="3" t="n">
        <v>0</v>
      </c>
      <c r="G3777" s="3" t="n">
        <v>-11396.43</v>
      </c>
    </row>
    <row r="3778">
      <c r="A3778" s="3" t="inlineStr">
        <is>
          <t>Cape Projects Construction (Pty) Ltd</t>
        </is>
      </c>
      <c r="B3778" s="4" t="n">
        <v>45138</v>
      </c>
      <c r="C3778" s="3" t="inlineStr">
        <is>
          <t>Expenses</t>
        </is>
      </c>
      <c r="D3778" s="3" t="inlineStr">
        <is>
          <t>4350/000</t>
        </is>
      </c>
      <c r="E3778" s="3" t="inlineStr">
        <is>
          <t>Repairs _AND_ Maintenance</t>
        </is>
      </c>
      <c r="F3778" s="3" t="n">
        <v>5400</v>
      </c>
      <c r="G3778" s="3" t="n">
        <v>14779.4</v>
      </c>
    </row>
    <row r="3779">
      <c r="A3779" s="3" t="inlineStr">
        <is>
          <t>Heron Fields (Pty) Ltd</t>
        </is>
      </c>
      <c r="B3779" s="4" t="n">
        <v>45138</v>
      </c>
      <c r="C3779" s="3" t="inlineStr">
        <is>
          <t>Expenses</t>
        </is>
      </c>
      <c r="D3779" s="3" t="inlineStr">
        <is>
          <t>4350/000</t>
        </is>
      </c>
      <c r="E3779" s="3" t="inlineStr">
        <is>
          <t>Repairs _AND_ Maintenance</t>
        </is>
      </c>
      <c r="F3779" s="3" t="n">
        <v>33647.28</v>
      </c>
      <c r="G3779" s="3" t="n">
        <v>33647.28</v>
      </c>
    </row>
    <row r="3780">
      <c r="A3780" s="3" t="inlineStr">
        <is>
          <t>Cape Projects Construction (Pty) Ltd</t>
        </is>
      </c>
      <c r="B3780" s="4" t="n">
        <v>45138</v>
      </c>
      <c r="C3780" s="3" t="inlineStr">
        <is>
          <t>Expenses</t>
        </is>
      </c>
      <c r="D3780" s="3" t="inlineStr">
        <is>
          <t>4400/000</t>
        </is>
      </c>
      <c r="E3780" s="3" t="inlineStr">
        <is>
          <t>Salaries _AND_ Wages</t>
        </is>
      </c>
      <c r="F3780" s="3" t="n">
        <v>377867.45</v>
      </c>
      <c r="G3780" s="3" t="n">
        <v>1722936.03</v>
      </c>
    </row>
    <row r="3781">
      <c r="A3781" s="3" t="inlineStr">
        <is>
          <t>Cape Projects Construction (Pty) Ltd</t>
        </is>
      </c>
      <c r="B3781" s="4" t="n">
        <v>45138</v>
      </c>
      <c r="C3781" s="3" t="inlineStr">
        <is>
          <t>Expenses</t>
        </is>
      </c>
      <c r="D3781" s="3" t="inlineStr">
        <is>
          <t>4402</t>
        </is>
      </c>
      <c r="E3781" s="3" t="inlineStr">
        <is>
          <t>Salaries &amp; Wages - WCA</t>
        </is>
      </c>
      <c r="F3781" s="3" t="n">
        <v>0</v>
      </c>
      <c r="G3781" s="3" t="n">
        <v>5192.13</v>
      </c>
    </row>
    <row r="3782">
      <c r="A3782" s="3" t="inlineStr">
        <is>
          <t>Cape Projects Construction (Pty) Ltd</t>
        </is>
      </c>
      <c r="B3782" s="4" t="n">
        <v>45138</v>
      </c>
      <c r="C3782" s="3" t="inlineStr">
        <is>
          <t>Expenses</t>
        </is>
      </c>
      <c r="D3782" s="3" t="inlineStr">
        <is>
          <t>4403/000</t>
        </is>
      </c>
      <c r="E3782" s="3" t="inlineStr">
        <is>
          <t>Security</t>
        </is>
      </c>
      <c r="F3782" s="3" t="n">
        <v>177.33</v>
      </c>
      <c r="G3782" s="3" t="n">
        <v>886.65</v>
      </c>
    </row>
    <row r="3783">
      <c r="A3783" s="3" t="inlineStr">
        <is>
          <t>Cape Projects Construction (Pty) Ltd</t>
        </is>
      </c>
      <c r="B3783" s="4" t="n">
        <v>45138</v>
      </c>
      <c r="C3783" s="3" t="inlineStr">
        <is>
          <t>Expenses</t>
        </is>
      </c>
      <c r="D3783" s="3" t="inlineStr">
        <is>
          <t>4420/000</t>
        </is>
      </c>
      <c r="E3783" s="3" t="inlineStr">
        <is>
          <t>Small Assets</t>
        </is>
      </c>
      <c r="F3783" s="3" t="n">
        <v>2165.59</v>
      </c>
      <c r="G3783" s="3" t="n">
        <v>9379.5</v>
      </c>
    </row>
    <row r="3784">
      <c r="A3784" s="3" t="inlineStr">
        <is>
          <t>Heron Fields (Pty) Ltd</t>
        </is>
      </c>
      <c r="B3784" s="4" t="n">
        <v>45138</v>
      </c>
      <c r="C3784" s="3" t="inlineStr">
        <is>
          <t>Expenses</t>
        </is>
      </c>
      <c r="D3784" s="3" t="inlineStr">
        <is>
          <t>4420/001</t>
        </is>
      </c>
      <c r="E3784" s="3" t="inlineStr">
        <is>
          <t>Security - ADT</t>
        </is>
      </c>
      <c r="F3784" s="3" t="n">
        <v>366.14</v>
      </c>
      <c r="G3784" s="3" t="n">
        <v>1717.42</v>
      </c>
    </row>
    <row r="3785">
      <c r="A3785" s="3" t="inlineStr">
        <is>
          <t>Cape Projects Construction (Pty) Ltd</t>
        </is>
      </c>
      <c r="B3785" s="4" t="n">
        <v>45138</v>
      </c>
      <c r="C3785" s="3" t="inlineStr">
        <is>
          <t>Expenses</t>
        </is>
      </c>
      <c r="D3785" s="3" t="inlineStr">
        <is>
          <t>4500/000</t>
        </is>
      </c>
      <c r="E3785" s="3" t="inlineStr">
        <is>
          <t>Staff Welfare _AND_ Refreshmts</t>
        </is>
      </c>
      <c r="F3785" s="3" t="n">
        <v>4892.56</v>
      </c>
      <c r="G3785" s="3" t="n">
        <v>10179.67</v>
      </c>
    </row>
    <row r="3786">
      <c r="A3786" s="3" t="inlineStr">
        <is>
          <t>Cape Projects Construction (Pty) Ltd</t>
        </is>
      </c>
      <c r="B3786" s="4" t="n">
        <v>45138</v>
      </c>
      <c r="C3786" s="3" t="inlineStr">
        <is>
          <t>Expenses</t>
        </is>
      </c>
      <c r="D3786" s="3" t="inlineStr">
        <is>
          <t>4550/000</t>
        </is>
      </c>
      <c r="E3786" s="3" t="inlineStr">
        <is>
          <t>Subscriptions / Licenses</t>
        </is>
      </c>
      <c r="F3786" s="3" t="n">
        <v>2162.32</v>
      </c>
      <c r="G3786" s="3" t="n">
        <v>10511.97</v>
      </c>
    </row>
    <row r="3787">
      <c r="A3787" s="3" t="inlineStr">
        <is>
          <t>Cape Projects Construction (Pty) Ltd</t>
        </is>
      </c>
      <c r="B3787" s="4" t="n">
        <v>45138</v>
      </c>
      <c r="C3787" s="3" t="inlineStr">
        <is>
          <t>Expenses</t>
        </is>
      </c>
      <c r="D3787" s="3" t="inlineStr">
        <is>
          <t>4550/001</t>
        </is>
      </c>
      <c r="E3787" s="3" t="inlineStr">
        <is>
          <t>Subscriptions &amp; Licenses - Sage payroll</t>
        </is>
      </c>
      <c r="F3787" s="3" t="n">
        <v>747</v>
      </c>
      <c r="G3787" s="3" t="n">
        <v>3735</v>
      </c>
    </row>
    <row r="3788">
      <c r="A3788" s="3" t="inlineStr">
        <is>
          <t>Cape Projects Construction (Pty) Ltd</t>
        </is>
      </c>
      <c r="B3788" s="4" t="n">
        <v>45138</v>
      </c>
      <c r="C3788" s="3" t="inlineStr">
        <is>
          <t>Expenses</t>
        </is>
      </c>
      <c r="D3788" s="3" t="inlineStr">
        <is>
          <t>4550/002</t>
        </is>
      </c>
      <c r="E3788" s="3" t="inlineStr">
        <is>
          <t>Subscriptions &amp; Licenses - Caseware</t>
        </is>
      </c>
      <c r="F3788" s="3" t="n">
        <v>0</v>
      </c>
      <c r="G3788" s="3" t="n">
        <v>10825.49</v>
      </c>
    </row>
    <row r="3789">
      <c r="A3789" s="3" t="inlineStr">
        <is>
          <t>Cape Projects Construction (Pty) Ltd</t>
        </is>
      </c>
      <c r="B3789" s="4" t="n">
        <v>45138</v>
      </c>
      <c r="C3789" s="3" t="inlineStr">
        <is>
          <t>Expenses</t>
        </is>
      </c>
      <c r="D3789" s="3" t="inlineStr">
        <is>
          <t>4550/003</t>
        </is>
      </c>
      <c r="E3789" s="3" t="inlineStr">
        <is>
          <t>Subscriptions &amp; Licenses - Xero</t>
        </is>
      </c>
      <c r="F3789" s="3" t="n">
        <v>600</v>
      </c>
      <c r="G3789" s="3" t="n">
        <v>3000</v>
      </c>
    </row>
    <row r="3790">
      <c r="A3790" s="3" t="inlineStr">
        <is>
          <t>Cape Projects Construction (Pty) Ltd</t>
        </is>
      </c>
      <c r="B3790" s="4" t="n">
        <v>45138</v>
      </c>
      <c r="C3790" s="3" t="inlineStr">
        <is>
          <t>Expenses</t>
        </is>
      </c>
      <c r="D3790" s="3" t="inlineStr">
        <is>
          <t>4550/004</t>
        </is>
      </c>
      <c r="E3790" s="3" t="inlineStr">
        <is>
          <t>Subscriptions - Smartsheet</t>
        </is>
      </c>
      <c r="F3790" s="3" t="n">
        <v>847</v>
      </c>
      <c r="G3790" s="3" t="n">
        <v>4039.73</v>
      </c>
    </row>
    <row r="3791">
      <c r="A3791" s="3" t="inlineStr">
        <is>
          <t>Heron Fields (Pty) Ltd</t>
        </is>
      </c>
      <c r="B3791" s="4" t="n">
        <v>45138</v>
      </c>
      <c r="C3791" s="3" t="inlineStr">
        <is>
          <t>Expenses</t>
        </is>
      </c>
      <c r="D3791" s="3" t="inlineStr">
        <is>
          <t>4550/100</t>
        </is>
      </c>
      <c r="E3791" s="3" t="inlineStr">
        <is>
          <t>Subscriptions - Xero</t>
        </is>
      </c>
      <c r="F3791" s="3" t="n">
        <v>600</v>
      </c>
      <c r="G3791" s="3" t="n">
        <v>3000</v>
      </c>
    </row>
    <row r="3792">
      <c r="A3792" s="3" t="inlineStr">
        <is>
          <t>Heron View (Pty) Ltd</t>
        </is>
      </c>
      <c r="B3792" s="4" t="n">
        <v>45138</v>
      </c>
      <c r="C3792" s="3" t="inlineStr">
        <is>
          <t>Expenses</t>
        </is>
      </c>
      <c r="D3792" s="3" t="inlineStr">
        <is>
          <t>4550/100</t>
        </is>
      </c>
      <c r="E3792" s="3" t="inlineStr">
        <is>
          <t>Subscriptions - Xero</t>
        </is>
      </c>
      <c r="F3792" s="3" t="n">
        <v>600</v>
      </c>
      <c r="G3792" s="3" t="n">
        <v>3000</v>
      </c>
    </row>
    <row r="3793">
      <c r="A3793" s="3" t="inlineStr">
        <is>
          <t>Cape Projects Construction (Pty) Ltd</t>
        </is>
      </c>
      <c r="B3793" s="4" t="n">
        <v>45138</v>
      </c>
      <c r="C3793" s="3" t="inlineStr">
        <is>
          <t>Expenses</t>
        </is>
      </c>
      <c r="D3793" s="3" t="inlineStr">
        <is>
          <t>4560</t>
        </is>
      </c>
      <c r="E3793" s="3" t="inlineStr">
        <is>
          <t>Secretarial fees - CIPC</t>
        </is>
      </c>
      <c r="F3793" s="3" t="n">
        <v>4000</v>
      </c>
      <c r="G3793" s="3" t="n">
        <v>4000</v>
      </c>
    </row>
    <row r="3794">
      <c r="A3794" s="3" t="inlineStr">
        <is>
          <t>Cape Projects Construction (Pty) Ltd</t>
        </is>
      </c>
      <c r="B3794" s="4" t="n">
        <v>45138</v>
      </c>
      <c r="C3794" s="3" t="inlineStr">
        <is>
          <t>Expenses</t>
        </is>
      </c>
      <c r="D3794" s="3" t="inlineStr">
        <is>
          <t>4700/000</t>
        </is>
      </c>
      <c r="E3794" s="3" t="inlineStr">
        <is>
          <t>PAYE Contributions</t>
        </is>
      </c>
      <c r="F3794" s="3" t="n">
        <v>82564.37</v>
      </c>
      <c r="G3794" s="3" t="n">
        <v>395352.6</v>
      </c>
    </row>
    <row r="3795">
      <c r="A3795" s="3" t="inlineStr">
        <is>
          <t>Cape Projects Construction (Pty) Ltd</t>
        </is>
      </c>
      <c r="B3795" s="4" t="n">
        <v>45138</v>
      </c>
      <c r="C3795" s="3" t="inlineStr">
        <is>
          <t>Expenses</t>
        </is>
      </c>
      <c r="D3795" s="3" t="inlineStr">
        <is>
          <t>4720/000</t>
        </is>
      </c>
      <c r="E3795" s="3" t="inlineStr">
        <is>
          <t>SDL Contributions</t>
        </is>
      </c>
      <c r="F3795" s="3" t="n">
        <v>4480.77</v>
      </c>
      <c r="G3795" s="3" t="n">
        <v>20558.53</v>
      </c>
    </row>
    <row r="3796">
      <c r="A3796" s="3" t="inlineStr">
        <is>
          <t>Cape Projects Construction (Pty) Ltd</t>
        </is>
      </c>
      <c r="B3796" s="4" t="n">
        <v>45138</v>
      </c>
      <c r="C3796" s="3" t="inlineStr">
        <is>
          <t>Expenses</t>
        </is>
      </c>
      <c r="D3796" s="3" t="inlineStr">
        <is>
          <t>4730/000</t>
        </is>
      </c>
      <c r="E3796" s="3" t="inlineStr">
        <is>
          <t>UIF Company Contributions</t>
        </is>
      </c>
      <c r="F3796" s="3" t="n">
        <v>2495.21</v>
      </c>
      <c r="G3796" s="3" t="n">
        <v>10920.83</v>
      </c>
    </row>
    <row r="3797">
      <c r="A3797" s="3" t="inlineStr">
        <is>
          <t>Cape Projects Construction (Pty) Ltd</t>
        </is>
      </c>
      <c r="B3797" s="4" t="n">
        <v>45138</v>
      </c>
      <c r="C3797" s="3" t="inlineStr">
        <is>
          <t>Expenses</t>
        </is>
      </c>
      <c r="D3797" s="3" t="inlineStr">
        <is>
          <t>4731/000</t>
        </is>
      </c>
      <c r="E3797" s="3" t="inlineStr">
        <is>
          <t>UIF Employee Contribution</t>
        </is>
      </c>
      <c r="F3797" s="3" t="n">
        <v>2495.21</v>
      </c>
      <c r="G3797" s="3" t="n">
        <v>10920.83</v>
      </c>
    </row>
    <row r="3798">
      <c r="A3798" s="3" t="inlineStr">
        <is>
          <t>Cape Projects Construction (Pty) Ltd</t>
        </is>
      </c>
      <c r="B3798" s="4" t="n">
        <v>45138</v>
      </c>
      <c r="C3798" s="3" t="inlineStr">
        <is>
          <t>Expenses</t>
        </is>
      </c>
      <c r="D3798" s="3" t="inlineStr">
        <is>
          <t>4740/000</t>
        </is>
      </c>
      <c r="E3798" s="3" t="inlineStr">
        <is>
          <t>BIBC Company Contribution</t>
        </is>
      </c>
      <c r="F3798" s="3" t="n">
        <v>0</v>
      </c>
      <c r="G3798" s="3" t="n">
        <v>15075.35</v>
      </c>
    </row>
    <row r="3799">
      <c r="A3799" s="3" t="inlineStr">
        <is>
          <t>Cape Projects Construction (Pty) Ltd</t>
        </is>
      </c>
      <c r="B3799" s="4" t="n">
        <v>45138</v>
      </c>
      <c r="C3799" s="3" t="inlineStr">
        <is>
          <t>Expenses</t>
        </is>
      </c>
      <c r="D3799" s="3" t="inlineStr">
        <is>
          <t>4741/000</t>
        </is>
      </c>
      <c r="E3799" s="3" t="inlineStr">
        <is>
          <t>BIBC Employee Contribution</t>
        </is>
      </c>
      <c r="F3799" s="3" t="n">
        <v>0</v>
      </c>
      <c r="G3799" s="3" t="n">
        <v>4562.1</v>
      </c>
    </row>
    <row r="3800">
      <c r="A3800" s="3" t="inlineStr">
        <is>
          <t>Heron Fields (Pty) Ltd</t>
        </is>
      </c>
      <c r="B3800" s="4" t="n">
        <v>45138</v>
      </c>
      <c r="C3800" s="3" t="inlineStr">
        <is>
          <t>Equity</t>
        </is>
      </c>
      <c r="D3800" s="3" t="inlineStr">
        <is>
          <t>5100-000</t>
        </is>
      </c>
      <c r="E3800" s="3" t="inlineStr">
        <is>
          <t>Share Capital</t>
        </is>
      </c>
      <c r="F3800" s="3" t="n">
        <v>0</v>
      </c>
      <c r="G3800" s="3" t="n">
        <v>-100</v>
      </c>
    </row>
    <row r="3801">
      <c r="A3801" s="3" t="inlineStr">
        <is>
          <t>Cape Projects Construction (Pty) Ltd</t>
        </is>
      </c>
      <c r="B3801" s="4" t="n">
        <v>45138</v>
      </c>
      <c r="C3801" s="3" t="inlineStr">
        <is>
          <t>Equity</t>
        </is>
      </c>
      <c r="D3801" s="3" t="inlineStr">
        <is>
          <t>5100/000</t>
        </is>
      </c>
      <c r="E3801" s="3" t="inlineStr">
        <is>
          <t>Share Capital / Members Contribution</t>
        </is>
      </c>
      <c r="F3801" s="3" t="n">
        <v>0</v>
      </c>
      <c r="G3801" s="3" t="n">
        <v>-120</v>
      </c>
    </row>
    <row r="3802">
      <c r="A3802" s="3" t="inlineStr">
        <is>
          <t>Cape Projects Construction (Pty) Ltd</t>
        </is>
      </c>
      <c r="B3802" s="4" t="n">
        <v>45138</v>
      </c>
      <c r="C3802" s="3" t="inlineStr">
        <is>
          <t>Equity</t>
        </is>
      </c>
      <c r="D3802" s="3" t="inlineStr">
        <is>
          <t>5200/000</t>
        </is>
      </c>
      <c r="E3802" s="3" t="inlineStr">
        <is>
          <t>Retained Earnings / Loss</t>
        </is>
      </c>
      <c r="F3802" s="3" t="n">
        <v>0</v>
      </c>
      <c r="G3802" s="3" t="n">
        <v>-296075.58</v>
      </c>
    </row>
    <row r="3803">
      <c r="A3803" s="3" t="inlineStr">
        <is>
          <t>Heron Fields (Pty) Ltd</t>
        </is>
      </c>
      <c r="B3803" s="4" t="n">
        <v>45138</v>
      </c>
      <c r="C3803" s="3" t="inlineStr">
        <is>
          <t>Equity</t>
        </is>
      </c>
      <c r="D3803" s="3" t="inlineStr">
        <is>
          <t>5200/000</t>
        </is>
      </c>
      <c r="E3803" s="3" t="inlineStr">
        <is>
          <t>Retained Earnings / Loss</t>
        </is>
      </c>
      <c r="F3803" s="3" t="n">
        <v>0</v>
      </c>
      <c r="G3803" s="3" t="n">
        <v>-17843179.58</v>
      </c>
    </row>
    <row r="3804">
      <c r="A3804" s="3" t="inlineStr">
        <is>
          <t>Heron View (Pty) Ltd</t>
        </is>
      </c>
      <c r="B3804" s="4" t="n">
        <v>45138</v>
      </c>
      <c r="C3804" s="3" t="inlineStr">
        <is>
          <t>Equity</t>
        </is>
      </c>
      <c r="D3804" s="3" t="inlineStr">
        <is>
          <t>5200/000</t>
        </is>
      </c>
      <c r="E3804" s="3" t="inlineStr">
        <is>
          <t>Retained Earnings / Loss</t>
        </is>
      </c>
      <c r="F3804" s="3" t="n">
        <v>0</v>
      </c>
      <c r="G3804" s="3" t="n">
        <v>70398.12</v>
      </c>
    </row>
    <row r="3805">
      <c r="A3805" s="3" t="inlineStr">
        <is>
          <t>Heron Fields (Pty) Ltd</t>
        </is>
      </c>
      <c r="B3805" s="4" t="n">
        <v>45138</v>
      </c>
      <c r="C3805" s="3" t="inlineStr">
        <is>
          <t>Assets</t>
        </is>
      </c>
      <c r="D3805" s="3" t="inlineStr">
        <is>
          <t>5300/001</t>
        </is>
      </c>
      <c r="E3805" s="3" t="inlineStr">
        <is>
          <t>Revaluation of Land stock</t>
        </is>
      </c>
      <c r="F3805" s="3" t="n">
        <v>0</v>
      </c>
      <c r="G3805" s="3" t="n">
        <v>17562360.85</v>
      </c>
    </row>
    <row r="3806">
      <c r="A3806" s="3" t="inlineStr">
        <is>
          <t>Cape Projects Construction (Pty) Ltd</t>
        </is>
      </c>
      <c r="B3806" s="4" t="n">
        <v>45138</v>
      </c>
      <c r="C3806" s="3" t="inlineStr">
        <is>
          <t>Assets</t>
        </is>
      </c>
      <c r="D3806" s="3" t="inlineStr">
        <is>
          <t>5400/150</t>
        </is>
      </c>
      <c r="E3806" s="3" t="inlineStr">
        <is>
          <t>Loan - Quinate</t>
        </is>
      </c>
      <c r="F3806" s="3" t="n">
        <v>0</v>
      </c>
      <c r="G3806" s="3" t="n">
        <v>185000</v>
      </c>
    </row>
    <row r="3807">
      <c r="A3807" s="3" t="inlineStr">
        <is>
          <t>Cape Projects Construction (Pty) Ltd</t>
        </is>
      </c>
      <c r="B3807" s="4" t="n">
        <v>45138</v>
      </c>
      <c r="C3807" s="3" t="inlineStr">
        <is>
          <t>Assets</t>
        </is>
      </c>
      <c r="D3807" s="3" t="inlineStr">
        <is>
          <t>5400/220</t>
        </is>
      </c>
      <c r="E3807" s="3" t="inlineStr">
        <is>
          <t>Members Loan - WH</t>
        </is>
      </c>
      <c r="F3807" s="3" t="n">
        <v>0</v>
      </c>
      <c r="G3807" s="3" t="n">
        <v>-4342.5</v>
      </c>
    </row>
    <row r="3808">
      <c r="A3808" s="3" t="inlineStr">
        <is>
          <t>Cape Projects Construction (Pty) Ltd</t>
        </is>
      </c>
      <c r="B3808" s="4" t="n">
        <v>45138</v>
      </c>
      <c r="C3808" s="3" t="inlineStr">
        <is>
          <t>Assets</t>
        </is>
      </c>
      <c r="D3808" s="3" t="inlineStr">
        <is>
          <t>5400/450</t>
        </is>
      </c>
      <c r="E3808" s="3" t="inlineStr">
        <is>
          <t>Loan - Opportunity Investment</t>
        </is>
      </c>
      <c r="F3808" s="3" t="n">
        <v>0</v>
      </c>
      <c r="G3808" s="3" t="n">
        <v>-2261000</v>
      </c>
    </row>
    <row r="3809">
      <c r="A3809" s="3" t="inlineStr">
        <is>
          <t>Cape Projects Construction (Pty) Ltd</t>
        </is>
      </c>
      <c r="B3809" s="4" t="n">
        <v>45138</v>
      </c>
      <c r="C3809" s="3" t="inlineStr">
        <is>
          <t>Assets</t>
        </is>
      </c>
      <c r="D3809" s="3" t="inlineStr">
        <is>
          <t>5400/500</t>
        </is>
      </c>
      <c r="E3809" s="3" t="inlineStr">
        <is>
          <t>Loan - Blou Mamba Trust</t>
        </is>
      </c>
      <c r="F3809" s="3" t="n">
        <v>0</v>
      </c>
      <c r="G3809" s="3" t="n">
        <v>4342.5</v>
      </c>
    </row>
    <row r="3810">
      <c r="A3810" s="3" t="inlineStr">
        <is>
          <t>Cape Projects Construction (Pty) Ltd</t>
        </is>
      </c>
      <c r="B3810" s="4" t="n">
        <v>45138</v>
      </c>
      <c r="C3810" s="3" t="inlineStr">
        <is>
          <t>Assets</t>
        </is>
      </c>
      <c r="D3810" s="3" t="inlineStr">
        <is>
          <t>5400/550</t>
        </is>
      </c>
      <c r="E3810" s="3" t="inlineStr">
        <is>
          <t>Loan - Trademark</t>
        </is>
      </c>
      <c r="F3810" s="3" t="n">
        <v>600</v>
      </c>
      <c r="G3810" s="3" t="n">
        <v>-19400</v>
      </c>
    </row>
    <row r="3811">
      <c r="A3811" s="3" t="inlineStr">
        <is>
          <t>Cape Projects Construction (Pty) Ltd</t>
        </is>
      </c>
      <c r="B3811" s="4" t="n">
        <v>45138</v>
      </c>
      <c r="C3811" s="3" t="inlineStr">
        <is>
          <t>Assets</t>
        </is>
      </c>
      <c r="D3811" s="3" t="inlineStr">
        <is>
          <t>5400/600</t>
        </is>
      </c>
      <c r="E3811" s="3" t="inlineStr">
        <is>
          <t>Loan - Heron Projects</t>
        </is>
      </c>
      <c r="F3811" s="3" t="n">
        <v>37000</v>
      </c>
      <c r="G3811" s="3" t="n">
        <v>-10114940.42</v>
      </c>
    </row>
    <row r="3812">
      <c r="A3812" s="3" t="inlineStr">
        <is>
          <t>Cape Projects Construction (Pty) Ltd</t>
        </is>
      </c>
      <c r="B3812" s="4" t="n">
        <v>45138</v>
      </c>
      <c r="C3812" s="3" t="inlineStr">
        <is>
          <t>Assets</t>
        </is>
      </c>
      <c r="D3812" s="3" t="inlineStr">
        <is>
          <t>5400/650</t>
        </is>
      </c>
      <c r="E3812" s="3" t="inlineStr">
        <is>
          <t>Loan - Noble Shield</t>
        </is>
      </c>
      <c r="F3812" s="3" t="n">
        <v>600</v>
      </c>
      <c r="G3812" s="3" t="n">
        <v>-19400</v>
      </c>
    </row>
    <row r="3813">
      <c r="A3813" s="3" t="inlineStr">
        <is>
          <t>Cape Projects Construction (Pty) Ltd</t>
        </is>
      </c>
      <c r="B3813" s="4" t="n">
        <v>45138</v>
      </c>
      <c r="C3813" s="3" t="inlineStr">
        <is>
          <t>Assets</t>
        </is>
      </c>
      <c r="D3813" s="3" t="inlineStr">
        <is>
          <t>5400/750</t>
        </is>
      </c>
      <c r="E3813" s="3" t="inlineStr">
        <is>
          <t>Loan - Endulini</t>
        </is>
      </c>
      <c r="F3813" s="3" t="n">
        <v>300000</v>
      </c>
      <c r="G3813" s="3" t="n">
        <v>21049187.4</v>
      </c>
    </row>
    <row r="3814">
      <c r="A3814" s="3" t="inlineStr">
        <is>
          <t>Cape Projects Construction (Pty) Ltd</t>
        </is>
      </c>
      <c r="B3814" s="4" t="n">
        <v>45138</v>
      </c>
      <c r="C3814" s="3" t="inlineStr">
        <is>
          <t>Assets</t>
        </is>
      </c>
      <c r="D3814" s="3" t="inlineStr">
        <is>
          <t>5400/800</t>
        </is>
      </c>
      <c r="E3814" s="3" t="inlineStr">
        <is>
          <t>Loan - Opportunity Management Holdings</t>
        </is>
      </c>
      <c r="F3814" s="3" t="n">
        <v>30899</v>
      </c>
      <c r="G3814" s="3" t="n">
        <v>-22601</v>
      </c>
    </row>
    <row r="3815">
      <c r="A3815" s="3" t="inlineStr">
        <is>
          <t>Heron View (Pty) Ltd</t>
        </is>
      </c>
      <c r="B3815" s="4" t="n">
        <v>45138</v>
      </c>
      <c r="C3815" s="3" t="inlineStr">
        <is>
          <t>Liabilities</t>
        </is>
      </c>
      <c r="D3815" s="3" t="inlineStr">
        <is>
          <t>5500/001</t>
        </is>
      </c>
      <c r="E3815" s="3" t="inlineStr">
        <is>
          <t>Loan - Heron Fields</t>
        </is>
      </c>
      <c r="F3815" s="3" t="n">
        <v>-5077020.57</v>
      </c>
      <c r="G3815" s="3" t="n">
        <v>-45983080.23</v>
      </c>
    </row>
    <row r="3816">
      <c r="A3816" s="3" t="inlineStr">
        <is>
          <t>Heron Fields (Pty) Ltd</t>
        </is>
      </c>
      <c r="B3816" s="4" t="n">
        <v>45138</v>
      </c>
      <c r="C3816" s="3" t="inlineStr">
        <is>
          <t>Liabilities</t>
        </is>
      </c>
      <c r="D3816" s="3" t="inlineStr">
        <is>
          <t>5500/020</t>
        </is>
      </c>
      <c r="E3816" s="3" t="inlineStr">
        <is>
          <t>Loan - Cape Projects Construction</t>
        </is>
      </c>
      <c r="F3816" s="3" t="n">
        <v>-37000</v>
      </c>
      <c r="G3816" s="3" t="n">
        <v>10114940.42</v>
      </c>
    </row>
    <row r="3817">
      <c r="A3817" s="3" t="inlineStr">
        <is>
          <t>Heron Fields (Pty) Ltd</t>
        </is>
      </c>
      <c r="B3817" s="4" t="n">
        <v>45138</v>
      </c>
      <c r="C3817" s="3" t="inlineStr">
        <is>
          <t>Liabilities</t>
        </is>
      </c>
      <c r="D3817" s="3" t="inlineStr">
        <is>
          <t>5500/030</t>
        </is>
      </c>
      <c r="E3817" s="3" t="inlineStr">
        <is>
          <t>Loan - Opportunity Global Investments</t>
        </is>
      </c>
      <c r="F3817" s="3" t="n">
        <v>450000</v>
      </c>
      <c r="G3817" s="3" t="n">
        <v>3542000</v>
      </c>
    </row>
    <row r="3818">
      <c r="A3818" s="3" t="inlineStr">
        <is>
          <t>Heron Fields (Pty) Ltd</t>
        </is>
      </c>
      <c r="B3818" s="4" t="n">
        <v>45138</v>
      </c>
      <c r="C3818" s="3" t="inlineStr">
        <is>
          <t>Liabilities</t>
        </is>
      </c>
      <c r="D3818" s="3" t="inlineStr">
        <is>
          <t>5500/050</t>
        </is>
      </c>
      <c r="E3818" s="3" t="inlineStr">
        <is>
          <t>Loan - Heron View</t>
        </is>
      </c>
      <c r="F3818" s="3" t="n">
        <v>5077020.57</v>
      </c>
      <c r="G3818" s="3" t="n">
        <v>45983080.23</v>
      </c>
    </row>
    <row r="3819">
      <c r="A3819" s="3" t="inlineStr">
        <is>
          <t>Heron Fields (Pty) Ltd</t>
        </is>
      </c>
      <c r="B3819" s="4" t="n">
        <v>45138</v>
      </c>
      <c r="C3819" s="3" t="inlineStr">
        <is>
          <t>Liabilities</t>
        </is>
      </c>
      <c r="D3819" s="3" t="inlineStr">
        <is>
          <t>5500/060</t>
        </is>
      </c>
      <c r="E3819" s="3" t="inlineStr">
        <is>
          <t>Loan - Opportunity Management Holdings</t>
        </is>
      </c>
      <c r="F3819" s="3" t="n">
        <v>-39900</v>
      </c>
      <c r="G3819" s="3" t="n">
        <v>12100</v>
      </c>
    </row>
    <row r="3820">
      <c r="A3820" s="3" t="inlineStr">
        <is>
          <t>Heron Fields (Pty) Ltd</t>
        </is>
      </c>
      <c r="B3820" s="4" t="n">
        <v>45138</v>
      </c>
      <c r="C3820" s="3" t="inlineStr">
        <is>
          <t>Liabilities</t>
        </is>
      </c>
      <c r="D3820" s="3" t="inlineStr">
        <is>
          <t>5500/070</t>
        </is>
      </c>
      <c r="E3820" s="3" t="inlineStr">
        <is>
          <t>Loan - Noble Shield</t>
        </is>
      </c>
      <c r="F3820" s="3" t="n">
        <v>-19364.75</v>
      </c>
      <c r="G3820" s="3" t="n">
        <v>-19364.75</v>
      </c>
    </row>
    <row r="3821">
      <c r="A3821" s="3" t="inlineStr">
        <is>
          <t>Cape Projects Construction (Pty) Ltd</t>
        </is>
      </c>
      <c r="B3821" s="4" t="n">
        <v>45138</v>
      </c>
      <c r="C3821" s="3" t="inlineStr">
        <is>
          <t>Assets</t>
        </is>
      </c>
      <c r="D3821" s="3" t="inlineStr">
        <is>
          <t>6200/010</t>
        </is>
      </c>
      <c r="E3821" s="3" t="inlineStr">
        <is>
          <t>Motor Vehicles - @ Cost</t>
        </is>
      </c>
      <c r="F3821" s="3" t="n">
        <v>0</v>
      </c>
      <c r="G3821" s="3" t="n">
        <v>216064.1</v>
      </c>
    </row>
    <row r="3822">
      <c r="A3822" s="3" t="inlineStr">
        <is>
          <t>Cape Projects Construction (Pty) Ltd</t>
        </is>
      </c>
      <c r="B3822" s="4" t="n">
        <v>45138</v>
      </c>
      <c r="C3822" s="3" t="inlineStr">
        <is>
          <t>Assets</t>
        </is>
      </c>
      <c r="D3822" s="3" t="inlineStr">
        <is>
          <t>6200/020</t>
        </is>
      </c>
      <c r="E3822" s="3" t="inlineStr">
        <is>
          <t>Motor Vehicles - Accum Depre</t>
        </is>
      </c>
      <c r="F3822" s="3" t="n">
        <v>0</v>
      </c>
      <c r="G3822" s="3" t="n">
        <v>-216063.1</v>
      </c>
    </row>
    <row r="3823">
      <c r="A3823" s="3" t="inlineStr">
        <is>
          <t>Cape Projects Construction (Pty) Ltd</t>
        </is>
      </c>
      <c r="B3823" s="4" t="n">
        <v>45138</v>
      </c>
      <c r="C3823" s="3" t="inlineStr">
        <is>
          <t>Assets</t>
        </is>
      </c>
      <c r="D3823" s="3" t="inlineStr">
        <is>
          <t>6250/010</t>
        </is>
      </c>
      <c r="E3823" s="3" t="inlineStr">
        <is>
          <t>Computer Equipment - @ Cost</t>
        </is>
      </c>
      <c r="F3823" s="3" t="n">
        <v>0</v>
      </c>
      <c r="G3823" s="3" t="n">
        <v>133790.35</v>
      </c>
    </row>
    <row r="3824">
      <c r="A3824" s="3" t="inlineStr">
        <is>
          <t>Cape Projects Construction (Pty) Ltd</t>
        </is>
      </c>
      <c r="B3824" s="4" t="n">
        <v>45138</v>
      </c>
      <c r="C3824" s="3" t="inlineStr">
        <is>
          <t>Assets</t>
        </is>
      </c>
      <c r="D3824" s="3" t="inlineStr">
        <is>
          <t>6250/020</t>
        </is>
      </c>
      <c r="E3824" s="3" t="inlineStr">
        <is>
          <t>Computer Equipment - Accum Depre</t>
        </is>
      </c>
      <c r="F3824" s="3" t="n">
        <v>-3323.92</v>
      </c>
      <c r="G3824" s="3" t="n">
        <v>-59542.49</v>
      </c>
    </row>
    <row r="3825">
      <c r="A3825" s="3" t="inlineStr">
        <is>
          <t>Cape Projects Construction (Pty) Ltd</t>
        </is>
      </c>
      <c r="B3825" s="4" t="n">
        <v>45138</v>
      </c>
      <c r="C3825" s="3" t="inlineStr">
        <is>
          <t>Assets</t>
        </is>
      </c>
      <c r="D3825" s="3" t="inlineStr">
        <is>
          <t>6350/010</t>
        </is>
      </c>
      <c r="E3825" s="3" t="inlineStr">
        <is>
          <t>Furniture _AND_ Fittings - @ Cost</t>
        </is>
      </c>
      <c r="F3825" s="3" t="n">
        <v>0</v>
      </c>
      <c r="G3825" s="3" t="n">
        <v>37955.3</v>
      </c>
    </row>
    <row r="3826">
      <c r="A3826" s="3" t="inlineStr">
        <is>
          <t>Cape Projects Construction (Pty) Ltd</t>
        </is>
      </c>
      <c r="B3826" s="4" t="n">
        <v>45138</v>
      </c>
      <c r="C3826" s="3" t="inlineStr">
        <is>
          <t>Assets</t>
        </is>
      </c>
      <c r="D3826" s="3" t="inlineStr">
        <is>
          <t>6350/020</t>
        </is>
      </c>
      <c r="E3826" s="3" t="inlineStr">
        <is>
          <t>Furniture _AND_ Fittings - Accum Depre</t>
        </is>
      </c>
      <c r="F3826" s="3" t="n">
        <v>-547.6900000000001</v>
      </c>
      <c r="G3826" s="3" t="n">
        <v>-8632.940000000001</v>
      </c>
    </row>
    <row r="3827">
      <c r="A3827" s="3" t="inlineStr">
        <is>
          <t>Cape Projects Construction (Pty) Ltd</t>
        </is>
      </c>
      <c r="B3827" s="4" t="n">
        <v>45138</v>
      </c>
      <c r="C3827" s="3" t="inlineStr">
        <is>
          <t>Assets</t>
        </is>
      </c>
      <c r="D3827" s="3" t="inlineStr">
        <is>
          <t>6600/010</t>
        </is>
      </c>
      <c r="E3827" s="3" t="inlineStr">
        <is>
          <t>Generator Fixed Asset - @ Cost</t>
        </is>
      </c>
      <c r="F3827" s="3" t="n">
        <v>0</v>
      </c>
      <c r="G3827" s="3" t="n">
        <v>71322</v>
      </c>
    </row>
    <row r="3828">
      <c r="A3828" s="3" t="inlineStr">
        <is>
          <t>Cape Projects Construction (Pty) Ltd</t>
        </is>
      </c>
      <c r="B3828" s="4" t="n">
        <v>45138</v>
      </c>
      <c r="C3828" s="3" t="inlineStr">
        <is>
          <t>Assets</t>
        </is>
      </c>
      <c r="D3828" s="3" t="inlineStr">
        <is>
          <t>6600/020</t>
        </is>
      </c>
      <c r="E3828" s="3" t="inlineStr">
        <is>
          <t>Generator Fixed Asset - Accum Depre</t>
        </is>
      </c>
      <c r="F3828" s="3" t="n">
        <v>-1188.71</v>
      </c>
      <c r="G3828" s="3" t="n">
        <v>-7078.33</v>
      </c>
    </row>
    <row r="3829">
      <c r="A3829" s="3" t="inlineStr">
        <is>
          <t>Heron Fields (Pty) Ltd</t>
        </is>
      </c>
      <c r="B3829" s="4" t="n">
        <v>45138</v>
      </c>
      <c r="C3829" s="3" t="inlineStr">
        <is>
          <t>Assets</t>
        </is>
      </c>
      <c r="D3829" s="3" t="inlineStr">
        <is>
          <t>7610/395</t>
        </is>
      </c>
      <c r="E3829" s="3" t="inlineStr">
        <is>
          <t>HF CIP NHBRC</t>
        </is>
      </c>
      <c r="F3829" s="3" t="n">
        <v>0</v>
      </c>
      <c r="G3829" s="3" t="n">
        <v>874505.75</v>
      </c>
    </row>
    <row r="3830">
      <c r="A3830" s="3" t="inlineStr">
        <is>
          <t>Heron View (Pty) Ltd</t>
        </is>
      </c>
      <c r="B3830" s="4" t="n">
        <v>45138</v>
      </c>
      <c r="C3830" s="3" t="inlineStr">
        <is>
          <t>Assets</t>
        </is>
      </c>
      <c r="D3830" s="3" t="inlineStr">
        <is>
          <t>7610/395</t>
        </is>
      </c>
      <c r="E3830" s="3" t="inlineStr">
        <is>
          <t>Heron CIP NHBRC</t>
        </is>
      </c>
      <c r="F3830" s="3" t="n">
        <v>242913.75</v>
      </c>
      <c r="G3830" s="3" t="n">
        <v>1045976.86</v>
      </c>
    </row>
    <row r="3831">
      <c r="A3831" s="3" t="inlineStr">
        <is>
          <t>Heron Fields (Pty) Ltd</t>
        </is>
      </c>
      <c r="B3831" s="4" t="n">
        <v>45138</v>
      </c>
      <c r="C3831" s="3" t="inlineStr">
        <is>
          <t>Assets</t>
        </is>
      </c>
      <c r="D3831" s="3" t="inlineStr">
        <is>
          <t>7620/100</t>
        </is>
      </c>
      <c r="E3831" s="3" t="inlineStr">
        <is>
          <t>Heron View Land</t>
        </is>
      </c>
      <c r="F3831" s="3" t="n">
        <v>0</v>
      </c>
      <c r="G3831" s="3" t="n">
        <v>26200000</v>
      </c>
    </row>
    <row r="3832">
      <c r="A3832" s="3" t="inlineStr">
        <is>
          <t>Heron Fields (Pty) Ltd</t>
        </is>
      </c>
      <c r="B3832" s="4" t="n">
        <v>45138</v>
      </c>
      <c r="C3832" s="3" t="inlineStr">
        <is>
          <t>Assets</t>
        </is>
      </c>
      <c r="D3832" s="3" t="inlineStr">
        <is>
          <t>7620/101</t>
        </is>
      </c>
      <c r="E3832" s="3" t="inlineStr">
        <is>
          <t>HF CIP Bond Registration Fee</t>
        </is>
      </c>
      <c r="F3832" s="3" t="n">
        <v>0</v>
      </c>
      <c r="G3832" s="3" t="n">
        <v>68427</v>
      </c>
    </row>
    <row r="3833">
      <c r="A3833" s="3" t="inlineStr">
        <is>
          <t>Heron Fields (Pty) Ltd</t>
        </is>
      </c>
      <c r="B3833" s="4" t="n">
        <v>45138</v>
      </c>
      <c r="C3833" s="3" t="inlineStr">
        <is>
          <t>Assets</t>
        </is>
      </c>
      <c r="D3833" s="3" t="inlineStr">
        <is>
          <t>7620/102</t>
        </is>
      </c>
      <c r="E3833" s="3" t="inlineStr">
        <is>
          <t>HF CIP Transfer Fee</t>
        </is>
      </c>
      <c r="F3833" s="3" t="n">
        <v>0</v>
      </c>
      <c r="G3833" s="3" t="n">
        <v>103812</v>
      </c>
    </row>
    <row r="3834">
      <c r="A3834" s="3" t="inlineStr">
        <is>
          <t>Heron Fields (Pty) Ltd</t>
        </is>
      </c>
      <c r="B3834" s="4" t="n">
        <v>45138</v>
      </c>
      <c r="C3834" s="3" t="inlineStr">
        <is>
          <t>Assets</t>
        </is>
      </c>
      <c r="D3834" s="3" t="inlineStr">
        <is>
          <t>7620/220</t>
        </is>
      </c>
      <c r="E3834" s="3" t="inlineStr">
        <is>
          <t>HF CIP Architectural Designs</t>
        </is>
      </c>
      <c r="F3834" s="3" t="n">
        <v>0</v>
      </c>
      <c r="G3834" s="3" t="n">
        <v>314087</v>
      </c>
    </row>
    <row r="3835">
      <c r="A3835" s="3" t="inlineStr">
        <is>
          <t>Heron View (Pty) Ltd</t>
        </is>
      </c>
      <c r="B3835" s="4" t="n">
        <v>45138</v>
      </c>
      <c r="C3835" s="3" t="inlineStr">
        <is>
          <t>Assets</t>
        </is>
      </c>
      <c r="D3835" s="3" t="inlineStr">
        <is>
          <t>7620/220</t>
        </is>
      </c>
      <c r="E3835" s="3" t="inlineStr">
        <is>
          <t>Heron View CIP Architectural Designs</t>
        </is>
      </c>
      <c r="F3835" s="3" t="n">
        <v>23165</v>
      </c>
      <c r="G3835" s="3" t="n">
        <v>737478.5</v>
      </c>
    </row>
    <row r="3836">
      <c r="A3836" s="3" t="inlineStr">
        <is>
          <t>Heron Fields (Pty) Ltd</t>
        </is>
      </c>
      <c r="B3836" s="4" t="n">
        <v>45138</v>
      </c>
      <c r="C3836" s="3" t="inlineStr">
        <is>
          <t>Assets</t>
        </is>
      </c>
      <c r="D3836" s="3" t="inlineStr">
        <is>
          <t>7620/230</t>
        </is>
      </c>
      <c r="E3836" s="3" t="inlineStr">
        <is>
          <t>HF CIP Construction Management</t>
        </is>
      </c>
      <c r="F3836" s="3" t="n">
        <v>0</v>
      </c>
      <c r="G3836" s="3" t="n">
        <v>139500</v>
      </c>
    </row>
    <row r="3837">
      <c r="A3837" s="3" t="inlineStr">
        <is>
          <t>Heron Fields (Pty) Ltd</t>
        </is>
      </c>
      <c r="B3837" s="4" t="n">
        <v>45138</v>
      </c>
      <c r="C3837" s="3" t="inlineStr">
        <is>
          <t>Assets</t>
        </is>
      </c>
      <c r="D3837" s="3" t="inlineStr">
        <is>
          <t>7620/240</t>
        </is>
      </c>
      <c r="E3837" s="3" t="inlineStr">
        <is>
          <t>HF CIP Civil Engineering</t>
        </is>
      </c>
      <c r="F3837" s="3" t="n">
        <v>0</v>
      </c>
      <c r="G3837" s="3" t="n">
        <v>8557641.800000001</v>
      </c>
    </row>
    <row r="3838">
      <c r="A3838" s="3" t="inlineStr">
        <is>
          <t>Heron Fields (Pty) Ltd</t>
        </is>
      </c>
      <c r="B3838" s="4" t="n">
        <v>45138</v>
      </c>
      <c r="C3838" s="3" t="inlineStr">
        <is>
          <t>Assets</t>
        </is>
      </c>
      <c r="D3838" s="3" t="inlineStr">
        <is>
          <t>7620/245</t>
        </is>
      </c>
      <c r="E3838" s="3" t="inlineStr">
        <is>
          <t>HF CIP Development fee</t>
        </is>
      </c>
      <c r="F3838" s="3" t="n">
        <v>0</v>
      </c>
      <c r="G3838" s="3" t="n">
        <v>13807.78</v>
      </c>
    </row>
    <row r="3839">
      <c r="A3839" s="3" t="inlineStr">
        <is>
          <t>Heron Fields (Pty) Ltd</t>
        </is>
      </c>
      <c r="B3839" s="4" t="n">
        <v>45138</v>
      </c>
      <c r="C3839" s="3" t="inlineStr">
        <is>
          <t>Assets</t>
        </is>
      </c>
      <c r="D3839" s="3" t="inlineStr">
        <is>
          <t>7620/250</t>
        </is>
      </c>
      <c r="E3839" s="3" t="inlineStr">
        <is>
          <t>HF CIP Land Surveyor</t>
        </is>
      </c>
      <c r="F3839" s="3" t="n">
        <v>0</v>
      </c>
      <c r="G3839" s="3" t="n">
        <v>197060.09</v>
      </c>
    </row>
    <row r="3840">
      <c r="A3840" s="3" t="inlineStr">
        <is>
          <t>Heron View (Pty) Ltd</t>
        </is>
      </c>
      <c r="B3840" s="4" t="n">
        <v>45138</v>
      </c>
      <c r="C3840" s="3" t="inlineStr">
        <is>
          <t>Assets</t>
        </is>
      </c>
      <c r="D3840" s="3" t="inlineStr">
        <is>
          <t>7620/250</t>
        </is>
      </c>
      <c r="E3840" s="3" t="inlineStr">
        <is>
          <t>Heron View CIP Land Surveyor</t>
        </is>
      </c>
      <c r="F3840" s="3" t="n">
        <v>10700</v>
      </c>
      <c r="G3840" s="3" t="n">
        <v>153472.03</v>
      </c>
    </row>
    <row r="3841">
      <c r="A3841" s="3" t="inlineStr">
        <is>
          <t>Heron Fields (Pty) Ltd</t>
        </is>
      </c>
      <c r="B3841" s="4" t="n">
        <v>45138</v>
      </c>
      <c r="C3841" s="3" t="inlineStr">
        <is>
          <t>Assets</t>
        </is>
      </c>
      <c r="D3841" s="3" t="inlineStr">
        <is>
          <t>7620/255</t>
        </is>
      </c>
      <c r="E3841" s="3" t="inlineStr">
        <is>
          <t>HF CIP Landscaping</t>
        </is>
      </c>
      <c r="F3841" s="3" t="n">
        <v>0</v>
      </c>
      <c r="G3841" s="3" t="n">
        <v>7500</v>
      </c>
    </row>
    <row r="3842">
      <c r="A3842" s="3" t="inlineStr">
        <is>
          <t>Heron View (Pty) Ltd</t>
        </is>
      </c>
      <c r="B3842" s="4" t="n">
        <v>45138</v>
      </c>
      <c r="C3842" s="3" t="inlineStr">
        <is>
          <t>Assets</t>
        </is>
      </c>
      <c r="D3842" s="3" t="inlineStr">
        <is>
          <t>7620/255</t>
        </is>
      </c>
      <c r="E3842" s="3" t="inlineStr">
        <is>
          <t>Heron View CIP Landscaping</t>
        </is>
      </c>
      <c r="F3842" s="3" t="n">
        <v>0</v>
      </c>
      <c r="G3842" s="3" t="n">
        <v>114370.5</v>
      </c>
    </row>
    <row r="3843">
      <c r="A3843" s="3" t="inlineStr">
        <is>
          <t>Heron Fields (Pty) Ltd</t>
        </is>
      </c>
      <c r="B3843" s="4" t="n">
        <v>45138</v>
      </c>
      <c r="C3843" s="3" t="inlineStr">
        <is>
          <t>Assets</t>
        </is>
      </c>
      <c r="D3843" s="3" t="inlineStr">
        <is>
          <t>7620/260</t>
        </is>
      </c>
      <c r="E3843" s="3" t="inlineStr">
        <is>
          <t>HF CIP Mechanical Engineers</t>
        </is>
      </c>
      <c r="F3843" s="3" t="n">
        <v>0</v>
      </c>
      <c r="G3843" s="3" t="n">
        <v>67400</v>
      </c>
    </row>
    <row r="3844">
      <c r="A3844" s="3" t="inlineStr">
        <is>
          <t>Heron Fields (Pty) Ltd</t>
        </is>
      </c>
      <c r="B3844" s="4" t="n">
        <v>45138</v>
      </c>
      <c r="C3844" s="3" t="inlineStr">
        <is>
          <t>Assets</t>
        </is>
      </c>
      <c r="D3844" s="3" t="inlineStr">
        <is>
          <t>7620/265</t>
        </is>
      </c>
      <c r="E3844" s="3" t="inlineStr">
        <is>
          <t>HF CIP Health &amp; Safety</t>
        </is>
      </c>
      <c r="F3844" s="3" t="n">
        <v>0</v>
      </c>
      <c r="G3844" s="3" t="n">
        <v>20600</v>
      </c>
    </row>
    <row r="3845">
      <c r="A3845" s="3" t="inlineStr">
        <is>
          <t>Heron Fields (Pty) Ltd</t>
        </is>
      </c>
      <c r="B3845" s="4" t="n">
        <v>45138</v>
      </c>
      <c r="C3845" s="3" t="inlineStr">
        <is>
          <t>Assets</t>
        </is>
      </c>
      <c r="D3845" s="3" t="inlineStr">
        <is>
          <t>7620/270</t>
        </is>
      </c>
      <c r="E3845" s="3" t="inlineStr">
        <is>
          <t>HF CIP Geotechnical</t>
        </is>
      </c>
      <c r="F3845" s="3" t="n">
        <v>0</v>
      </c>
      <c r="G3845" s="3" t="n">
        <v>15175</v>
      </c>
    </row>
    <row r="3846">
      <c r="A3846" s="3" t="inlineStr">
        <is>
          <t>Heron Fields (Pty) Ltd</t>
        </is>
      </c>
      <c r="B3846" s="4" t="n">
        <v>45138</v>
      </c>
      <c r="C3846" s="3" t="inlineStr">
        <is>
          <t>Assets</t>
        </is>
      </c>
      <c r="D3846" s="3" t="inlineStr">
        <is>
          <t>7620/275</t>
        </is>
      </c>
      <c r="E3846" s="3" t="inlineStr">
        <is>
          <t>HF CIP Retaining Wall</t>
        </is>
      </c>
      <c r="F3846" s="3" t="n">
        <v>0</v>
      </c>
      <c r="G3846" s="3" t="n">
        <v>570856.08</v>
      </c>
    </row>
    <row r="3847">
      <c r="A3847" s="3" t="inlineStr">
        <is>
          <t>Heron Fields (Pty) Ltd</t>
        </is>
      </c>
      <c r="B3847" s="4" t="n">
        <v>45138</v>
      </c>
      <c r="C3847" s="3" t="inlineStr">
        <is>
          <t>Assets</t>
        </is>
      </c>
      <c r="D3847" s="3" t="inlineStr">
        <is>
          <t>7620/280</t>
        </is>
      </c>
      <c r="E3847" s="3" t="inlineStr">
        <is>
          <t>HF CIP Site Establishment</t>
        </is>
      </c>
      <c r="F3847" s="3" t="n">
        <v>0</v>
      </c>
      <c r="G3847" s="3" t="n">
        <v>47748851.51</v>
      </c>
    </row>
    <row r="3848">
      <c r="A3848" s="3" t="inlineStr">
        <is>
          <t>Heron View (Pty) Ltd</t>
        </is>
      </c>
      <c r="B3848" s="4" t="n">
        <v>45138</v>
      </c>
      <c r="C3848" s="3" t="inlineStr">
        <is>
          <t>Assets</t>
        </is>
      </c>
      <c r="D3848" s="3" t="inlineStr">
        <is>
          <t>7620/280</t>
        </is>
      </c>
      <c r="E3848" s="3" t="inlineStr">
        <is>
          <t>Heron View CIP Site Establishment</t>
        </is>
      </c>
      <c r="F3848" s="3" t="n">
        <v>0</v>
      </c>
      <c r="G3848" s="3" t="n">
        <v>7187757.92</v>
      </c>
    </row>
    <row r="3849">
      <c r="A3849" s="3" t="inlineStr">
        <is>
          <t>Heron Fields (Pty) Ltd</t>
        </is>
      </c>
      <c r="B3849" s="4" t="n">
        <v>45138</v>
      </c>
      <c r="C3849" s="3" t="inlineStr">
        <is>
          <t>Assets</t>
        </is>
      </c>
      <c r="D3849" s="3" t="inlineStr">
        <is>
          <t>7620/285</t>
        </is>
      </c>
      <c r="E3849" s="3" t="inlineStr">
        <is>
          <t>HF CIP Structuring Fee - Invest</t>
        </is>
      </c>
      <c r="F3849" s="3" t="n">
        <v>0</v>
      </c>
      <c r="G3849" s="3" t="n">
        <v>3850818.04</v>
      </c>
    </row>
    <row r="3850">
      <c r="A3850" s="3" t="inlineStr">
        <is>
          <t>Heron View (Pty) Ltd</t>
        </is>
      </c>
      <c r="B3850" s="4" t="n">
        <v>45138</v>
      </c>
      <c r="C3850" s="3" t="inlineStr">
        <is>
          <t>Assets</t>
        </is>
      </c>
      <c r="D3850" s="3" t="inlineStr">
        <is>
          <t>7620/285</t>
        </is>
      </c>
      <c r="E3850" s="3" t="inlineStr">
        <is>
          <t>Heron View CIP Structuring Fee - Invest</t>
        </is>
      </c>
      <c r="F3850" s="3" t="n">
        <v>0</v>
      </c>
      <c r="G3850" s="3" t="n">
        <v>1826086.96</v>
      </c>
    </row>
    <row r="3851">
      <c r="A3851" s="3" t="inlineStr">
        <is>
          <t>Heron Fields (Pty) Ltd</t>
        </is>
      </c>
      <c r="B3851" s="4" t="n">
        <v>45138</v>
      </c>
      <c r="C3851" s="3" t="inlineStr">
        <is>
          <t>Assets</t>
        </is>
      </c>
      <c r="D3851" s="3" t="inlineStr">
        <is>
          <t>7620/287</t>
        </is>
      </c>
      <c r="E3851" s="3" t="inlineStr">
        <is>
          <t>HF CIP Structuring Fee - Development</t>
        </is>
      </c>
      <c r="F3851" s="3" t="n">
        <v>0</v>
      </c>
      <c r="G3851" s="3" t="n">
        <v>782608.0699999999</v>
      </c>
    </row>
    <row r="3852">
      <c r="A3852" s="3" t="inlineStr">
        <is>
          <t>Heron Fields (Pty) Ltd</t>
        </is>
      </c>
      <c r="B3852" s="4" t="n">
        <v>45138</v>
      </c>
      <c r="C3852" s="3" t="inlineStr">
        <is>
          <t>Assets</t>
        </is>
      </c>
      <c r="D3852" s="3" t="inlineStr">
        <is>
          <t>7620/290</t>
        </is>
      </c>
      <c r="E3852" s="3" t="inlineStr">
        <is>
          <t>HF CIP Town Planning</t>
        </is>
      </c>
      <c r="F3852" s="3" t="n">
        <v>0</v>
      </c>
      <c r="G3852" s="3" t="n">
        <v>166550</v>
      </c>
    </row>
    <row r="3853">
      <c r="A3853" s="3" t="inlineStr">
        <is>
          <t>Heron View (Pty) Ltd</t>
        </is>
      </c>
      <c r="B3853" s="4" t="n">
        <v>45138</v>
      </c>
      <c r="C3853" s="3" t="inlineStr">
        <is>
          <t>Assets</t>
        </is>
      </c>
      <c r="D3853" s="3" t="inlineStr">
        <is>
          <t>7620/290</t>
        </is>
      </c>
      <c r="E3853" s="3" t="inlineStr">
        <is>
          <t>Heron View CIP Town Planning</t>
        </is>
      </c>
      <c r="F3853" s="3" t="n">
        <v>2834.7</v>
      </c>
      <c r="G3853" s="3" t="n">
        <v>2834.7</v>
      </c>
    </row>
    <row r="3854">
      <c r="A3854" s="3" t="inlineStr">
        <is>
          <t>Heron Fields (Pty) Ltd</t>
        </is>
      </c>
      <c r="B3854" s="4" t="n">
        <v>45138</v>
      </c>
      <c r="C3854" s="3" t="inlineStr">
        <is>
          <t>Assets</t>
        </is>
      </c>
      <c r="D3854" s="3" t="inlineStr">
        <is>
          <t>7620/295</t>
        </is>
      </c>
      <c r="E3854" s="3" t="inlineStr">
        <is>
          <t>HF CIP Traffic Planning</t>
        </is>
      </c>
      <c r="F3854" s="3" t="n">
        <v>0</v>
      </c>
      <c r="G3854" s="3" t="n">
        <v>45000</v>
      </c>
    </row>
    <row r="3855">
      <c r="A3855" s="3" t="inlineStr">
        <is>
          <t>Heron Fields (Pty) Ltd</t>
        </is>
      </c>
      <c r="B3855" s="4" t="n">
        <v>45138</v>
      </c>
      <c r="C3855" s="3" t="inlineStr">
        <is>
          <t>Assets</t>
        </is>
      </c>
      <c r="D3855" s="3" t="inlineStr">
        <is>
          <t>7620/600</t>
        </is>
      </c>
      <c r="E3855" s="3" t="inlineStr">
        <is>
          <t>HF CIP Eco work</t>
        </is>
      </c>
      <c r="F3855" s="3" t="n">
        <v>12000</v>
      </c>
      <c r="G3855" s="3" t="n">
        <v>161000</v>
      </c>
    </row>
    <row r="3856">
      <c r="A3856" s="3" t="inlineStr">
        <is>
          <t>Heron View (Pty) Ltd</t>
        </is>
      </c>
      <c r="B3856" s="4" t="n">
        <v>45138</v>
      </c>
      <c r="C3856" s="3" t="inlineStr">
        <is>
          <t>Assets</t>
        </is>
      </c>
      <c r="D3856" s="3" t="inlineStr">
        <is>
          <t>7620/605</t>
        </is>
      </c>
      <c r="E3856" s="3" t="inlineStr">
        <is>
          <t>Heron View CIP Structural Engineers</t>
        </is>
      </c>
      <c r="F3856" s="3" t="n">
        <v>0</v>
      </c>
      <c r="G3856" s="3" t="n">
        <v>292753.14</v>
      </c>
    </row>
    <row r="3857">
      <c r="A3857" s="3" t="inlineStr">
        <is>
          <t>Heron View (Pty) Ltd</t>
        </is>
      </c>
      <c r="B3857" s="4" t="n">
        <v>45138</v>
      </c>
      <c r="C3857" s="3" t="inlineStr">
        <is>
          <t>Assets</t>
        </is>
      </c>
      <c r="D3857" s="3" t="inlineStr">
        <is>
          <t>7620/610</t>
        </is>
      </c>
      <c r="E3857" s="3" t="inlineStr">
        <is>
          <t>HV CIP Retaining wall</t>
        </is>
      </c>
      <c r="F3857" s="3" t="n">
        <v>0</v>
      </c>
      <c r="G3857" s="3" t="n">
        <v>66190.11</v>
      </c>
    </row>
    <row r="3858">
      <c r="A3858" s="3" t="inlineStr">
        <is>
          <t>Heron Fields (Pty) Ltd</t>
        </is>
      </c>
      <c r="B3858" s="4" t="n">
        <v>45138</v>
      </c>
      <c r="C3858" s="3" t="inlineStr">
        <is>
          <t>Assets</t>
        </is>
      </c>
      <c r="D3858" s="3" t="inlineStr">
        <is>
          <t>7620/630</t>
        </is>
      </c>
      <c r="E3858" s="3" t="inlineStr">
        <is>
          <t>HF CIP CoCT development contribution</t>
        </is>
      </c>
      <c r="F3858" s="3" t="n">
        <v>0</v>
      </c>
      <c r="G3858" s="3" t="n">
        <v>3252759.95</v>
      </c>
    </row>
    <row r="3859">
      <c r="A3859" s="3" t="inlineStr">
        <is>
          <t>Heron View (Pty) Ltd</t>
        </is>
      </c>
      <c r="B3859" s="4" t="n">
        <v>45138</v>
      </c>
      <c r="C3859" s="3" t="inlineStr">
        <is>
          <t>Assets</t>
        </is>
      </c>
      <c r="D3859" s="3" t="inlineStr">
        <is>
          <t>7620/630</t>
        </is>
      </c>
      <c r="E3859" s="3" t="inlineStr">
        <is>
          <t>Heron CIP - CoCT development contribution</t>
        </is>
      </c>
      <c r="F3859" s="3" t="n">
        <v>886.87</v>
      </c>
      <c r="G3859" s="3" t="n">
        <v>1524185.76</v>
      </c>
    </row>
    <row r="3860">
      <c r="A3860" s="3" t="inlineStr">
        <is>
          <t>Heron Fields (Pty) Ltd</t>
        </is>
      </c>
      <c r="B3860" s="4" t="n">
        <v>45138</v>
      </c>
      <c r="C3860" s="3" t="inlineStr">
        <is>
          <t>Assets</t>
        </is>
      </c>
      <c r="D3860" s="3" t="inlineStr">
        <is>
          <t>7620/640</t>
        </is>
      </c>
      <c r="E3860" s="3" t="inlineStr">
        <is>
          <t>HF CIP Project costs</t>
        </is>
      </c>
      <c r="F3860" s="3" t="n">
        <v>0</v>
      </c>
      <c r="G3860" s="3" t="n">
        <v>622274.51</v>
      </c>
    </row>
    <row r="3861">
      <c r="A3861" s="3" t="inlineStr">
        <is>
          <t>Heron View (Pty) Ltd</t>
        </is>
      </c>
      <c r="B3861" s="4" t="n">
        <v>45138</v>
      </c>
      <c r="C3861" s="3" t="inlineStr">
        <is>
          <t>Assets</t>
        </is>
      </c>
      <c r="D3861" s="3" t="inlineStr">
        <is>
          <t>7620/650</t>
        </is>
      </c>
      <c r="E3861" s="3" t="inlineStr">
        <is>
          <t>CIP - Construction Management</t>
        </is>
      </c>
      <c r="F3861" s="3" t="n">
        <v>0</v>
      </c>
      <c r="G3861" s="3" t="n">
        <v>76530</v>
      </c>
    </row>
    <row r="3862">
      <c r="A3862" s="3" t="inlineStr">
        <is>
          <t>Heron Fields (Pty) Ltd</t>
        </is>
      </c>
      <c r="B3862" s="4" t="n">
        <v>45138</v>
      </c>
      <c r="C3862" s="3" t="inlineStr">
        <is>
          <t>Assets</t>
        </is>
      </c>
      <c r="D3862" s="3" t="inlineStr">
        <is>
          <t>7620/650</t>
        </is>
      </c>
      <c r="E3862" s="3" t="inlineStr">
        <is>
          <t>HF CIP Electrical</t>
        </is>
      </c>
      <c r="F3862" s="3" t="n">
        <v>0</v>
      </c>
      <c r="G3862" s="3" t="n">
        <v>985049.6800000001</v>
      </c>
    </row>
    <row r="3863">
      <c r="A3863" s="3" t="inlineStr">
        <is>
          <t>Heron View (Pty) Ltd</t>
        </is>
      </c>
      <c r="B3863" s="4" t="n">
        <v>45138</v>
      </c>
      <c r="C3863" s="3" t="inlineStr">
        <is>
          <t>Assets</t>
        </is>
      </c>
      <c r="D3863" s="3" t="inlineStr">
        <is>
          <t>7620/660</t>
        </is>
      </c>
      <c r="E3863" s="3" t="inlineStr">
        <is>
          <t>HV CIP Health &amp; Safety</t>
        </is>
      </c>
      <c r="F3863" s="3" t="n">
        <v>2800</v>
      </c>
      <c r="G3863" s="3" t="n">
        <v>21600</v>
      </c>
    </row>
    <row r="3864">
      <c r="A3864" s="3" t="inlineStr">
        <is>
          <t>Heron View (Pty) Ltd</t>
        </is>
      </c>
      <c r="B3864" s="4" t="n">
        <v>45138</v>
      </c>
      <c r="C3864" s="3" t="inlineStr">
        <is>
          <t>Assets</t>
        </is>
      </c>
      <c r="D3864" s="3" t="inlineStr">
        <is>
          <t>7620/670</t>
        </is>
      </c>
      <c r="E3864" s="3" t="inlineStr">
        <is>
          <t>HV CIP - Project costs CPSD</t>
        </is>
      </c>
      <c r="F3864" s="3" t="n">
        <v>0</v>
      </c>
      <c r="G3864" s="3" t="n">
        <v>684782.6</v>
      </c>
    </row>
    <row r="3865">
      <c r="A3865" s="3" t="inlineStr">
        <is>
          <t>Heron View (Pty) Ltd</t>
        </is>
      </c>
      <c r="B3865" s="4" t="n">
        <v>45138</v>
      </c>
      <c r="C3865" s="3" t="inlineStr">
        <is>
          <t>Assets</t>
        </is>
      </c>
      <c r="D3865" s="3" t="inlineStr">
        <is>
          <t>7620/680</t>
        </is>
      </c>
      <c r="E3865" s="3" t="inlineStr">
        <is>
          <t>HV CIP Elextrical</t>
        </is>
      </c>
      <c r="F3865" s="3" t="n">
        <v>0</v>
      </c>
      <c r="G3865" s="3" t="n">
        <v>1130099.94</v>
      </c>
    </row>
    <row r="3866">
      <c r="A3866" s="3" t="inlineStr">
        <is>
          <t>Heron View (Pty) Ltd</t>
        </is>
      </c>
      <c r="B3866" s="4" t="n">
        <v>45138</v>
      </c>
      <c r="C3866" s="3" t="inlineStr">
        <is>
          <t>Assets</t>
        </is>
      </c>
      <c r="D3866" s="3" t="inlineStr">
        <is>
          <t>7620/690</t>
        </is>
      </c>
      <c r="E3866" s="3" t="inlineStr">
        <is>
          <t>HV CIP Site Establishment</t>
        </is>
      </c>
      <c r="F3866" s="3" t="n">
        <v>578067.3</v>
      </c>
      <c r="G3866" s="3" t="n">
        <v>20707183.05</v>
      </c>
    </row>
    <row r="3867">
      <c r="A3867" s="3" t="inlineStr">
        <is>
          <t>Heron Fields (Pty) Ltd</t>
        </is>
      </c>
      <c r="B3867" s="4" t="n">
        <v>45138</v>
      </c>
      <c r="C3867" s="3" t="inlineStr">
        <is>
          <t>Assets</t>
        </is>
      </c>
      <c r="D3867" s="3" t="inlineStr">
        <is>
          <t>7620/750</t>
        </is>
      </c>
      <c r="E3867" s="3" t="inlineStr">
        <is>
          <t>HF CIP Project costs CPSD</t>
        </is>
      </c>
      <c r="F3867" s="3" t="n">
        <v>173913.04</v>
      </c>
      <c r="G3867" s="3" t="n">
        <v>2148883.15</v>
      </c>
    </row>
    <row r="3868">
      <c r="A3868" s="3" t="inlineStr">
        <is>
          <t>Heron Fields (Pty) Ltd</t>
        </is>
      </c>
      <c r="B3868" s="4" t="n">
        <v>45138</v>
      </c>
      <c r="C3868" s="3" t="inlineStr">
        <is>
          <t>Assets</t>
        </is>
      </c>
      <c r="D3868" s="3" t="inlineStr">
        <is>
          <t>7620/800</t>
        </is>
      </c>
      <c r="E3868" s="3" t="inlineStr">
        <is>
          <t>HF CIP GL Conradie</t>
        </is>
      </c>
      <c r="F3868" s="3" t="n">
        <v>0</v>
      </c>
      <c r="G3868" s="3" t="n">
        <v>1068455</v>
      </c>
    </row>
    <row r="3869">
      <c r="A3869" s="3" t="inlineStr">
        <is>
          <t>Heron Fields (Pty) Ltd</t>
        </is>
      </c>
      <c r="B3869" s="4" t="n">
        <v>45138</v>
      </c>
      <c r="C3869" s="3" t="inlineStr">
        <is>
          <t>Assets</t>
        </is>
      </c>
      <c r="D3869" s="3" t="inlineStr">
        <is>
          <t>7700/010</t>
        </is>
      </c>
      <c r="E3869" s="3" t="inlineStr">
        <is>
          <t>Construction 28 Feb 23 HF</t>
        </is>
      </c>
      <c r="F3869" s="3" t="n">
        <v>0</v>
      </c>
      <c r="G3869" s="3" t="n">
        <v>-24427668.44</v>
      </c>
    </row>
    <row r="3870">
      <c r="A3870" s="3" t="inlineStr">
        <is>
          <t>Cape Projects Construction (Pty) Ltd</t>
        </is>
      </c>
      <c r="B3870" s="4" t="n">
        <v>45138</v>
      </c>
      <c r="C3870" s="3" t="inlineStr">
        <is>
          <t>Assets</t>
        </is>
      </c>
      <c r="D3870" s="3" t="inlineStr">
        <is>
          <t>7800/000</t>
        </is>
      </c>
      <c r="E3870" s="3" t="inlineStr">
        <is>
          <t>Deposits paid</t>
        </is>
      </c>
      <c r="F3870" s="3" t="n">
        <v>0</v>
      </c>
      <c r="G3870" s="3" t="n">
        <v>29600</v>
      </c>
    </row>
    <row r="3871">
      <c r="A3871" s="3" t="inlineStr">
        <is>
          <t>Cape Projects Construction (Pty) Ltd</t>
        </is>
      </c>
      <c r="B3871" s="4" t="n">
        <v>45138</v>
      </c>
      <c r="C3871" s="3" t="inlineStr">
        <is>
          <t>Assets</t>
        </is>
      </c>
      <c r="D3871" s="3" t="inlineStr">
        <is>
          <t>8000/000</t>
        </is>
      </c>
      <c r="E3871" s="3" t="inlineStr">
        <is>
          <t>Customer Control Account</t>
        </is>
      </c>
      <c r="F3871" s="3" t="n">
        <v>4777.4</v>
      </c>
      <c r="G3871" s="3" t="n">
        <v>-7848890.13</v>
      </c>
    </row>
    <row r="3872">
      <c r="A3872" s="3" t="inlineStr">
        <is>
          <t>Heron Fields (Pty) Ltd</t>
        </is>
      </c>
      <c r="B3872" s="4" t="n">
        <v>45138</v>
      </c>
      <c r="C3872" s="3" t="inlineStr">
        <is>
          <t>Assets</t>
        </is>
      </c>
      <c r="D3872" s="3" t="inlineStr">
        <is>
          <t>8000/000</t>
        </is>
      </c>
      <c r="E3872" s="3" t="inlineStr">
        <is>
          <t>Customer Control Account</t>
        </is>
      </c>
      <c r="F3872" s="3" t="n">
        <v>76825</v>
      </c>
      <c r="G3872" s="3" t="n">
        <v>422771.61</v>
      </c>
    </row>
    <row r="3873">
      <c r="A3873" s="3" t="inlineStr">
        <is>
          <t>Heron Fields (Pty) Ltd</t>
        </is>
      </c>
      <c r="B3873" s="4" t="n">
        <v>45138</v>
      </c>
      <c r="C3873" s="3" t="inlineStr">
        <is>
          <t>Assets</t>
        </is>
      </c>
      <c r="D3873" s="3" t="inlineStr">
        <is>
          <t>8400/000</t>
        </is>
      </c>
      <c r="E3873" s="3" t="inlineStr">
        <is>
          <t>RMB - 62882379087</t>
        </is>
      </c>
      <c r="F3873" s="3" t="n">
        <v>-71546.8</v>
      </c>
      <c r="G3873" s="3" t="n">
        <v>903407.47</v>
      </c>
    </row>
    <row r="3874">
      <c r="A3874" s="3" t="inlineStr">
        <is>
          <t>Cape Projects Construction (Pty) Ltd</t>
        </is>
      </c>
      <c r="B3874" s="4" t="n">
        <v>45138</v>
      </c>
      <c r="C3874" s="3" t="inlineStr">
        <is>
          <t>Assets</t>
        </is>
      </c>
      <c r="D3874" s="3" t="inlineStr">
        <is>
          <t>8400/000</t>
        </is>
      </c>
      <c r="E3874" s="3" t="inlineStr">
        <is>
          <t>RMB 62275138470</t>
        </is>
      </c>
      <c r="F3874" s="3" t="n">
        <v>-628120.92</v>
      </c>
      <c r="G3874" s="3" t="n">
        <v>106126</v>
      </c>
    </row>
    <row r="3875">
      <c r="A3875" s="3" t="inlineStr">
        <is>
          <t>Cape Projects Construction (Pty) Ltd</t>
        </is>
      </c>
      <c r="B3875" s="4" t="n">
        <v>45138</v>
      </c>
      <c r="C3875" s="3" t="inlineStr">
        <is>
          <t>Assets</t>
        </is>
      </c>
      <c r="D3875" s="3" t="inlineStr">
        <is>
          <t>8410/000</t>
        </is>
      </c>
      <c r="E3875" s="3" t="inlineStr">
        <is>
          <t>Petty Cash</t>
        </is>
      </c>
      <c r="F3875" s="3" t="n">
        <v>0</v>
      </c>
      <c r="G3875" s="3" t="n">
        <v>-1188</v>
      </c>
    </row>
    <row r="3876">
      <c r="A3876" s="3" t="inlineStr">
        <is>
          <t>Cape Projects Construction (Pty) Ltd</t>
        </is>
      </c>
      <c r="B3876" s="4" t="n">
        <v>45138</v>
      </c>
      <c r="C3876" s="3" t="inlineStr">
        <is>
          <t>Assets</t>
        </is>
      </c>
      <c r="D3876" s="3" t="inlineStr">
        <is>
          <t>8420/000</t>
        </is>
      </c>
      <c r="E3876" s="3" t="inlineStr">
        <is>
          <t>Momentum Priv Acc RU502230981</t>
        </is>
      </c>
      <c r="F3876" s="3" t="n">
        <v>4.02</v>
      </c>
      <c r="G3876" s="3" t="n">
        <v>559.37</v>
      </c>
    </row>
    <row r="3877">
      <c r="A3877" s="3" t="inlineStr">
        <is>
          <t>Heron Fields (Pty) Ltd</t>
        </is>
      </c>
      <c r="B3877" s="4" t="n">
        <v>45138</v>
      </c>
      <c r="C3877" s="3" t="inlineStr">
        <is>
          <t>Assets</t>
        </is>
      </c>
      <c r="D3877" s="3" t="inlineStr">
        <is>
          <t>8420/000</t>
        </is>
      </c>
      <c r="E3877" s="3" t="inlineStr">
        <is>
          <t>Petty Cash</t>
        </is>
      </c>
      <c r="F3877" s="3" t="n">
        <v>8620</v>
      </c>
      <c r="G3877" s="3" t="n">
        <v>8620</v>
      </c>
    </row>
    <row r="3878">
      <c r="A3878" s="3" t="inlineStr">
        <is>
          <t>Heron Fields (Pty) Ltd</t>
        </is>
      </c>
      <c r="B3878" s="4" t="n">
        <v>45138</v>
      </c>
      <c r="C3878" s="3" t="inlineStr">
        <is>
          <t>Assets</t>
        </is>
      </c>
      <c r="D3878" s="3" t="inlineStr">
        <is>
          <t>8430/000</t>
        </is>
      </c>
      <c r="E3878" s="3" t="inlineStr">
        <is>
          <t>Momentum Private Account RU502230151</t>
        </is>
      </c>
      <c r="F3878" s="3" t="n">
        <v>-0.41</v>
      </c>
      <c r="G3878" s="3" t="n">
        <v>848.4400000000001</v>
      </c>
    </row>
    <row r="3879">
      <c r="A3879" s="3" t="inlineStr">
        <is>
          <t>Heron Fields (Pty) Ltd</t>
        </is>
      </c>
      <c r="B3879" s="4" t="n">
        <v>45138</v>
      </c>
      <c r="C3879" s="3" t="inlineStr">
        <is>
          <t>Assets</t>
        </is>
      </c>
      <c r="D3879" s="3" t="inlineStr">
        <is>
          <t>8440/000</t>
        </is>
      </c>
      <c r="E3879" s="3" t="inlineStr">
        <is>
          <t>Momentum Investors Account RU502229930</t>
        </is>
      </c>
      <c r="F3879" s="3" t="n">
        <v>-5222654.56</v>
      </c>
      <c r="G3879" s="3" t="n">
        <v>32199318.13</v>
      </c>
    </row>
    <row r="3880">
      <c r="A3880" s="3" t="inlineStr">
        <is>
          <t>Cape Projects Construction (Pty) Ltd</t>
        </is>
      </c>
      <c r="B3880" s="4" t="n">
        <v>45138</v>
      </c>
      <c r="C3880" s="3" t="inlineStr">
        <is>
          <t>Liabilities</t>
        </is>
      </c>
      <c r="D3880" s="3" t="inlineStr">
        <is>
          <t>860</t>
        </is>
      </c>
      <c r="E3880" s="3" t="inlineStr">
        <is>
          <t>Rounding</t>
        </is>
      </c>
      <c r="F3880" s="3" t="n">
        <v>0.02</v>
      </c>
      <c r="G3880" s="3" t="n">
        <v>-28.98</v>
      </c>
    </row>
    <row r="3881">
      <c r="A3881" s="3" t="inlineStr">
        <is>
          <t>Heron Fields (Pty) Ltd</t>
        </is>
      </c>
      <c r="B3881" s="4" t="n">
        <v>45138</v>
      </c>
      <c r="C3881" s="3" t="inlineStr">
        <is>
          <t>Liabilities</t>
        </is>
      </c>
      <c r="D3881" s="3" t="inlineStr">
        <is>
          <t>860</t>
        </is>
      </c>
      <c r="E3881" s="3" t="inlineStr">
        <is>
          <t>Rounding</t>
        </is>
      </c>
      <c r="F3881" s="3" t="n">
        <v>0.05</v>
      </c>
      <c r="G3881" s="3" t="n">
        <v>0.13</v>
      </c>
    </row>
    <row r="3882">
      <c r="A3882" s="3" t="inlineStr">
        <is>
          <t>Cape Projects Construction (Pty) Ltd</t>
        </is>
      </c>
      <c r="B3882" s="4" t="n">
        <v>45138</v>
      </c>
      <c r="C3882" s="3" t="inlineStr">
        <is>
          <t>Liabilities</t>
        </is>
      </c>
      <c r="D3882" s="3" t="inlineStr">
        <is>
          <t>9000/000</t>
        </is>
      </c>
      <c r="E3882" s="3" t="inlineStr">
        <is>
          <t>Supplier Control Account</t>
        </is>
      </c>
      <c r="F3882" s="3" t="n">
        <v>-73435.38</v>
      </c>
      <c r="G3882" s="3" t="n">
        <v>-1324028.96</v>
      </c>
    </row>
    <row r="3883">
      <c r="A3883" s="3" t="inlineStr">
        <is>
          <t>Heron Fields (Pty) Ltd</t>
        </is>
      </c>
      <c r="B3883" s="4" t="n">
        <v>45138</v>
      </c>
      <c r="C3883" s="3" t="inlineStr">
        <is>
          <t>Liabilities</t>
        </is>
      </c>
      <c r="D3883" s="3" t="inlineStr">
        <is>
          <t>9000/000</t>
        </is>
      </c>
      <c r="E3883" s="3" t="inlineStr">
        <is>
          <t>Supplier Control Account</t>
        </is>
      </c>
      <c r="F3883" s="3" t="n">
        <v>1571903.91</v>
      </c>
      <c r="G3883" s="3" t="n">
        <v>-141803818.62</v>
      </c>
    </row>
    <row r="3884">
      <c r="A3884" s="3" t="inlineStr">
        <is>
          <t>Heron View (Pty) Ltd</t>
        </is>
      </c>
      <c r="B3884" s="4" t="n">
        <v>45138</v>
      </c>
      <c r="C3884" s="3" t="inlineStr">
        <is>
          <t>Liabilities</t>
        </is>
      </c>
      <c r="D3884" s="3" t="inlineStr">
        <is>
          <t>9000/000</t>
        </is>
      </c>
      <c r="E3884" s="3" t="inlineStr">
        <is>
          <t>Supplier Control Account</t>
        </is>
      </c>
      <c r="F3884" s="3" t="n">
        <v>4050790.36</v>
      </c>
      <c r="G3884" s="3" t="n">
        <v>4451550.37</v>
      </c>
    </row>
    <row r="3885">
      <c r="A3885" s="3" t="inlineStr">
        <is>
          <t>Cape Projects Construction (Pty) Ltd</t>
        </is>
      </c>
      <c r="B3885" s="4" t="n">
        <v>45138</v>
      </c>
      <c r="C3885" s="3" t="inlineStr">
        <is>
          <t>Liabilities</t>
        </is>
      </c>
      <c r="D3885" s="3" t="inlineStr">
        <is>
          <t>9200/000</t>
        </is>
      </c>
      <c r="E3885" s="3" t="inlineStr">
        <is>
          <t>Sundry Suppliers</t>
        </is>
      </c>
      <c r="F3885" s="3" t="n">
        <v>0</v>
      </c>
      <c r="G3885" s="3" t="n">
        <v>1309</v>
      </c>
    </row>
    <row r="3886">
      <c r="A3886" s="3" t="inlineStr">
        <is>
          <t>Cape Projects Construction (Pty) Ltd</t>
        </is>
      </c>
      <c r="B3886" s="4" t="n">
        <v>45138</v>
      </c>
      <c r="C3886" s="3" t="inlineStr">
        <is>
          <t>Liabilities</t>
        </is>
      </c>
      <c r="D3886" s="3" t="inlineStr">
        <is>
          <t>9250/010</t>
        </is>
      </c>
      <c r="E3886" s="3" t="inlineStr">
        <is>
          <t>SALARY CONTROL</t>
        </is>
      </c>
      <c r="F3886" s="3" t="n">
        <v>-0.02</v>
      </c>
      <c r="G3886" s="3" t="n">
        <v>0</v>
      </c>
    </row>
    <row r="3887">
      <c r="A3887" s="3" t="inlineStr">
        <is>
          <t>Cape Projects Construction (Pty) Ltd</t>
        </is>
      </c>
      <c r="B3887" s="4" t="n">
        <v>45138</v>
      </c>
      <c r="C3887" s="3" t="inlineStr">
        <is>
          <t>Liabilities</t>
        </is>
      </c>
      <c r="D3887" s="3" t="inlineStr">
        <is>
          <t>9250/020</t>
        </is>
      </c>
      <c r="E3887" s="3" t="inlineStr">
        <is>
          <t>PAYE, UIF AND SDL CONTROL</t>
        </is>
      </c>
      <c r="F3887" s="3" t="n">
        <v>47.62</v>
      </c>
      <c r="G3887" s="3" t="n">
        <v>-92035.56</v>
      </c>
    </row>
    <row r="3888">
      <c r="A3888" s="3" t="inlineStr">
        <is>
          <t>Cape Projects Construction (Pty) Ltd</t>
        </is>
      </c>
      <c r="B3888" s="4" t="n">
        <v>45138</v>
      </c>
      <c r="C3888" s="3" t="inlineStr">
        <is>
          <t>Liabilities</t>
        </is>
      </c>
      <c r="D3888" s="3" t="inlineStr">
        <is>
          <t>9250/030</t>
        </is>
      </c>
      <c r="E3888" s="3" t="inlineStr">
        <is>
          <t>BIBC CONTROL</t>
        </is>
      </c>
      <c r="F3888" s="3" t="n">
        <v>0</v>
      </c>
      <c r="G3888" s="3" t="n">
        <v>-49413.95</v>
      </c>
    </row>
    <row r="3889">
      <c r="A3889" s="3" t="inlineStr">
        <is>
          <t>Cape Projects Construction (Pty) Ltd</t>
        </is>
      </c>
      <c r="B3889" s="4" t="n">
        <v>45138</v>
      </c>
      <c r="C3889" s="3" t="inlineStr">
        <is>
          <t>Liabilities</t>
        </is>
      </c>
      <c r="D3889" s="3" t="inlineStr">
        <is>
          <t>9500/000</t>
        </is>
      </c>
      <c r="E3889" s="3" t="inlineStr">
        <is>
          <t>VAT Control Account</t>
        </is>
      </c>
      <c r="F3889" s="3" t="n">
        <v>-76599.60000000001</v>
      </c>
      <c r="G3889" s="3" t="n">
        <v>-109732.95</v>
      </c>
    </row>
    <row r="3890">
      <c r="A3890" s="3" t="inlineStr">
        <is>
          <t>Heron Fields (Pty) Ltd</t>
        </is>
      </c>
      <c r="B3890" s="4" t="n">
        <v>45138</v>
      </c>
      <c r="C3890" s="3" t="inlineStr">
        <is>
          <t>Liabilities</t>
        </is>
      </c>
      <c r="D3890" s="3" t="inlineStr">
        <is>
          <t>9500/000</t>
        </is>
      </c>
      <c r="E3890" s="3" t="inlineStr">
        <is>
          <t>Vat / Tax Control Account</t>
        </is>
      </c>
      <c r="F3890" s="3" t="n">
        <v>-111907.42</v>
      </c>
      <c r="G3890" s="3" t="n">
        <v>-4020360.49</v>
      </c>
    </row>
    <row r="3891">
      <c r="A3891" s="3" t="inlineStr">
        <is>
          <t>Heron View (Pty) Ltd</t>
        </is>
      </c>
      <c r="B3891" s="4" t="n">
        <v>45138</v>
      </c>
      <c r="C3891" s="3" t="inlineStr">
        <is>
          <t>Liabilities</t>
        </is>
      </c>
      <c r="D3891" s="3" t="inlineStr">
        <is>
          <t>9500/000</t>
        </is>
      </c>
      <c r="E3891" s="3" t="inlineStr">
        <is>
          <t>Vat / Tax Control Account</t>
        </is>
      </c>
      <c r="F3891" s="3" t="n">
        <v>93524.5</v>
      </c>
      <c r="G3891" s="3" t="n">
        <v>5218505.47</v>
      </c>
    </row>
    <row r="3892">
      <c r="A3892" s="3" t="inlineStr">
        <is>
          <t>Heron Fields (Pty) Ltd</t>
        </is>
      </c>
      <c r="B3892" s="4" t="n">
        <v>45138</v>
      </c>
      <c r="C3892" s="3" t="inlineStr">
        <is>
          <t>Liabilities</t>
        </is>
      </c>
      <c r="D3892" s="3" t="inlineStr">
        <is>
          <t>9520/000</t>
        </is>
      </c>
      <c r="E3892" s="3" t="inlineStr">
        <is>
          <t>Income Tax Payable</t>
        </is>
      </c>
      <c r="F3892" s="3" t="n">
        <v>0</v>
      </c>
      <c r="G3892" s="3" t="n">
        <v>59039.93</v>
      </c>
    </row>
    <row r="3893">
      <c r="A3893" s="3" t="inlineStr">
        <is>
          <t>Heron Fields (Pty) Ltd</t>
        </is>
      </c>
      <c r="B3893" s="4" t="n">
        <v>45138</v>
      </c>
      <c r="C3893" s="3" t="inlineStr">
        <is>
          <t>Liabilities</t>
        </is>
      </c>
      <c r="D3893" s="3" t="inlineStr">
        <is>
          <t>9899/B208</t>
        </is>
      </c>
      <c r="E3893" s="3" t="inlineStr">
        <is>
          <t>Sales - Unit Reg Control B208</t>
        </is>
      </c>
      <c r="F3893" s="3" t="n">
        <v>-1209624.06</v>
      </c>
      <c r="G3893" s="3" t="n">
        <v>0</v>
      </c>
    </row>
    <row r="3894">
      <c r="A3894" s="3" t="inlineStr">
        <is>
          <t>Heron Fields (Pty) Ltd</t>
        </is>
      </c>
      <c r="B3894" s="4" t="n">
        <v>45138</v>
      </c>
      <c r="C3894" s="3" t="inlineStr">
        <is>
          <t>Liabilities</t>
        </is>
      </c>
      <c r="D3894" s="3" t="inlineStr">
        <is>
          <t>9899/B214</t>
        </is>
      </c>
      <c r="E3894" s="3" t="inlineStr">
        <is>
          <t>Sales - Unit Reg Control B214</t>
        </is>
      </c>
      <c r="F3894" s="3" t="n">
        <v>71995</v>
      </c>
      <c r="G3894" s="3" t="n">
        <v>71995</v>
      </c>
    </row>
    <row r="3895">
      <c r="A3895" s="3" t="inlineStr">
        <is>
          <t>Cape Projects Construction (Pty) Ltd</t>
        </is>
      </c>
      <c r="B3895" s="4" t="n">
        <v>45138</v>
      </c>
      <c r="C3895" s="3" t="inlineStr">
        <is>
          <t>Liabilities</t>
        </is>
      </c>
      <c r="D3895" s="3" t="inlineStr">
        <is>
          <t>B/S</t>
        </is>
      </c>
      <c r="E3895" s="3" t="inlineStr">
        <is>
          <t>Taxation Payable</t>
        </is>
      </c>
      <c r="F3895" s="3" t="n">
        <v>-26160.01</v>
      </c>
      <c r="G3895" s="3" t="n">
        <v>1869.8</v>
      </c>
    </row>
    <row r="3896">
      <c r="A3896" s="3" t="inlineStr">
        <is>
          <t>Cape Projects Construction (Pty) Ltd</t>
        </is>
      </c>
      <c r="B3896" s="4" t="n">
        <v>45138</v>
      </c>
      <c r="C3896" s="3" t="inlineStr">
        <is>
          <t>Liabilities</t>
        </is>
      </c>
      <c r="D3896" s="3" t="inlineStr">
        <is>
          <t>TEMP/ACC</t>
        </is>
      </c>
      <c r="E3896" s="3" t="inlineStr">
        <is>
          <t>Conversion Account</t>
        </is>
      </c>
      <c r="F3896" s="3" t="n">
        <v>0</v>
      </c>
      <c r="G3896" s="3" t="n">
        <v>-254.99</v>
      </c>
    </row>
    <row r="3897">
      <c r="A3897" s="3" t="inlineStr">
        <is>
          <t>Heron Fields (Pty) Ltd</t>
        </is>
      </c>
      <c r="B3897" s="4" t="n">
        <v>45169</v>
      </c>
      <c r="C3897" s="3" t="inlineStr">
        <is>
          <t>Revenue</t>
        </is>
      </c>
      <c r="D3897" s="3" t="inlineStr">
        <is>
          <t>1000/100</t>
        </is>
      </c>
      <c r="E3897" s="3" t="inlineStr">
        <is>
          <t>Sales - Heron Fields</t>
        </is>
      </c>
      <c r="F3897" s="3" t="n">
        <v>62604.35</v>
      </c>
      <c r="G3897" s="3" t="n">
        <v>-26852956.53</v>
      </c>
    </row>
    <row r="3898">
      <c r="A3898" s="3" t="inlineStr">
        <is>
          <t>Heron View (Pty) Ltd</t>
        </is>
      </c>
      <c r="B3898" s="4" t="n">
        <v>45169</v>
      </c>
      <c r="C3898" s="3" t="inlineStr">
        <is>
          <t>Revenue</t>
        </is>
      </c>
      <c r="D3898" s="3" t="inlineStr">
        <is>
          <t>1000/100</t>
        </is>
      </c>
      <c r="E3898" s="3" t="inlineStr">
        <is>
          <t>Sales - Heron View Sales</t>
        </is>
      </c>
      <c r="F3898" s="3" t="n">
        <v>-6821304.36</v>
      </c>
      <c r="G3898" s="3" t="n">
        <v>-6821304.36</v>
      </c>
    </row>
    <row r="3899">
      <c r="A3899" s="3" t="inlineStr">
        <is>
          <t>Heron Fields (Pty) Ltd</t>
        </is>
      </c>
      <c r="B3899" s="4" t="n">
        <v>45169</v>
      </c>
      <c r="C3899" s="3" t="inlineStr">
        <is>
          <t>Revenue</t>
        </is>
      </c>
      <c r="D3899" s="3" t="inlineStr">
        <is>
          <t>1000/101</t>
        </is>
      </c>
      <c r="E3899" s="3" t="inlineStr">
        <is>
          <t>Sales - Heron Fields occupational rent</t>
        </is>
      </c>
      <c r="F3899" s="3" t="n">
        <v>0</v>
      </c>
      <c r="G3899" s="3" t="n">
        <v>-102388.85</v>
      </c>
    </row>
    <row r="3900">
      <c r="A3900" s="3" t="inlineStr">
        <is>
          <t>Heron View (Pty) Ltd</t>
        </is>
      </c>
      <c r="B3900" s="4" t="n">
        <v>45169</v>
      </c>
      <c r="C3900" s="3" t="inlineStr">
        <is>
          <t>Revenue</t>
        </is>
      </c>
      <c r="D3900" s="3" t="inlineStr">
        <is>
          <t>1000/101</t>
        </is>
      </c>
      <c r="E3900" s="3" t="inlineStr">
        <is>
          <t>Sales - Heron View Occupational Rent</t>
        </is>
      </c>
      <c r="F3900" s="3" t="n">
        <v>-17806.45</v>
      </c>
      <c r="G3900" s="3" t="n">
        <v>-17806.45</v>
      </c>
    </row>
    <row r="3901">
      <c r="A3901" s="3" t="inlineStr">
        <is>
          <t>Cape Projects Construction (Pty) Ltd</t>
        </is>
      </c>
      <c r="B3901" s="4" t="n">
        <v>45169</v>
      </c>
      <c r="C3901" s="3" t="inlineStr">
        <is>
          <t>Revenue</t>
        </is>
      </c>
      <c r="D3901" s="3" t="inlineStr">
        <is>
          <t>1040/100</t>
        </is>
      </c>
      <c r="E3901" s="3" t="inlineStr">
        <is>
          <t>Fees - Construction - Heron</t>
        </is>
      </c>
      <c r="F3901" s="3" t="n">
        <v>-2750089.29</v>
      </c>
      <c r="G3901" s="3" t="n">
        <v>-23432899.74</v>
      </c>
    </row>
    <row r="3902">
      <c r="A3902" s="3" t="inlineStr">
        <is>
          <t>Cape Projects Construction (Pty) Ltd</t>
        </is>
      </c>
      <c r="B3902" s="4" t="n">
        <v>45169</v>
      </c>
      <c r="C3902" s="3" t="inlineStr">
        <is>
          <t>Revenue</t>
        </is>
      </c>
      <c r="D3902" s="3" t="inlineStr">
        <is>
          <t>1070/000</t>
        </is>
      </c>
      <c r="E3902" s="3" t="inlineStr">
        <is>
          <t>Rent - CT Office</t>
        </is>
      </c>
      <c r="F3902" s="3" t="n">
        <v>0</v>
      </c>
      <c r="G3902" s="3" t="n">
        <v>3490.94</v>
      </c>
    </row>
    <row r="3903">
      <c r="A3903" s="3" t="inlineStr">
        <is>
          <t>Heron Fields (Pty) Ltd</t>
        </is>
      </c>
      <c r="B3903" s="4" t="n">
        <v>45169</v>
      </c>
      <c r="C3903" s="3" t="inlineStr">
        <is>
          <t>Revenue</t>
        </is>
      </c>
      <c r="D3903" s="3" t="inlineStr">
        <is>
          <t>1500/002</t>
        </is>
      </c>
      <c r="E3903" s="3" t="inlineStr">
        <is>
          <t>Rental Income</t>
        </is>
      </c>
      <c r="F3903" s="3" t="n">
        <v>-30491.94</v>
      </c>
      <c r="G3903" s="3" t="n">
        <v>-67991.94</v>
      </c>
    </row>
    <row r="3904">
      <c r="A3904" s="3" t="inlineStr">
        <is>
          <t>Heron Fields (Pty) Ltd</t>
        </is>
      </c>
      <c r="B3904" s="4" t="n">
        <v>45169</v>
      </c>
      <c r="C3904" s="3" t="inlineStr">
        <is>
          <t>Expenses</t>
        </is>
      </c>
      <c r="D3904" s="3" t="inlineStr">
        <is>
          <t>2000/011</t>
        </is>
      </c>
      <c r="E3904" s="3" t="inlineStr">
        <is>
          <t>COS - Heron View Showhouse</t>
        </is>
      </c>
      <c r="F3904" s="3" t="n">
        <v>0</v>
      </c>
      <c r="G3904" s="3" t="n">
        <v>45300.43</v>
      </c>
    </row>
    <row r="3905">
      <c r="A3905" s="3" t="inlineStr">
        <is>
          <t>Heron View (Pty) Ltd</t>
        </is>
      </c>
      <c r="B3905" s="4" t="n">
        <v>45169</v>
      </c>
      <c r="C3905" s="3" t="inlineStr">
        <is>
          <t>Expenses</t>
        </is>
      </c>
      <c r="D3905" s="3" t="inlineStr">
        <is>
          <t>2000/030</t>
        </is>
      </c>
      <c r="E3905" s="3" t="inlineStr">
        <is>
          <t>COS - HV COCT Rates clearance</t>
        </is>
      </c>
      <c r="F3905" s="3" t="n">
        <v>0</v>
      </c>
      <c r="G3905" s="3" t="n">
        <v>237142.94</v>
      </c>
    </row>
    <row r="3906">
      <c r="A3906" s="3" t="inlineStr">
        <is>
          <t>Heron Fields (Pty) Ltd</t>
        </is>
      </c>
      <c r="B3906" s="4" t="n">
        <v>45169</v>
      </c>
      <c r="C3906" s="3" t="inlineStr">
        <is>
          <t>Expenses</t>
        </is>
      </c>
      <c r="D3906" s="3" t="inlineStr">
        <is>
          <t>2000/040</t>
        </is>
      </c>
      <c r="E3906" s="3" t="inlineStr">
        <is>
          <t>COS - Legal Fees</t>
        </is>
      </c>
      <c r="F3906" s="3" t="n">
        <v>0</v>
      </c>
      <c r="G3906" s="3" t="n">
        <v>648956.64</v>
      </c>
    </row>
    <row r="3907">
      <c r="A3907" s="3" t="inlineStr">
        <is>
          <t>Heron View (Pty) Ltd</t>
        </is>
      </c>
      <c r="B3907" s="4" t="n">
        <v>45169</v>
      </c>
      <c r="C3907" s="3" t="inlineStr">
        <is>
          <t>Expenses</t>
        </is>
      </c>
      <c r="D3907" s="3" t="inlineStr">
        <is>
          <t>2000/040</t>
        </is>
      </c>
      <c r="E3907" s="3" t="inlineStr">
        <is>
          <t>COS - Legal Fees</t>
        </is>
      </c>
      <c r="F3907" s="3" t="n">
        <v>134265.54</v>
      </c>
      <c r="G3907" s="3" t="n">
        <v>134265.54</v>
      </c>
    </row>
    <row r="3908">
      <c r="A3908" s="3" t="inlineStr">
        <is>
          <t>Heron View (Pty) Ltd</t>
        </is>
      </c>
      <c r="B3908" s="4" t="n">
        <v>45169</v>
      </c>
      <c r="C3908" s="3" t="inlineStr">
        <is>
          <t>Expenses</t>
        </is>
      </c>
      <c r="D3908" s="3" t="inlineStr">
        <is>
          <t>2000/041</t>
        </is>
      </c>
      <c r="E3908" s="3" t="inlineStr">
        <is>
          <t>COS - Legal Fees Opening of Sec Title Fees</t>
        </is>
      </c>
      <c r="F3908" s="3" t="n">
        <v>30020</v>
      </c>
      <c r="G3908" s="3" t="n">
        <v>44709.94</v>
      </c>
    </row>
    <row r="3909">
      <c r="A3909" s="3" t="inlineStr">
        <is>
          <t>Heron Fields (Pty) Ltd</t>
        </is>
      </c>
      <c r="B3909" s="4" t="n">
        <v>45169</v>
      </c>
      <c r="C3909" s="3" t="inlineStr">
        <is>
          <t>Expenses</t>
        </is>
      </c>
      <c r="D3909" s="3" t="inlineStr">
        <is>
          <t>2000/050</t>
        </is>
      </c>
      <c r="E3909" s="3" t="inlineStr">
        <is>
          <t>COS - Rates clearance</t>
        </is>
      </c>
      <c r="F3909" s="3" t="n">
        <v>3308.35</v>
      </c>
      <c r="G3909" s="3" t="n">
        <v>25345.12</v>
      </c>
    </row>
    <row r="3910">
      <c r="A3910" s="3" t="inlineStr">
        <is>
          <t>Heron Fields (Pty) Ltd</t>
        </is>
      </c>
      <c r="B3910" s="4" t="n">
        <v>45169</v>
      </c>
      <c r="C3910" s="3" t="inlineStr">
        <is>
          <t>Expenses</t>
        </is>
      </c>
      <c r="D3910" s="3" t="inlineStr">
        <is>
          <t>2000/060</t>
        </is>
      </c>
      <c r="E3910" s="3" t="inlineStr">
        <is>
          <t>COS - Levies</t>
        </is>
      </c>
      <c r="F3910" s="3" t="n">
        <v>0</v>
      </c>
      <c r="G3910" s="3" t="n">
        <v>171178.44</v>
      </c>
    </row>
    <row r="3911">
      <c r="A3911" s="3" t="inlineStr">
        <is>
          <t>Heron Fields (Pty) Ltd</t>
        </is>
      </c>
      <c r="B3911" s="4" t="n">
        <v>45169</v>
      </c>
      <c r="C3911" s="3" t="inlineStr">
        <is>
          <t>Expenses</t>
        </is>
      </c>
      <c r="D3911" s="3" t="inlineStr">
        <is>
          <t>2000/070</t>
        </is>
      </c>
      <c r="E3911" s="3" t="inlineStr">
        <is>
          <t>COS - Commission HF Units</t>
        </is>
      </c>
      <c r="F3911" s="3" t="n">
        <v>62604.35</v>
      </c>
      <c r="G3911" s="3" t="n">
        <v>1343517.4</v>
      </c>
    </row>
    <row r="3912">
      <c r="A3912" s="3" t="inlineStr">
        <is>
          <t>Heron View (Pty) Ltd</t>
        </is>
      </c>
      <c r="B3912" s="4" t="n">
        <v>45169</v>
      </c>
      <c r="C3912" s="3" t="inlineStr">
        <is>
          <t>Expenses</t>
        </is>
      </c>
      <c r="D3912" s="3" t="inlineStr">
        <is>
          <t>2000/070</t>
        </is>
      </c>
      <c r="E3912" s="3" t="inlineStr">
        <is>
          <t>COS - Commission HV Units</t>
        </is>
      </c>
      <c r="F3912" s="3" t="n">
        <v>343456.51</v>
      </c>
      <c r="G3912" s="3" t="n">
        <v>343456.51</v>
      </c>
    </row>
    <row r="3913">
      <c r="A3913" s="3" t="inlineStr">
        <is>
          <t>Heron Fields (Pty) Ltd</t>
        </is>
      </c>
      <c r="B3913" s="4" t="n">
        <v>45169</v>
      </c>
      <c r="C3913" s="3" t="inlineStr">
        <is>
          <t>Expenses</t>
        </is>
      </c>
      <c r="D3913" s="3" t="inlineStr">
        <is>
          <t>2000/080</t>
        </is>
      </c>
      <c r="E3913" s="3" t="inlineStr">
        <is>
          <t>COS - Showhouse - HF</t>
        </is>
      </c>
      <c r="F3913" s="3" t="n">
        <v>1005.47</v>
      </c>
      <c r="G3913" s="3" t="n">
        <v>1005.47</v>
      </c>
    </row>
    <row r="3914">
      <c r="A3914" s="3" t="inlineStr">
        <is>
          <t>Heron View (Pty) Ltd</t>
        </is>
      </c>
      <c r="B3914" s="4" t="n">
        <v>45169</v>
      </c>
      <c r="C3914" s="3" t="inlineStr">
        <is>
          <t>Expenses</t>
        </is>
      </c>
      <c r="D3914" s="3" t="inlineStr">
        <is>
          <t>2000/080</t>
        </is>
      </c>
      <c r="E3914" s="3" t="inlineStr">
        <is>
          <t>COS - Showhouse - HV</t>
        </is>
      </c>
      <c r="F3914" s="3" t="n">
        <v>0</v>
      </c>
      <c r="G3914" s="3" t="n">
        <v>6212.85</v>
      </c>
    </row>
    <row r="3915">
      <c r="A3915" s="3" t="inlineStr">
        <is>
          <t>Heron Fields (Pty) Ltd</t>
        </is>
      </c>
      <c r="B3915" s="4" t="n">
        <v>45169</v>
      </c>
      <c r="C3915" s="3" t="inlineStr">
        <is>
          <t>Expenses</t>
        </is>
      </c>
      <c r="D3915" s="3" t="inlineStr">
        <is>
          <t>2000/090</t>
        </is>
      </c>
      <c r="E3915" s="3" t="inlineStr">
        <is>
          <t>COS - Electricity</t>
        </is>
      </c>
      <c r="F3915" s="3" t="n">
        <v>0</v>
      </c>
      <c r="G3915" s="3" t="n">
        <v>250</v>
      </c>
    </row>
    <row r="3916">
      <c r="A3916" s="3" t="inlineStr">
        <is>
          <t>Heron Fields (Pty) Ltd</t>
        </is>
      </c>
      <c r="B3916" s="4" t="n">
        <v>45169</v>
      </c>
      <c r="C3916" s="3" t="inlineStr">
        <is>
          <t>Expenses</t>
        </is>
      </c>
      <c r="D3916" s="3" t="inlineStr">
        <is>
          <t>2000/100</t>
        </is>
      </c>
      <c r="E3916" s="3" t="inlineStr">
        <is>
          <t>COS - Inverters</t>
        </is>
      </c>
      <c r="F3916" s="3" t="n">
        <v>0</v>
      </c>
      <c r="G3916" s="3" t="n">
        <v>31600</v>
      </c>
    </row>
    <row r="3917">
      <c r="A3917" s="3" t="inlineStr">
        <is>
          <t>Cape Projects Construction (Pty) Ltd</t>
        </is>
      </c>
      <c r="B3917" s="4" t="n">
        <v>45169</v>
      </c>
      <c r="C3917" s="3" t="inlineStr">
        <is>
          <t>Expenses</t>
        </is>
      </c>
      <c r="D3917" s="3" t="inlineStr">
        <is>
          <t>2000/500</t>
        </is>
      </c>
      <c r="E3917" s="3" t="inlineStr">
        <is>
          <t>COS - Electricity Cost Endulini</t>
        </is>
      </c>
      <c r="F3917" s="3" t="n">
        <v>0</v>
      </c>
      <c r="G3917" s="3" t="n">
        <v>286.96</v>
      </c>
    </row>
    <row r="3918">
      <c r="A3918" s="3" t="inlineStr">
        <is>
          <t>Cape Projects Construction (Pty) Ltd</t>
        </is>
      </c>
      <c r="B3918" s="4" t="n">
        <v>45169</v>
      </c>
      <c r="C3918" s="3" t="inlineStr">
        <is>
          <t>Expenses</t>
        </is>
      </c>
      <c r="D3918" s="3" t="inlineStr">
        <is>
          <t>2000/501</t>
        </is>
      </c>
      <c r="E3918" s="3" t="inlineStr">
        <is>
          <t>COS - Electricity Cost Heron Field</t>
        </is>
      </c>
      <c r="F3918" s="3" t="n">
        <v>0</v>
      </c>
      <c r="G3918" s="3" t="n">
        <v>86.95999999999999</v>
      </c>
    </row>
    <row r="3919">
      <c r="A3919" s="3" t="inlineStr">
        <is>
          <t>Cape Projects Construction (Pty) Ltd</t>
        </is>
      </c>
      <c r="B3919" s="4" t="n">
        <v>45169</v>
      </c>
      <c r="C3919" s="3" t="inlineStr">
        <is>
          <t>Expenses</t>
        </is>
      </c>
      <c r="D3919" s="3" t="inlineStr">
        <is>
          <t>2001/000</t>
        </is>
      </c>
      <c r="E3919" s="3" t="inlineStr">
        <is>
          <t>Cost of Sales - SouthWark Project</t>
        </is>
      </c>
      <c r="F3919" s="3" t="n">
        <v>0</v>
      </c>
      <c r="G3919" s="3" t="n">
        <v>23423.97</v>
      </c>
    </row>
    <row r="3920">
      <c r="A3920" s="3" t="inlineStr">
        <is>
          <t>Cape Projects Construction (Pty) Ltd</t>
        </is>
      </c>
      <c r="B3920" s="4" t="n">
        <v>45169</v>
      </c>
      <c r="C3920" s="3" t="inlineStr">
        <is>
          <t>Expenses</t>
        </is>
      </c>
      <c r="D3920" s="3" t="inlineStr">
        <is>
          <t>2002/250</t>
        </is>
      </c>
      <c r="E3920" s="3" t="inlineStr">
        <is>
          <t>COS - Security</t>
        </is>
      </c>
      <c r="F3920" s="3" t="n">
        <v>10516.44</v>
      </c>
      <c r="G3920" s="3" t="n">
        <v>10516.44</v>
      </c>
    </row>
    <row r="3921">
      <c r="A3921" s="3" t="inlineStr">
        <is>
          <t>Cape Projects Construction (Pty) Ltd</t>
        </is>
      </c>
      <c r="B3921" s="4" t="n">
        <v>45169</v>
      </c>
      <c r="C3921" s="3" t="inlineStr">
        <is>
          <t>Expenses</t>
        </is>
      </c>
      <c r="D3921" s="3" t="inlineStr">
        <is>
          <t>2002/252</t>
        </is>
      </c>
      <c r="E3921" s="3" t="inlineStr">
        <is>
          <t>COS - Security - Guarding</t>
        </is>
      </c>
      <c r="F3921" s="3" t="n">
        <v>0</v>
      </c>
      <c r="G3921" s="3" t="n">
        <v>41620.91</v>
      </c>
    </row>
    <row r="3922">
      <c r="A3922" s="3" t="inlineStr">
        <is>
          <t>Cape Projects Construction (Pty) Ltd</t>
        </is>
      </c>
      <c r="B3922" s="4" t="n">
        <v>45169</v>
      </c>
      <c r="C3922" s="3" t="inlineStr">
        <is>
          <t>Expenses</t>
        </is>
      </c>
      <c r="D3922" s="3" t="inlineStr">
        <is>
          <t>2006/000</t>
        </is>
      </c>
      <c r="E3922" s="3" t="inlineStr">
        <is>
          <t>COS - Endulini Construction</t>
        </is>
      </c>
      <c r="F3922" s="3" t="n">
        <v>5129.48</v>
      </c>
      <c r="G3922" s="3" t="n">
        <v>255060.13</v>
      </c>
    </row>
    <row r="3923">
      <c r="A3923" s="3" t="inlineStr">
        <is>
          <t>Cape Projects Construction (Pty) Ltd</t>
        </is>
      </c>
      <c r="B3923" s="4" t="n">
        <v>45169</v>
      </c>
      <c r="C3923" s="3" t="inlineStr">
        <is>
          <t>Expenses</t>
        </is>
      </c>
      <c r="D3923" s="3" t="inlineStr">
        <is>
          <t>2006/100</t>
        </is>
      </c>
      <c r="E3923" s="3" t="inlineStr">
        <is>
          <t>COS - Endulini P and G</t>
        </is>
      </c>
      <c r="F3923" s="3" t="n">
        <v>1800</v>
      </c>
      <c r="G3923" s="3" t="n">
        <v>148803.59</v>
      </c>
    </row>
    <row r="3924">
      <c r="A3924" s="3" t="inlineStr">
        <is>
          <t>Cape Projects Construction (Pty) Ltd</t>
        </is>
      </c>
      <c r="B3924" s="4" t="n">
        <v>45169</v>
      </c>
      <c r="C3924" s="3" t="inlineStr">
        <is>
          <t>Expenses</t>
        </is>
      </c>
      <c r="D3924" s="3" t="inlineStr">
        <is>
          <t>2006/200</t>
        </is>
      </c>
      <c r="E3924" s="3" t="inlineStr">
        <is>
          <t>COS - Insurance</t>
        </is>
      </c>
      <c r="F3924" s="3" t="n">
        <v>-20443.12</v>
      </c>
      <c r="G3924" s="3" t="n">
        <v>-17723.69</v>
      </c>
    </row>
    <row r="3925">
      <c r="A3925" s="3" t="inlineStr">
        <is>
          <t>Cape Projects Construction (Pty) Ltd</t>
        </is>
      </c>
      <c r="B3925" s="4" t="n">
        <v>45169</v>
      </c>
      <c r="C3925" s="3" t="inlineStr">
        <is>
          <t>Expenses</t>
        </is>
      </c>
      <c r="D3925" s="3" t="inlineStr">
        <is>
          <t>2006/450</t>
        </is>
      </c>
      <c r="E3925" s="3" t="inlineStr">
        <is>
          <t>COS - Endulini - Computer expenses</t>
        </is>
      </c>
      <c r="F3925" s="3" t="n">
        <v>26340.75</v>
      </c>
      <c r="G3925" s="3" t="n">
        <v>26340.75</v>
      </c>
    </row>
    <row r="3926">
      <c r="A3926" s="3" t="inlineStr">
        <is>
          <t>Cape Projects Construction (Pty) Ltd</t>
        </is>
      </c>
      <c r="B3926" s="4" t="n">
        <v>45169</v>
      </c>
      <c r="C3926" s="3" t="inlineStr">
        <is>
          <t>Expenses</t>
        </is>
      </c>
      <c r="D3926" s="3" t="inlineStr">
        <is>
          <t>2006/800</t>
        </is>
      </c>
      <c r="E3926" s="3" t="inlineStr">
        <is>
          <t>COS - Endulini - Telephone &amp; Internet</t>
        </is>
      </c>
      <c r="F3926" s="3" t="n">
        <v>0</v>
      </c>
      <c r="G3926" s="3" t="n">
        <v>760.87</v>
      </c>
    </row>
    <row r="3927">
      <c r="A3927" s="3" t="inlineStr">
        <is>
          <t>Cape Projects Construction (Pty) Ltd</t>
        </is>
      </c>
      <c r="B3927" s="4" t="n">
        <v>45169</v>
      </c>
      <c r="C3927" s="3" t="inlineStr">
        <is>
          <t>Expenses</t>
        </is>
      </c>
      <c r="D3927" s="3" t="inlineStr">
        <is>
          <t>2007/000</t>
        </is>
      </c>
      <c r="E3927" s="3" t="inlineStr">
        <is>
          <t>COS - Repairs &amp; Maintenance - SW Southwark</t>
        </is>
      </c>
      <c r="F3927" s="3" t="n">
        <v>2290.7</v>
      </c>
      <c r="G3927" s="3" t="n">
        <v>27752.22</v>
      </c>
    </row>
    <row r="3928">
      <c r="A3928" s="3" t="inlineStr">
        <is>
          <t>Cape Projects Construction (Pty) Ltd</t>
        </is>
      </c>
      <c r="B3928" s="4" t="n">
        <v>45169</v>
      </c>
      <c r="C3928" s="3" t="inlineStr">
        <is>
          <t>Expenses</t>
        </is>
      </c>
      <c r="D3928" s="3" t="inlineStr">
        <is>
          <t>2008/000</t>
        </is>
      </c>
      <c r="E3928" s="3" t="inlineStr">
        <is>
          <t>COS - Repairs &amp; Maintenance - SH Soho</t>
        </is>
      </c>
      <c r="F3928" s="3" t="n">
        <v>7096.87</v>
      </c>
      <c r="G3928" s="3" t="n">
        <v>7565.57</v>
      </c>
    </row>
    <row r="3929">
      <c r="A3929" s="3" t="inlineStr">
        <is>
          <t>Cape Projects Construction (Pty) Ltd</t>
        </is>
      </c>
      <c r="B3929" s="4" t="n">
        <v>45169</v>
      </c>
      <c r="C3929" s="3" t="inlineStr">
        <is>
          <t>Expenses</t>
        </is>
      </c>
      <c r="D3929" s="3" t="inlineStr">
        <is>
          <t>2011/300</t>
        </is>
      </c>
      <c r="E3929" s="3" t="inlineStr">
        <is>
          <t>COS - Heron Fields - Printing &amp; Stationary</t>
        </is>
      </c>
      <c r="F3929" s="3" t="n">
        <v>0</v>
      </c>
      <c r="G3929" s="3" t="n">
        <v>1129.57</v>
      </c>
    </row>
    <row r="3930">
      <c r="A3930" s="3" t="inlineStr">
        <is>
          <t>Cape Projects Construction (Pty) Ltd</t>
        </is>
      </c>
      <c r="B3930" s="4" t="n">
        <v>45169</v>
      </c>
      <c r="C3930" s="3" t="inlineStr">
        <is>
          <t>Expenses</t>
        </is>
      </c>
      <c r="D3930" s="3" t="inlineStr">
        <is>
          <t>2011/500</t>
        </is>
      </c>
      <c r="E3930" s="3" t="inlineStr">
        <is>
          <t>COS - Heron Fields - Construction</t>
        </is>
      </c>
      <c r="F3930" s="3" t="n">
        <v>76169.75</v>
      </c>
      <c r="G3930" s="3" t="n">
        <v>1490955.34</v>
      </c>
    </row>
    <row r="3931">
      <c r="A3931" s="3" t="inlineStr">
        <is>
          <t>Cape Projects Construction (Pty) Ltd</t>
        </is>
      </c>
      <c r="B3931" s="4" t="n">
        <v>45169</v>
      </c>
      <c r="C3931" s="3" t="inlineStr">
        <is>
          <t>Expenses</t>
        </is>
      </c>
      <c r="D3931" s="3" t="inlineStr">
        <is>
          <t>2011/600</t>
        </is>
      </c>
      <c r="E3931" s="3" t="inlineStr">
        <is>
          <t>COS - Heron Fields - P &amp; G</t>
        </is>
      </c>
      <c r="F3931" s="3" t="n">
        <v>47477.81</v>
      </c>
      <c r="G3931" s="3" t="n">
        <v>329997.44</v>
      </c>
    </row>
    <row r="3932">
      <c r="A3932" s="3" t="inlineStr">
        <is>
          <t>Cape Projects Construction (Pty) Ltd</t>
        </is>
      </c>
      <c r="B3932" s="4" t="n">
        <v>45169</v>
      </c>
      <c r="C3932" s="3" t="inlineStr">
        <is>
          <t>Expenses</t>
        </is>
      </c>
      <c r="D3932" s="3" t="inlineStr">
        <is>
          <t>2011/700</t>
        </is>
      </c>
      <c r="E3932" s="3" t="inlineStr">
        <is>
          <t>COS - Heron Fields - Health &amp; Safety</t>
        </is>
      </c>
      <c r="F3932" s="3" t="n">
        <v>0</v>
      </c>
      <c r="G3932" s="3" t="n">
        <v>694.78</v>
      </c>
    </row>
    <row r="3933">
      <c r="A3933" s="3" t="inlineStr">
        <is>
          <t>Cape Projects Construction (Pty) Ltd</t>
        </is>
      </c>
      <c r="B3933" s="4" t="n">
        <v>45169</v>
      </c>
      <c r="C3933" s="3" t="inlineStr">
        <is>
          <t>Expenses</t>
        </is>
      </c>
      <c r="D3933" s="3" t="inlineStr">
        <is>
          <t>2011/900</t>
        </is>
      </c>
      <c r="E3933" s="3" t="inlineStr">
        <is>
          <t>COS - Heron - Internet</t>
        </is>
      </c>
      <c r="F3933" s="3" t="n">
        <v>1797.39</v>
      </c>
      <c r="G3933" s="3" t="n">
        <v>8290.110000000001</v>
      </c>
    </row>
    <row r="3934">
      <c r="A3934" s="3" t="inlineStr">
        <is>
          <t>Cape Projects Construction (Pty) Ltd</t>
        </is>
      </c>
      <c r="B3934" s="4" t="n">
        <v>45169</v>
      </c>
      <c r="C3934" s="3" t="inlineStr">
        <is>
          <t>Expenses</t>
        </is>
      </c>
      <c r="D3934" s="3" t="inlineStr">
        <is>
          <t>2012/001</t>
        </is>
      </c>
      <c r="E3934" s="3" t="inlineStr">
        <is>
          <t>COS - Heron View - Printing &amp; Stationary</t>
        </is>
      </c>
      <c r="F3934" s="3" t="n">
        <v>3776.28</v>
      </c>
      <c r="G3934" s="3" t="n">
        <v>15014.52</v>
      </c>
    </row>
    <row r="3935">
      <c r="A3935" s="3" t="inlineStr">
        <is>
          <t>Cape Projects Construction (Pty) Ltd</t>
        </is>
      </c>
      <c r="B3935" s="4" t="n">
        <v>45169</v>
      </c>
      <c r="C3935" s="3" t="inlineStr">
        <is>
          <t>Expenses</t>
        </is>
      </c>
      <c r="D3935" s="3" t="inlineStr">
        <is>
          <t>2012/002</t>
        </is>
      </c>
      <c r="E3935" s="3" t="inlineStr">
        <is>
          <t>COS - Heron View - Construction</t>
        </is>
      </c>
      <c r="F3935" s="3" t="n">
        <v>1998124.14</v>
      </c>
      <c r="G3935" s="3" t="n">
        <v>17386763.41</v>
      </c>
    </row>
    <row r="3936">
      <c r="A3936" s="3" t="inlineStr">
        <is>
          <t>Cape Projects Construction (Pty) Ltd</t>
        </is>
      </c>
      <c r="B3936" s="4" t="n">
        <v>45169</v>
      </c>
      <c r="C3936" s="3" t="inlineStr">
        <is>
          <t>Expenses</t>
        </is>
      </c>
      <c r="D3936" s="3" t="inlineStr">
        <is>
          <t>2012/003</t>
        </is>
      </c>
      <c r="E3936" s="3" t="inlineStr">
        <is>
          <t>COS - Heron View - P&amp;G</t>
        </is>
      </c>
      <c r="F3936" s="3" t="n">
        <v>43415.97</v>
      </c>
      <c r="G3936" s="3" t="n">
        <v>532471.9300000001</v>
      </c>
    </row>
    <row r="3937">
      <c r="A3937" s="3" t="inlineStr">
        <is>
          <t>Cape Projects Construction (Pty) Ltd</t>
        </is>
      </c>
      <c r="B3937" s="4" t="n">
        <v>45169</v>
      </c>
      <c r="C3937" s="3" t="inlineStr">
        <is>
          <t>Expenses</t>
        </is>
      </c>
      <c r="D3937" s="3" t="inlineStr">
        <is>
          <t>2013/000</t>
        </is>
      </c>
      <c r="E3937" s="3" t="inlineStr">
        <is>
          <t>COS - Bakhoven</t>
        </is>
      </c>
      <c r="F3937" s="3" t="n">
        <v>0</v>
      </c>
      <c r="G3937" s="3" t="n">
        <v>17292.48</v>
      </c>
    </row>
    <row r="3938">
      <c r="A3938" s="3" t="inlineStr">
        <is>
          <t>Cape Projects Construction (Pty) Ltd</t>
        </is>
      </c>
      <c r="B3938" s="4" t="n">
        <v>45169</v>
      </c>
      <c r="C3938" s="3" t="inlineStr">
        <is>
          <t>Revenue</t>
        </is>
      </c>
      <c r="D3938" s="3" t="inlineStr">
        <is>
          <t>2750/000</t>
        </is>
      </c>
      <c r="E3938" s="3" t="inlineStr">
        <is>
          <t>Interest Received - FNB</t>
        </is>
      </c>
      <c r="F3938" s="3" t="n">
        <v>-196.86</v>
      </c>
      <c r="G3938" s="3" t="n">
        <v>-701.77</v>
      </c>
    </row>
    <row r="3939">
      <c r="A3939" s="3" t="inlineStr">
        <is>
          <t>Cape Projects Construction (Pty) Ltd</t>
        </is>
      </c>
      <c r="B3939" s="4" t="n">
        <v>45169</v>
      </c>
      <c r="C3939" s="3" t="inlineStr">
        <is>
          <t>Revenue</t>
        </is>
      </c>
      <c r="D3939" s="3" t="inlineStr">
        <is>
          <t>2751/001</t>
        </is>
      </c>
      <c r="E3939" s="3" t="inlineStr">
        <is>
          <t>Interest received - Momentum</t>
        </is>
      </c>
      <c r="F3939" s="3" t="n">
        <v>-4.04</v>
      </c>
      <c r="G3939" s="3" t="n">
        <v>-26.09</v>
      </c>
    </row>
    <row r="3940">
      <c r="A3940" s="3" t="inlineStr">
        <is>
          <t>Heron Fields (Pty) Ltd</t>
        </is>
      </c>
      <c r="B3940" s="4" t="n">
        <v>45169</v>
      </c>
      <c r="C3940" s="3" t="inlineStr">
        <is>
          <t>Revenue</t>
        </is>
      </c>
      <c r="D3940" s="3" t="inlineStr">
        <is>
          <t>2755/001</t>
        </is>
      </c>
      <c r="E3940" s="3" t="inlineStr">
        <is>
          <t>Interest Received - Momentum</t>
        </is>
      </c>
      <c r="F3940" s="3" t="n">
        <v>-241364.67</v>
      </c>
      <c r="G3940" s="3" t="n">
        <v>-1447899.21</v>
      </c>
    </row>
    <row r="3941">
      <c r="A3941" s="3" t="inlineStr">
        <is>
          <t>Heron Fields (Pty) Ltd</t>
        </is>
      </c>
      <c r="B3941" s="4" t="n">
        <v>45169</v>
      </c>
      <c r="C3941" s="3" t="inlineStr">
        <is>
          <t>Expenses</t>
        </is>
      </c>
      <c r="D3941" s="3" t="inlineStr">
        <is>
          <t>3000/000</t>
        </is>
      </c>
      <c r="E3941" s="3" t="inlineStr">
        <is>
          <t>Accounting Fees</t>
        </is>
      </c>
      <c r="F3941" s="3" t="n">
        <v>1620</v>
      </c>
      <c r="G3941" s="3" t="n">
        <v>15024.96</v>
      </c>
    </row>
    <row r="3942">
      <c r="A3942" s="3" t="inlineStr">
        <is>
          <t>Heron Fields (Pty) Ltd</t>
        </is>
      </c>
      <c r="B3942" s="4" t="n">
        <v>45169</v>
      </c>
      <c r="C3942" s="3" t="inlineStr">
        <is>
          <t>Expenses</t>
        </is>
      </c>
      <c r="D3942" s="3" t="inlineStr">
        <is>
          <t>3000/100</t>
        </is>
      </c>
      <c r="E3942" s="3" t="inlineStr">
        <is>
          <t>Accounting - CIPC</t>
        </is>
      </c>
      <c r="F3942" s="3" t="n">
        <v>0</v>
      </c>
      <c r="G3942" s="3" t="n">
        <v>3050</v>
      </c>
    </row>
    <row r="3943">
      <c r="A3943" s="3" t="inlineStr">
        <is>
          <t>Cape Projects Construction (Pty) Ltd</t>
        </is>
      </c>
      <c r="B3943" s="4" t="n">
        <v>45169</v>
      </c>
      <c r="C3943" s="3" t="inlineStr">
        <is>
          <t>Expenses</t>
        </is>
      </c>
      <c r="D3943" s="3" t="inlineStr">
        <is>
          <t>3001/000</t>
        </is>
      </c>
      <c r="E3943" s="3" t="inlineStr">
        <is>
          <t>Accounting Fees - Other</t>
        </is>
      </c>
      <c r="F3943" s="3" t="n">
        <v>0</v>
      </c>
      <c r="G3943" s="3" t="n">
        <v>1280</v>
      </c>
    </row>
    <row r="3944">
      <c r="A3944" s="3" t="inlineStr">
        <is>
          <t>Cape Projects Construction (Pty) Ltd</t>
        </is>
      </c>
      <c r="B3944" s="4" t="n">
        <v>45169</v>
      </c>
      <c r="C3944" s="3" t="inlineStr">
        <is>
          <t>Expenses</t>
        </is>
      </c>
      <c r="D3944" s="3" t="inlineStr">
        <is>
          <t>3002/000</t>
        </is>
      </c>
      <c r="E3944" s="3" t="inlineStr">
        <is>
          <t>Accounting Fees - Audit</t>
        </is>
      </c>
      <c r="F3944" s="3" t="n">
        <v>0</v>
      </c>
      <c r="G3944" s="3" t="n">
        <v>11170</v>
      </c>
    </row>
    <row r="3945">
      <c r="A3945" s="3" t="inlineStr">
        <is>
          <t>Cape Projects Construction (Pty) Ltd</t>
        </is>
      </c>
      <c r="B3945" s="4" t="n">
        <v>45169</v>
      </c>
      <c r="C3945" s="3" t="inlineStr">
        <is>
          <t>Expenses</t>
        </is>
      </c>
      <c r="D3945" s="3" t="inlineStr">
        <is>
          <t>3050/000</t>
        </is>
      </c>
      <c r="E3945" s="3" t="inlineStr">
        <is>
          <t>Advertising _AND_ Promotions</t>
        </is>
      </c>
      <c r="F3945" s="3" t="n">
        <v>4025</v>
      </c>
      <c r="G3945" s="3" t="n">
        <v>8675</v>
      </c>
    </row>
    <row r="3946">
      <c r="A3946" s="3" t="inlineStr">
        <is>
          <t>Heron Fields (Pty) Ltd</t>
        </is>
      </c>
      <c r="B3946" s="4" t="n">
        <v>45169</v>
      </c>
      <c r="C3946" s="3" t="inlineStr">
        <is>
          <t>Expenses</t>
        </is>
      </c>
      <c r="D3946" s="3" t="inlineStr">
        <is>
          <t>3050/000</t>
        </is>
      </c>
      <c r="E3946" s="3" t="inlineStr">
        <is>
          <t>Advertising _AND_ Promotions</t>
        </is>
      </c>
      <c r="F3946" s="3" t="n">
        <v>5439.56</v>
      </c>
      <c r="G3946" s="3" t="n">
        <v>169342.05</v>
      </c>
    </row>
    <row r="3947">
      <c r="A3947" s="3" t="inlineStr">
        <is>
          <t>Heron View (Pty) Ltd</t>
        </is>
      </c>
      <c r="B3947" s="4" t="n">
        <v>45169</v>
      </c>
      <c r="C3947" s="3" t="inlineStr">
        <is>
          <t>Expenses</t>
        </is>
      </c>
      <c r="D3947" s="3" t="inlineStr">
        <is>
          <t>3050/000</t>
        </is>
      </c>
      <c r="E3947" s="3" t="inlineStr">
        <is>
          <t>Advertising _AND_ Promotions</t>
        </is>
      </c>
      <c r="F3947" s="3" t="n">
        <v>0</v>
      </c>
      <c r="G3947" s="3" t="n">
        <v>41176.47</v>
      </c>
    </row>
    <row r="3948">
      <c r="A3948" s="3" t="inlineStr">
        <is>
          <t>Heron Fields (Pty) Ltd</t>
        </is>
      </c>
      <c r="B3948" s="4" t="n">
        <v>45169</v>
      </c>
      <c r="C3948" s="3" t="inlineStr">
        <is>
          <t>Expenses</t>
        </is>
      </c>
      <c r="D3948" s="3" t="inlineStr">
        <is>
          <t>3050/100</t>
        </is>
      </c>
      <c r="E3948" s="3" t="inlineStr">
        <is>
          <t>Advertising - Property24</t>
        </is>
      </c>
      <c r="F3948" s="3" t="n">
        <v>0</v>
      </c>
      <c r="G3948" s="3" t="n">
        <v>12480</v>
      </c>
    </row>
    <row r="3949">
      <c r="A3949" s="3" t="inlineStr">
        <is>
          <t>Cape Projects Construction (Pty) Ltd</t>
        </is>
      </c>
      <c r="B3949" s="4" t="n">
        <v>45169</v>
      </c>
      <c r="C3949" s="3" t="inlineStr">
        <is>
          <t>Expenses</t>
        </is>
      </c>
      <c r="D3949" s="3" t="inlineStr">
        <is>
          <t>3050/150</t>
        </is>
      </c>
      <c r="E3949" s="3" t="inlineStr">
        <is>
          <t>Advertising - Design Fees</t>
        </is>
      </c>
      <c r="F3949" s="3" t="n">
        <v>0</v>
      </c>
      <c r="G3949" s="3" t="n">
        <v>295</v>
      </c>
    </row>
    <row r="3950">
      <c r="A3950" s="3" t="inlineStr">
        <is>
          <t>Heron Fields (Pty) Ltd</t>
        </is>
      </c>
      <c r="B3950" s="4" t="n">
        <v>45169</v>
      </c>
      <c r="C3950" s="3" t="inlineStr">
        <is>
          <t>Expenses</t>
        </is>
      </c>
      <c r="D3950" s="3" t="inlineStr">
        <is>
          <t>3050/300</t>
        </is>
      </c>
      <c r="E3950" s="3" t="inlineStr">
        <is>
          <t>Advertising - Real Marketing</t>
        </is>
      </c>
      <c r="F3950" s="3" t="n">
        <v>10250</v>
      </c>
      <c r="G3950" s="3" t="n">
        <v>10250</v>
      </c>
    </row>
    <row r="3951">
      <c r="A3951" s="3" t="inlineStr">
        <is>
          <t>Heron View (Pty) Ltd</t>
        </is>
      </c>
      <c r="B3951" s="4" t="n">
        <v>45169</v>
      </c>
      <c r="C3951" s="3" t="inlineStr">
        <is>
          <t>Expenses</t>
        </is>
      </c>
      <c r="D3951" s="3" t="inlineStr">
        <is>
          <t>3050/400</t>
        </is>
      </c>
      <c r="E3951" s="3" t="inlineStr">
        <is>
          <t>Advertising - Pure Brand Activation</t>
        </is>
      </c>
      <c r="F3951" s="3" t="n">
        <v>0</v>
      </c>
      <c r="G3951" s="3" t="n">
        <v>4602</v>
      </c>
    </row>
    <row r="3952">
      <c r="A3952" s="3" t="inlineStr">
        <is>
          <t>Cape Projects Construction (Pty) Ltd</t>
        </is>
      </c>
      <c r="B3952" s="4" t="n">
        <v>45169</v>
      </c>
      <c r="C3952" s="3" t="inlineStr">
        <is>
          <t>Expenses</t>
        </is>
      </c>
      <c r="D3952" s="3" t="inlineStr">
        <is>
          <t>3050/450</t>
        </is>
      </c>
      <c r="E3952" s="3" t="inlineStr">
        <is>
          <t>Advertising - Other</t>
        </is>
      </c>
      <c r="F3952" s="3" t="n">
        <v>0</v>
      </c>
      <c r="G3952" s="3" t="n">
        <v>1597</v>
      </c>
    </row>
    <row r="3953">
      <c r="A3953" s="3" t="inlineStr">
        <is>
          <t>Heron View (Pty) Ltd</t>
        </is>
      </c>
      <c r="B3953" s="4" t="n">
        <v>45169</v>
      </c>
      <c r="C3953" s="3" t="inlineStr">
        <is>
          <t>Expenses</t>
        </is>
      </c>
      <c r="D3953" s="3" t="inlineStr">
        <is>
          <t>3050/500</t>
        </is>
      </c>
      <c r="E3953" s="3" t="inlineStr">
        <is>
          <t>Advertising - Real Marketing</t>
        </is>
      </c>
      <c r="F3953" s="3" t="n">
        <v>18500</v>
      </c>
      <c r="G3953" s="3" t="n">
        <v>18500</v>
      </c>
    </row>
    <row r="3954">
      <c r="A3954" s="3" t="inlineStr">
        <is>
          <t>Cape Projects Construction (Pty) Ltd</t>
        </is>
      </c>
      <c r="B3954" s="4" t="n">
        <v>45169</v>
      </c>
      <c r="C3954" s="3" t="inlineStr">
        <is>
          <t>Expenses</t>
        </is>
      </c>
      <c r="D3954" s="3" t="inlineStr">
        <is>
          <t>3200/000</t>
        </is>
      </c>
      <c r="E3954" s="3" t="inlineStr">
        <is>
          <t>Bank Charges</t>
        </is>
      </c>
      <c r="F3954" s="3" t="n">
        <v>2073.8</v>
      </c>
      <c r="G3954" s="3" t="n">
        <v>11392.54</v>
      </c>
    </row>
    <row r="3955">
      <c r="A3955" s="3" t="inlineStr">
        <is>
          <t>Heron Fields (Pty) Ltd</t>
        </is>
      </c>
      <c r="B3955" s="4" t="n">
        <v>45169</v>
      </c>
      <c r="C3955" s="3" t="inlineStr">
        <is>
          <t>Expenses</t>
        </is>
      </c>
      <c r="D3955" s="3" t="inlineStr">
        <is>
          <t>3200/000</t>
        </is>
      </c>
      <c r="E3955" s="3" t="inlineStr">
        <is>
          <t>Bank Charges</t>
        </is>
      </c>
      <c r="F3955" s="3" t="n">
        <v>390.11</v>
      </c>
      <c r="G3955" s="3" t="n">
        <v>2957.79</v>
      </c>
    </row>
    <row r="3956">
      <c r="A3956" s="3" t="inlineStr">
        <is>
          <t>Cape Projects Construction (Pty) Ltd</t>
        </is>
      </c>
      <c r="B3956" s="4" t="n">
        <v>45169</v>
      </c>
      <c r="C3956" s="3" t="inlineStr">
        <is>
          <t>Expenses</t>
        </is>
      </c>
      <c r="D3956" s="3" t="inlineStr">
        <is>
          <t>3250/000</t>
        </is>
      </c>
      <c r="E3956" s="3" t="inlineStr">
        <is>
          <t>Cleaning</t>
        </is>
      </c>
      <c r="F3956" s="3" t="n">
        <v>0</v>
      </c>
      <c r="G3956" s="3" t="n">
        <v>511.89</v>
      </c>
    </row>
    <row r="3957">
      <c r="A3957" s="3" t="inlineStr">
        <is>
          <t>Cape Projects Construction (Pty) Ltd</t>
        </is>
      </c>
      <c r="B3957" s="4" t="n">
        <v>45169</v>
      </c>
      <c r="C3957" s="3" t="inlineStr">
        <is>
          <t>Expenses</t>
        </is>
      </c>
      <c r="D3957" s="3" t="inlineStr">
        <is>
          <t>3255/000</t>
        </is>
      </c>
      <c r="E3957" s="3" t="inlineStr">
        <is>
          <t>Cell Phone - CT Office</t>
        </is>
      </c>
      <c r="F3957" s="3" t="n">
        <v>4123</v>
      </c>
      <c r="G3957" s="3" t="n">
        <v>4123</v>
      </c>
    </row>
    <row r="3958">
      <c r="A3958" s="3" t="inlineStr">
        <is>
          <t>Cape Projects Construction (Pty) Ltd</t>
        </is>
      </c>
      <c r="B3958" s="4" t="n">
        <v>45169</v>
      </c>
      <c r="C3958" s="3" t="inlineStr">
        <is>
          <t>Expenses</t>
        </is>
      </c>
      <c r="D3958" s="3" t="inlineStr">
        <is>
          <t>3256/000</t>
        </is>
      </c>
      <c r="E3958" s="3" t="inlineStr">
        <is>
          <t>Cell Phone - Nick Morgan</t>
        </is>
      </c>
      <c r="F3958" s="3" t="n">
        <v>26779.67</v>
      </c>
      <c r="G3958" s="3" t="n">
        <v>26779.67</v>
      </c>
    </row>
    <row r="3959">
      <c r="A3959" s="3" t="inlineStr">
        <is>
          <t>Cape Projects Construction (Pty) Ltd</t>
        </is>
      </c>
      <c r="B3959" s="4" t="n">
        <v>45169</v>
      </c>
      <c r="C3959" s="3" t="inlineStr">
        <is>
          <t>Expenses</t>
        </is>
      </c>
      <c r="D3959" s="3" t="inlineStr">
        <is>
          <t>3300/000</t>
        </is>
      </c>
      <c r="E3959" s="3" t="inlineStr">
        <is>
          <t>Computer Expenses</t>
        </is>
      </c>
      <c r="F3959" s="3" t="n">
        <v>0</v>
      </c>
      <c r="G3959" s="3" t="n">
        <v>4352.65</v>
      </c>
    </row>
    <row r="3960">
      <c r="A3960" s="3" t="inlineStr">
        <is>
          <t>Cape Projects Construction (Pty) Ltd</t>
        </is>
      </c>
      <c r="B3960" s="4" t="n">
        <v>45169</v>
      </c>
      <c r="C3960" s="3" t="inlineStr">
        <is>
          <t>Expenses</t>
        </is>
      </c>
      <c r="D3960" s="3" t="inlineStr">
        <is>
          <t>3300/100</t>
        </is>
      </c>
      <c r="E3960" s="3" t="inlineStr">
        <is>
          <t>Computer Exp - IT, Internet/Hosting Fee</t>
        </is>
      </c>
      <c r="F3960" s="3" t="n">
        <v>5130</v>
      </c>
      <c r="G3960" s="3" t="n">
        <v>23329</v>
      </c>
    </row>
    <row r="3961">
      <c r="A3961" s="3" t="inlineStr">
        <is>
          <t>Heron Fields (Pty) Ltd</t>
        </is>
      </c>
      <c r="B3961" s="4" t="n">
        <v>45169</v>
      </c>
      <c r="C3961" s="3" t="inlineStr">
        <is>
          <t>Expenses</t>
        </is>
      </c>
      <c r="D3961" s="3" t="inlineStr">
        <is>
          <t>3350/100</t>
        </is>
      </c>
      <c r="E3961" s="3" t="inlineStr">
        <is>
          <t>Consulting Fees - Admin and Finance</t>
        </is>
      </c>
      <c r="F3961" s="3" t="n">
        <v>122083</v>
      </c>
      <c r="G3961" s="3" t="n">
        <v>694583.5699999999</v>
      </c>
    </row>
    <row r="3962">
      <c r="A3962" s="3" t="inlineStr">
        <is>
          <t>Cape Projects Construction (Pty) Ltd</t>
        </is>
      </c>
      <c r="B3962" s="4" t="n">
        <v>45169</v>
      </c>
      <c r="C3962" s="3" t="inlineStr">
        <is>
          <t>Expenses</t>
        </is>
      </c>
      <c r="D3962" s="3" t="inlineStr">
        <is>
          <t>3350/300</t>
        </is>
      </c>
      <c r="E3962" s="3" t="inlineStr">
        <is>
          <t>Consulting Fees - Admin and Finance</t>
        </is>
      </c>
      <c r="F3962" s="3" t="n">
        <v>119697</v>
      </c>
      <c r="G3962" s="3" t="n">
        <v>732746.7</v>
      </c>
    </row>
    <row r="3963">
      <c r="A3963" s="3" t="inlineStr">
        <is>
          <t>Heron Fields (Pty) Ltd</t>
        </is>
      </c>
      <c r="B3963" s="4" t="n">
        <v>45169</v>
      </c>
      <c r="C3963" s="3" t="inlineStr">
        <is>
          <t>Expenses</t>
        </is>
      </c>
      <c r="D3963" s="3" t="inlineStr">
        <is>
          <t>3351/000</t>
        </is>
      </c>
      <c r="E3963" s="3" t="inlineStr">
        <is>
          <t>Consulting fees - Trustee</t>
        </is>
      </c>
      <c r="F3963" s="3" t="n">
        <v>0</v>
      </c>
      <c r="G3963" s="3" t="n">
        <v>12200</v>
      </c>
    </row>
    <row r="3964">
      <c r="A3964" s="3" t="inlineStr">
        <is>
          <t>Heron View (Pty) Ltd</t>
        </is>
      </c>
      <c r="B3964" s="4" t="n">
        <v>45169</v>
      </c>
      <c r="C3964" s="3" t="inlineStr">
        <is>
          <t>Expenses</t>
        </is>
      </c>
      <c r="D3964" s="3" t="inlineStr">
        <is>
          <t>3351/000</t>
        </is>
      </c>
      <c r="E3964" s="3" t="inlineStr">
        <is>
          <t>Consulting fees - Trustee</t>
        </is>
      </c>
      <c r="F3964" s="3" t="n">
        <v>7250</v>
      </c>
      <c r="G3964" s="3" t="n">
        <v>21750</v>
      </c>
    </row>
    <row r="3965">
      <c r="A3965" s="3" t="inlineStr">
        <is>
          <t>Cape Projects Construction (Pty) Ltd</t>
        </is>
      </c>
      <c r="B3965" s="4" t="n">
        <v>45169</v>
      </c>
      <c r="C3965" s="3" t="inlineStr">
        <is>
          <t>Expenses</t>
        </is>
      </c>
      <c r="D3965" s="3" t="inlineStr">
        <is>
          <t>3400/000</t>
        </is>
      </c>
      <c r="E3965" s="3" t="inlineStr">
        <is>
          <t>Courier _AND_ Postage</t>
        </is>
      </c>
      <c r="F3965" s="3" t="n">
        <v>0</v>
      </c>
      <c r="G3965" s="3" t="n">
        <v>86.09</v>
      </c>
    </row>
    <row r="3966">
      <c r="A3966" s="3" t="inlineStr">
        <is>
          <t>Cape Projects Construction (Pty) Ltd</t>
        </is>
      </c>
      <c r="B3966" s="4" t="n">
        <v>45169</v>
      </c>
      <c r="C3966" s="3" t="inlineStr">
        <is>
          <t>Expenses</t>
        </is>
      </c>
      <c r="D3966" s="3" t="inlineStr">
        <is>
          <t>3450/001</t>
        </is>
      </c>
      <c r="E3966" s="3" t="inlineStr">
        <is>
          <t>Depreciation - Computer Equipment</t>
        </is>
      </c>
      <c r="F3966" s="3" t="n">
        <v>3323.89</v>
      </c>
      <c r="G3966" s="3" t="n">
        <v>19943.39</v>
      </c>
    </row>
    <row r="3967">
      <c r="A3967" s="3" t="inlineStr">
        <is>
          <t>Cape Projects Construction (Pty) Ltd</t>
        </is>
      </c>
      <c r="B3967" s="4" t="n">
        <v>45169</v>
      </c>
      <c r="C3967" s="3" t="inlineStr">
        <is>
          <t>Expenses</t>
        </is>
      </c>
      <c r="D3967" s="3" t="inlineStr">
        <is>
          <t>3450/002</t>
        </is>
      </c>
      <c r="E3967" s="3" t="inlineStr">
        <is>
          <t>Depreciation - Generator Fixed Asset</t>
        </is>
      </c>
      <c r="F3967" s="3" t="n">
        <v>1188.7</v>
      </c>
      <c r="G3967" s="3" t="n">
        <v>5141.47</v>
      </c>
    </row>
    <row r="3968">
      <c r="A3968" s="3" t="inlineStr">
        <is>
          <t>Cape Projects Construction (Pty) Ltd</t>
        </is>
      </c>
      <c r="B3968" s="4" t="n">
        <v>45169</v>
      </c>
      <c r="C3968" s="3" t="inlineStr">
        <is>
          <t>Expenses</t>
        </is>
      </c>
      <c r="D3968" s="3" t="inlineStr">
        <is>
          <t>3450/030</t>
        </is>
      </c>
      <c r="E3968" s="3" t="inlineStr">
        <is>
          <t>Depreciation - Furniture and Fittings</t>
        </is>
      </c>
      <c r="F3968" s="3" t="n">
        <v>547.67</v>
      </c>
      <c r="G3968" s="3" t="n">
        <v>3286.06</v>
      </c>
    </row>
    <row r="3969">
      <c r="A3969" s="3" t="inlineStr">
        <is>
          <t>Heron Fields (Pty) Ltd</t>
        </is>
      </c>
      <c r="B3969" s="4" t="n">
        <v>45169</v>
      </c>
      <c r="C3969" s="3" t="inlineStr">
        <is>
          <t>Expenses</t>
        </is>
      </c>
      <c r="D3969" s="3" t="inlineStr">
        <is>
          <t>3650/000</t>
        </is>
      </c>
      <c r="E3969" s="3" t="inlineStr">
        <is>
          <t>CoCT - Electricity</t>
        </is>
      </c>
      <c r="F3969" s="3" t="n">
        <v>118819.54</v>
      </c>
      <c r="G3969" s="3" t="n">
        <v>130083</v>
      </c>
    </row>
    <row r="3970">
      <c r="A3970" s="3" t="inlineStr">
        <is>
          <t>Cape Projects Construction (Pty) Ltd</t>
        </is>
      </c>
      <c r="B3970" s="4" t="n">
        <v>45169</v>
      </c>
      <c r="C3970" s="3" t="inlineStr">
        <is>
          <t>Expenses</t>
        </is>
      </c>
      <c r="D3970" s="3" t="inlineStr">
        <is>
          <t>3650/000</t>
        </is>
      </c>
      <c r="E3970" s="3" t="inlineStr">
        <is>
          <t>Electricity _AND_ Water</t>
        </is>
      </c>
      <c r="F3970" s="3" t="n">
        <v>7399.44</v>
      </c>
      <c r="G3970" s="3" t="n">
        <v>39859.1</v>
      </c>
    </row>
    <row r="3971">
      <c r="A3971" s="3" t="inlineStr">
        <is>
          <t>Heron Fields (Pty) Ltd</t>
        </is>
      </c>
      <c r="B3971" s="4" t="n">
        <v>45169</v>
      </c>
      <c r="C3971" s="3" t="inlineStr">
        <is>
          <t>Expenses</t>
        </is>
      </c>
      <c r="D3971" s="3" t="inlineStr">
        <is>
          <t>3660/000</t>
        </is>
      </c>
      <c r="E3971" s="3" t="inlineStr">
        <is>
          <t>CoCT - Water</t>
        </is>
      </c>
      <c r="F3971" s="3" t="n">
        <v>0</v>
      </c>
      <c r="G3971" s="3" t="n">
        <v>43879.43</v>
      </c>
    </row>
    <row r="3972">
      <c r="A3972" s="3" t="inlineStr">
        <is>
          <t>Heron Fields (Pty) Ltd</t>
        </is>
      </c>
      <c r="B3972" s="4" t="n">
        <v>45169</v>
      </c>
      <c r="C3972" s="3" t="inlineStr">
        <is>
          <t>Expenses</t>
        </is>
      </c>
      <c r="D3972" s="3" t="inlineStr">
        <is>
          <t>3670/000</t>
        </is>
      </c>
      <c r="E3972" s="3" t="inlineStr">
        <is>
          <t>CoCT - Refuse</t>
        </is>
      </c>
      <c r="F3972" s="3" t="n">
        <v>0</v>
      </c>
      <c r="G3972" s="3" t="n">
        <v>10690.2</v>
      </c>
    </row>
    <row r="3973">
      <c r="A3973" s="3" t="inlineStr">
        <is>
          <t>Heron Fields (Pty) Ltd</t>
        </is>
      </c>
      <c r="B3973" s="4" t="n">
        <v>45169</v>
      </c>
      <c r="C3973" s="3" t="inlineStr">
        <is>
          <t>Expenses</t>
        </is>
      </c>
      <c r="D3973" s="3" t="inlineStr">
        <is>
          <t>3700/000</t>
        </is>
      </c>
      <c r="E3973" s="3" t="inlineStr">
        <is>
          <t>Entertainment Expenses</t>
        </is>
      </c>
      <c r="F3973" s="3" t="n">
        <v>0</v>
      </c>
      <c r="G3973" s="3" t="n">
        <v>39.47</v>
      </c>
    </row>
    <row r="3974">
      <c r="A3974" s="3" t="inlineStr">
        <is>
          <t>Heron Fields (Pty) Ltd</t>
        </is>
      </c>
      <c r="B3974" s="4" t="n">
        <v>45169</v>
      </c>
      <c r="C3974" s="3" t="inlineStr">
        <is>
          <t>Expenses</t>
        </is>
      </c>
      <c r="D3974" s="3" t="inlineStr">
        <is>
          <t>3800/000</t>
        </is>
      </c>
      <c r="E3974" s="3" t="inlineStr">
        <is>
          <t>General Expenses</t>
        </is>
      </c>
      <c r="F3974" s="3" t="n">
        <v>0</v>
      </c>
      <c r="G3974" s="3" t="n">
        <v>199.99</v>
      </c>
    </row>
    <row r="3975">
      <c r="A3975" s="3" t="inlineStr">
        <is>
          <t>Heron Fields (Pty) Ltd</t>
        </is>
      </c>
      <c r="B3975" s="4" t="n">
        <v>45169</v>
      </c>
      <c r="C3975" s="3" t="inlineStr">
        <is>
          <t>Expenses</t>
        </is>
      </c>
      <c r="D3975" s="3" t="inlineStr">
        <is>
          <t>3850/000</t>
        </is>
      </c>
      <c r="E3975" s="3" t="inlineStr">
        <is>
          <t>Insurance</t>
        </is>
      </c>
      <c r="F3975" s="3" t="n">
        <v>10516.5</v>
      </c>
      <c r="G3975" s="3" t="n">
        <v>47892.36</v>
      </c>
    </row>
    <row r="3976">
      <c r="A3976" s="3" t="inlineStr">
        <is>
          <t>Cape Projects Construction (Pty) Ltd</t>
        </is>
      </c>
      <c r="B3976" s="4" t="n">
        <v>45169</v>
      </c>
      <c r="C3976" s="3" t="inlineStr">
        <is>
          <t>Expenses</t>
        </is>
      </c>
      <c r="D3976" s="3" t="inlineStr">
        <is>
          <t>3850/001</t>
        </is>
      </c>
      <c r="E3976" s="3" t="inlineStr">
        <is>
          <t>Insurance - Santam</t>
        </is>
      </c>
      <c r="F3976" s="3" t="n">
        <v>2085.79</v>
      </c>
      <c r="G3976" s="3" t="n">
        <v>11973.21</v>
      </c>
    </row>
    <row r="3977">
      <c r="A3977" s="3" t="inlineStr">
        <is>
          <t>Cape Projects Construction (Pty) Ltd</t>
        </is>
      </c>
      <c r="B3977" s="4" t="n">
        <v>45169</v>
      </c>
      <c r="C3977" s="3" t="inlineStr">
        <is>
          <t>Expenses</t>
        </is>
      </c>
      <c r="D3977" s="3" t="inlineStr">
        <is>
          <t>3850/004</t>
        </is>
      </c>
      <c r="E3977" s="3" t="inlineStr">
        <is>
          <t>Insurance - A_AND_G</t>
        </is>
      </c>
      <c r="F3977" s="3" t="n">
        <v>24242.76</v>
      </c>
      <c r="G3977" s="3" t="n">
        <v>24242.76</v>
      </c>
    </row>
    <row r="3978">
      <c r="A3978" s="3" t="inlineStr">
        <is>
          <t>Heron Fields (Pty) Ltd</t>
        </is>
      </c>
      <c r="B3978" s="4" t="n">
        <v>45169</v>
      </c>
      <c r="C3978" s="3" t="inlineStr">
        <is>
          <t>Expenses</t>
        </is>
      </c>
      <c r="D3978" s="3" t="inlineStr">
        <is>
          <t>3900/000</t>
        </is>
      </c>
      <c r="E3978" s="3" t="inlineStr">
        <is>
          <t>Interest Paid</t>
        </is>
      </c>
      <c r="F3978" s="3" t="n">
        <v>0</v>
      </c>
      <c r="G3978" s="3" t="n">
        <v>-533.8</v>
      </c>
    </row>
    <row r="3979">
      <c r="A3979" s="3" t="inlineStr">
        <is>
          <t>Heron Fields (Pty) Ltd</t>
        </is>
      </c>
      <c r="B3979" s="4" t="n">
        <v>45169</v>
      </c>
      <c r="C3979" s="3" t="inlineStr">
        <is>
          <t>Expenses</t>
        </is>
      </c>
      <c r="D3979" s="3" t="inlineStr">
        <is>
          <t>3900/111</t>
        </is>
      </c>
      <c r="E3979" s="3" t="inlineStr">
        <is>
          <t>Interest Paid - Investors @ 6.25%</t>
        </is>
      </c>
      <c r="F3979" s="3" t="n">
        <v>-0.09</v>
      </c>
      <c r="G3979" s="3" t="n">
        <v>167246.17</v>
      </c>
    </row>
    <row r="3980">
      <c r="A3980" s="3" t="inlineStr">
        <is>
          <t>Heron Fields (Pty) Ltd</t>
        </is>
      </c>
      <c r="B3980" s="4" t="n">
        <v>45169</v>
      </c>
      <c r="C3980" s="3" t="inlineStr">
        <is>
          <t>Expenses</t>
        </is>
      </c>
      <c r="D3980" s="3" t="inlineStr">
        <is>
          <t>3900/115</t>
        </is>
      </c>
      <c r="E3980" s="3" t="inlineStr">
        <is>
          <t>Interest Paid - Investors @ 6.5%</t>
        </is>
      </c>
      <c r="F3980" s="3" t="n">
        <v>0</v>
      </c>
      <c r="G3980" s="3" t="n">
        <v>72942.48</v>
      </c>
    </row>
    <row r="3981">
      <c r="A3981" s="3" t="inlineStr">
        <is>
          <t>Heron Fields (Pty) Ltd</t>
        </is>
      </c>
      <c r="B3981" s="4" t="n">
        <v>45169</v>
      </c>
      <c r="C3981" s="3" t="inlineStr">
        <is>
          <t>Expenses</t>
        </is>
      </c>
      <c r="D3981" s="3" t="inlineStr">
        <is>
          <t>3900/117</t>
        </is>
      </c>
      <c r="E3981" s="3" t="inlineStr">
        <is>
          <t>Interest Paid - Investors @ 6.75%</t>
        </is>
      </c>
      <c r="F3981" s="3" t="n">
        <v>0</v>
      </c>
      <c r="G3981" s="3" t="n">
        <v>44124.67</v>
      </c>
    </row>
    <row r="3982">
      <c r="A3982" s="3" t="inlineStr">
        <is>
          <t>Heron Fields (Pty) Ltd</t>
        </is>
      </c>
      <c r="B3982" s="4" t="n">
        <v>45169</v>
      </c>
      <c r="C3982" s="3" t="inlineStr">
        <is>
          <t>Expenses</t>
        </is>
      </c>
      <c r="D3982" s="3" t="inlineStr">
        <is>
          <t>3900/120</t>
        </is>
      </c>
      <c r="E3982" s="3" t="inlineStr">
        <is>
          <t>Interest Paid - Investors @ 7%</t>
        </is>
      </c>
      <c r="F3982" s="3" t="n">
        <v>0</v>
      </c>
      <c r="G3982" s="3" t="n">
        <v>11678.33</v>
      </c>
    </row>
    <row r="3983">
      <c r="A3983" s="3" t="inlineStr">
        <is>
          <t>Heron View (Pty) Ltd</t>
        </is>
      </c>
      <c r="B3983" s="4" t="n">
        <v>45169</v>
      </c>
      <c r="C3983" s="3" t="inlineStr">
        <is>
          <t>Expenses</t>
        </is>
      </c>
      <c r="D3983" s="3" t="inlineStr">
        <is>
          <t>3900/120</t>
        </is>
      </c>
      <c r="E3983" s="3" t="inlineStr">
        <is>
          <t>Interest Paid - Investors @ 7%</t>
        </is>
      </c>
      <c r="F3983" s="3" t="n">
        <v>675.38</v>
      </c>
      <c r="G3983" s="3" t="n">
        <v>675.38</v>
      </c>
    </row>
    <row r="3984">
      <c r="A3984" s="3" t="inlineStr">
        <is>
          <t>Heron Fields (Pty) Ltd</t>
        </is>
      </c>
      <c r="B3984" s="4" t="n">
        <v>45169</v>
      </c>
      <c r="C3984" s="3" t="inlineStr">
        <is>
          <t>Expenses</t>
        </is>
      </c>
      <c r="D3984" s="3" t="inlineStr">
        <is>
          <t>3900/126</t>
        </is>
      </c>
      <c r="E3984" s="3" t="inlineStr">
        <is>
          <t>Interest Paid - Investors @ 7.5%</t>
        </is>
      </c>
      <c r="F3984" s="3" t="n">
        <v>0</v>
      </c>
      <c r="G3984" s="3" t="n">
        <v>1252.24</v>
      </c>
    </row>
    <row r="3985">
      <c r="A3985" s="3" t="inlineStr">
        <is>
          <t>Heron View (Pty) Ltd</t>
        </is>
      </c>
      <c r="B3985" s="4" t="n">
        <v>45169</v>
      </c>
      <c r="C3985" s="3" t="inlineStr">
        <is>
          <t>Expenses</t>
        </is>
      </c>
      <c r="D3985" s="3" t="inlineStr">
        <is>
          <t>3900/126</t>
        </is>
      </c>
      <c r="E3985" s="3" t="inlineStr">
        <is>
          <t>Interest Paid - Investors @ 7.5%</t>
        </is>
      </c>
      <c r="F3985" s="3" t="n">
        <v>1424.97</v>
      </c>
      <c r="G3985" s="3" t="n">
        <v>1424.97</v>
      </c>
    </row>
    <row r="3986">
      <c r="A3986" s="3" t="inlineStr">
        <is>
          <t>Heron Fields (Pty) Ltd</t>
        </is>
      </c>
      <c r="B3986" s="4" t="n">
        <v>45169</v>
      </c>
      <c r="C3986" s="3" t="inlineStr">
        <is>
          <t>Expenses</t>
        </is>
      </c>
      <c r="D3986" s="3" t="inlineStr">
        <is>
          <t>3900/133</t>
        </is>
      </c>
      <c r="E3986" s="3" t="inlineStr">
        <is>
          <t>Interest Paid - Investors @ 8.25%</t>
        </is>
      </c>
      <c r="F3986" s="3" t="n">
        <v>0</v>
      </c>
      <c r="G3986" s="3" t="n">
        <v>5515.07</v>
      </c>
    </row>
    <row r="3987">
      <c r="A3987" s="3" t="inlineStr">
        <is>
          <t>Heron Fields (Pty) Ltd</t>
        </is>
      </c>
      <c r="B3987" s="4" t="n">
        <v>45169</v>
      </c>
      <c r="C3987" s="3" t="inlineStr">
        <is>
          <t>Expenses</t>
        </is>
      </c>
      <c r="D3987" s="3" t="inlineStr">
        <is>
          <t>3900/140</t>
        </is>
      </c>
      <c r="E3987" s="3" t="inlineStr">
        <is>
          <t>Interest Paid - Investors @ 9%</t>
        </is>
      </c>
      <c r="F3987" s="3" t="n">
        <v>0</v>
      </c>
      <c r="G3987" s="3" t="n">
        <v>591.78</v>
      </c>
    </row>
    <row r="3988">
      <c r="A3988" s="3" t="inlineStr">
        <is>
          <t>Heron View (Pty) Ltd</t>
        </is>
      </c>
      <c r="B3988" s="4" t="n">
        <v>45169</v>
      </c>
      <c r="C3988" s="3" t="inlineStr">
        <is>
          <t>Expenses</t>
        </is>
      </c>
      <c r="D3988" s="3" t="inlineStr">
        <is>
          <t>3900/140</t>
        </is>
      </c>
      <c r="E3988" s="3" t="inlineStr">
        <is>
          <t>Interest Paid - Investors @ 9%</t>
        </is>
      </c>
      <c r="F3988" s="3" t="n">
        <v>28180.7</v>
      </c>
      <c r="G3988" s="3" t="n">
        <v>28180.7</v>
      </c>
    </row>
    <row r="3989">
      <c r="A3989" s="3" t="inlineStr">
        <is>
          <t>Heron View (Pty) Ltd</t>
        </is>
      </c>
      <c r="B3989" s="4" t="n">
        <v>45169</v>
      </c>
      <c r="C3989" s="3" t="inlineStr">
        <is>
          <t>Expenses</t>
        </is>
      </c>
      <c r="D3989" s="3" t="inlineStr">
        <is>
          <t>3900/150</t>
        </is>
      </c>
      <c r="E3989" s="3" t="inlineStr">
        <is>
          <t>Interest Paid - Investors @ 10%</t>
        </is>
      </c>
      <c r="F3989" s="3" t="n">
        <v>1342.47</v>
      </c>
      <c r="G3989" s="3" t="n">
        <v>1342.47</v>
      </c>
    </row>
    <row r="3990">
      <c r="A3990" s="3" t="inlineStr">
        <is>
          <t>Heron View (Pty) Ltd</t>
        </is>
      </c>
      <c r="B3990" s="4" t="n">
        <v>45169</v>
      </c>
      <c r="C3990" s="3" t="inlineStr">
        <is>
          <t>Expenses</t>
        </is>
      </c>
      <c r="D3990" s="3" t="inlineStr">
        <is>
          <t>3900/155</t>
        </is>
      </c>
      <c r="E3990" s="3" t="inlineStr">
        <is>
          <t>Interest Paid - Investors @ 10.5%</t>
        </is>
      </c>
      <c r="F3990" s="3" t="n">
        <v>1610.96</v>
      </c>
      <c r="G3990" s="3" t="n">
        <v>1610.96</v>
      </c>
    </row>
    <row r="3991">
      <c r="A3991" s="3" t="inlineStr">
        <is>
          <t>Heron Fields (Pty) Ltd</t>
        </is>
      </c>
      <c r="B3991" s="4" t="n">
        <v>45169</v>
      </c>
      <c r="C3991" s="3" t="inlineStr">
        <is>
          <t>Expenses</t>
        </is>
      </c>
      <c r="D3991" s="3" t="inlineStr">
        <is>
          <t>3900/190</t>
        </is>
      </c>
      <c r="E3991" s="3" t="inlineStr">
        <is>
          <t>Interest Paid - Investors @ 14%</t>
        </is>
      </c>
      <c r="F3991" s="3" t="n">
        <v>0</v>
      </c>
      <c r="G3991" s="3" t="n">
        <v>400367.2</v>
      </c>
    </row>
    <row r="3992">
      <c r="A3992" s="3" t="inlineStr">
        <is>
          <t>Heron View (Pty) Ltd</t>
        </is>
      </c>
      <c r="B3992" s="4" t="n">
        <v>45169</v>
      </c>
      <c r="C3992" s="3" t="inlineStr">
        <is>
          <t>Expenses</t>
        </is>
      </c>
      <c r="D3992" s="3" t="inlineStr">
        <is>
          <t>3900/190</t>
        </is>
      </c>
      <c r="E3992" s="3" t="inlineStr">
        <is>
          <t>Interest Paid - Investors @ 14%</t>
        </is>
      </c>
      <c r="F3992" s="3" t="n">
        <v>314994.22</v>
      </c>
      <c r="G3992" s="3" t="n">
        <v>314994.22</v>
      </c>
    </row>
    <row r="3993">
      <c r="A3993" s="3" t="inlineStr">
        <is>
          <t>Heron Fields (Pty) Ltd</t>
        </is>
      </c>
      <c r="B3993" s="4" t="n">
        <v>45169</v>
      </c>
      <c r="C3993" s="3" t="inlineStr">
        <is>
          <t>Expenses</t>
        </is>
      </c>
      <c r="D3993" s="3" t="inlineStr">
        <is>
          <t>3900/200</t>
        </is>
      </c>
      <c r="E3993" s="3" t="inlineStr">
        <is>
          <t>Interest Paid - Investors @ 15%</t>
        </is>
      </c>
      <c r="F3993" s="3" t="n">
        <v>0</v>
      </c>
      <c r="G3993" s="3" t="n">
        <v>333349.31</v>
      </c>
    </row>
    <row r="3994">
      <c r="A3994" s="3" t="inlineStr">
        <is>
          <t>Heron Fields (Pty) Ltd</t>
        </is>
      </c>
      <c r="B3994" s="4" t="n">
        <v>45169</v>
      </c>
      <c r="C3994" s="3" t="inlineStr">
        <is>
          <t>Expenses</t>
        </is>
      </c>
      <c r="D3994" s="3" t="inlineStr">
        <is>
          <t>3900/210</t>
        </is>
      </c>
      <c r="E3994" s="3" t="inlineStr">
        <is>
          <t>Interest Paid - Investors @ 16%</t>
        </is>
      </c>
      <c r="F3994" s="3" t="n">
        <v>0</v>
      </c>
      <c r="G3994" s="3" t="n">
        <v>47473.98</v>
      </c>
    </row>
    <row r="3995">
      <c r="A3995" s="3" t="inlineStr">
        <is>
          <t>Heron View (Pty) Ltd</t>
        </is>
      </c>
      <c r="B3995" s="4" t="n">
        <v>45169</v>
      </c>
      <c r="C3995" s="3" t="inlineStr">
        <is>
          <t>Expenses</t>
        </is>
      </c>
      <c r="D3995" s="3" t="inlineStr">
        <is>
          <t>3900/210</t>
        </is>
      </c>
      <c r="E3995" s="3" t="inlineStr">
        <is>
          <t>Interest Paid - Investors @ 16%</t>
        </is>
      </c>
      <c r="F3995" s="3" t="n">
        <v>36699.18</v>
      </c>
      <c r="G3995" s="3" t="n">
        <v>36699.18</v>
      </c>
    </row>
    <row r="3996">
      <c r="A3996" s="3" t="inlineStr">
        <is>
          <t>Heron Fields (Pty) Ltd</t>
        </is>
      </c>
      <c r="B3996" s="4" t="n">
        <v>45169</v>
      </c>
      <c r="C3996" s="3" t="inlineStr">
        <is>
          <t>Expenses</t>
        </is>
      </c>
      <c r="D3996" s="3" t="inlineStr">
        <is>
          <t>3900/230</t>
        </is>
      </c>
      <c r="E3996" s="3" t="inlineStr">
        <is>
          <t>Interest Paid - Investors @ 18%</t>
        </is>
      </c>
      <c r="F3996" s="3" t="n">
        <v>0</v>
      </c>
      <c r="G3996" s="3" t="n">
        <v>3197167.68</v>
      </c>
    </row>
    <row r="3997">
      <c r="A3997" s="3" t="inlineStr">
        <is>
          <t>Heron View (Pty) Ltd</t>
        </is>
      </c>
      <c r="B3997" s="4" t="n">
        <v>45169</v>
      </c>
      <c r="C3997" s="3" t="inlineStr">
        <is>
          <t>Expenses</t>
        </is>
      </c>
      <c r="D3997" s="3" t="inlineStr">
        <is>
          <t>3900/230</t>
        </is>
      </c>
      <c r="E3997" s="3" t="inlineStr">
        <is>
          <t>Interest Paid - Investors @ 18%</t>
        </is>
      </c>
      <c r="F3997" s="3" t="n">
        <v>403347.95</v>
      </c>
      <c r="G3997" s="3" t="n">
        <v>403347.95</v>
      </c>
    </row>
    <row r="3998">
      <c r="A3998" s="3" t="inlineStr">
        <is>
          <t>Cape Projects Construction (Pty) Ltd</t>
        </is>
      </c>
      <c r="B3998" s="4" t="n">
        <v>45169</v>
      </c>
      <c r="C3998" s="3" t="inlineStr">
        <is>
          <t>Expenses</t>
        </is>
      </c>
      <c r="D3998" s="3" t="inlineStr">
        <is>
          <t>4000/000</t>
        </is>
      </c>
      <c r="E3998" s="3" t="inlineStr">
        <is>
          <t>Legal Fees</t>
        </is>
      </c>
      <c r="F3998" s="3" t="n">
        <v>0</v>
      </c>
      <c r="G3998" s="3" t="n">
        <v>5202.88</v>
      </c>
    </row>
    <row r="3999">
      <c r="A3999" s="3" t="inlineStr">
        <is>
          <t>Heron Fields (Pty) Ltd</t>
        </is>
      </c>
      <c r="B3999" s="4" t="n">
        <v>45169</v>
      </c>
      <c r="C3999" s="3" t="inlineStr">
        <is>
          <t>Expenses</t>
        </is>
      </c>
      <c r="D3999" s="3" t="inlineStr">
        <is>
          <t>4050/100</t>
        </is>
      </c>
      <c r="E3999" s="3" t="inlineStr">
        <is>
          <t>Developers Levies</t>
        </is>
      </c>
      <c r="F3999" s="3" t="n">
        <v>0</v>
      </c>
      <c r="G3999" s="3" t="n">
        <v>76865.83</v>
      </c>
    </row>
    <row r="4000">
      <c r="A4000" s="3" t="inlineStr">
        <is>
          <t>Heron View (Pty) Ltd</t>
        </is>
      </c>
      <c r="B4000" s="4" t="n">
        <v>45169</v>
      </c>
      <c r="C4000" s="3" t="inlineStr">
        <is>
          <t>Expenses</t>
        </is>
      </c>
      <c r="D4000" s="3" t="inlineStr">
        <is>
          <t>4070/000</t>
        </is>
      </c>
      <c r="E4000" s="3" t="inlineStr">
        <is>
          <t>Management fees - OMH</t>
        </is>
      </c>
      <c r="F4000" s="3" t="n">
        <v>50000</v>
      </c>
      <c r="G4000" s="3" t="n">
        <v>400000</v>
      </c>
    </row>
    <row r="4001">
      <c r="A4001" s="3" t="inlineStr">
        <is>
          <t>Heron Fields (Pty) Ltd</t>
        </is>
      </c>
      <c r="B4001" s="4" t="n">
        <v>45169</v>
      </c>
      <c r="C4001" s="3" t="inlineStr">
        <is>
          <t>Expenses</t>
        </is>
      </c>
      <c r="D4001" s="3" t="inlineStr">
        <is>
          <t>4100/001</t>
        </is>
      </c>
      <c r="E4001" s="3" t="inlineStr">
        <is>
          <t>Momentum Admin Fee</t>
        </is>
      </c>
      <c r="F4001" s="3" t="n">
        <v>12954.16</v>
      </c>
      <c r="G4001" s="3" t="n">
        <v>57506.95</v>
      </c>
    </row>
    <row r="4002">
      <c r="A4002" s="3" t="inlineStr">
        <is>
          <t>Cape Projects Construction (Pty) Ltd</t>
        </is>
      </c>
      <c r="B4002" s="4" t="n">
        <v>45169</v>
      </c>
      <c r="C4002" s="3" t="inlineStr">
        <is>
          <t>Expenses</t>
        </is>
      </c>
      <c r="D4002" s="3" t="inlineStr">
        <is>
          <t>4150/000</t>
        </is>
      </c>
      <c r="E4002" s="3" t="inlineStr">
        <is>
          <t>Motor Vehicle Expenses</t>
        </is>
      </c>
      <c r="F4002" s="3" t="n">
        <v>0</v>
      </c>
      <c r="G4002" s="3" t="n">
        <v>362</v>
      </c>
    </row>
    <row r="4003">
      <c r="A4003" s="3" t="inlineStr">
        <is>
          <t>Heron Fields (Pty) Ltd</t>
        </is>
      </c>
      <c r="B4003" s="4" t="n">
        <v>45169</v>
      </c>
      <c r="C4003" s="3" t="inlineStr">
        <is>
          <t>Expenses</t>
        </is>
      </c>
      <c r="D4003" s="3" t="inlineStr">
        <is>
          <t>4150/000</t>
        </is>
      </c>
      <c r="E4003" s="3" t="inlineStr">
        <is>
          <t>Motor Vehicle Expenses</t>
        </is>
      </c>
      <c r="F4003" s="3" t="n">
        <v>0</v>
      </c>
      <c r="G4003" s="3" t="n">
        <v>20</v>
      </c>
    </row>
    <row r="4004">
      <c r="A4004" s="3" t="inlineStr">
        <is>
          <t>Cape Projects Construction (Pty) Ltd</t>
        </is>
      </c>
      <c r="B4004" s="4" t="n">
        <v>45169</v>
      </c>
      <c r="C4004" s="3" t="inlineStr">
        <is>
          <t>Expenses</t>
        </is>
      </c>
      <c r="D4004" s="3" t="inlineStr">
        <is>
          <t>4150/010</t>
        </is>
      </c>
      <c r="E4004" s="3" t="inlineStr">
        <is>
          <t>Motor Vehicle - Petrol _AND_ Oil</t>
        </is>
      </c>
      <c r="F4004" s="3" t="n">
        <v>0</v>
      </c>
      <c r="G4004" s="3" t="n">
        <v>24804.03</v>
      </c>
    </row>
    <row r="4005">
      <c r="A4005" s="3" t="inlineStr">
        <is>
          <t>Cape Projects Construction (Pty) Ltd</t>
        </is>
      </c>
      <c r="B4005" s="4" t="n">
        <v>45169</v>
      </c>
      <c r="C4005" s="3" t="inlineStr">
        <is>
          <t>Expenses</t>
        </is>
      </c>
      <c r="D4005" s="3" t="inlineStr">
        <is>
          <t>4150/030</t>
        </is>
      </c>
      <c r="E4005" s="3" t="inlineStr">
        <is>
          <t>Motor Vehicle - Insurance _AND_ Licence</t>
        </is>
      </c>
      <c r="F4005" s="3" t="n">
        <v>0</v>
      </c>
      <c r="G4005" s="3" t="n">
        <v>1069</v>
      </c>
    </row>
    <row r="4006">
      <c r="A4006" s="3" t="inlineStr">
        <is>
          <t>Cape Projects Construction (Pty) Ltd</t>
        </is>
      </c>
      <c r="B4006" s="4" t="n">
        <v>45169</v>
      </c>
      <c r="C4006" s="3" t="inlineStr">
        <is>
          <t>Expenses</t>
        </is>
      </c>
      <c r="D4006" s="3" t="inlineStr">
        <is>
          <t>4200/000</t>
        </is>
      </c>
      <c r="E4006" s="3" t="inlineStr">
        <is>
          <t>Printing _AND_ Stationery</t>
        </is>
      </c>
      <c r="F4006" s="3" t="n">
        <v>2648.22</v>
      </c>
      <c r="G4006" s="3" t="n">
        <v>18338.92</v>
      </c>
    </row>
    <row r="4007">
      <c r="A4007" s="3" t="inlineStr">
        <is>
          <t>Cape Projects Construction (Pty) Ltd</t>
        </is>
      </c>
      <c r="B4007" s="4" t="n">
        <v>45169</v>
      </c>
      <c r="C4007" s="3" t="inlineStr">
        <is>
          <t>Expenses</t>
        </is>
      </c>
      <c r="D4007" s="3" t="inlineStr">
        <is>
          <t>4201/000</t>
        </is>
      </c>
      <c r="E4007" s="3" t="inlineStr">
        <is>
          <t>Printing - Printer rental</t>
        </is>
      </c>
      <c r="F4007" s="3" t="n">
        <v>4215.07</v>
      </c>
      <c r="G4007" s="3" t="n">
        <v>11723.57</v>
      </c>
    </row>
    <row r="4008">
      <c r="A4008" s="3" t="inlineStr">
        <is>
          <t>Cape Projects Construction (Pty) Ltd</t>
        </is>
      </c>
      <c r="B4008" s="4" t="n">
        <v>45169</v>
      </c>
      <c r="C4008" s="3" t="inlineStr">
        <is>
          <t>Expenses</t>
        </is>
      </c>
      <c r="D4008" s="3" t="inlineStr">
        <is>
          <t>4300/000</t>
        </is>
      </c>
      <c r="E4008" s="3" t="inlineStr">
        <is>
          <t>Rent Paid</t>
        </is>
      </c>
      <c r="F4008" s="3" t="n">
        <v>29600</v>
      </c>
      <c r="G4008" s="3" t="n">
        <v>177600</v>
      </c>
    </row>
    <row r="4009">
      <c r="A4009" s="3" t="inlineStr">
        <is>
          <t>Cape Projects Construction (Pty) Ltd</t>
        </is>
      </c>
      <c r="B4009" s="4" t="n">
        <v>45169</v>
      </c>
      <c r="C4009" s="3" t="inlineStr">
        <is>
          <t>Expenses</t>
        </is>
      </c>
      <c r="D4009" s="3" t="inlineStr">
        <is>
          <t>4310/000</t>
        </is>
      </c>
      <c r="E4009" s="3" t="inlineStr">
        <is>
          <t>Rates</t>
        </is>
      </c>
      <c r="F4009" s="3" t="n">
        <v>2871.04</v>
      </c>
      <c r="G4009" s="3" t="n">
        <v>7089.04</v>
      </c>
    </row>
    <row r="4010">
      <c r="A4010" s="3" t="inlineStr">
        <is>
          <t>Heron Fields (Pty) Ltd</t>
        </is>
      </c>
      <c r="B4010" s="4" t="n">
        <v>45169</v>
      </c>
      <c r="C4010" s="3" t="inlineStr">
        <is>
          <t>Expenses</t>
        </is>
      </c>
      <c r="D4010" s="3" t="inlineStr">
        <is>
          <t>4310/000</t>
        </is>
      </c>
      <c r="E4010" s="3" t="inlineStr">
        <is>
          <t>Rates - Heron</t>
        </is>
      </c>
      <c r="F4010" s="3" t="n">
        <v>0</v>
      </c>
      <c r="G4010" s="3" t="n">
        <v>-11396.43</v>
      </c>
    </row>
    <row r="4011">
      <c r="A4011" s="3" t="inlineStr">
        <is>
          <t>Cape Projects Construction (Pty) Ltd</t>
        </is>
      </c>
      <c r="B4011" s="4" t="n">
        <v>45169</v>
      </c>
      <c r="C4011" s="3" t="inlineStr">
        <is>
          <t>Expenses</t>
        </is>
      </c>
      <c r="D4011" s="3" t="inlineStr">
        <is>
          <t>4350/000</t>
        </is>
      </c>
      <c r="E4011" s="3" t="inlineStr">
        <is>
          <t>Repairs _AND_ Maintenance</t>
        </is>
      </c>
      <c r="F4011" s="3" t="n">
        <v>682.61</v>
      </c>
      <c r="G4011" s="3" t="n">
        <v>15462.01</v>
      </c>
    </row>
    <row r="4012">
      <c r="A4012" s="3" t="inlineStr">
        <is>
          <t>Heron Fields (Pty) Ltd</t>
        </is>
      </c>
      <c r="B4012" s="4" t="n">
        <v>45169</v>
      </c>
      <c r="C4012" s="3" t="inlineStr">
        <is>
          <t>Expenses</t>
        </is>
      </c>
      <c r="D4012" s="3" t="inlineStr">
        <is>
          <t>4350/000</t>
        </is>
      </c>
      <c r="E4012" s="3" t="inlineStr">
        <is>
          <t>Repairs _AND_ Maintenance</t>
        </is>
      </c>
      <c r="F4012" s="3" t="n">
        <v>0</v>
      </c>
      <c r="G4012" s="3" t="n">
        <v>33647.28</v>
      </c>
    </row>
    <row r="4013">
      <c r="A4013" s="3" t="inlineStr">
        <is>
          <t>Cape Projects Construction (Pty) Ltd</t>
        </is>
      </c>
      <c r="B4013" s="4" t="n">
        <v>45169</v>
      </c>
      <c r="C4013" s="3" t="inlineStr">
        <is>
          <t>Expenses</t>
        </is>
      </c>
      <c r="D4013" s="3" t="inlineStr">
        <is>
          <t>4400/000</t>
        </is>
      </c>
      <c r="E4013" s="3" t="inlineStr">
        <is>
          <t>Salaries _AND_ Wages</t>
        </is>
      </c>
      <c r="F4013" s="3" t="n">
        <v>368859.45</v>
      </c>
      <c r="G4013" s="3" t="n">
        <v>2091795.48</v>
      </c>
    </row>
    <row r="4014">
      <c r="A4014" s="3" t="inlineStr">
        <is>
          <t>Cape Projects Construction (Pty) Ltd</t>
        </is>
      </c>
      <c r="B4014" s="4" t="n">
        <v>45169</v>
      </c>
      <c r="C4014" s="3" t="inlineStr">
        <is>
          <t>Expenses</t>
        </is>
      </c>
      <c r="D4014" s="3" t="inlineStr">
        <is>
          <t>4402</t>
        </is>
      </c>
      <c r="E4014" s="3" t="inlineStr">
        <is>
          <t>Salaries &amp; Wages - WCA</t>
        </is>
      </c>
      <c r="F4014" s="3" t="n">
        <v>0</v>
      </c>
      <c r="G4014" s="3" t="n">
        <v>5192.13</v>
      </c>
    </row>
    <row r="4015">
      <c r="A4015" s="3" t="inlineStr">
        <is>
          <t>Cape Projects Construction (Pty) Ltd</t>
        </is>
      </c>
      <c r="B4015" s="4" t="n">
        <v>45169</v>
      </c>
      <c r="C4015" s="3" t="inlineStr">
        <is>
          <t>Expenses</t>
        </is>
      </c>
      <c r="D4015" s="3" t="inlineStr">
        <is>
          <t>4403/000</t>
        </is>
      </c>
      <c r="E4015" s="3" t="inlineStr">
        <is>
          <t>Security</t>
        </is>
      </c>
      <c r="F4015" s="3" t="n">
        <v>177.33</v>
      </c>
      <c r="G4015" s="3" t="n">
        <v>1063.98</v>
      </c>
    </row>
    <row r="4016">
      <c r="A4016" s="3" t="inlineStr">
        <is>
          <t>Cape Projects Construction (Pty) Ltd</t>
        </is>
      </c>
      <c r="B4016" s="4" t="n">
        <v>45169</v>
      </c>
      <c r="C4016" s="3" t="inlineStr">
        <is>
          <t>Expenses</t>
        </is>
      </c>
      <c r="D4016" s="3" t="inlineStr">
        <is>
          <t>4420/000</t>
        </is>
      </c>
      <c r="E4016" s="3" t="inlineStr">
        <is>
          <t>Small Assets</t>
        </is>
      </c>
      <c r="F4016" s="3" t="n">
        <v>9888.959999999999</v>
      </c>
      <c r="G4016" s="3" t="n">
        <v>19268.46</v>
      </c>
    </row>
    <row r="4017">
      <c r="A4017" s="3" t="inlineStr">
        <is>
          <t>Heron Fields (Pty) Ltd</t>
        </is>
      </c>
      <c r="B4017" s="4" t="n">
        <v>45169</v>
      </c>
      <c r="C4017" s="3" t="inlineStr">
        <is>
          <t>Expenses</t>
        </is>
      </c>
      <c r="D4017" s="3" t="inlineStr">
        <is>
          <t>4420/001</t>
        </is>
      </c>
      <c r="E4017" s="3" t="inlineStr">
        <is>
          <t>Security - ADT</t>
        </is>
      </c>
      <c r="F4017" s="3" t="n">
        <v>366.14</v>
      </c>
      <c r="G4017" s="3" t="n">
        <v>2083.56</v>
      </c>
    </row>
    <row r="4018">
      <c r="A4018" s="3" t="inlineStr">
        <is>
          <t>Cape Projects Construction (Pty) Ltd</t>
        </is>
      </c>
      <c r="B4018" s="4" t="n">
        <v>45169</v>
      </c>
      <c r="C4018" s="3" t="inlineStr">
        <is>
          <t>Expenses</t>
        </is>
      </c>
      <c r="D4018" s="3" t="inlineStr">
        <is>
          <t>4500/000</t>
        </is>
      </c>
      <c r="E4018" s="3" t="inlineStr">
        <is>
          <t>Staff Welfare _AND_ Refreshmts</t>
        </is>
      </c>
      <c r="F4018" s="3" t="n">
        <v>14904.84</v>
      </c>
      <c r="G4018" s="3" t="n">
        <v>25084.51</v>
      </c>
    </row>
    <row r="4019">
      <c r="A4019" s="3" t="inlineStr">
        <is>
          <t>Cape Projects Construction (Pty) Ltd</t>
        </is>
      </c>
      <c r="B4019" s="4" t="n">
        <v>45169</v>
      </c>
      <c r="C4019" s="3" t="inlineStr">
        <is>
          <t>Expenses</t>
        </is>
      </c>
      <c r="D4019" s="3" t="inlineStr">
        <is>
          <t>4550/000</t>
        </is>
      </c>
      <c r="E4019" s="3" t="inlineStr">
        <is>
          <t>Subscriptions / Licenses</t>
        </is>
      </c>
      <c r="F4019" s="3" t="n">
        <v>3016</v>
      </c>
      <c r="G4019" s="3" t="n">
        <v>13527.97</v>
      </c>
    </row>
    <row r="4020">
      <c r="A4020" s="3" t="inlineStr">
        <is>
          <t>Cape Projects Construction (Pty) Ltd</t>
        </is>
      </c>
      <c r="B4020" s="4" t="n">
        <v>45169</v>
      </c>
      <c r="C4020" s="3" t="inlineStr">
        <is>
          <t>Expenses</t>
        </is>
      </c>
      <c r="D4020" s="3" t="inlineStr">
        <is>
          <t>4550/001</t>
        </is>
      </c>
      <c r="E4020" s="3" t="inlineStr">
        <is>
          <t>Subscriptions &amp; Licenses - Sage payroll</t>
        </is>
      </c>
      <c r="F4020" s="3" t="n">
        <v>747</v>
      </c>
      <c r="G4020" s="3" t="n">
        <v>4482</v>
      </c>
    </row>
    <row r="4021">
      <c r="A4021" s="3" t="inlineStr">
        <is>
          <t>Cape Projects Construction (Pty) Ltd</t>
        </is>
      </c>
      <c r="B4021" s="4" t="n">
        <v>45169</v>
      </c>
      <c r="C4021" s="3" t="inlineStr">
        <is>
          <t>Expenses</t>
        </is>
      </c>
      <c r="D4021" s="3" t="inlineStr">
        <is>
          <t>4550/002</t>
        </is>
      </c>
      <c r="E4021" s="3" t="inlineStr">
        <is>
          <t>Subscriptions &amp; Licenses - Caseware</t>
        </is>
      </c>
      <c r="F4021" s="3" t="n">
        <v>0</v>
      </c>
      <c r="G4021" s="3" t="n">
        <v>10825.49</v>
      </c>
    </row>
    <row r="4022">
      <c r="A4022" s="3" t="inlineStr">
        <is>
          <t>Cape Projects Construction (Pty) Ltd</t>
        </is>
      </c>
      <c r="B4022" s="4" t="n">
        <v>45169</v>
      </c>
      <c r="C4022" s="3" t="inlineStr">
        <is>
          <t>Expenses</t>
        </is>
      </c>
      <c r="D4022" s="3" t="inlineStr">
        <is>
          <t>4550/003</t>
        </is>
      </c>
      <c r="E4022" s="3" t="inlineStr">
        <is>
          <t>Subscriptions &amp; Licenses - Xero</t>
        </is>
      </c>
      <c r="F4022" s="3" t="n">
        <v>600</v>
      </c>
      <c r="G4022" s="3" t="n">
        <v>3600</v>
      </c>
    </row>
    <row r="4023">
      <c r="A4023" s="3" t="inlineStr">
        <is>
          <t>Cape Projects Construction (Pty) Ltd</t>
        </is>
      </c>
      <c r="B4023" s="4" t="n">
        <v>45169</v>
      </c>
      <c r="C4023" s="3" t="inlineStr">
        <is>
          <t>Expenses</t>
        </is>
      </c>
      <c r="D4023" s="3" t="inlineStr">
        <is>
          <t>4550/004</t>
        </is>
      </c>
      <c r="E4023" s="3" t="inlineStr">
        <is>
          <t>Subscriptions - Smartsheet</t>
        </is>
      </c>
      <c r="F4023" s="3" t="n">
        <v>847</v>
      </c>
      <c r="G4023" s="3" t="n">
        <v>4886.73</v>
      </c>
    </row>
    <row r="4024">
      <c r="A4024" s="3" t="inlineStr">
        <is>
          <t>Cape Projects Construction (Pty) Ltd</t>
        </is>
      </c>
      <c r="B4024" s="4" t="n">
        <v>45169</v>
      </c>
      <c r="C4024" s="3" t="inlineStr">
        <is>
          <t>Expenses</t>
        </is>
      </c>
      <c r="D4024" s="3" t="inlineStr">
        <is>
          <t>4550/008</t>
        </is>
      </c>
      <c r="E4024" s="3" t="inlineStr">
        <is>
          <t>Subscriptions  - Adobe</t>
        </is>
      </c>
      <c r="F4024" s="3" t="n">
        <v>4498.72</v>
      </c>
      <c r="G4024" s="3" t="n">
        <v>4498.72</v>
      </c>
    </row>
    <row r="4025">
      <c r="A4025" s="3" t="inlineStr">
        <is>
          <t>Heron Fields (Pty) Ltd</t>
        </is>
      </c>
      <c r="B4025" s="4" t="n">
        <v>45169</v>
      </c>
      <c r="C4025" s="3" t="inlineStr">
        <is>
          <t>Expenses</t>
        </is>
      </c>
      <c r="D4025" s="3" t="inlineStr">
        <is>
          <t>4550/100</t>
        </is>
      </c>
      <c r="E4025" s="3" t="inlineStr">
        <is>
          <t>Subscriptions - Xero</t>
        </is>
      </c>
      <c r="F4025" s="3" t="n">
        <v>600</v>
      </c>
      <c r="G4025" s="3" t="n">
        <v>3600</v>
      </c>
    </row>
    <row r="4026">
      <c r="A4026" s="3" t="inlineStr">
        <is>
          <t>Heron View (Pty) Ltd</t>
        </is>
      </c>
      <c r="B4026" s="4" t="n">
        <v>45169</v>
      </c>
      <c r="C4026" s="3" t="inlineStr">
        <is>
          <t>Expenses</t>
        </is>
      </c>
      <c r="D4026" s="3" t="inlineStr">
        <is>
          <t>4550/100</t>
        </is>
      </c>
      <c r="E4026" s="3" t="inlineStr">
        <is>
          <t>Subscriptions - Xero</t>
        </is>
      </c>
      <c r="F4026" s="3" t="n">
        <v>600</v>
      </c>
      <c r="G4026" s="3" t="n">
        <v>3600</v>
      </c>
    </row>
    <row r="4027">
      <c r="A4027" s="3" t="inlineStr">
        <is>
          <t>Cape Projects Construction (Pty) Ltd</t>
        </is>
      </c>
      <c r="B4027" s="4" t="n">
        <v>45169</v>
      </c>
      <c r="C4027" s="3" t="inlineStr">
        <is>
          <t>Expenses</t>
        </is>
      </c>
      <c r="D4027" s="3" t="inlineStr">
        <is>
          <t>4560</t>
        </is>
      </c>
      <c r="E4027" s="3" t="inlineStr">
        <is>
          <t>Secretarial fees - CIPC</t>
        </is>
      </c>
      <c r="F4027" s="3" t="n">
        <v>0</v>
      </c>
      <c r="G4027" s="3" t="n">
        <v>4000</v>
      </c>
    </row>
    <row r="4028">
      <c r="A4028" s="3" t="inlineStr">
        <is>
          <t>Cape Projects Construction (Pty) Ltd</t>
        </is>
      </c>
      <c r="B4028" s="4" t="n">
        <v>45169</v>
      </c>
      <c r="C4028" s="3" t="inlineStr">
        <is>
          <t>Expenses</t>
        </is>
      </c>
      <c r="D4028" s="3" t="inlineStr">
        <is>
          <t>4600/000</t>
        </is>
      </c>
      <c r="E4028" s="3" t="inlineStr">
        <is>
          <t>Telephone _AND_ Fax</t>
        </is>
      </c>
      <c r="F4028" s="3" t="n">
        <v>11566.33</v>
      </c>
      <c r="G4028" s="3" t="n">
        <v>11566.33</v>
      </c>
    </row>
    <row r="4029">
      <c r="A4029" s="3" t="inlineStr">
        <is>
          <t>Cape Projects Construction (Pty) Ltd</t>
        </is>
      </c>
      <c r="B4029" s="4" t="n">
        <v>45169</v>
      </c>
      <c r="C4029" s="3" t="inlineStr">
        <is>
          <t>Expenses</t>
        </is>
      </c>
      <c r="D4029" s="3" t="inlineStr">
        <is>
          <t>4700/000</t>
        </is>
      </c>
      <c r="E4029" s="3" t="inlineStr">
        <is>
          <t>PAYE Contributions</t>
        </is>
      </c>
      <c r="F4029" s="3" t="n">
        <v>81778.72</v>
      </c>
      <c r="G4029" s="3" t="n">
        <v>477131.32</v>
      </c>
    </row>
    <row r="4030">
      <c r="A4030" s="3" t="inlineStr">
        <is>
          <t>Cape Projects Construction (Pty) Ltd</t>
        </is>
      </c>
      <c r="B4030" s="4" t="n">
        <v>45169</v>
      </c>
      <c r="C4030" s="3" t="inlineStr">
        <is>
          <t>Expenses</t>
        </is>
      </c>
      <c r="D4030" s="3" t="inlineStr">
        <is>
          <t>4720/000</t>
        </is>
      </c>
      <c r="E4030" s="3" t="inlineStr">
        <is>
          <t>SDL Contributions</t>
        </is>
      </c>
      <c r="F4030" s="3" t="n">
        <v>4381.84</v>
      </c>
      <c r="G4030" s="3" t="n">
        <v>24940.37</v>
      </c>
    </row>
    <row r="4031">
      <c r="A4031" s="3" t="inlineStr">
        <is>
          <t>Cape Projects Construction (Pty) Ltd</t>
        </is>
      </c>
      <c r="B4031" s="4" t="n">
        <v>45169</v>
      </c>
      <c r="C4031" s="3" t="inlineStr">
        <is>
          <t>Expenses</t>
        </is>
      </c>
      <c r="D4031" s="3" t="inlineStr">
        <is>
          <t>4730/000</t>
        </is>
      </c>
      <c r="E4031" s="3" t="inlineStr">
        <is>
          <t>UIF Company Contributions</t>
        </is>
      </c>
      <c r="F4031" s="3" t="n">
        <v>2396.05</v>
      </c>
      <c r="G4031" s="3" t="n">
        <v>13316.88</v>
      </c>
    </row>
    <row r="4032">
      <c r="A4032" s="3" t="inlineStr">
        <is>
          <t>Cape Projects Construction (Pty) Ltd</t>
        </is>
      </c>
      <c r="B4032" s="4" t="n">
        <v>45169</v>
      </c>
      <c r="C4032" s="3" t="inlineStr">
        <is>
          <t>Expenses</t>
        </is>
      </c>
      <c r="D4032" s="3" t="inlineStr">
        <is>
          <t>4731/000</t>
        </is>
      </c>
      <c r="E4032" s="3" t="inlineStr">
        <is>
          <t>UIF Employee Contribution</t>
        </is>
      </c>
      <c r="F4032" s="3" t="n">
        <v>2396.05</v>
      </c>
      <c r="G4032" s="3" t="n">
        <v>13316.88</v>
      </c>
    </row>
    <row r="4033">
      <c r="A4033" s="3" t="inlineStr">
        <is>
          <t>Cape Projects Construction (Pty) Ltd</t>
        </is>
      </c>
      <c r="B4033" s="4" t="n">
        <v>45169</v>
      </c>
      <c r="C4033" s="3" t="inlineStr">
        <is>
          <t>Expenses</t>
        </is>
      </c>
      <c r="D4033" s="3" t="inlineStr">
        <is>
          <t>4740/000</t>
        </is>
      </c>
      <c r="E4033" s="3" t="inlineStr">
        <is>
          <t>BIBC Company Contribution</t>
        </is>
      </c>
      <c r="F4033" s="3" t="n">
        <v>0</v>
      </c>
      <c r="G4033" s="3" t="n">
        <v>15075.35</v>
      </c>
    </row>
    <row r="4034">
      <c r="A4034" s="3" t="inlineStr">
        <is>
          <t>Cape Projects Construction (Pty) Ltd</t>
        </is>
      </c>
      <c r="B4034" s="4" t="n">
        <v>45169</v>
      </c>
      <c r="C4034" s="3" t="inlineStr">
        <is>
          <t>Expenses</t>
        </is>
      </c>
      <c r="D4034" s="3" t="inlineStr">
        <is>
          <t>4741/000</t>
        </is>
      </c>
      <c r="E4034" s="3" t="inlineStr">
        <is>
          <t>BIBC Employee Contribution</t>
        </is>
      </c>
      <c r="F4034" s="3" t="n">
        <v>0</v>
      </c>
      <c r="G4034" s="3" t="n">
        <v>4562.1</v>
      </c>
    </row>
    <row r="4035">
      <c r="A4035" s="3" t="inlineStr">
        <is>
          <t>Heron Fields (Pty) Ltd</t>
        </is>
      </c>
      <c r="B4035" s="4" t="n">
        <v>45169</v>
      </c>
      <c r="C4035" s="3" t="inlineStr">
        <is>
          <t>Equity</t>
        </is>
      </c>
      <c r="D4035" s="3" t="inlineStr">
        <is>
          <t>5100-000</t>
        </is>
      </c>
      <c r="E4035" s="3" t="inlineStr">
        <is>
          <t>Share Capital</t>
        </is>
      </c>
      <c r="F4035" s="3" t="n">
        <v>0</v>
      </c>
      <c r="G4035" s="3" t="n">
        <v>-100</v>
      </c>
    </row>
    <row r="4036">
      <c r="A4036" s="3" t="inlineStr">
        <is>
          <t>Cape Projects Construction (Pty) Ltd</t>
        </is>
      </c>
      <c r="B4036" s="4" t="n">
        <v>45169</v>
      </c>
      <c r="C4036" s="3" t="inlineStr">
        <is>
          <t>Equity</t>
        </is>
      </c>
      <c r="D4036" s="3" t="inlineStr">
        <is>
          <t>5100/000</t>
        </is>
      </c>
      <c r="E4036" s="3" t="inlineStr">
        <is>
          <t>Share Capital / Members Contribution</t>
        </is>
      </c>
      <c r="F4036" s="3" t="n">
        <v>0</v>
      </c>
      <c r="G4036" s="3" t="n">
        <v>-120</v>
      </c>
    </row>
    <row r="4037">
      <c r="A4037" s="3" t="inlineStr">
        <is>
          <t>Cape Projects Construction (Pty) Ltd</t>
        </is>
      </c>
      <c r="B4037" s="4" t="n">
        <v>45169</v>
      </c>
      <c r="C4037" s="3" t="inlineStr">
        <is>
          <t>Equity</t>
        </is>
      </c>
      <c r="D4037" s="3" t="inlineStr">
        <is>
          <t>5200/000</t>
        </is>
      </c>
      <c r="E4037" s="3" t="inlineStr">
        <is>
          <t>Retained Earnings / Loss</t>
        </is>
      </c>
      <c r="F4037" s="3" t="n">
        <v>0</v>
      </c>
      <c r="G4037" s="3" t="n">
        <v>-296075.58</v>
      </c>
    </row>
    <row r="4038">
      <c r="A4038" s="3" t="inlineStr">
        <is>
          <t>Heron Fields (Pty) Ltd</t>
        </is>
      </c>
      <c r="B4038" s="4" t="n">
        <v>45169</v>
      </c>
      <c r="C4038" s="3" t="inlineStr">
        <is>
          <t>Equity</t>
        </is>
      </c>
      <c r="D4038" s="3" t="inlineStr">
        <is>
          <t>5200/000</t>
        </is>
      </c>
      <c r="E4038" s="3" t="inlineStr">
        <is>
          <t>Retained Earnings / Loss</t>
        </is>
      </c>
      <c r="F4038" s="3" t="n">
        <v>0</v>
      </c>
      <c r="G4038" s="3" t="n">
        <v>-17843179.58</v>
      </c>
    </row>
    <row r="4039">
      <c r="A4039" s="3" t="inlineStr">
        <is>
          <t>Heron View (Pty) Ltd</t>
        </is>
      </c>
      <c r="B4039" s="4" t="n">
        <v>45169</v>
      </c>
      <c r="C4039" s="3" t="inlineStr">
        <is>
          <t>Equity</t>
        </is>
      </c>
      <c r="D4039" s="3" t="inlineStr">
        <is>
          <t>5200/000</t>
        </is>
      </c>
      <c r="E4039" s="3" t="inlineStr">
        <is>
          <t>Retained Earnings / Loss</t>
        </is>
      </c>
      <c r="F4039" s="3" t="n">
        <v>0</v>
      </c>
      <c r="G4039" s="3" t="n">
        <v>70398.12</v>
      </c>
    </row>
    <row r="4040">
      <c r="A4040" s="3" t="inlineStr">
        <is>
          <t>Heron Fields (Pty) Ltd</t>
        </is>
      </c>
      <c r="B4040" s="4" t="n">
        <v>45169</v>
      </c>
      <c r="C4040" s="3" t="inlineStr">
        <is>
          <t>Assets</t>
        </is>
      </c>
      <c r="D4040" s="3" t="inlineStr">
        <is>
          <t>5300/001</t>
        </is>
      </c>
      <c r="E4040" s="3" t="inlineStr">
        <is>
          <t>Revaluation of Land stock</t>
        </is>
      </c>
      <c r="F4040" s="3" t="n">
        <v>0</v>
      </c>
      <c r="G4040" s="3" t="n">
        <v>17562360.85</v>
      </c>
    </row>
    <row r="4041">
      <c r="A4041" s="3" t="inlineStr">
        <is>
          <t>Cape Projects Construction (Pty) Ltd</t>
        </is>
      </c>
      <c r="B4041" s="4" t="n">
        <v>45169</v>
      </c>
      <c r="C4041" s="3" t="inlineStr">
        <is>
          <t>Assets</t>
        </is>
      </c>
      <c r="D4041" s="3" t="inlineStr">
        <is>
          <t>5400/150</t>
        </is>
      </c>
      <c r="E4041" s="3" t="inlineStr">
        <is>
          <t>Loan - Quinate</t>
        </is>
      </c>
      <c r="F4041" s="3" t="n">
        <v>40000</v>
      </c>
      <c r="G4041" s="3" t="n">
        <v>225000</v>
      </c>
    </row>
    <row r="4042">
      <c r="A4042" s="3" t="inlineStr">
        <is>
          <t>Cape Projects Construction (Pty) Ltd</t>
        </is>
      </c>
      <c r="B4042" s="4" t="n">
        <v>45169</v>
      </c>
      <c r="C4042" s="3" t="inlineStr">
        <is>
          <t>Assets</t>
        </is>
      </c>
      <c r="D4042" s="3" t="inlineStr">
        <is>
          <t>5400/220</t>
        </is>
      </c>
      <c r="E4042" s="3" t="inlineStr">
        <is>
          <t>Members Loan - WH</t>
        </is>
      </c>
      <c r="F4042" s="3" t="n">
        <v>0</v>
      </c>
      <c r="G4042" s="3" t="n">
        <v>-4342.5</v>
      </c>
    </row>
    <row r="4043">
      <c r="A4043" s="3" t="inlineStr">
        <is>
          <t>Cape Projects Construction (Pty) Ltd</t>
        </is>
      </c>
      <c r="B4043" s="4" t="n">
        <v>45169</v>
      </c>
      <c r="C4043" s="3" t="inlineStr">
        <is>
          <t>Assets</t>
        </is>
      </c>
      <c r="D4043" s="3" t="inlineStr">
        <is>
          <t>5400/450</t>
        </is>
      </c>
      <c r="E4043" s="3" t="inlineStr">
        <is>
          <t>Loan - Opportunity Investment</t>
        </is>
      </c>
      <c r="F4043" s="3" t="n">
        <v>0</v>
      </c>
      <c r="G4043" s="3" t="n">
        <v>-2261000</v>
      </c>
    </row>
    <row r="4044">
      <c r="A4044" s="3" t="inlineStr">
        <is>
          <t>Cape Projects Construction (Pty) Ltd</t>
        </is>
      </c>
      <c r="B4044" s="4" t="n">
        <v>45169</v>
      </c>
      <c r="C4044" s="3" t="inlineStr">
        <is>
          <t>Assets</t>
        </is>
      </c>
      <c r="D4044" s="3" t="inlineStr">
        <is>
          <t>5400/500</t>
        </is>
      </c>
      <c r="E4044" s="3" t="inlineStr">
        <is>
          <t>Loan - Blou Mamba Trust</t>
        </is>
      </c>
      <c r="F4044" s="3" t="n">
        <v>0</v>
      </c>
      <c r="G4044" s="3" t="n">
        <v>4342.5</v>
      </c>
    </row>
    <row r="4045">
      <c r="A4045" s="3" t="inlineStr">
        <is>
          <t>Cape Projects Construction (Pty) Ltd</t>
        </is>
      </c>
      <c r="B4045" s="4" t="n">
        <v>45169</v>
      </c>
      <c r="C4045" s="3" t="inlineStr">
        <is>
          <t>Assets</t>
        </is>
      </c>
      <c r="D4045" s="3" t="inlineStr">
        <is>
          <t>5400/550</t>
        </is>
      </c>
      <c r="E4045" s="3" t="inlineStr">
        <is>
          <t>Loan - Trademark</t>
        </is>
      </c>
      <c r="F4045" s="3" t="n">
        <v>55600</v>
      </c>
      <c r="G4045" s="3" t="n">
        <v>36200</v>
      </c>
    </row>
    <row r="4046">
      <c r="A4046" s="3" t="inlineStr">
        <is>
          <t>Cape Projects Construction (Pty) Ltd</t>
        </is>
      </c>
      <c r="B4046" s="4" t="n">
        <v>45169</v>
      </c>
      <c r="C4046" s="3" t="inlineStr">
        <is>
          <t>Assets</t>
        </is>
      </c>
      <c r="D4046" s="3" t="inlineStr">
        <is>
          <t>5400/600</t>
        </is>
      </c>
      <c r="E4046" s="3" t="inlineStr">
        <is>
          <t>Loan - Heron Projects</t>
        </is>
      </c>
      <c r="F4046" s="3" t="n">
        <v>0</v>
      </c>
      <c r="G4046" s="3" t="n">
        <v>-10114940.42</v>
      </c>
    </row>
    <row r="4047">
      <c r="A4047" s="3" t="inlineStr">
        <is>
          <t>Cape Projects Construction (Pty) Ltd</t>
        </is>
      </c>
      <c r="B4047" s="4" t="n">
        <v>45169</v>
      </c>
      <c r="C4047" s="3" t="inlineStr">
        <is>
          <t>Assets</t>
        </is>
      </c>
      <c r="D4047" s="3" t="inlineStr">
        <is>
          <t>5400/650</t>
        </is>
      </c>
      <c r="E4047" s="3" t="inlineStr">
        <is>
          <t>Loan - Noble Shield</t>
        </is>
      </c>
      <c r="F4047" s="3" t="n">
        <v>-96989.44</v>
      </c>
      <c r="G4047" s="3" t="n">
        <v>-116389.44</v>
      </c>
    </row>
    <row r="4048">
      <c r="A4048" s="3" t="inlineStr">
        <is>
          <t>Cape Projects Construction (Pty) Ltd</t>
        </is>
      </c>
      <c r="B4048" s="4" t="n">
        <v>45169</v>
      </c>
      <c r="C4048" s="3" t="inlineStr">
        <is>
          <t>Assets</t>
        </is>
      </c>
      <c r="D4048" s="3" t="inlineStr">
        <is>
          <t>5400/750</t>
        </is>
      </c>
      <c r="E4048" s="3" t="inlineStr">
        <is>
          <t>Loan - Endulini</t>
        </is>
      </c>
      <c r="F4048" s="3" t="n">
        <v>1095000</v>
      </c>
      <c r="G4048" s="3" t="n">
        <v>22144187.4</v>
      </c>
    </row>
    <row r="4049">
      <c r="A4049" s="3" t="inlineStr">
        <is>
          <t>Cape Projects Construction (Pty) Ltd</t>
        </is>
      </c>
      <c r="B4049" s="4" t="n">
        <v>45169</v>
      </c>
      <c r="C4049" s="3" t="inlineStr">
        <is>
          <t>Assets</t>
        </is>
      </c>
      <c r="D4049" s="3" t="inlineStr">
        <is>
          <t>5400/800</t>
        </is>
      </c>
      <c r="E4049" s="3" t="inlineStr">
        <is>
          <t>Loan - Opportunity Management Holdings</t>
        </is>
      </c>
      <c r="F4049" s="3" t="n">
        <v>0</v>
      </c>
      <c r="G4049" s="3" t="n">
        <v>-22601</v>
      </c>
    </row>
    <row r="4050">
      <c r="A4050" s="3" t="inlineStr">
        <is>
          <t>Heron View (Pty) Ltd</t>
        </is>
      </c>
      <c r="B4050" s="4" t="n">
        <v>45169</v>
      </c>
      <c r="C4050" s="3" t="inlineStr">
        <is>
          <t>Liabilities</t>
        </is>
      </c>
      <c r="D4050" s="3" t="inlineStr">
        <is>
          <t>5500/001</t>
        </is>
      </c>
      <c r="E4050" s="3" t="inlineStr">
        <is>
          <t>Loan - Heron Fields</t>
        </is>
      </c>
      <c r="F4050" s="3" t="n">
        <v>-1360139.98</v>
      </c>
      <c r="G4050" s="3" t="n">
        <v>-47343220.21</v>
      </c>
    </row>
    <row r="4051">
      <c r="A4051" s="3" t="inlineStr">
        <is>
          <t>Heron Fields (Pty) Ltd</t>
        </is>
      </c>
      <c r="B4051" s="4" t="n">
        <v>45169</v>
      </c>
      <c r="C4051" s="3" t="inlineStr">
        <is>
          <t>Liabilities</t>
        </is>
      </c>
      <c r="D4051" s="3" t="inlineStr">
        <is>
          <t>5500/020</t>
        </is>
      </c>
      <c r="E4051" s="3" t="inlineStr">
        <is>
          <t>Loan - Cape Projects Construction</t>
        </is>
      </c>
      <c r="F4051" s="3" t="n">
        <v>0</v>
      </c>
      <c r="G4051" s="3" t="n">
        <v>10114940.42</v>
      </c>
    </row>
    <row r="4052">
      <c r="A4052" s="3" t="inlineStr">
        <is>
          <t>Heron Fields (Pty) Ltd</t>
        </is>
      </c>
      <c r="B4052" s="4" t="n">
        <v>45169</v>
      </c>
      <c r="C4052" s="3" t="inlineStr">
        <is>
          <t>Liabilities</t>
        </is>
      </c>
      <c r="D4052" s="3" t="inlineStr">
        <is>
          <t>5500/030</t>
        </is>
      </c>
      <c r="E4052" s="3" t="inlineStr">
        <is>
          <t>Loan - Opportunity Global Investments</t>
        </is>
      </c>
      <c r="F4052" s="3" t="n">
        <v>160000</v>
      </c>
      <c r="G4052" s="3" t="n">
        <v>3702000</v>
      </c>
    </row>
    <row r="4053">
      <c r="A4053" s="3" t="inlineStr">
        <is>
          <t>Heron Fields (Pty) Ltd</t>
        </is>
      </c>
      <c r="B4053" s="4" t="n">
        <v>45169</v>
      </c>
      <c r="C4053" s="3" t="inlineStr">
        <is>
          <t>Liabilities</t>
        </is>
      </c>
      <c r="D4053" s="3" t="inlineStr">
        <is>
          <t>5500/050</t>
        </is>
      </c>
      <c r="E4053" s="3" t="inlineStr">
        <is>
          <t>Loan - Heron View</t>
        </is>
      </c>
      <c r="F4053" s="3" t="n">
        <v>1360139.98</v>
      </c>
      <c r="G4053" s="3" t="n">
        <v>47343220.21</v>
      </c>
    </row>
    <row r="4054">
      <c r="A4054" s="3" t="inlineStr">
        <is>
          <t>Heron Fields (Pty) Ltd</t>
        </is>
      </c>
      <c r="B4054" s="4" t="n">
        <v>45169</v>
      </c>
      <c r="C4054" s="3" t="inlineStr">
        <is>
          <t>Liabilities</t>
        </is>
      </c>
      <c r="D4054" s="3" t="inlineStr">
        <is>
          <t>5500/060</t>
        </is>
      </c>
      <c r="E4054" s="3" t="inlineStr">
        <is>
          <t>Loan - Opportunity Management Holdings</t>
        </is>
      </c>
      <c r="F4054" s="3" t="n">
        <v>50000</v>
      </c>
      <c r="G4054" s="3" t="n">
        <v>62100</v>
      </c>
    </row>
    <row r="4055">
      <c r="A4055" s="3" t="inlineStr">
        <is>
          <t>Heron Fields (Pty) Ltd</t>
        </is>
      </c>
      <c r="B4055" s="4" t="n">
        <v>45169</v>
      </c>
      <c r="C4055" s="3" t="inlineStr">
        <is>
          <t>Liabilities</t>
        </is>
      </c>
      <c r="D4055" s="3" t="inlineStr">
        <is>
          <t>5500/070</t>
        </is>
      </c>
      <c r="E4055" s="3" t="inlineStr">
        <is>
          <t>Loan - Noble Shield</t>
        </is>
      </c>
      <c r="F4055" s="3" t="n">
        <v>-1005.47</v>
      </c>
      <c r="G4055" s="3" t="n">
        <v>-20370.22</v>
      </c>
    </row>
    <row r="4056">
      <c r="A4056" s="3" t="inlineStr">
        <is>
          <t>Cape Projects Construction (Pty) Ltd</t>
        </is>
      </c>
      <c r="B4056" s="4" t="n">
        <v>45169</v>
      </c>
      <c r="C4056" s="3" t="inlineStr">
        <is>
          <t>Assets</t>
        </is>
      </c>
      <c r="D4056" s="3" t="inlineStr">
        <is>
          <t>6200/010</t>
        </is>
      </c>
      <c r="E4056" s="3" t="inlineStr">
        <is>
          <t>Motor Vehicles - @ Cost</t>
        </is>
      </c>
      <c r="F4056" s="3" t="n">
        <v>0</v>
      </c>
      <c r="G4056" s="3" t="n">
        <v>216064.1</v>
      </c>
    </row>
    <row r="4057">
      <c r="A4057" s="3" t="inlineStr">
        <is>
          <t>Cape Projects Construction (Pty) Ltd</t>
        </is>
      </c>
      <c r="B4057" s="4" t="n">
        <v>45169</v>
      </c>
      <c r="C4057" s="3" t="inlineStr">
        <is>
          <t>Assets</t>
        </is>
      </c>
      <c r="D4057" s="3" t="inlineStr">
        <is>
          <t>6200/020</t>
        </is>
      </c>
      <c r="E4057" s="3" t="inlineStr">
        <is>
          <t>Motor Vehicles - Accum Depre</t>
        </is>
      </c>
      <c r="F4057" s="3" t="n">
        <v>0</v>
      </c>
      <c r="G4057" s="3" t="n">
        <v>-216063.1</v>
      </c>
    </row>
    <row r="4058">
      <c r="A4058" s="3" t="inlineStr">
        <is>
          <t>Cape Projects Construction (Pty) Ltd</t>
        </is>
      </c>
      <c r="B4058" s="4" t="n">
        <v>45169</v>
      </c>
      <c r="C4058" s="3" t="inlineStr">
        <is>
          <t>Assets</t>
        </is>
      </c>
      <c r="D4058" s="3" t="inlineStr">
        <is>
          <t>6250/010</t>
        </is>
      </c>
      <c r="E4058" s="3" t="inlineStr">
        <is>
          <t>Computer Equipment - @ Cost</t>
        </is>
      </c>
      <c r="F4058" s="3" t="n">
        <v>0</v>
      </c>
      <c r="G4058" s="3" t="n">
        <v>133790.35</v>
      </c>
    </row>
    <row r="4059">
      <c r="A4059" s="3" t="inlineStr">
        <is>
          <t>Cape Projects Construction (Pty) Ltd</t>
        </is>
      </c>
      <c r="B4059" s="4" t="n">
        <v>45169</v>
      </c>
      <c r="C4059" s="3" t="inlineStr">
        <is>
          <t>Assets</t>
        </is>
      </c>
      <c r="D4059" s="3" t="inlineStr">
        <is>
          <t>6250/020</t>
        </is>
      </c>
      <c r="E4059" s="3" t="inlineStr">
        <is>
          <t>Computer Equipment - Accum Depre</t>
        </is>
      </c>
      <c r="F4059" s="3" t="n">
        <v>-3323.89</v>
      </c>
      <c r="G4059" s="3" t="n">
        <v>-62866.38</v>
      </c>
    </row>
    <row r="4060">
      <c r="A4060" s="3" t="inlineStr">
        <is>
          <t>Cape Projects Construction (Pty) Ltd</t>
        </is>
      </c>
      <c r="B4060" s="4" t="n">
        <v>45169</v>
      </c>
      <c r="C4060" s="3" t="inlineStr">
        <is>
          <t>Assets</t>
        </is>
      </c>
      <c r="D4060" s="3" t="inlineStr">
        <is>
          <t>6350/010</t>
        </is>
      </c>
      <c r="E4060" s="3" t="inlineStr">
        <is>
          <t>Furniture _AND_ Fittings - @ Cost</t>
        </is>
      </c>
      <c r="F4060" s="3" t="n">
        <v>0</v>
      </c>
      <c r="G4060" s="3" t="n">
        <v>37955.3</v>
      </c>
    </row>
    <row r="4061">
      <c r="A4061" s="3" t="inlineStr">
        <is>
          <t>Cape Projects Construction (Pty) Ltd</t>
        </is>
      </c>
      <c r="B4061" s="4" t="n">
        <v>45169</v>
      </c>
      <c r="C4061" s="3" t="inlineStr">
        <is>
          <t>Assets</t>
        </is>
      </c>
      <c r="D4061" s="3" t="inlineStr">
        <is>
          <t>6350/020</t>
        </is>
      </c>
      <c r="E4061" s="3" t="inlineStr">
        <is>
          <t>Furniture _AND_ Fittings - Accum Depre</t>
        </is>
      </c>
      <c r="F4061" s="3" t="n">
        <v>-547.67</v>
      </c>
      <c r="G4061" s="3" t="n">
        <v>-9180.610000000001</v>
      </c>
    </row>
    <row r="4062">
      <c r="A4062" s="3" t="inlineStr">
        <is>
          <t>Cape Projects Construction (Pty) Ltd</t>
        </is>
      </c>
      <c r="B4062" s="4" t="n">
        <v>45169</v>
      </c>
      <c r="C4062" s="3" t="inlineStr">
        <is>
          <t>Assets</t>
        </is>
      </c>
      <c r="D4062" s="3" t="inlineStr">
        <is>
          <t>6600/010</t>
        </is>
      </c>
      <c r="E4062" s="3" t="inlineStr">
        <is>
          <t>Generator Fixed Asset - @ Cost</t>
        </is>
      </c>
      <c r="F4062" s="3" t="n">
        <v>0</v>
      </c>
      <c r="G4062" s="3" t="n">
        <v>71322</v>
      </c>
    </row>
    <row r="4063">
      <c r="A4063" s="3" t="inlineStr">
        <is>
          <t>Cape Projects Construction (Pty) Ltd</t>
        </is>
      </c>
      <c r="B4063" s="4" t="n">
        <v>45169</v>
      </c>
      <c r="C4063" s="3" t="inlineStr">
        <is>
          <t>Assets</t>
        </is>
      </c>
      <c r="D4063" s="3" t="inlineStr">
        <is>
          <t>6600/020</t>
        </is>
      </c>
      <c r="E4063" s="3" t="inlineStr">
        <is>
          <t>Generator Fixed Asset - Accum Depre</t>
        </is>
      </c>
      <c r="F4063" s="3" t="n">
        <v>-1188.7</v>
      </c>
      <c r="G4063" s="3" t="n">
        <v>-8267.030000000001</v>
      </c>
    </row>
    <row r="4064">
      <c r="A4064" s="3" t="inlineStr">
        <is>
          <t>Heron Fields (Pty) Ltd</t>
        </is>
      </c>
      <c r="B4064" s="4" t="n">
        <v>45169</v>
      </c>
      <c r="C4064" s="3" t="inlineStr">
        <is>
          <t>Assets</t>
        </is>
      </c>
      <c r="D4064" s="3" t="inlineStr">
        <is>
          <t>7610/395</t>
        </is>
      </c>
      <c r="E4064" s="3" t="inlineStr">
        <is>
          <t>HF CIP NHBRC</t>
        </is>
      </c>
      <c r="F4064" s="3" t="n">
        <v>0</v>
      </c>
      <c r="G4064" s="3" t="n">
        <v>874505.75</v>
      </c>
    </row>
    <row r="4065">
      <c r="A4065" s="3" t="inlineStr">
        <is>
          <t>Heron View (Pty) Ltd</t>
        </is>
      </c>
      <c r="B4065" s="4" t="n">
        <v>45169</v>
      </c>
      <c r="C4065" s="3" t="inlineStr">
        <is>
          <t>Assets</t>
        </is>
      </c>
      <c r="D4065" s="3" t="inlineStr">
        <is>
          <t>7610/395</t>
        </is>
      </c>
      <c r="E4065" s="3" t="inlineStr">
        <is>
          <t>Heron CIP NHBRC</t>
        </is>
      </c>
      <c r="F4065" s="3" t="n">
        <v>265588</v>
      </c>
      <c r="G4065" s="3" t="n">
        <v>1311564.86</v>
      </c>
    </row>
    <row r="4066">
      <c r="A4066" s="3" t="inlineStr">
        <is>
          <t>Heron Fields (Pty) Ltd</t>
        </is>
      </c>
      <c r="B4066" s="4" t="n">
        <v>45169</v>
      </c>
      <c r="C4066" s="3" t="inlineStr">
        <is>
          <t>Assets</t>
        </is>
      </c>
      <c r="D4066" s="3" t="inlineStr">
        <is>
          <t>7620/100</t>
        </is>
      </c>
      <c r="E4066" s="3" t="inlineStr">
        <is>
          <t>Heron View Land</t>
        </is>
      </c>
      <c r="F4066" s="3" t="n">
        <v>0</v>
      </c>
      <c r="G4066" s="3" t="n">
        <v>26200000</v>
      </c>
    </row>
    <row r="4067">
      <c r="A4067" s="3" t="inlineStr">
        <is>
          <t>Heron Fields (Pty) Ltd</t>
        </is>
      </c>
      <c r="B4067" s="4" t="n">
        <v>45169</v>
      </c>
      <c r="C4067" s="3" t="inlineStr">
        <is>
          <t>Assets</t>
        </is>
      </c>
      <c r="D4067" s="3" t="inlineStr">
        <is>
          <t>7620/101</t>
        </is>
      </c>
      <c r="E4067" s="3" t="inlineStr">
        <is>
          <t>HF CIP Bond Registration Fee</t>
        </is>
      </c>
      <c r="F4067" s="3" t="n">
        <v>0</v>
      </c>
      <c r="G4067" s="3" t="n">
        <v>68427</v>
      </c>
    </row>
    <row r="4068">
      <c r="A4068" s="3" t="inlineStr">
        <is>
          <t>Heron Fields (Pty) Ltd</t>
        </is>
      </c>
      <c r="B4068" s="4" t="n">
        <v>45169</v>
      </c>
      <c r="C4068" s="3" t="inlineStr">
        <is>
          <t>Assets</t>
        </is>
      </c>
      <c r="D4068" s="3" t="inlineStr">
        <is>
          <t>7620/102</t>
        </is>
      </c>
      <c r="E4068" s="3" t="inlineStr">
        <is>
          <t>HF CIP Transfer Fee</t>
        </is>
      </c>
      <c r="F4068" s="3" t="n">
        <v>0</v>
      </c>
      <c r="G4068" s="3" t="n">
        <v>103812</v>
      </c>
    </row>
    <row r="4069">
      <c r="A4069" s="3" t="inlineStr">
        <is>
          <t>Heron Fields (Pty) Ltd</t>
        </is>
      </c>
      <c r="B4069" s="4" t="n">
        <v>45169</v>
      </c>
      <c r="C4069" s="3" t="inlineStr">
        <is>
          <t>Assets</t>
        </is>
      </c>
      <c r="D4069" s="3" t="inlineStr">
        <is>
          <t>7620/220</t>
        </is>
      </c>
      <c r="E4069" s="3" t="inlineStr">
        <is>
          <t>HF CIP Architectural Designs</t>
        </is>
      </c>
      <c r="F4069" s="3" t="n">
        <v>0</v>
      </c>
      <c r="G4069" s="3" t="n">
        <v>314087</v>
      </c>
    </row>
    <row r="4070">
      <c r="A4070" s="3" t="inlineStr">
        <is>
          <t>Heron View (Pty) Ltd</t>
        </is>
      </c>
      <c r="B4070" s="4" t="n">
        <v>45169</v>
      </c>
      <c r="C4070" s="3" t="inlineStr">
        <is>
          <t>Assets</t>
        </is>
      </c>
      <c r="D4070" s="3" t="inlineStr">
        <is>
          <t>7620/220</t>
        </is>
      </c>
      <c r="E4070" s="3" t="inlineStr">
        <is>
          <t>Heron View CIP Architectural Designs</t>
        </is>
      </c>
      <c r="F4070" s="3" t="n">
        <v>12900</v>
      </c>
      <c r="G4070" s="3" t="n">
        <v>750378.5</v>
      </c>
    </row>
    <row r="4071">
      <c r="A4071" s="3" t="inlineStr">
        <is>
          <t>Heron Fields (Pty) Ltd</t>
        </is>
      </c>
      <c r="B4071" s="4" t="n">
        <v>45169</v>
      </c>
      <c r="C4071" s="3" t="inlineStr">
        <is>
          <t>Assets</t>
        </is>
      </c>
      <c r="D4071" s="3" t="inlineStr">
        <is>
          <t>7620/230</t>
        </is>
      </c>
      <c r="E4071" s="3" t="inlineStr">
        <is>
          <t>HF CIP Construction Management</t>
        </is>
      </c>
      <c r="F4071" s="3" t="n">
        <v>0</v>
      </c>
      <c r="G4071" s="3" t="n">
        <v>139500</v>
      </c>
    </row>
    <row r="4072">
      <c r="A4072" s="3" t="inlineStr">
        <is>
          <t>Heron Fields (Pty) Ltd</t>
        </is>
      </c>
      <c r="B4072" s="4" t="n">
        <v>45169</v>
      </c>
      <c r="C4072" s="3" t="inlineStr">
        <is>
          <t>Assets</t>
        </is>
      </c>
      <c r="D4072" s="3" t="inlineStr">
        <is>
          <t>7620/240</t>
        </is>
      </c>
      <c r="E4072" s="3" t="inlineStr">
        <is>
          <t>HF CIP Civil Engineering</t>
        </is>
      </c>
      <c r="F4072" s="3" t="n">
        <v>0</v>
      </c>
      <c r="G4072" s="3" t="n">
        <v>8557641.800000001</v>
      </c>
    </row>
    <row r="4073">
      <c r="A4073" s="3" t="inlineStr">
        <is>
          <t>Heron Fields (Pty) Ltd</t>
        </is>
      </c>
      <c r="B4073" s="4" t="n">
        <v>45169</v>
      </c>
      <c r="C4073" s="3" t="inlineStr">
        <is>
          <t>Assets</t>
        </is>
      </c>
      <c r="D4073" s="3" t="inlineStr">
        <is>
          <t>7620/245</t>
        </is>
      </c>
      <c r="E4073" s="3" t="inlineStr">
        <is>
          <t>HF CIP Development fee</t>
        </is>
      </c>
      <c r="F4073" s="3" t="n">
        <v>0</v>
      </c>
      <c r="G4073" s="3" t="n">
        <v>13807.78</v>
      </c>
    </row>
    <row r="4074">
      <c r="A4074" s="3" t="inlineStr">
        <is>
          <t>Heron Fields (Pty) Ltd</t>
        </is>
      </c>
      <c r="B4074" s="4" t="n">
        <v>45169</v>
      </c>
      <c r="C4074" s="3" t="inlineStr">
        <is>
          <t>Assets</t>
        </is>
      </c>
      <c r="D4074" s="3" t="inlineStr">
        <is>
          <t>7620/250</t>
        </is>
      </c>
      <c r="E4074" s="3" t="inlineStr">
        <is>
          <t>HF CIP Land Surveyor</t>
        </is>
      </c>
      <c r="F4074" s="3" t="n">
        <v>0</v>
      </c>
      <c r="G4074" s="3" t="n">
        <v>197060.09</v>
      </c>
    </row>
    <row r="4075">
      <c r="A4075" s="3" t="inlineStr">
        <is>
          <t>Heron View (Pty) Ltd</t>
        </is>
      </c>
      <c r="B4075" s="4" t="n">
        <v>45169</v>
      </c>
      <c r="C4075" s="3" t="inlineStr">
        <is>
          <t>Assets</t>
        </is>
      </c>
      <c r="D4075" s="3" t="inlineStr">
        <is>
          <t>7620/250</t>
        </is>
      </c>
      <c r="E4075" s="3" t="inlineStr">
        <is>
          <t>Heron View CIP Land Surveyor</t>
        </is>
      </c>
      <c r="F4075" s="3" t="n">
        <v>33140.61</v>
      </c>
      <c r="G4075" s="3" t="n">
        <v>186612.64</v>
      </c>
    </row>
    <row r="4076">
      <c r="A4076" s="3" t="inlineStr">
        <is>
          <t>Heron Fields (Pty) Ltd</t>
        </is>
      </c>
      <c r="B4076" s="4" t="n">
        <v>45169</v>
      </c>
      <c r="C4076" s="3" t="inlineStr">
        <is>
          <t>Assets</t>
        </is>
      </c>
      <c r="D4076" s="3" t="inlineStr">
        <is>
          <t>7620/255</t>
        </is>
      </c>
      <c r="E4076" s="3" t="inlineStr">
        <is>
          <t>HF CIP Landscaping</t>
        </is>
      </c>
      <c r="F4076" s="3" t="n">
        <v>0</v>
      </c>
      <c r="G4076" s="3" t="n">
        <v>7500</v>
      </c>
    </row>
    <row r="4077">
      <c r="A4077" s="3" t="inlineStr">
        <is>
          <t>Heron View (Pty) Ltd</t>
        </is>
      </c>
      <c r="B4077" s="4" t="n">
        <v>45169</v>
      </c>
      <c r="C4077" s="3" t="inlineStr">
        <is>
          <t>Assets</t>
        </is>
      </c>
      <c r="D4077" s="3" t="inlineStr">
        <is>
          <t>7620/255</t>
        </is>
      </c>
      <c r="E4077" s="3" t="inlineStr">
        <is>
          <t>Heron View CIP Landscaping</t>
        </is>
      </c>
      <c r="F4077" s="3" t="n">
        <v>0</v>
      </c>
      <c r="G4077" s="3" t="n">
        <v>114370.5</v>
      </c>
    </row>
    <row r="4078">
      <c r="A4078" s="3" t="inlineStr">
        <is>
          <t>Heron Fields (Pty) Ltd</t>
        </is>
      </c>
      <c r="B4078" s="4" t="n">
        <v>45169</v>
      </c>
      <c r="C4078" s="3" t="inlineStr">
        <is>
          <t>Assets</t>
        </is>
      </c>
      <c r="D4078" s="3" t="inlineStr">
        <is>
          <t>7620/260</t>
        </is>
      </c>
      <c r="E4078" s="3" t="inlineStr">
        <is>
          <t>HF CIP Mechanical Engineers</t>
        </is>
      </c>
      <c r="F4078" s="3" t="n">
        <v>78856.38</v>
      </c>
      <c r="G4078" s="3" t="n">
        <v>146256.38</v>
      </c>
    </row>
    <row r="4079">
      <c r="A4079" s="3" t="inlineStr">
        <is>
          <t>Heron Fields (Pty) Ltd</t>
        </is>
      </c>
      <c r="B4079" s="4" t="n">
        <v>45169</v>
      </c>
      <c r="C4079" s="3" t="inlineStr">
        <is>
          <t>Assets</t>
        </is>
      </c>
      <c r="D4079" s="3" t="inlineStr">
        <is>
          <t>7620/265</t>
        </is>
      </c>
      <c r="E4079" s="3" t="inlineStr">
        <is>
          <t>HF CIP Health &amp; Safety</t>
        </is>
      </c>
      <c r="F4079" s="3" t="n">
        <v>0</v>
      </c>
      <c r="G4079" s="3" t="n">
        <v>20600</v>
      </c>
    </row>
    <row r="4080">
      <c r="A4080" s="3" t="inlineStr">
        <is>
          <t>Heron Fields (Pty) Ltd</t>
        </is>
      </c>
      <c r="B4080" s="4" t="n">
        <v>45169</v>
      </c>
      <c r="C4080" s="3" t="inlineStr">
        <is>
          <t>Assets</t>
        </is>
      </c>
      <c r="D4080" s="3" t="inlineStr">
        <is>
          <t>7620/270</t>
        </is>
      </c>
      <c r="E4080" s="3" t="inlineStr">
        <is>
          <t>HF CIP Geotechnical</t>
        </is>
      </c>
      <c r="F4080" s="3" t="n">
        <v>0</v>
      </c>
      <c r="G4080" s="3" t="n">
        <v>15175</v>
      </c>
    </row>
    <row r="4081">
      <c r="A4081" s="3" t="inlineStr">
        <is>
          <t>Heron Fields (Pty) Ltd</t>
        </is>
      </c>
      <c r="B4081" s="4" t="n">
        <v>45169</v>
      </c>
      <c r="C4081" s="3" t="inlineStr">
        <is>
          <t>Assets</t>
        </is>
      </c>
      <c r="D4081" s="3" t="inlineStr">
        <is>
          <t>7620/275</t>
        </is>
      </c>
      <c r="E4081" s="3" t="inlineStr">
        <is>
          <t>HF CIP Retaining Wall</t>
        </is>
      </c>
      <c r="F4081" s="3" t="n">
        <v>0</v>
      </c>
      <c r="G4081" s="3" t="n">
        <v>570856.08</v>
      </c>
    </row>
    <row r="4082">
      <c r="A4082" s="3" t="inlineStr">
        <is>
          <t>Heron Fields (Pty) Ltd</t>
        </is>
      </c>
      <c r="B4082" s="4" t="n">
        <v>45169</v>
      </c>
      <c r="C4082" s="3" t="inlineStr">
        <is>
          <t>Assets</t>
        </is>
      </c>
      <c r="D4082" s="3" t="inlineStr">
        <is>
          <t>7620/280</t>
        </is>
      </c>
      <c r="E4082" s="3" t="inlineStr">
        <is>
          <t>HF CIP Site Establishment</t>
        </is>
      </c>
      <c r="F4082" s="3" t="n">
        <v>0</v>
      </c>
      <c r="G4082" s="3" t="n">
        <v>47748851.51</v>
      </c>
    </row>
    <row r="4083">
      <c r="A4083" s="3" t="inlineStr">
        <is>
          <t>Heron View (Pty) Ltd</t>
        </is>
      </c>
      <c r="B4083" s="4" t="n">
        <v>45169</v>
      </c>
      <c r="C4083" s="3" t="inlineStr">
        <is>
          <t>Assets</t>
        </is>
      </c>
      <c r="D4083" s="3" t="inlineStr">
        <is>
          <t>7620/280</t>
        </is>
      </c>
      <c r="E4083" s="3" t="inlineStr">
        <is>
          <t>Heron View CIP Site Establishment</t>
        </is>
      </c>
      <c r="F4083" s="3" t="n">
        <v>681581.85</v>
      </c>
      <c r="G4083" s="3" t="n">
        <v>7869339.77</v>
      </c>
    </row>
    <row r="4084">
      <c r="A4084" s="3" t="inlineStr">
        <is>
          <t>Heron Fields (Pty) Ltd</t>
        </is>
      </c>
      <c r="B4084" s="4" t="n">
        <v>45169</v>
      </c>
      <c r="C4084" s="3" t="inlineStr">
        <is>
          <t>Assets</t>
        </is>
      </c>
      <c r="D4084" s="3" t="inlineStr">
        <is>
          <t>7620/285</t>
        </is>
      </c>
      <c r="E4084" s="3" t="inlineStr">
        <is>
          <t>HF CIP Structuring Fee - Invest</t>
        </is>
      </c>
      <c r="F4084" s="3" t="n">
        <v>0</v>
      </c>
      <c r="G4084" s="3" t="n">
        <v>3850818.04</v>
      </c>
    </row>
    <row r="4085">
      <c r="A4085" s="3" t="inlineStr">
        <is>
          <t>Heron View (Pty) Ltd</t>
        </is>
      </c>
      <c r="B4085" s="4" t="n">
        <v>45169</v>
      </c>
      <c r="C4085" s="3" t="inlineStr">
        <is>
          <t>Assets</t>
        </is>
      </c>
      <c r="D4085" s="3" t="inlineStr">
        <is>
          <t>7620/285</t>
        </is>
      </c>
      <c r="E4085" s="3" t="inlineStr">
        <is>
          <t>Heron View CIP Structuring Fee - Invest</t>
        </is>
      </c>
      <c r="F4085" s="3" t="n">
        <v>0</v>
      </c>
      <c r="G4085" s="3" t="n">
        <v>1826086.96</v>
      </c>
    </row>
    <row r="4086">
      <c r="A4086" s="3" t="inlineStr">
        <is>
          <t>Heron Fields (Pty) Ltd</t>
        </is>
      </c>
      <c r="B4086" s="4" t="n">
        <v>45169</v>
      </c>
      <c r="C4086" s="3" t="inlineStr">
        <is>
          <t>Assets</t>
        </is>
      </c>
      <c r="D4086" s="3" t="inlineStr">
        <is>
          <t>7620/287</t>
        </is>
      </c>
      <c r="E4086" s="3" t="inlineStr">
        <is>
          <t>HF CIP Structuring Fee - Development</t>
        </is>
      </c>
      <c r="F4086" s="3" t="n">
        <v>0</v>
      </c>
      <c r="G4086" s="3" t="n">
        <v>782608.0699999999</v>
      </c>
    </row>
    <row r="4087">
      <c r="A4087" s="3" t="inlineStr">
        <is>
          <t>Heron View (Pty) Ltd</t>
        </is>
      </c>
      <c r="B4087" s="4" t="n">
        <v>45169</v>
      </c>
      <c r="C4087" s="3" t="inlineStr">
        <is>
          <t>Assets</t>
        </is>
      </c>
      <c r="D4087" s="3" t="inlineStr">
        <is>
          <t>7620/287</t>
        </is>
      </c>
      <c r="E4087" s="3" t="inlineStr">
        <is>
          <t>Heron View CIP Structuring Fee - Development</t>
        </is>
      </c>
      <c r="F4087" s="3" t="n">
        <v>217391.3</v>
      </c>
      <c r="G4087" s="3" t="n">
        <v>217391.3</v>
      </c>
    </row>
    <row r="4088">
      <c r="A4088" s="3" t="inlineStr">
        <is>
          <t>Heron Fields (Pty) Ltd</t>
        </is>
      </c>
      <c r="B4088" s="4" t="n">
        <v>45169</v>
      </c>
      <c r="C4088" s="3" t="inlineStr">
        <is>
          <t>Assets</t>
        </is>
      </c>
      <c r="D4088" s="3" t="inlineStr">
        <is>
          <t>7620/290</t>
        </is>
      </c>
      <c r="E4088" s="3" t="inlineStr">
        <is>
          <t>HF CIP Town Planning</t>
        </is>
      </c>
      <c r="F4088" s="3" t="n">
        <v>0</v>
      </c>
      <c r="G4088" s="3" t="n">
        <v>166550</v>
      </c>
    </row>
    <row r="4089">
      <c r="A4089" s="3" t="inlineStr">
        <is>
          <t>Heron View (Pty) Ltd</t>
        </is>
      </c>
      <c r="B4089" s="4" t="n">
        <v>45169</v>
      </c>
      <c r="C4089" s="3" t="inlineStr">
        <is>
          <t>Assets</t>
        </is>
      </c>
      <c r="D4089" s="3" t="inlineStr">
        <is>
          <t>7620/290</t>
        </is>
      </c>
      <c r="E4089" s="3" t="inlineStr">
        <is>
          <t>Heron View CIP Town Planning</t>
        </is>
      </c>
      <c r="F4089" s="3" t="n">
        <v>0</v>
      </c>
      <c r="G4089" s="3" t="n">
        <v>2834.7</v>
      </c>
    </row>
    <row r="4090">
      <c r="A4090" s="3" t="inlineStr">
        <is>
          <t>Heron Fields (Pty) Ltd</t>
        </is>
      </c>
      <c r="B4090" s="4" t="n">
        <v>45169</v>
      </c>
      <c r="C4090" s="3" t="inlineStr">
        <is>
          <t>Assets</t>
        </is>
      </c>
      <c r="D4090" s="3" t="inlineStr">
        <is>
          <t>7620/295</t>
        </is>
      </c>
      <c r="E4090" s="3" t="inlineStr">
        <is>
          <t>HF CIP Traffic Planning</t>
        </is>
      </c>
      <c r="F4090" s="3" t="n">
        <v>0</v>
      </c>
      <c r="G4090" s="3" t="n">
        <v>45000</v>
      </c>
    </row>
    <row r="4091">
      <c r="A4091" s="3" t="inlineStr">
        <is>
          <t>Heron Fields (Pty) Ltd</t>
        </is>
      </c>
      <c r="B4091" s="4" t="n">
        <v>45169</v>
      </c>
      <c r="C4091" s="3" t="inlineStr">
        <is>
          <t>Assets</t>
        </is>
      </c>
      <c r="D4091" s="3" t="inlineStr">
        <is>
          <t>7620/600</t>
        </is>
      </c>
      <c r="E4091" s="3" t="inlineStr">
        <is>
          <t>HF CIP Eco work</t>
        </is>
      </c>
      <c r="F4091" s="3" t="n">
        <v>6000</v>
      </c>
      <c r="G4091" s="3" t="n">
        <v>167000</v>
      </c>
    </row>
    <row r="4092">
      <c r="A4092" s="3" t="inlineStr">
        <is>
          <t>Heron View (Pty) Ltd</t>
        </is>
      </c>
      <c r="B4092" s="4" t="n">
        <v>45169</v>
      </c>
      <c r="C4092" s="3" t="inlineStr">
        <is>
          <t>Assets</t>
        </is>
      </c>
      <c r="D4092" s="3" t="inlineStr">
        <is>
          <t>7620/605</t>
        </is>
      </c>
      <c r="E4092" s="3" t="inlineStr">
        <is>
          <t>Heron View CIP Structural Engineers</t>
        </is>
      </c>
      <c r="F4092" s="3" t="n">
        <v>237699</v>
      </c>
      <c r="G4092" s="3" t="n">
        <v>530452.14</v>
      </c>
    </row>
    <row r="4093">
      <c r="A4093" s="3" t="inlineStr">
        <is>
          <t>Heron View (Pty) Ltd</t>
        </is>
      </c>
      <c r="B4093" s="4" t="n">
        <v>45169</v>
      </c>
      <c r="C4093" s="3" t="inlineStr">
        <is>
          <t>Assets</t>
        </is>
      </c>
      <c r="D4093" s="3" t="inlineStr">
        <is>
          <t>7620/610</t>
        </is>
      </c>
      <c r="E4093" s="3" t="inlineStr">
        <is>
          <t>HV CIP Retaining wall</t>
        </is>
      </c>
      <c r="F4093" s="3" t="n">
        <v>0</v>
      </c>
      <c r="G4093" s="3" t="n">
        <v>66190.11</v>
      </c>
    </row>
    <row r="4094">
      <c r="A4094" s="3" t="inlineStr">
        <is>
          <t>Heron Fields (Pty) Ltd</t>
        </is>
      </c>
      <c r="B4094" s="4" t="n">
        <v>45169</v>
      </c>
      <c r="C4094" s="3" t="inlineStr">
        <is>
          <t>Assets</t>
        </is>
      </c>
      <c r="D4094" s="3" t="inlineStr">
        <is>
          <t>7620/630</t>
        </is>
      </c>
      <c r="E4094" s="3" t="inlineStr">
        <is>
          <t>HF CIP CoCT development contribution</t>
        </is>
      </c>
      <c r="F4094" s="3" t="n">
        <v>0</v>
      </c>
      <c r="G4094" s="3" t="n">
        <v>3252759.95</v>
      </c>
    </row>
    <row r="4095">
      <c r="A4095" s="3" t="inlineStr">
        <is>
          <t>Heron View (Pty) Ltd</t>
        </is>
      </c>
      <c r="B4095" s="4" t="n">
        <v>45169</v>
      </c>
      <c r="C4095" s="3" t="inlineStr">
        <is>
          <t>Assets</t>
        </is>
      </c>
      <c r="D4095" s="3" t="inlineStr">
        <is>
          <t>7620/630</t>
        </is>
      </c>
      <c r="E4095" s="3" t="inlineStr">
        <is>
          <t>Heron CIP - CoCT development contribution</t>
        </is>
      </c>
      <c r="F4095" s="3" t="n">
        <v>4043.31</v>
      </c>
      <c r="G4095" s="3" t="n">
        <v>1528229.07</v>
      </c>
    </row>
    <row r="4096">
      <c r="A4096" s="3" t="inlineStr">
        <is>
          <t>Heron Fields (Pty) Ltd</t>
        </is>
      </c>
      <c r="B4096" s="4" t="n">
        <v>45169</v>
      </c>
      <c r="C4096" s="3" t="inlineStr">
        <is>
          <t>Assets</t>
        </is>
      </c>
      <c r="D4096" s="3" t="inlineStr">
        <is>
          <t>7620/640</t>
        </is>
      </c>
      <c r="E4096" s="3" t="inlineStr">
        <is>
          <t>HF CIP Project costs</t>
        </is>
      </c>
      <c r="F4096" s="3" t="n">
        <v>0</v>
      </c>
      <c r="G4096" s="3" t="n">
        <v>622274.51</v>
      </c>
    </row>
    <row r="4097">
      <c r="A4097" s="3" t="inlineStr">
        <is>
          <t>Heron View (Pty) Ltd</t>
        </is>
      </c>
      <c r="B4097" s="4" t="n">
        <v>45169</v>
      </c>
      <c r="C4097" s="3" t="inlineStr">
        <is>
          <t>Assets</t>
        </is>
      </c>
      <c r="D4097" s="3" t="inlineStr">
        <is>
          <t>7620/650</t>
        </is>
      </c>
      <c r="E4097" s="3" t="inlineStr">
        <is>
          <t>CIP - Construction Management</t>
        </is>
      </c>
      <c r="F4097" s="3" t="n">
        <v>0</v>
      </c>
      <c r="G4097" s="3" t="n">
        <v>76530</v>
      </c>
    </row>
    <row r="4098">
      <c r="A4098" s="3" t="inlineStr">
        <is>
          <t>Heron Fields (Pty) Ltd</t>
        </is>
      </c>
      <c r="B4098" s="4" t="n">
        <v>45169</v>
      </c>
      <c r="C4098" s="3" t="inlineStr">
        <is>
          <t>Assets</t>
        </is>
      </c>
      <c r="D4098" s="3" t="inlineStr">
        <is>
          <t>7620/650</t>
        </is>
      </c>
      <c r="E4098" s="3" t="inlineStr">
        <is>
          <t>HF CIP Electrical</t>
        </is>
      </c>
      <c r="F4098" s="3" t="n">
        <v>0</v>
      </c>
      <c r="G4098" s="3" t="n">
        <v>985049.6800000001</v>
      </c>
    </row>
    <row r="4099">
      <c r="A4099" s="3" t="inlineStr">
        <is>
          <t>Heron View (Pty) Ltd</t>
        </is>
      </c>
      <c r="B4099" s="4" t="n">
        <v>45169</v>
      </c>
      <c r="C4099" s="3" t="inlineStr">
        <is>
          <t>Assets</t>
        </is>
      </c>
      <c r="D4099" s="3" t="inlineStr">
        <is>
          <t>7620/660</t>
        </is>
      </c>
      <c r="E4099" s="3" t="inlineStr">
        <is>
          <t>HV CIP Health &amp; Safety</t>
        </is>
      </c>
      <c r="F4099" s="3" t="n">
        <v>1400</v>
      </c>
      <c r="G4099" s="3" t="n">
        <v>23000</v>
      </c>
    </row>
    <row r="4100">
      <c r="A4100" s="3" t="inlineStr">
        <is>
          <t>Heron View (Pty) Ltd</t>
        </is>
      </c>
      <c r="B4100" s="4" t="n">
        <v>45169</v>
      </c>
      <c r="C4100" s="3" t="inlineStr">
        <is>
          <t>Assets</t>
        </is>
      </c>
      <c r="D4100" s="3" t="inlineStr">
        <is>
          <t>7620/670</t>
        </is>
      </c>
      <c r="E4100" s="3" t="inlineStr">
        <is>
          <t>HV CIP - Project costs CPSD</t>
        </is>
      </c>
      <c r="F4100" s="3" t="n">
        <v>0</v>
      </c>
      <c r="G4100" s="3" t="n">
        <v>684782.6</v>
      </c>
    </row>
    <row r="4101">
      <c r="A4101" s="3" t="inlineStr">
        <is>
          <t>Heron View (Pty) Ltd</t>
        </is>
      </c>
      <c r="B4101" s="4" t="n">
        <v>45169</v>
      </c>
      <c r="C4101" s="3" t="inlineStr">
        <is>
          <t>Assets</t>
        </is>
      </c>
      <c r="D4101" s="3" t="inlineStr">
        <is>
          <t>7620/680</t>
        </is>
      </c>
      <c r="E4101" s="3" t="inlineStr">
        <is>
          <t>HV CIP Elextrical</t>
        </is>
      </c>
      <c r="F4101" s="3" t="n">
        <v>0</v>
      </c>
      <c r="G4101" s="3" t="n">
        <v>1130099.94</v>
      </c>
    </row>
    <row r="4102">
      <c r="A4102" s="3" t="inlineStr">
        <is>
          <t>Heron View (Pty) Ltd</t>
        </is>
      </c>
      <c r="B4102" s="4" t="n">
        <v>45169</v>
      </c>
      <c r="C4102" s="3" t="inlineStr">
        <is>
          <t>Assets</t>
        </is>
      </c>
      <c r="D4102" s="3" t="inlineStr">
        <is>
          <t>7620/690</t>
        </is>
      </c>
      <c r="E4102" s="3" t="inlineStr">
        <is>
          <t>HV CIP Site Establishment</t>
        </is>
      </c>
      <c r="F4102" s="3" t="n">
        <v>0</v>
      </c>
      <c r="G4102" s="3" t="n">
        <v>20707183.05</v>
      </c>
    </row>
    <row r="4103">
      <c r="A4103" s="3" t="inlineStr">
        <is>
          <t>Heron Fields (Pty) Ltd</t>
        </is>
      </c>
      <c r="B4103" s="4" t="n">
        <v>45169</v>
      </c>
      <c r="C4103" s="3" t="inlineStr">
        <is>
          <t>Assets</t>
        </is>
      </c>
      <c r="D4103" s="3" t="inlineStr">
        <is>
          <t>7620/750</t>
        </is>
      </c>
      <c r="E4103" s="3" t="inlineStr">
        <is>
          <t>HF CIP Project costs CPSD</t>
        </is>
      </c>
      <c r="F4103" s="3" t="n">
        <v>0</v>
      </c>
      <c r="G4103" s="3" t="n">
        <v>2148883.15</v>
      </c>
    </row>
    <row r="4104">
      <c r="A4104" s="3" t="inlineStr">
        <is>
          <t>Heron Fields (Pty) Ltd</t>
        </is>
      </c>
      <c r="B4104" s="4" t="n">
        <v>45169</v>
      </c>
      <c r="C4104" s="3" t="inlineStr">
        <is>
          <t>Assets</t>
        </is>
      </c>
      <c r="D4104" s="3" t="inlineStr">
        <is>
          <t>7620/800</t>
        </is>
      </c>
      <c r="E4104" s="3" t="inlineStr">
        <is>
          <t>HF CIP GL Conradie</t>
        </is>
      </c>
      <c r="F4104" s="3" t="n">
        <v>0</v>
      </c>
      <c r="G4104" s="3" t="n">
        <v>1068455</v>
      </c>
    </row>
    <row r="4105">
      <c r="A4105" s="3" t="inlineStr">
        <is>
          <t>Heron View (Pty) Ltd</t>
        </is>
      </c>
      <c r="B4105" s="4" t="n">
        <v>45169</v>
      </c>
      <c r="C4105" s="3" t="inlineStr">
        <is>
          <t>Assets</t>
        </is>
      </c>
      <c r="D4105" s="3" t="inlineStr">
        <is>
          <t>7620/800</t>
        </is>
      </c>
      <c r="E4105" s="3" t="inlineStr">
        <is>
          <t>HV CIP GL Conradie</t>
        </is>
      </c>
      <c r="F4105" s="3" t="n">
        <v>1493783.62</v>
      </c>
      <c r="G4105" s="3" t="n">
        <v>1493783.62</v>
      </c>
    </row>
    <row r="4106">
      <c r="A4106" s="3" t="inlineStr">
        <is>
          <t>Heron Fields (Pty) Ltd</t>
        </is>
      </c>
      <c r="B4106" s="4" t="n">
        <v>45169</v>
      </c>
      <c r="C4106" s="3" t="inlineStr">
        <is>
          <t>Assets</t>
        </is>
      </c>
      <c r="D4106" s="3" t="inlineStr">
        <is>
          <t>7700/010</t>
        </is>
      </c>
      <c r="E4106" s="3" t="inlineStr">
        <is>
          <t>Construction 28 Feb 23 HF</t>
        </is>
      </c>
      <c r="F4106" s="3" t="n">
        <v>0</v>
      </c>
      <c r="G4106" s="3" t="n">
        <v>-24427668.44</v>
      </c>
    </row>
    <row r="4107">
      <c r="A4107" s="3" t="inlineStr">
        <is>
          <t>Cape Projects Construction (Pty) Ltd</t>
        </is>
      </c>
      <c r="B4107" s="4" t="n">
        <v>45169</v>
      </c>
      <c r="C4107" s="3" t="inlineStr">
        <is>
          <t>Assets</t>
        </is>
      </c>
      <c r="D4107" s="3" t="inlineStr">
        <is>
          <t>7800/000</t>
        </is>
      </c>
      <c r="E4107" s="3" t="inlineStr">
        <is>
          <t>Deposits paid</t>
        </is>
      </c>
      <c r="F4107" s="3" t="n">
        <v>0</v>
      </c>
      <c r="G4107" s="3" t="n">
        <v>29600</v>
      </c>
    </row>
    <row r="4108">
      <c r="A4108" s="3" t="inlineStr">
        <is>
          <t>Cape Projects Construction (Pty) Ltd</t>
        </is>
      </c>
      <c r="B4108" s="4" t="n">
        <v>45169</v>
      </c>
      <c r="C4108" s="3" t="inlineStr">
        <is>
          <t>Assets</t>
        </is>
      </c>
      <c r="D4108" s="3" t="inlineStr">
        <is>
          <t>8000/000</t>
        </is>
      </c>
      <c r="E4108" s="3" t="inlineStr">
        <is>
          <t>Customer Control Account</t>
        </is>
      </c>
      <c r="F4108" s="3" t="n">
        <v>-2690400.95</v>
      </c>
      <c r="G4108" s="3" t="n">
        <v>-10539291.08</v>
      </c>
    </row>
    <row r="4109">
      <c r="A4109" s="3" t="inlineStr">
        <is>
          <t>Heron Fields (Pty) Ltd</t>
        </is>
      </c>
      <c r="B4109" s="4" t="n">
        <v>45169</v>
      </c>
      <c r="C4109" s="3" t="inlineStr">
        <is>
          <t>Assets</t>
        </is>
      </c>
      <c r="D4109" s="3" t="inlineStr">
        <is>
          <t>8000/000</t>
        </is>
      </c>
      <c r="E4109" s="3" t="inlineStr">
        <is>
          <t>Customer Control Account</t>
        </is>
      </c>
      <c r="F4109" s="3" t="n">
        <v>-67165</v>
      </c>
      <c r="G4109" s="3" t="n">
        <v>355606.61</v>
      </c>
    </row>
    <row r="4110">
      <c r="A4110" s="3" t="inlineStr">
        <is>
          <t>Heron Fields (Pty) Ltd</t>
        </is>
      </c>
      <c r="B4110" s="4" t="n">
        <v>45169</v>
      </c>
      <c r="C4110" s="3" t="inlineStr">
        <is>
          <t>Assets</t>
        </is>
      </c>
      <c r="D4110" s="3" t="inlineStr">
        <is>
          <t>8400/000</t>
        </is>
      </c>
      <c r="E4110" s="3" t="inlineStr">
        <is>
          <t>RMB - 62882379087</t>
        </is>
      </c>
      <c r="F4110" s="3" t="n">
        <v>899155.34</v>
      </c>
      <c r="G4110" s="3" t="n">
        <v>1802562.81</v>
      </c>
    </row>
    <row r="4111">
      <c r="A4111" s="3" t="inlineStr">
        <is>
          <t>Cape Projects Construction (Pty) Ltd</t>
        </is>
      </c>
      <c r="B4111" s="4" t="n">
        <v>45169</v>
      </c>
      <c r="C4111" s="3" t="inlineStr">
        <is>
          <t>Assets</t>
        </is>
      </c>
      <c r="D4111" s="3" t="inlineStr">
        <is>
          <t>8400/000</t>
        </is>
      </c>
      <c r="E4111" s="3" t="inlineStr">
        <is>
          <t>RMB 62275138470</t>
        </is>
      </c>
      <c r="F4111" s="3" t="n">
        <v>638416.21</v>
      </c>
      <c r="G4111" s="3" t="n">
        <v>744542.21</v>
      </c>
    </row>
    <row r="4112">
      <c r="A4112" s="3" t="inlineStr">
        <is>
          <t>Cape Projects Construction (Pty) Ltd</t>
        </is>
      </c>
      <c r="B4112" s="4" t="n">
        <v>45169</v>
      </c>
      <c r="C4112" s="3" t="inlineStr">
        <is>
          <t>Assets</t>
        </is>
      </c>
      <c r="D4112" s="3" t="inlineStr">
        <is>
          <t>8410/000</t>
        </is>
      </c>
      <c r="E4112" s="3" t="inlineStr">
        <is>
          <t>Petty Cash</t>
        </is>
      </c>
      <c r="F4112" s="3" t="n">
        <v>0</v>
      </c>
      <c r="G4112" s="3" t="n">
        <v>-1188</v>
      </c>
    </row>
    <row r="4113">
      <c r="A4113" s="3" t="inlineStr">
        <is>
          <t>Cape Projects Construction (Pty) Ltd</t>
        </is>
      </c>
      <c r="B4113" s="4" t="n">
        <v>45169</v>
      </c>
      <c r="C4113" s="3" t="inlineStr">
        <is>
          <t>Assets</t>
        </is>
      </c>
      <c r="D4113" s="3" t="inlineStr">
        <is>
          <t>8420/000</t>
        </is>
      </c>
      <c r="E4113" s="3" t="inlineStr">
        <is>
          <t>Momentum Priv Acc RU502230981</t>
        </is>
      </c>
      <c r="F4113" s="3" t="n">
        <v>4.04</v>
      </c>
      <c r="G4113" s="3" t="n">
        <v>563.41</v>
      </c>
    </row>
    <row r="4114">
      <c r="A4114" s="3" t="inlineStr">
        <is>
          <t>Heron Fields (Pty) Ltd</t>
        </is>
      </c>
      <c r="B4114" s="4" t="n">
        <v>45169</v>
      </c>
      <c r="C4114" s="3" t="inlineStr">
        <is>
          <t>Assets</t>
        </is>
      </c>
      <c r="D4114" s="3" t="inlineStr">
        <is>
          <t>8420/000</t>
        </is>
      </c>
      <c r="E4114" s="3" t="inlineStr">
        <is>
          <t>Petty Cash</t>
        </is>
      </c>
      <c r="F4114" s="3" t="n">
        <v>0</v>
      </c>
      <c r="G4114" s="3" t="n">
        <v>8620</v>
      </c>
    </row>
    <row r="4115">
      <c r="A4115" s="3" t="inlineStr">
        <is>
          <t>Heron Fields (Pty) Ltd</t>
        </is>
      </c>
      <c r="B4115" s="4" t="n">
        <v>45169</v>
      </c>
      <c r="C4115" s="3" t="inlineStr">
        <is>
          <t>Assets</t>
        </is>
      </c>
      <c r="D4115" s="3" t="inlineStr">
        <is>
          <t>8430/000</t>
        </is>
      </c>
      <c r="E4115" s="3" t="inlineStr">
        <is>
          <t>Momentum Private Account RU502230151</t>
        </is>
      </c>
      <c r="F4115" s="3" t="n">
        <v>0</v>
      </c>
      <c r="G4115" s="3" t="n">
        <v>848.4400000000001</v>
      </c>
    </row>
    <row r="4116">
      <c r="A4116" s="3" t="inlineStr">
        <is>
          <t>Heron Fields (Pty) Ltd</t>
        </is>
      </c>
      <c r="B4116" s="4" t="n">
        <v>45169</v>
      </c>
      <c r="C4116" s="3" t="inlineStr">
        <is>
          <t>Assets</t>
        </is>
      </c>
      <c r="D4116" s="3" t="inlineStr">
        <is>
          <t>8440/000</t>
        </is>
      </c>
      <c r="E4116" s="3" t="inlineStr">
        <is>
          <t>Momentum Investors Account RU502229930</t>
        </is>
      </c>
      <c r="F4116" s="3" t="n">
        <v>1395844.89</v>
      </c>
      <c r="G4116" s="3" t="n">
        <v>33595163.02</v>
      </c>
    </row>
    <row r="4117">
      <c r="A4117" s="3" t="inlineStr">
        <is>
          <t>Cape Projects Construction (Pty) Ltd</t>
        </is>
      </c>
      <c r="B4117" s="4" t="n">
        <v>45169</v>
      </c>
      <c r="C4117" s="3" t="inlineStr">
        <is>
          <t>Liabilities</t>
        </is>
      </c>
      <c r="D4117" s="3" t="inlineStr">
        <is>
          <t>860</t>
        </is>
      </c>
      <c r="E4117" s="3" t="inlineStr">
        <is>
          <t>Rounding</t>
        </is>
      </c>
      <c r="F4117" s="3" t="n">
        <v>-0.04</v>
      </c>
      <c r="G4117" s="3" t="n">
        <v>-29.02</v>
      </c>
    </row>
    <row r="4118">
      <c r="A4118" s="3" t="inlineStr">
        <is>
          <t>Heron Fields (Pty) Ltd</t>
        </is>
      </c>
      <c r="B4118" s="4" t="n">
        <v>45169</v>
      </c>
      <c r="C4118" s="3" t="inlineStr">
        <is>
          <t>Liabilities</t>
        </is>
      </c>
      <c r="D4118" s="3" t="inlineStr">
        <is>
          <t>860</t>
        </is>
      </c>
      <c r="E4118" s="3" t="inlineStr">
        <is>
          <t>Rounding</t>
        </is>
      </c>
      <c r="F4118" s="3" t="n">
        <v>0</v>
      </c>
      <c r="G4118" s="3" t="n">
        <v>0.13</v>
      </c>
    </row>
    <row r="4119">
      <c r="A4119" s="3" t="inlineStr">
        <is>
          <t>Cape Projects Construction (Pty) Ltd</t>
        </is>
      </c>
      <c r="B4119" s="4" t="n">
        <v>45169</v>
      </c>
      <c r="C4119" s="3" t="inlineStr">
        <is>
          <t>Liabilities</t>
        </is>
      </c>
      <c r="D4119" s="3" t="inlineStr">
        <is>
          <t>9000/000</t>
        </is>
      </c>
      <c r="E4119" s="3" t="inlineStr">
        <is>
          <t>Supplier Control Account</t>
        </is>
      </c>
      <c r="F4119" s="3" t="n">
        <v>601936.16</v>
      </c>
      <c r="G4119" s="3" t="n">
        <v>-722092.8</v>
      </c>
    </row>
    <row r="4120">
      <c r="A4120" s="3" t="inlineStr">
        <is>
          <t>Heron Fields (Pty) Ltd</t>
        </is>
      </c>
      <c r="B4120" s="4" t="n">
        <v>45169</v>
      </c>
      <c r="C4120" s="3" t="inlineStr">
        <is>
          <t>Liabilities</t>
        </is>
      </c>
      <c r="D4120" s="3" t="inlineStr">
        <is>
          <t>9000/000</t>
        </is>
      </c>
      <c r="E4120" s="3" t="inlineStr">
        <is>
          <t>Supplier Control Account</t>
        </is>
      </c>
      <c r="F4120" s="3" t="n">
        <v>-4023886.55</v>
      </c>
      <c r="G4120" s="3" t="n">
        <v>-145827705.17</v>
      </c>
    </row>
    <row r="4121">
      <c r="A4121" s="3" t="inlineStr">
        <is>
          <t>Heron View (Pty) Ltd</t>
        </is>
      </c>
      <c r="B4121" s="4" t="n">
        <v>45169</v>
      </c>
      <c r="C4121" s="3" t="inlineStr">
        <is>
          <t>Liabilities</t>
        </is>
      </c>
      <c r="D4121" s="3" t="inlineStr">
        <is>
          <t>9000/000</t>
        </is>
      </c>
      <c r="E4121" s="3" t="inlineStr">
        <is>
          <t>Supplier Control Account</t>
        </is>
      </c>
      <c r="F4121" s="3" t="n">
        <v>4642885.22</v>
      </c>
      <c r="G4121" s="3" t="n">
        <v>9094435.59</v>
      </c>
    </row>
    <row r="4122">
      <c r="A4122" s="3" t="inlineStr">
        <is>
          <t>Cape Projects Construction (Pty) Ltd</t>
        </is>
      </c>
      <c r="B4122" s="4" t="n">
        <v>45169</v>
      </c>
      <c r="C4122" s="3" t="inlineStr">
        <is>
          <t>Liabilities</t>
        </is>
      </c>
      <c r="D4122" s="3" t="inlineStr">
        <is>
          <t>9200/000</t>
        </is>
      </c>
      <c r="E4122" s="3" t="inlineStr">
        <is>
          <t>Sundry Suppliers</t>
        </is>
      </c>
      <c r="F4122" s="3" t="n">
        <v>0</v>
      </c>
      <c r="G4122" s="3" t="n">
        <v>1309</v>
      </c>
    </row>
    <row r="4123">
      <c r="A4123" s="3" t="inlineStr">
        <is>
          <t>Cape Projects Construction (Pty) Ltd</t>
        </is>
      </c>
      <c r="B4123" s="4" t="n">
        <v>45169</v>
      </c>
      <c r="C4123" s="3" t="inlineStr">
        <is>
          <t>Liabilities</t>
        </is>
      </c>
      <c r="D4123" s="3" t="inlineStr">
        <is>
          <t>9250/010</t>
        </is>
      </c>
      <c r="E4123" s="3" t="inlineStr">
        <is>
          <t>SALARY CONTROL</t>
        </is>
      </c>
      <c r="F4123" s="3" t="n">
        <v>-0.01</v>
      </c>
      <c r="G4123" s="3" t="n">
        <v>-0.01</v>
      </c>
    </row>
    <row r="4124">
      <c r="A4124" s="3" t="inlineStr">
        <is>
          <t>Cape Projects Construction (Pty) Ltd</t>
        </is>
      </c>
      <c r="B4124" s="4" t="n">
        <v>45169</v>
      </c>
      <c r="C4124" s="3" t="inlineStr">
        <is>
          <t>Liabilities</t>
        </is>
      </c>
      <c r="D4124" s="3" t="inlineStr">
        <is>
          <t>9250/020</t>
        </is>
      </c>
      <c r="E4124" s="3" t="inlineStr">
        <is>
          <t>PAYE, UIF AND SDL CONTROL</t>
        </is>
      </c>
      <c r="F4124" s="3" t="n">
        <v>1082.9</v>
      </c>
      <c r="G4124" s="3" t="n">
        <v>-90952.66</v>
      </c>
    </row>
    <row r="4125">
      <c r="A4125" s="3" t="inlineStr">
        <is>
          <t>Cape Projects Construction (Pty) Ltd</t>
        </is>
      </c>
      <c r="B4125" s="4" t="n">
        <v>45169</v>
      </c>
      <c r="C4125" s="3" t="inlineStr">
        <is>
          <t>Liabilities</t>
        </is>
      </c>
      <c r="D4125" s="3" t="inlineStr">
        <is>
          <t>9250/030</t>
        </is>
      </c>
      <c r="E4125" s="3" t="inlineStr">
        <is>
          <t>BIBC CONTROL</t>
        </is>
      </c>
      <c r="F4125" s="3" t="n">
        <v>0</v>
      </c>
      <c r="G4125" s="3" t="n">
        <v>-49413.95</v>
      </c>
    </row>
    <row r="4126">
      <c r="A4126" s="3" t="inlineStr">
        <is>
          <t>Cape Projects Construction (Pty) Ltd</t>
        </is>
      </c>
      <c r="B4126" s="4" t="n">
        <v>45169</v>
      </c>
      <c r="C4126" s="3" t="inlineStr">
        <is>
          <t>Liabilities</t>
        </is>
      </c>
      <c r="D4126" s="3" t="inlineStr">
        <is>
          <t>9500/000</t>
        </is>
      </c>
      <c r="E4126" s="3" t="inlineStr">
        <is>
          <t>VAT Control Account</t>
        </is>
      </c>
      <c r="F4126" s="3" t="n">
        <v>160517.17</v>
      </c>
      <c r="G4126" s="3" t="n">
        <v>50784.22</v>
      </c>
    </row>
    <row r="4127">
      <c r="A4127" s="3" t="inlineStr">
        <is>
          <t>Heron Fields (Pty) Ltd</t>
        </is>
      </c>
      <c r="B4127" s="4" t="n">
        <v>45169</v>
      </c>
      <c r="C4127" s="3" t="inlineStr">
        <is>
          <t>Liabilities</t>
        </is>
      </c>
      <c r="D4127" s="3" t="inlineStr">
        <is>
          <t>9500/000</t>
        </is>
      </c>
      <c r="E4127" s="3" t="inlineStr">
        <is>
          <t>Vat / Tax Control Account</t>
        </is>
      </c>
      <c r="F4127" s="3" t="n">
        <v>73350.60000000001</v>
      </c>
      <c r="G4127" s="3" t="n">
        <v>-3947009.89</v>
      </c>
    </row>
    <row r="4128">
      <c r="A4128" s="3" t="inlineStr">
        <is>
          <t>Heron View (Pty) Ltd</t>
        </is>
      </c>
      <c r="B4128" s="4" t="n">
        <v>45169</v>
      </c>
      <c r="C4128" s="3" t="inlineStr">
        <is>
          <t>Liabilities</t>
        </is>
      </c>
      <c r="D4128" s="3" t="inlineStr">
        <is>
          <t>9500/000</t>
        </is>
      </c>
      <c r="E4128" s="3" t="inlineStr">
        <is>
          <t>Vat / Tax Control Account</t>
        </is>
      </c>
      <c r="F4128" s="3" t="n">
        <v>-763529.6</v>
      </c>
      <c r="G4128" s="3" t="n">
        <v>4454975.87</v>
      </c>
    </row>
    <row r="4129">
      <c r="A4129" s="3" t="inlineStr">
        <is>
          <t>Heron Fields (Pty) Ltd</t>
        </is>
      </c>
      <c r="B4129" s="4" t="n">
        <v>45169</v>
      </c>
      <c r="C4129" s="3" t="inlineStr">
        <is>
          <t>Liabilities</t>
        </is>
      </c>
      <c r="D4129" s="3" t="inlineStr">
        <is>
          <t>9520/000</t>
        </is>
      </c>
      <c r="E4129" s="3" t="inlineStr">
        <is>
          <t>Income Tax Payable</t>
        </is>
      </c>
      <c r="F4129" s="3" t="n">
        <v>0</v>
      </c>
      <c r="G4129" s="3" t="n">
        <v>59039.93</v>
      </c>
    </row>
    <row r="4130">
      <c r="A4130" s="3" t="inlineStr">
        <is>
          <t>Heron Fields (Pty) Ltd</t>
        </is>
      </c>
      <c r="B4130" s="4" t="n">
        <v>45169</v>
      </c>
      <c r="C4130" s="3" t="inlineStr">
        <is>
          <t>Liabilities</t>
        </is>
      </c>
      <c r="D4130" s="3" t="inlineStr">
        <is>
          <t>9899/B214</t>
        </is>
      </c>
      <c r="E4130" s="3" t="inlineStr">
        <is>
          <t>Sales - Unit Reg Control B214</t>
        </is>
      </c>
      <c r="F4130" s="3" t="n">
        <v>-71995</v>
      </c>
      <c r="G4130" s="3" t="n">
        <v>0</v>
      </c>
    </row>
    <row r="4131">
      <c r="A4131" s="3" t="inlineStr">
        <is>
          <t>Heron View (Pty) Ltd</t>
        </is>
      </c>
      <c r="B4131" s="4" t="n">
        <v>45169</v>
      </c>
      <c r="C4131" s="3" t="inlineStr">
        <is>
          <t>Liabilities</t>
        </is>
      </c>
      <c r="D4131" s="3" t="inlineStr">
        <is>
          <t>9899/C102</t>
        </is>
      </c>
      <c r="E4131" s="3" t="inlineStr">
        <is>
          <t>Sales - Unit Reg Control C102</t>
        </is>
      </c>
      <c r="F4131" s="3" t="n">
        <v>-0.4</v>
      </c>
      <c r="G4131" s="3" t="n">
        <v>-0.4</v>
      </c>
    </row>
    <row r="4132">
      <c r="A4132" s="3" t="inlineStr">
        <is>
          <t>Cape Projects Construction (Pty) Ltd</t>
        </is>
      </c>
      <c r="B4132" s="4" t="n">
        <v>45169</v>
      </c>
      <c r="C4132" s="3" t="inlineStr">
        <is>
          <t>Liabilities</t>
        </is>
      </c>
      <c r="D4132" s="3" t="inlineStr">
        <is>
          <t>B/S</t>
        </is>
      </c>
      <c r="E4132" s="3" t="inlineStr">
        <is>
          <t>Taxation Payable</t>
        </is>
      </c>
      <c r="F4132" s="3" t="n">
        <v>0</v>
      </c>
      <c r="G4132" s="3" t="n">
        <v>1869.8</v>
      </c>
    </row>
    <row r="4133">
      <c r="A4133" s="3" t="inlineStr">
        <is>
          <t>Cape Projects Construction (Pty) Ltd</t>
        </is>
      </c>
      <c r="B4133" s="4" t="n">
        <v>45169</v>
      </c>
      <c r="C4133" s="3" t="inlineStr">
        <is>
          <t>Liabilities</t>
        </is>
      </c>
      <c r="D4133" s="3" t="inlineStr">
        <is>
          <t>TEMP/ACC</t>
        </is>
      </c>
      <c r="E4133" s="3" t="inlineStr">
        <is>
          <t>Conversion Account</t>
        </is>
      </c>
      <c r="F4133" s="3" t="n">
        <v>0</v>
      </c>
      <c r="G4133" s="3" t="n">
        <v>-254.99</v>
      </c>
    </row>
    <row r="4134">
      <c r="A4134" s="3" t="inlineStr">
        <is>
          <t>Heron Fields (Pty) Ltd</t>
        </is>
      </c>
      <c r="B4134" s="4" t="n">
        <v>45199</v>
      </c>
      <c r="C4134" s="3" t="inlineStr">
        <is>
          <t>Revenue</t>
        </is>
      </c>
      <c r="D4134" s="3" t="inlineStr">
        <is>
          <t>1000/100</t>
        </is>
      </c>
      <c r="E4134" s="3" t="inlineStr">
        <is>
          <t>Sales - Heron Fields</t>
        </is>
      </c>
      <c r="F4134" s="3" t="n">
        <v>0</v>
      </c>
      <c r="G4134" s="3" t="n">
        <v>-26852956.53</v>
      </c>
    </row>
    <row r="4135">
      <c r="A4135" s="3" t="inlineStr">
        <is>
          <t>Heron View (Pty) Ltd</t>
        </is>
      </c>
      <c r="B4135" s="4" t="n">
        <v>45199</v>
      </c>
      <c r="C4135" s="3" t="inlineStr">
        <is>
          <t>Revenue</t>
        </is>
      </c>
      <c r="D4135" s="3" t="inlineStr">
        <is>
          <t>1000/100</t>
        </is>
      </c>
      <c r="E4135" s="3" t="inlineStr">
        <is>
          <t>Sales - Heron View Sales</t>
        </is>
      </c>
      <c r="F4135" s="3" t="n">
        <v>-13012260.88</v>
      </c>
      <c r="G4135" s="3" t="n">
        <v>-19833565.24</v>
      </c>
    </row>
    <row r="4136">
      <c r="A4136" s="3" t="inlineStr">
        <is>
          <t>Heron Fields (Pty) Ltd</t>
        </is>
      </c>
      <c r="B4136" s="4" t="n">
        <v>45199</v>
      </c>
      <c r="C4136" s="3" t="inlineStr">
        <is>
          <t>Revenue</t>
        </is>
      </c>
      <c r="D4136" s="3" t="inlineStr">
        <is>
          <t>1000/101</t>
        </is>
      </c>
      <c r="E4136" s="3" t="inlineStr">
        <is>
          <t>Sales - Heron Fields occupational rent</t>
        </is>
      </c>
      <c r="F4136" s="3" t="n">
        <v>0</v>
      </c>
      <c r="G4136" s="3" t="n">
        <v>-102388.85</v>
      </c>
    </row>
    <row r="4137">
      <c r="A4137" s="3" t="inlineStr">
        <is>
          <t>Heron View (Pty) Ltd</t>
        </is>
      </c>
      <c r="B4137" s="4" t="n">
        <v>45199</v>
      </c>
      <c r="C4137" s="3" t="inlineStr">
        <is>
          <t>Revenue</t>
        </is>
      </c>
      <c r="D4137" s="3" t="inlineStr">
        <is>
          <t>1000/101</t>
        </is>
      </c>
      <c r="E4137" s="3" t="inlineStr">
        <is>
          <t>Sales - Heron View Occupational Rent</t>
        </is>
      </c>
      <c r="F4137" s="3" t="n">
        <v>-61019.35</v>
      </c>
      <c r="G4137" s="3" t="n">
        <v>-78825.8</v>
      </c>
    </row>
    <row r="4138">
      <c r="A4138" s="3" t="inlineStr">
        <is>
          <t>Cape Projects Construction (Pty) Ltd</t>
        </is>
      </c>
      <c r="B4138" s="4" t="n">
        <v>45199</v>
      </c>
      <c r="C4138" s="3" t="inlineStr">
        <is>
          <t>Revenue</t>
        </is>
      </c>
      <c r="D4138" s="3" t="inlineStr">
        <is>
          <t>1040/100</t>
        </is>
      </c>
      <c r="E4138" s="3" t="inlineStr">
        <is>
          <t>Fees - Construction - Heron</t>
        </is>
      </c>
      <c r="F4138" s="3" t="n">
        <v>-4967306.73</v>
      </c>
      <c r="G4138" s="3" t="n">
        <v>-28400206.47</v>
      </c>
    </row>
    <row r="4139">
      <c r="A4139" s="3" t="inlineStr">
        <is>
          <t>Cape Projects Construction (Pty) Ltd</t>
        </is>
      </c>
      <c r="B4139" s="4" t="n">
        <v>45199</v>
      </c>
      <c r="C4139" s="3" t="inlineStr">
        <is>
          <t>Revenue</t>
        </is>
      </c>
      <c r="D4139" s="3" t="inlineStr">
        <is>
          <t>1070/000</t>
        </is>
      </c>
      <c r="E4139" s="3" t="inlineStr">
        <is>
          <t>Rent - CT Office</t>
        </is>
      </c>
      <c r="F4139" s="3" t="n">
        <v>0</v>
      </c>
      <c r="G4139" s="3" t="n">
        <v>3490.94</v>
      </c>
    </row>
    <row r="4140">
      <c r="A4140" s="3" t="inlineStr">
        <is>
          <t>Heron Fields (Pty) Ltd</t>
        </is>
      </c>
      <c r="B4140" s="4" t="n">
        <v>45199</v>
      </c>
      <c r="C4140" s="3" t="inlineStr">
        <is>
          <t>Revenue</t>
        </is>
      </c>
      <c r="D4140" s="3" t="inlineStr">
        <is>
          <t>1500/002</t>
        </is>
      </c>
      <c r="E4140" s="3" t="inlineStr">
        <is>
          <t>Rental Income</t>
        </is>
      </c>
      <c r="F4140" s="3" t="n">
        <v>-14500</v>
      </c>
      <c r="G4140" s="3" t="n">
        <v>-82491.94</v>
      </c>
    </row>
    <row r="4141">
      <c r="A4141" s="3" t="inlineStr">
        <is>
          <t>Heron Fields (Pty) Ltd</t>
        </is>
      </c>
      <c r="B4141" s="4" t="n">
        <v>45199</v>
      </c>
      <c r="C4141" s="3" t="inlineStr">
        <is>
          <t>Expenses</t>
        </is>
      </c>
      <c r="D4141" s="3" t="inlineStr">
        <is>
          <t>2000/011</t>
        </is>
      </c>
      <c r="E4141" s="3" t="inlineStr">
        <is>
          <t>COS - Heron View Showhouse</t>
        </is>
      </c>
      <c r="F4141" s="3" t="n">
        <v>0</v>
      </c>
      <c r="G4141" s="3" t="n">
        <v>45300.43</v>
      </c>
    </row>
    <row r="4142">
      <c r="A4142" s="3" t="inlineStr">
        <is>
          <t>Heron View (Pty) Ltd</t>
        </is>
      </c>
      <c r="B4142" s="4" t="n">
        <v>45199</v>
      </c>
      <c r="C4142" s="3" t="inlineStr">
        <is>
          <t>Expenses</t>
        </is>
      </c>
      <c r="D4142" s="3" t="inlineStr">
        <is>
          <t>2000/030</t>
        </is>
      </c>
      <c r="E4142" s="3" t="inlineStr">
        <is>
          <t>COS - HV COCT Rates clearance</t>
        </is>
      </c>
      <c r="F4142" s="3" t="n">
        <v>0</v>
      </c>
      <c r="G4142" s="3" t="n">
        <v>237142.94</v>
      </c>
    </row>
    <row r="4143">
      <c r="A4143" s="3" t="inlineStr">
        <is>
          <t>Heron Fields (Pty) Ltd</t>
        </is>
      </c>
      <c r="B4143" s="4" t="n">
        <v>45199</v>
      </c>
      <c r="C4143" s="3" t="inlineStr">
        <is>
          <t>Expenses</t>
        </is>
      </c>
      <c r="D4143" s="3" t="inlineStr">
        <is>
          <t>2000/040</t>
        </is>
      </c>
      <c r="E4143" s="3" t="inlineStr">
        <is>
          <t>COS - Legal Fees</t>
        </is>
      </c>
      <c r="F4143" s="3" t="n">
        <v>0</v>
      </c>
      <c r="G4143" s="3" t="n">
        <v>648956.64</v>
      </c>
    </row>
    <row r="4144">
      <c r="A4144" s="3" t="inlineStr">
        <is>
          <t>Heron View (Pty) Ltd</t>
        </is>
      </c>
      <c r="B4144" s="4" t="n">
        <v>45199</v>
      </c>
      <c r="C4144" s="3" t="inlineStr">
        <is>
          <t>Expenses</t>
        </is>
      </c>
      <c r="D4144" s="3" t="inlineStr">
        <is>
          <t>2000/040</t>
        </is>
      </c>
      <c r="E4144" s="3" t="inlineStr">
        <is>
          <t>COS - Legal Fees</t>
        </is>
      </c>
      <c r="F4144" s="3" t="n">
        <v>316983.01</v>
      </c>
      <c r="G4144" s="3" t="n">
        <v>451248.55</v>
      </c>
    </row>
    <row r="4145">
      <c r="A4145" s="3" t="inlineStr">
        <is>
          <t>Heron View (Pty) Ltd</t>
        </is>
      </c>
      <c r="B4145" s="4" t="n">
        <v>45199</v>
      </c>
      <c r="C4145" s="3" t="inlineStr">
        <is>
          <t>Expenses</t>
        </is>
      </c>
      <c r="D4145" s="3" t="inlineStr">
        <is>
          <t>2000/041</t>
        </is>
      </c>
      <c r="E4145" s="3" t="inlineStr">
        <is>
          <t>COS - Legal Fees Opening of Sec Title Fees</t>
        </is>
      </c>
      <c r="F4145" s="3" t="n">
        <v>16847</v>
      </c>
      <c r="G4145" s="3" t="n">
        <v>61556.94</v>
      </c>
    </row>
    <row r="4146">
      <c r="A4146" s="3" t="inlineStr">
        <is>
          <t>Heron Fields (Pty) Ltd</t>
        </is>
      </c>
      <c r="B4146" s="4" t="n">
        <v>45199</v>
      </c>
      <c r="C4146" s="3" t="inlineStr">
        <is>
          <t>Expenses</t>
        </is>
      </c>
      <c r="D4146" s="3" t="inlineStr">
        <is>
          <t>2000/050</t>
        </is>
      </c>
      <c r="E4146" s="3" t="inlineStr">
        <is>
          <t>COS - Rates clearance</t>
        </is>
      </c>
      <c r="F4146" s="3" t="n">
        <v>0</v>
      </c>
      <c r="G4146" s="3" t="n">
        <v>25345.12</v>
      </c>
    </row>
    <row r="4147">
      <c r="A4147" s="3" t="inlineStr">
        <is>
          <t>Heron Fields (Pty) Ltd</t>
        </is>
      </c>
      <c r="B4147" s="4" t="n">
        <v>45199</v>
      </c>
      <c r="C4147" s="3" t="inlineStr">
        <is>
          <t>Expenses</t>
        </is>
      </c>
      <c r="D4147" s="3" t="inlineStr">
        <is>
          <t>2000/060</t>
        </is>
      </c>
      <c r="E4147" s="3" t="inlineStr">
        <is>
          <t>COS - Levies</t>
        </is>
      </c>
      <c r="F4147" s="3" t="n">
        <v>209891.04</v>
      </c>
      <c r="G4147" s="3" t="n">
        <v>381069.48</v>
      </c>
    </row>
    <row r="4148">
      <c r="A4148" s="3" t="inlineStr">
        <is>
          <t>Heron Fields (Pty) Ltd</t>
        </is>
      </c>
      <c r="B4148" s="4" t="n">
        <v>45199</v>
      </c>
      <c r="C4148" s="3" t="inlineStr">
        <is>
          <t>Expenses</t>
        </is>
      </c>
      <c r="D4148" s="3" t="inlineStr">
        <is>
          <t>2000/070</t>
        </is>
      </c>
      <c r="E4148" s="3" t="inlineStr">
        <is>
          <t>COS - Commission HF Units</t>
        </is>
      </c>
      <c r="F4148" s="3" t="n">
        <v>0</v>
      </c>
      <c r="G4148" s="3" t="n">
        <v>1343517.4</v>
      </c>
    </row>
    <row r="4149">
      <c r="A4149" s="3" t="inlineStr">
        <is>
          <t>Heron View (Pty) Ltd</t>
        </is>
      </c>
      <c r="B4149" s="4" t="n">
        <v>45199</v>
      </c>
      <c r="C4149" s="3" t="inlineStr">
        <is>
          <t>Expenses</t>
        </is>
      </c>
      <c r="D4149" s="3" t="inlineStr">
        <is>
          <t>2000/070</t>
        </is>
      </c>
      <c r="E4149" s="3" t="inlineStr">
        <is>
          <t>COS - Commission HV Units</t>
        </is>
      </c>
      <c r="F4149" s="3" t="n">
        <v>650395.63</v>
      </c>
      <c r="G4149" s="3" t="n">
        <v>993852.14</v>
      </c>
    </row>
    <row r="4150">
      <c r="A4150" s="3" t="inlineStr">
        <is>
          <t>Heron Fields (Pty) Ltd</t>
        </is>
      </c>
      <c r="B4150" s="4" t="n">
        <v>45199</v>
      </c>
      <c r="C4150" s="3" t="inlineStr">
        <is>
          <t>Expenses</t>
        </is>
      </c>
      <c r="D4150" s="3" t="inlineStr">
        <is>
          <t>2000/080</t>
        </is>
      </c>
      <c r="E4150" s="3" t="inlineStr">
        <is>
          <t>COS - Showhouse - HF</t>
        </is>
      </c>
      <c r="F4150" s="3" t="n">
        <v>0</v>
      </c>
      <c r="G4150" s="3" t="n">
        <v>1005.47</v>
      </c>
    </row>
    <row r="4151">
      <c r="A4151" s="3" t="inlineStr">
        <is>
          <t>Heron View (Pty) Ltd</t>
        </is>
      </c>
      <c r="B4151" s="4" t="n">
        <v>45199</v>
      </c>
      <c r="C4151" s="3" t="inlineStr">
        <is>
          <t>Expenses</t>
        </is>
      </c>
      <c r="D4151" s="3" t="inlineStr">
        <is>
          <t>2000/080</t>
        </is>
      </c>
      <c r="E4151" s="3" t="inlineStr">
        <is>
          <t>COS - Showhouse - HV</t>
        </is>
      </c>
      <c r="F4151" s="3" t="n">
        <v>0</v>
      </c>
      <c r="G4151" s="3" t="n">
        <v>6212.85</v>
      </c>
    </row>
    <row r="4152">
      <c r="A4152" s="3" t="inlineStr">
        <is>
          <t>Heron Fields (Pty) Ltd</t>
        </is>
      </c>
      <c r="B4152" s="4" t="n">
        <v>45199</v>
      </c>
      <c r="C4152" s="3" t="inlineStr">
        <is>
          <t>Expenses</t>
        </is>
      </c>
      <c r="D4152" s="3" t="inlineStr">
        <is>
          <t>2000/090</t>
        </is>
      </c>
      <c r="E4152" s="3" t="inlineStr">
        <is>
          <t>COS - Electricity</t>
        </is>
      </c>
      <c r="F4152" s="3" t="n">
        <v>0</v>
      </c>
      <c r="G4152" s="3" t="n">
        <v>250</v>
      </c>
    </row>
    <row r="4153">
      <c r="A4153" s="3" t="inlineStr">
        <is>
          <t>Heron View (Pty) Ltd</t>
        </is>
      </c>
      <c r="B4153" s="4" t="n">
        <v>45199</v>
      </c>
      <c r="C4153" s="3" t="inlineStr">
        <is>
          <t>Expenses</t>
        </is>
      </c>
      <c r="D4153" s="3" t="inlineStr">
        <is>
          <t>2000/090</t>
        </is>
      </c>
      <c r="E4153" s="3" t="inlineStr">
        <is>
          <t>COS - Electricity</t>
        </is>
      </c>
      <c r="F4153" s="3" t="n">
        <v>100</v>
      </c>
      <c r="G4153" s="3" t="n">
        <v>100</v>
      </c>
    </row>
    <row r="4154">
      <c r="A4154" s="3" t="inlineStr">
        <is>
          <t>Heron Fields (Pty) Ltd</t>
        </is>
      </c>
      <c r="B4154" s="4" t="n">
        <v>45199</v>
      </c>
      <c r="C4154" s="3" t="inlineStr">
        <is>
          <t>Expenses</t>
        </is>
      </c>
      <c r="D4154" s="3" t="inlineStr">
        <is>
          <t>2000/100</t>
        </is>
      </c>
      <c r="E4154" s="3" t="inlineStr">
        <is>
          <t>COS - Inverters</t>
        </is>
      </c>
      <c r="F4154" s="3" t="n">
        <v>0</v>
      </c>
      <c r="G4154" s="3" t="n">
        <v>31600</v>
      </c>
    </row>
    <row r="4155">
      <c r="A4155" s="3" t="inlineStr">
        <is>
          <t>Cape Projects Construction (Pty) Ltd</t>
        </is>
      </c>
      <c r="B4155" s="4" t="n">
        <v>45199</v>
      </c>
      <c r="C4155" s="3" t="inlineStr">
        <is>
          <t>Expenses</t>
        </is>
      </c>
      <c r="D4155" s="3" t="inlineStr">
        <is>
          <t>2000/500</t>
        </is>
      </c>
      <c r="E4155" s="3" t="inlineStr">
        <is>
          <t>COS - Electricity Cost Endulini</t>
        </is>
      </c>
      <c r="F4155" s="3" t="n">
        <v>0</v>
      </c>
      <c r="G4155" s="3" t="n">
        <v>286.96</v>
      </c>
    </row>
    <row r="4156">
      <c r="A4156" s="3" t="inlineStr">
        <is>
          <t>Cape Projects Construction (Pty) Ltd</t>
        </is>
      </c>
      <c r="B4156" s="4" t="n">
        <v>45199</v>
      </c>
      <c r="C4156" s="3" t="inlineStr">
        <is>
          <t>Expenses</t>
        </is>
      </c>
      <c r="D4156" s="3" t="inlineStr">
        <is>
          <t>2000/501</t>
        </is>
      </c>
      <c r="E4156" s="3" t="inlineStr">
        <is>
          <t>COS - Electricity Cost Heron Field</t>
        </is>
      </c>
      <c r="F4156" s="3" t="n">
        <v>0</v>
      </c>
      <c r="G4156" s="3" t="n">
        <v>86.95999999999999</v>
      </c>
    </row>
    <row r="4157">
      <c r="A4157" s="3" t="inlineStr">
        <is>
          <t>Cape Projects Construction (Pty) Ltd</t>
        </is>
      </c>
      <c r="B4157" s="4" t="n">
        <v>45199</v>
      </c>
      <c r="C4157" s="3" t="inlineStr">
        <is>
          <t>Expenses</t>
        </is>
      </c>
      <c r="D4157" s="3" t="inlineStr">
        <is>
          <t>2001/000</t>
        </is>
      </c>
      <c r="E4157" s="3" t="inlineStr">
        <is>
          <t>Cost of Sales - SouthWark Project</t>
        </is>
      </c>
      <c r="F4157" s="3" t="n">
        <v>7197</v>
      </c>
      <c r="G4157" s="3" t="n">
        <v>30620.97</v>
      </c>
    </row>
    <row r="4158">
      <c r="A4158" s="3" t="inlineStr">
        <is>
          <t>Cape Projects Construction (Pty) Ltd</t>
        </is>
      </c>
      <c r="B4158" s="4" t="n">
        <v>45199</v>
      </c>
      <c r="C4158" s="3" t="inlineStr">
        <is>
          <t>Expenses</t>
        </is>
      </c>
      <c r="D4158" s="3" t="inlineStr">
        <is>
          <t>2002/250</t>
        </is>
      </c>
      <c r="E4158" s="3" t="inlineStr">
        <is>
          <t>COS - Security</t>
        </is>
      </c>
      <c r="F4158" s="3" t="n">
        <v>0</v>
      </c>
      <c r="G4158" s="3" t="n">
        <v>10516.44</v>
      </c>
    </row>
    <row r="4159">
      <c r="A4159" s="3" t="inlineStr">
        <is>
          <t>Cape Projects Construction (Pty) Ltd</t>
        </is>
      </c>
      <c r="B4159" s="4" t="n">
        <v>45199</v>
      </c>
      <c r="C4159" s="3" t="inlineStr">
        <is>
          <t>Expenses</t>
        </is>
      </c>
      <c r="D4159" s="3" t="inlineStr">
        <is>
          <t>2002/252</t>
        </is>
      </c>
      <c r="E4159" s="3" t="inlineStr">
        <is>
          <t>COS - Security - Guarding</t>
        </is>
      </c>
      <c r="F4159" s="3" t="n">
        <v>16000</v>
      </c>
      <c r="G4159" s="3" t="n">
        <v>57620.91</v>
      </c>
    </row>
    <row r="4160">
      <c r="A4160" s="3" t="inlineStr">
        <is>
          <t>Cape Projects Construction (Pty) Ltd</t>
        </is>
      </c>
      <c r="B4160" s="4" t="n">
        <v>45199</v>
      </c>
      <c r="C4160" s="3" t="inlineStr">
        <is>
          <t>Expenses</t>
        </is>
      </c>
      <c r="D4160" s="3" t="inlineStr">
        <is>
          <t>2006/000</t>
        </is>
      </c>
      <c r="E4160" s="3" t="inlineStr">
        <is>
          <t>COS - Endulini Construction</t>
        </is>
      </c>
      <c r="F4160" s="3" t="n">
        <v>5415.27</v>
      </c>
      <c r="G4160" s="3" t="n">
        <v>260475.4</v>
      </c>
    </row>
    <row r="4161">
      <c r="A4161" s="3" t="inlineStr">
        <is>
          <t>Cape Projects Construction (Pty) Ltd</t>
        </is>
      </c>
      <c r="B4161" s="4" t="n">
        <v>45199</v>
      </c>
      <c r="C4161" s="3" t="inlineStr">
        <is>
          <t>Expenses</t>
        </is>
      </c>
      <c r="D4161" s="3" t="inlineStr">
        <is>
          <t>2006/100</t>
        </is>
      </c>
      <c r="E4161" s="3" t="inlineStr">
        <is>
          <t>COS - Endulini P and G</t>
        </is>
      </c>
      <c r="F4161" s="3" t="n">
        <v>1175.65</v>
      </c>
      <c r="G4161" s="3" t="n">
        <v>149979.24</v>
      </c>
    </row>
    <row r="4162">
      <c r="A4162" s="3" t="inlineStr">
        <is>
          <t>Cape Projects Construction (Pty) Ltd</t>
        </is>
      </c>
      <c r="B4162" s="4" t="n">
        <v>45199</v>
      </c>
      <c r="C4162" s="3" t="inlineStr">
        <is>
          <t>Expenses</t>
        </is>
      </c>
      <c r="D4162" s="3" t="inlineStr">
        <is>
          <t>2006/200</t>
        </is>
      </c>
      <c r="E4162" s="3" t="inlineStr">
        <is>
          <t>COS - Insurance</t>
        </is>
      </c>
      <c r="F4162" s="3" t="n">
        <v>37693.12</v>
      </c>
      <c r="G4162" s="3" t="n">
        <v>19969.43</v>
      </c>
    </row>
    <row r="4163">
      <c r="A4163" s="3" t="inlineStr">
        <is>
          <t>Cape Projects Construction (Pty) Ltd</t>
        </is>
      </c>
      <c r="B4163" s="4" t="n">
        <v>45199</v>
      </c>
      <c r="C4163" s="3" t="inlineStr">
        <is>
          <t>Expenses</t>
        </is>
      </c>
      <c r="D4163" s="3" t="inlineStr">
        <is>
          <t>2006/450</t>
        </is>
      </c>
      <c r="E4163" s="3" t="inlineStr">
        <is>
          <t>COS - Endulini - Computer expenses</t>
        </is>
      </c>
      <c r="F4163" s="3" t="n">
        <v>0</v>
      </c>
      <c r="G4163" s="3" t="n">
        <v>26340.75</v>
      </c>
    </row>
    <row r="4164">
      <c r="A4164" s="3" t="inlineStr">
        <is>
          <t>Cape Projects Construction (Pty) Ltd</t>
        </is>
      </c>
      <c r="B4164" s="4" t="n">
        <v>45199</v>
      </c>
      <c r="C4164" s="3" t="inlineStr">
        <is>
          <t>Expenses</t>
        </is>
      </c>
      <c r="D4164" s="3" t="inlineStr">
        <is>
          <t>2006/800</t>
        </is>
      </c>
      <c r="E4164" s="3" t="inlineStr">
        <is>
          <t>COS - Endulini - Telephone &amp; Internet</t>
        </is>
      </c>
      <c r="F4164" s="3" t="n">
        <v>0</v>
      </c>
      <c r="G4164" s="3" t="n">
        <v>760.87</v>
      </c>
    </row>
    <row r="4165">
      <c r="A4165" s="3" t="inlineStr">
        <is>
          <t>Cape Projects Construction (Pty) Ltd</t>
        </is>
      </c>
      <c r="B4165" s="4" t="n">
        <v>45199</v>
      </c>
      <c r="C4165" s="3" t="inlineStr">
        <is>
          <t>Expenses</t>
        </is>
      </c>
      <c r="D4165" s="3" t="inlineStr">
        <is>
          <t>2007/000</t>
        </is>
      </c>
      <c r="E4165" s="3" t="inlineStr">
        <is>
          <t>COS - Repairs &amp; Maintenance - SW Southwark</t>
        </is>
      </c>
      <c r="F4165" s="3" t="n">
        <v>0</v>
      </c>
      <c r="G4165" s="3" t="n">
        <v>27752.22</v>
      </c>
    </row>
    <row r="4166">
      <c r="A4166" s="3" t="inlineStr">
        <is>
          <t>Cape Projects Construction (Pty) Ltd</t>
        </is>
      </c>
      <c r="B4166" s="4" t="n">
        <v>45199</v>
      </c>
      <c r="C4166" s="3" t="inlineStr">
        <is>
          <t>Expenses</t>
        </is>
      </c>
      <c r="D4166" s="3" t="inlineStr">
        <is>
          <t>2008/000</t>
        </is>
      </c>
      <c r="E4166" s="3" t="inlineStr">
        <is>
          <t>COS - Repairs &amp; Maintenance - SH Soho</t>
        </is>
      </c>
      <c r="F4166" s="3" t="n">
        <v>0</v>
      </c>
      <c r="G4166" s="3" t="n">
        <v>7565.57</v>
      </c>
    </row>
    <row r="4167">
      <c r="A4167" s="3" t="inlineStr">
        <is>
          <t>Cape Projects Construction (Pty) Ltd</t>
        </is>
      </c>
      <c r="B4167" s="4" t="n">
        <v>45199</v>
      </c>
      <c r="C4167" s="3" t="inlineStr">
        <is>
          <t>Expenses</t>
        </is>
      </c>
      <c r="D4167" s="3" t="inlineStr">
        <is>
          <t>2011/300</t>
        </is>
      </c>
      <c r="E4167" s="3" t="inlineStr">
        <is>
          <t>COS - Heron Fields - Printing &amp; Stationary</t>
        </is>
      </c>
      <c r="F4167" s="3" t="n">
        <v>0</v>
      </c>
      <c r="G4167" s="3" t="n">
        <v>1129.57</v>
      </c>
    </row>
    <row r="4168">
      <c r="A4168" s="3" t="inlineStr">
        <is>
          <t>Cape Projects Construction (Pty) Ltd</t>
        </is>
      </c>
      <c r="B4168" s="4" t="n">
        <v>45199</v>
      </c>
      <c r="C4168" s="3" t="inlineStr">
        <is>
          <t>Expenses</t>
        </is>
      </c>
      <c r="D4168" s="3" t="inlineStr">
        <is>
          <t>2011/500</t>
        </is>
      </c>
      <c r="E4168" s="3" t="inlineStr">
        <is>
          <t>COS - Heron Fields - Construction</t>
        </is>
      </c>
      <c r="F4168" s="3" t="n">
        <v>63191.31</v>
      </c>
      <c r="G4168" s="3" t="n">
        <v>1554146.65</v>
      </c>
    </row>
    <row r="4169">
      <c r="A4169" s="3" t="inlineStr">
        <is>
          <t>Cape Projects Construction (Pty) Ltd</t>
        </is>
      </c>
      <c r="B4169" s="4" t="n">
        <v>45199</v>
      </c>
      <c r="C4169" s="3" t="inlineStr">
        <is>
          <t>Expenses</t>
        </is>
      </c>
      <c r="D4169" s="3" t="inlineStr">
        <is>
          <t>2011/600</t>
        </is>
      </c>
      <c r="E4169" s="3" t="inlineStr">
        <is>
          <t>COS - Heron Fields - P &amp; G</t>
        </is>
      </c>
      <c r="F4169" s="3" t="n">
        <v>-2784.8</v>
      </c>
      <c r="G4169" s="3" t="n">
        <v>327212.64</v>
      </c>
    </row>
    <row r="4170">
      <c r="A4170" s="3" t="inlineStr">
        <is>
          <t>Cape Projects Construction (Pty) Ltd</t>
        </is>
      </c>
      <c r="B4170" s="4" t="n">
        <v>45199</v>
      </c>
      <c r="C4170" s="3" t="inlineStr">
        <is>
          <t>Expenses</t>
        </is>
      </c>
      <c r="D4170" s="3" t="inlineStr">
        <is>
          <t>2011/700</t>
        </is>
      </c>
      <c r="E4170" s="3" t="inlineStr">
        <is>
          <t>COS - Heron Fields - Health &amp; Safety</t>
        </is>
      </c>
      <c r="F4170" s="3" t="n">
        <v>0</v>
      </c>
      <c r="G4170" s="3" t="n">
        <v>694.78</v>
      </c>
    </row>
    <row r="4171">
      <c r="A4171" s="3" t="inlineStr">
        <is>
          <t>Cape Projects Construction (Pty) Ltd</t>
        </is>
      </c>
      <c r="B4171" s="4" t="n">
        <v>45199</v>
      </c>
      <c r="C4171" s="3" t="inlineStr">
        <is>
          <t>Expenses</t>
        </is>
      </c>
      <c r="D4171" s="3" t="inlineStr">
        <is>
          <t>2011/900</t>
        </is>
      </c>
      <c r="E4171" s="3" t="inlineStr">
        <is>
          <t>COS - Heron - Internet</t>
        </is>
      </c>
      <c r="F4171" s="3" t="n">
        <v>1797.39</v>
      </c>
      <c r="G4171" s="3" t="n">
        <v>10087.5</v>
      </c>
    </row>
    <row r="4172">
      <c r="A4172" s="3" t="inlineStr">
        <is>
          <t>Cape Projects Construction (Pty) Ltd</t>
        </is>
      </c>
      <c r="B4172" s="4" t="n">
        <v>45199</v>
      </c>
      <c r="C4172" s="3" t="inlineStr">
        <is>
          <t>Expenses</t>
        </is>
      </c>
      <c r="D4172" s="3" t="inlineStr">
        <is>
          <t>2012/001</t>
        </is>
      </c>
      <c r="E4172" s="3" t="inlineStr">
        <is>
          <t>COS - Heron View - Printing &amp; Stationary</t>
        </is>
      </c>
      <c r="F4172" s="3" t="n">
        <v>5743.47</v>
      </c>
      <c r="G4172" s="3" t="n">
        <v>20757.99</v>
      </c>
    </row>
    <row r="4173">
      <c r="A4173" s="3" t="inlineStr">
        <is>
          <t>Cape Projects Construction (Pty) Ltd</t>
        </is>
      </c>
      <c r="B4173" s="4" t="n">
        <v>45199</v>
      </c>
      <c r="C4173" s="3" t="inlineStr">
        <is>
          <t>Expenses</t>
        </is>
      </c>
      <c r="D4173" s="3" t="inlineStr">
        <is>
          <t>2012/002</t>
        </is>
      </c>
      <c r="E4173" s="3" t="inlineStr">
        <is>
          <t>COS - Heron View - Construction</t>
        </is>
      </c>
      <c r="F4173" s="3" t="n">
        <v>4150526.94</v>
      </c>
      <c r="G4173" s="3" t="n">
        <v>21537290.35</v>
      </c>
    </row>
    <row r="4174">
      <c r="A4174" s="3" t="inlineStr">
        <is>
          <t>Cape Projects Construction (Pty) Ltd</t>
        </is>
      </c>
      <c r="B4174" s="4" t="n">
        <v>45199</v>
      </c>
      <c r="C4174" s="3" t="inlineStr">
        <is>
          <t>Expenses</t>
        </is>
      </c>
      <c r="D4174" s="3" t="inlineStr">
        <is>
          <t>2012/003</t>
        </is>
      </c>
      <c r="E4174" s="3" t="inlineStr">
        <is>
          <t>COS - Heron View - P&amp;G</t>
        </is>
      </c>
      <c r="F4174" s="3" t="n">
        <v>10445.36</v>
      </c>
      <c r="G4174" s="3" t="n">
        <v>542917.29</v>
      </c>
    </row>
    <row r="4175">
      <c r="A4175" s="3" t="inlineStr">
        <is>
          <t>Cape Projects Construction (Pty) Ltd</t>
        </is>
      </c>
      <c r="B4175" s="4" t="n">
        <v>45199</v>
      </c>
      <c r="C4175" s="3" t="inlineStr">
        <is>
          <t>Expenses</t>
        </is>
      </c>
      <c r="D4175" s="3" t="inlineStr">
        <is>
          <t>2013/000</t>
        </is>
      </c>
      <c r="E4175" s="3" t="inlineStr">
        <is>
          <t>COS - Bakhoven</t>
        </is>
      </c>
      <c r="F4175" s="3" t="n">
        <v>0</v>
      </c>
      <c r="G4175" s="3" t="n">
        <v>17292.48</v>
      </c>
    </row>
    <row r="4176">
      <c r="A4176" s="3" t="inlineStr">
        <is>
          <t>Cape Projects Construction (Pty) Ltd</t>
        </is>
      </c>
      <c r="B4176" s="4" t="n">
        <v>45199</v>
      </c>
      <c r="C4176" s="3" t="inlineStr">
        <is>
          <t>Revenue</t>
        </is>
      </c>
      <c r="D4176" s="3" t="inlineStr">
        <is>
          <t>2750/000</t>
        </is>
      </c>
      <c r="E4176" s="3" t="inlineStr">
        <is>
          <t>Interest Received - FNB</t>
        </is>
      </c>
      <c r="F4176" s="3" t="n">
        <v>-88.36</v>
      </c>
      <c r="G4176" s="3" t="n">
        <v>-790.13</v>
      </c>
    </row>
    <row r="4177">
      <c r="A4177" s="3" t="inlineStr">
        <is>
          <t>Cape Projects Construction (Pty) Ltd</t>
        </is>
      </c>
      <c r="B4177" s="4" t="n">
        <v>45199</v>
      </c>
      <c r="C4177" s="3" t="inlineStr">
        <is>
          <t>Revenue</t>
        </is>
      </c>
      <c r="D4177" s="3" t="inlineStr">
        <is>
          <t>2751/001</t>
        </is>
      </c>
      <c r="E4177" s="3" t="inlineStr">
        <is>
          <t>Interest received - Momentum</t>
        </is>
      </c>
      <c r="F4177" s="3" t="n">
        <v>-4</v>
      </c>
      <c r="G4177" s="3" t="n">
        <v>-30.09</v>
      </c>
    </row>
    <row r="4178">
      <c r="A4178" s="3" t="inlineStr">
        <is>
          <t>Heron Fields (Pty) Ltd</t>
        </is>
      </c>
      <c r="B4178" s="4" t="n">
        <v>45199</v>
      </c>
      <c r="C4178" s="3" t="inlineStr">
        <is>
          <t>Revenue</t>
        </is>
      </c>
      <c r="D4178" s="3" t="inlineStr">
        <is>
          <t>2755/001</t>
        </is>
      </c>
      <c r="E4178" s="3" t="inlineStr">
        <is>
          <t>Interest Received - Momentum</t>
        </is>
      </c>
      <c r="F4178" s="3" t="n">
        <v>-291385.94</v>
      </c>
      <c r="G4178" s="3" t="n">
        <v>-1739285.15</v>
      </c>
    </row>
    <row r="4179">
      <c r="A4179" s="3" t="inlineStr">
        <is>
          <t>Heron Fields (Pty) Ltd</t>
        </is>
      </c>
      <c r="B4179" s="4" t="n">
        <v>45199</v>
      </c>
      <c r="C4179" s="3" t="inlineStr">
        <is>
          <t>Expenses</t>
        </is>
      </c>
      <c r="D4179" s="3" t="inlineStr">
        <is>
          <t>3000/000</t>
        </is>
      </c>
      <c r="E4179" s="3" t="inlineStr">
        <is>
          <t>Accounting Fees</t>
        </is>
      </c>
      <c r="F4179" s="3" t="n">
        <v>0</v>
      </c>
      <c r="G4179" s="3" t="n">
        <v>15024.96</v>
      </c>
    </row>
    <row r="4180">
      <c r="A4180" s="3" t="inlineStr">
        <is>
          <t>Heron Fields (Pty) Ltd</t>
        </is>
      </c>
      <c r="B4180" s="4" t="n">
        <v>45199</v>
      </c>
      <c r="C4180" s="3" t="inlineStr">
        <is>
          <t>Expenses</t>
        </is>
      </c>
      <c r="D4180" s="3" t="inlineStr">
        <is>
          <t>3000/100</t>
        </is>
      </c>
      <c r="E4180" s="3" t="inlineStr">
        <is>
          <t>Accounting - CIPC</t>
        </is>
      </c>
      <c r="F4180" s="3" t="n">
        <v>0</v>
      </c>
      <c r="G4180" s="3" t="n">
        <v>3050</v>
      </c>
    </row>
    <row r="4181">
      <c r="A4181" s="3" t="inlineStr">
        <is>
          <t>Cape Projects Construction (Pty) Ltd</t>
        </is>
      </c>
      <c r="B4181" s="4" t="n">
        <v>45199</v>
      </c>
      <c r="C4181" s="3" t="inlineStr">
        <is>
          <t>Expenses</t>
        </is>
      </c>
      <c r="D4181" s="3" t="inlineStr">
        <is>
          <t>3001/000</t>
        </is>
      </c>
      <c r="E4181" s="3" t="inlineStr">
        <is>
          <t>Accounting Fees - Other</t>
        </is>
      </c>
      <c r="F4181" s="3" t="n">
        <v>0</v>
      </c>
      <c r="G4181" s="3" t="n">
        <v>1280</v>
      </c>
    </row>
    <row r="4182">
      <c r="A4182" s="3" t="inlineStr">
        <is>
          <t>Cape Projects Construction (Pty) Ltd</t>
        </is>
      </c>
      <c r="B4182" s="4" t="n">
        <v>45199</v>
      </c>
      <c r="C4182" s="3" t="inlineStr">
        <is>
          <t>Expenses</t>
        </is>
      </c>
      <c r="D4182" s="3" t="inlineStr">
        <is>
          <t>3002/000</t>
        </is>
      </c>
      <c r="E4182" s="3" t="inlineStr">
        <is>
          <t>Accounting Fees - Audit</t>
        </is>
      </c>
      <c r="F4182" s="3" t="n">
        <v>0</v>
      </c>
      <c r="G4182" s="3" t="n">
        <v>11170</v>
      </c>
    </row>
    <row r="4183">
      <c r="A4183" s="3" t="inlineStr">
        <is>
          <t>Cape Projects Construction (Pty) Ltd</t>
        </is>
      </c>
      <c r="B4183" s="4" t="n">
        <v>45199</v>
      </c>
      <c r="C4183" s="3" t="inlineStr">
        <is>
          <t>Expenses</t>
        </is>
      </c>
      <c r="D4183" s="3" t="inlineStr">
        <is>
          <t>3050/000</t>
        </is>
      </c>
      <c r="E4183" s="3" t="inlineStr">
        <is>
          <t>Advertising _AND_ Promotions</t>
        </is>
      </c>
      <c r="F4183" s="3" t="n">
        <v>2300</v>
      </c>
      <c r="G4183" s="3" t="n">
        <v>10975</v>
      </c>
    </row>
    <row r="4184">
      <c r="A4184" s="3" t="inlineStr">
        <is>
          <t>Heron Fields (Pty) Ltd</t>
        </is>
      </c>
      <c r="B4184" s="4" t="n">
        <v>45199</v>
      </c>
      <c r="C4184" s="3" t="inlineStr">
        <is>
          <t>Expenses</t>
        </is>
      </c>
      <c r="D4184" s="3" t="inlineStr">
        <is>
          <t>3050/000</t>
        </is>
      </c>
      <c r="E4184" s="3" t="inlineStr">
        <is>
          <t>Advertising _AND_ Promotions</t>
        </is>
      </c>
      <c r="F4184" s="3" t="n">
        <v>500</v>
      </c>
      <c r="G4184" s="3" t="n">
        <v>169842.05</v>
      </c>
    </row>
    <row r="4185">
      <c r="A4185" s="3" t="inlineStr">
        <is>
          <t>Heron View (Pty) Ltd</t>
        </is>
      </c>
      <c r="B4185" s="4" t="n">
        <v>45199</v>
      </c>
      <c r="C4185" s="3" t="inlineStr">
        <is>
          <t>Expenses</t>
        </is>
      </c>
      <c r="D4185" s="3" t="inlineStr">
        <is>
          <t>3050/000</t>
        </is>
      </c>
      <c r="E4185" s="3" t="inlineStr">
        <is>
          <t>Advertising _AND_ Promotions</t>
        </is>
      </c>
      <c r="F4185" s="3" t="n">
        <v>9750</v>
      </c>
      <c r="G4185" s="3" t="n">
        <v>50926.47</v>
      </c>
    </row>
    <row r="4186">
      <c r="A4186" s="3" t="inlineStr">
        <is>
          <t>Heron Fields (Pty) Ltd</t>
        </is>
      </c>
      <c r="B4186" s="4" t="n">
        <v>45199</v>
      </c>
      <c r="C4186" s="3" t="inlineStr">
        <is>
          <t>Expenses</t>
        </is>
      </c>
      <c r="D4186" s="3" t="inlineStr">
        <is>
          <t>3050/100</t>
        </is>
      </c>
      <c r="E4186" s="3" t="inlineStr">
        <is>
          <t>Advertising - Property24</t>
        </is>
      </c>
      <c r="F4186" s="3" t="n">
        <v>0</v>
      </c>
      <c r="G4186" s="3" t="n">
        <v>12480</v>
      </c>
    </row>
    <row r="4187">
      <c r="A4187" s="3" t="inlineStr">
        <is>
          <t>Cape Projects Construction (Pty) Ltd</t>
        </is>
      </c>
      <c r="B4187" s="4" t="n">
        <v>45199</v>
      </c>
      <c r="C4187" s="3" t="inlineStr">
        <is>
          <t>Expenses</t>
        </is>
      </c>
      <c r="D4187" s="3" t="inlineStr">
        <is>
          <t>3050/150</t>
        </is>
      </c>
      <c r="E4187" s="3" t="inlineStr">
        <is>
          <t>Advertising - Design Fees</t>
        </is>
      </c>
      <c r="F4187" s="3" t="n">
        <v>0</v>
      </c>
      <c r="G4187" s="3" t="n">
        <v>295</v>
      </c>
    </row>
    <row r="4188">
      <c r="A4188" s="3" t="inlineStr">
        <is>
          <t>Heron Fields (Pty) Ltd</t>
        </is>
      </c>
      <c r="B4188" s="4" t="n">
        <v>45199</v>
      </c>
      <c r="C4188" s="3" t="inlineStr">
        <is>
          <t>Expenses</t>
        </is>
      </c>
      <c r="D4188" s="3" t="inlineStr">
        <is>
          <t>3050/300</t>
        </is>
      </c>
      <c r="E4188" s="3" t="inlineStr">
        <is>
          <t>Advertising - Real Marketing</t>
        </is>
      </c>
      <c r="F4188" s="3" t="n">
        <v>0</v>
      </c>
      <c r="G4188" s="3" t="n">
        <v>10250</v>
      </c>
    </row>
    <row r="4189">
      <c r="A4189" s="3" t="inlineStr">
        <is>
          <t>Heron View (Pty) Ltd</t>
        </is>
      </c>
      <c r="B4189" s="4" t="n">
        <v>45199</v>
      </c>
      <c r="C4189" s="3" t="inlineStr">
        <is>
          <t>Expenses</t>
        </is>
      </c>
      <c r="D4189" s="3" t="inlineStr">
        <is>
          <t>3050/300</t>
        </is>
      </c>
      <c r="E4189" s="3" t="inlineStr">
        <is>
          <t>Advertising - Thinkink</t>
        </is>
      </c>
      <c r="F4189" s="3" t="n">
        <v>745</v>
      </c>
      <c r="G4189" s="3" t="n">
        <v>745</v>
      </c>
    </row>
    <row r="4190">
      <c r="A4190" s="3" t="inlineStr">
        <is>
          <t>Heron View (Pty) Ltd</t>
        </is>
      </c>
      <c r="B4190" s="4" t="n">
        <v>45199</v>
      </c>
      <c r="C4190" s="3" t="inlineStr">
        <is>
          <t>Expenses</t>
        </is>
      </c>
      <c r="D4190" s="3" t="inlineStr">
        <is>
          <t>3050/400</t>
        </is>
      </c>
      <c r="E4190" s="3" t="inlineStr">
        <is>
          <t>Advertising - Pure Brand Activation</t>
        </is>
      </c>
      <c r="F4190" s="3" t="n">
        <v>9967.1</v>
      </c>
      <c r="G4190" s="3" t="n">
        <v>14569.1</v>
      </c>
    </row>
    <row r="4191">
      <c r="A4191" s="3" t="inlineStr">
        <is>
          <t>Cape Projects Construction (Pty) Ltd</t>
        </is>
      </c>
      <c r="B4191" s="4" t="n">
        <v>45199</v>
      </c>
      <c r="C4191" s="3" t="inlineStr">
        <is>
          <t>Expenses</t>
        </is>
      </c>
      <c r="D4191" s="3" t="inlineStr">
        <is>
          <t>3050/450</t>
        </is>
      </c>
      <c r="E4191" s="3" t="inlineStr">
        <is>
          <t>Advertising - Other</t>
        </is>
      </c>
      <c r="F4191" s="3" t="n">
        <v>0</v>
      </c>
      <c r="G4191" s="3" t="n">
        <v>1597</v>
      </c>
    </row>
    <row r="4192">
      <c r="A4192" s="3" t="inlineStr">
        <is>
          <t>Heron View (Pty) Ltd</t>
        </is>
      </c>
      <c r="B4192" s="4" t="n">
        <v>45199</v>
      </c>
      <c r="C4192" s="3" t="inlineStr">
        <is>
          <t>Expenses</t>
        </is>
      </c>
      <c r="D4192" s="3" t="inlineStr">
        <is>
          <t>3050/500</t>
        </is>
      </c>
      <c r="E4192" s="3" t="inlineStr">
        <is>
          <t>Advertising - Real Marketing</t>
        </is>
      </c>
      <c r="F4192" s="3" t="n">
        <v>0</v>
      </c>
      <c r="G4192" s="3" t="n">
        <v>18500</v>
      </c>
    </row>
    <row r="4193">
      <c r="A4193" s="3" t="inlineStr">
        <is>
          <t>Cape Projects Construction (Pty) Ltd</t>
        </is>
      </c>
      <c r="B4193" s="4" t="n">
        <v>45199</v>
      </c>
      <c r="C4193" s="3" t="inlineStr">
        <is>
          <t>Expenses</t>
        </is>
      </c>
      <c r="D4193" s="3" t="inlineStr">
        <is>
          <t>3200/000</t>
        </is>
      </c>
      <c r="E4193" s="3" t="inlineStr">
        <is>
          <t>Bank Charges</t>
        </is>
      </c>
      <c r="F4193" s="3" t="n">
        <v>1574.96</v>
      </c>
      <c r="G4193" s="3" t="n">
        <v>12967.5</v>
      </c>
    </row>
    <row r="4194">
      <c r="A4194" s="3" t="inlineStr">
        <is>
          <t>Heron Fields (Pty) Ltd</t>
        </is>
      </c>
      <c r="B4194" s="4" t="n">
        <v>45199</v>
      </c>
      <c r="C4194" s="3" t="inlineStr">
        <is>
          <t>Expenses</t>
        </is>
      </c>
      <c r="D4194" s="3" t="inlineStr">
        <is>
          <t>3200/000</t>
        </is>
      </c>
      <c r="E4194" s="3" t="inlineStr">
        <is>
          <t>Bank Charges</t>
        </is>
      </c>
      <c r="F4194" s="3" t="n">
        <v>256.55</v>
      </c>
      <c r="G4194" s="3" t="n">
        <v>3214.34</v>
      </c>
    </row>
    <row r="4195">
      <c r="A4195" s="3" t="inlineStr">
        <is>
          <t>Cape Projects Construction (Pty) Ltd</t>
        </is>
      </c>
      <c r="B4195" s="4" t="n">
        <v>45199</v>
      </c>
      <c r="C4195" s="3" t="inlineStr">
        <is>
          <t>Expenses</t>
        </is>
      </c>
      <c r="D4195" s="3" t="inlineStr">
        <is>
          <t>3250/000</t>
        </is>
      </c>
      <c r="E4195" s="3" t="inlineStr">
        <is>
          <t>Cleaning</t>
        </is>
      </c>
      <c r="F4195" s="3" t="n">
        <v>0</v>
      </c>
      <c r="G4195" s="3" t="n">
        <v>511.89</v>
      </c>
    </row>
    <row r="4196">
      <c r="A4196" s="3" t="inlineStr">
        <is>
          <t>Cape Projects Construction (Pty) Ltd</t>
        </is>
      </c>
      <c r="B4196" s="4" t="n">
        <v>45199</v>
      </c>
      <c r="C4196" s="3" t="inlineStr">
        <is>
          <t>Expenses</t>
        </is>
      </c>
      <c r="D4196" s="3" t="inlineStr">
        <is>
          <t>3255/000</t>
        </is>
      </c>
      <c r="E4196" s="3" t="inlineStr">
        <is>
          <t>Cell Phone - CT Office</t>
        </is>
      </c>
      <c r="F4196" s="3" t="n">
        <v>0</v>
      </c>
      <c r="G4196" s="3" t="n">
        <v>4123</v>
      </c>
    </row>
    <row r="4197">
      <c r="A4197" s="3" t="inlineStr">
        <is>
          <t>Cape Projects Construction (Pty) Ltd</t>
        </is>
      </c>
      <c r="B4197" s="4" t="n">
        <v>45199</v>
      </c>
      <c r="C4197" s="3" t="inlineStr">
        <is>
          <t>Expenses</t>
        </is>
      </c>
      <c r="D4197" s="3" t="inlineStr">
        <is>
          <t>3256/000</t>
        </is>
      </c>
      <c r="E4197" s="3" t="inlineStr">
        <is>
          <t>Cell Phone - Nick Morgan</t>
        </is>
      </c>
      <c r="F4197" s="3" t="n">
        <v>0</v>
      </c>
      <c r="G4197" s="3" t="n">
        <v>26779.67</v>
      </c>
    </row>
    <row r="4198">
      <c r="A4198" s="3" t="inlineStr">
        <is>
          <t>Cape Projects Construction (Pty) Ltd</t>
        </is>
      </c>
      <c r="B4198" s="4" t="n">
        <v>45199</v>
      </c>
      <c r="C4198" s="3" t="inlineStr">
        <is>
          <t>Expenses</t>
        </is>
      </c>
      <c r="D4198" s="3" t="inlineStr">
        <is>
          <t>3300/000</t>
        </is>
      </c>
      <c r="E4198" s="3" t="inlineStr">
        <is>
          <t>Computer Expenses</t>
        </is>
      </c>
      <c r="F4198" s="3" t="n">
        <v>0</v>
      </c>
      <c r="G4198" s="3" t="n">
        <v>4352.65</v>
      </c>
    </row>
    <row r="4199">
      <c r="A4199" s="3" t="inlineStr">
        <is>
          <t>Cape Projects Construction (Pty) Ltd</t>
        </is>
      </c>
      <c r="B4199" s="4" t="n">
        <v>45199</v>
      </c>
      <c r="C4199" s="3" t="inlineStr">
        <is>
          <t>Expenses</t>
        </is>
      </c>
      <c r="D4199" s="3" t="inlineStr">
        <is>
          <t>3300/100</t>
        </is>
      </c>
      <c r="E4199" s="3" t="inlineStr">
        <is>
          <t>Computer Exp - IT, Internet/Hosting Fee</t>
        </is>
      </c>
      <c r="F4199" s="3" t="n">
        <v>6080</v>
      </c>
      <c r="G4199" s="3" t="n">
        <v>29409</v>
      </c>
    </row>
    <row r="4200">
      <c r="A4200" s="3" t="inlineStr">
        <is>
          <t>Heron Fields (Pty) Ltd</t>
        </is>
      </c>
      <c r="B4200" s="4" t="n">
        <v>45199</v>
      </c>
      <c r="C4200" s="3" t="inlineStr">
        <is>
          <t>Expenses</t>
        </is>
      </c>
      <c r="D4200" s="3" t="inlineStr">
        <is>
          <t>3350/100</t>
        </is>
      </c>
      <c r="E4200" s="3" t="inlineStr">
        <is>
          <t>Consulting Fees - Admin and Finance</t>
        </is>
      </c>
      <c r="F4200" s="3" t="n">
        <v>128833</v>
      </c>
      <c r="G4200" s="3" t="n">
        <v>823416.5699999999</v>
      </c>
    </row>
    <row r="4201">
      <c r="A4201" s="3" t="inlineStr">
        <is>
          <t>Cape Projects Construction (Pty) Ltd</t>
        </is>
      </c>
      <c r="B4201" s="4" t="n">
        <v>45199</v>
      </c>
      <c r="C4201" s="3" t="inlineStr">
        <is>
          <t>Expenses</t>
        </is>
      </c>
      <c r="D4201" s="3" t="inlineStr">
        <is>
          <t>3350/300</t>
        </is>
      </c>
      <c r="E4201" s="3" t="inlineStr">
        <is>
          <t>Consulting Fees - Admin and Finance</t>
        </is>
      </c>
      <c r="F4201" s="3" t="n">
        <v>125697</v>
      </c>
      <c r="G4201" s="3" t="n">
        <v>858443.7</v>
      </c>
    </row>
    <row r="4202">
      <c r="A4202" s="3" t="inlineStr">
        <is>
          <t>Heron Fields (Pty) Ltd</t>
        </is>
      </c>
      <c r="B4202" s="4" t="n">
        <v>45199</v>
      </c>
      <c r="C4202" s="3" t="inlineStr">
        <is>
          <t>Expenses</t>
        </is>
      </c>
      <c r="D4202" s="3" t="inlineStr">
        <is>
          <t>3351/000</t>
        </is>
      </c>
      <c r="E4202" s="3" t="inlineStr">
        <is>
          <t>Consulting fees - Trustee</t>
        </is>
      </c>
      <c r="F4202" s="3" t="n">
        <v>0</v>
      </c>
      <c r="G4202" s="3" t="n">
        <v>12200</v>
      </c>
    </row>
    <row r="4203">
      <c r="A4203" s="3" t="inlineStr">
        <is>
          <t>Heron View (Pty) Ltd</t>
        </is>
      </c>
      <c r="B4203" s="4" t="n">
        <v>45199</v>
      </c>
      <c r="C4203" s="3" t="inlineStr">
        <is>
          <t>Expenses</t>
        </is>
      </c>
      <c r="D4203" s="3" t="inlineStr">
        <is>
          <t>3351/000</t>
        </is>
      </c>
      <c r="E4203" s="3" t="inlineStr">
        <is>
          <t>Consulting fees - Trustee</t>
        </is>
      </c>
      <c r="F4203" s="3" t="n">
        <v>7250</v>
      </c>
      <c r="G4203" s="3" t="n">
        <v>29000</v>
      </c>
    </row>
    <row r="4204">
      <c r="A4204" s="3" t="inlineStr">
        <is>
          <t>Cape Projects Construction (Pty) Ltd</t>
        </is>
      </c>
      <c r="B4204" s="4" t="n">
        <v>45199</v>
      </c>
      <c r="C4204" s="3" t="inlineStr">
        <is>
          <t>Expenses</t>
        </is>
      </c>
      <c r="D4204" s="3" t="inlineStr">
        <is>
          <t>3400/000</t>
        </is>
      </c>
      <c r="E4204" s="3" t="inlineStr">
        <is>
          <t>Courier _AND_ Postage</t>
        </is>
      </c>
      <c r="F4204" s="3" t="n">
        <v>245</v>
      </c>
      <c r="G4204" s="3" t="n">
        <v>331.09</v>
      </c>
    </row>
    <row r="4205">
      <c r="A4205" s="3" t="inlineStr">
        <is>
          <t>Cape Projects Construction (Pty) Ltd</t>
        </is>
      </c>
      <c r="B4205" s="4" t="n">
        <v>45199</v>
      </c>
      <c r="C4205" s="3" t="inlineStr">
        <is>
          <t>Expenses</t>
        </is>
      </c>
      <c r="D4205" s="3" t="inlineStr">
        <is>
          <t>3450/001</t>
        </is>
      </c>
      <c r="E4205" s="3" t="inlineStr">
        <is>
          <t>Depreciation - Computer Equipment</t>
        </is>
      </c>
      <c r="F4205" s="3" t="n">
        <v>3631.27</v>
      </c>
      <c r="G4205" s="3" t="n">
        <v>23574.66</v>
      </c>
    </row>
    <row r="4206">
      <c r="A4206" s="3" t="inlineStr">
        <is>
          <t>Cape Projects Construction (Pty) Ltd</t>
        </is>
      </c>
      <c r="B4206" s="4" t="n">
        <v>45199</v>
      </c>
      <c r="C4206" s="3" t="inlineStr">
        <is>
          <t>Expenses</t>
        </is>
      </c>
      <c r="D4206" s="3" t="inlineStr">
        <is>
          <t>3450/002</t>
        </is>
      </c>
      <c r="E4206" s="3" t="inlineStr">
        <is>
          <t>Depreciation - Generator Fixed Asset</t>
        </is>
      </c>
      <c r="F4206" s="3" t="n">
        <v>1188.69</v>
      </c>
      <c r="G4206" s="3" t="n">
        <v>6330.16</v>
      </c>
    </row>
    <row r="4207">
      <c r="A4207" s="3" t="inlineStr">
        <is>
          <t>Cape Projects Construction (Pty) Ltd</t>
        </is>
      </c>
      <c r="B4207" s="4" t="n">
        <v>45199</v>
      </c>
      <c r="C4207" s="3" t="inlineStr">
        <is>
          <t>Expenses</t>
        </is>
      </c>
      <c r="D4207" s="3" t="inlineStr">
        <is>
          <t>3450/030</t>
        </is>
      </c>
      <c r="E4207" s="3" t="inlineStr">
        <is>
          <t>Depreciation - Furniture and Fittings</t>
        </is>
      </c>
      <c r="F4207" s="3" t="n">
        <v>547.6799999999999</v>
      </c>
      <c r="G4207" s="3" t="n">
        <v>3833.74</v>
      </c>
    </row>
    <row r="4208">
      <c r="A4208" s="3" t="inlineStr">
        <is>
          <t>Heron Fields (Pty) Ltd</t>
        </is>
      </c>
      <c r="B4208" s="4" t="n">
        <v>45199</v>
      </c>
      <c r="C4208" s="3" t="inlineStr">
        <is>
          <t>Expenses</t>
        </is>
      </c>
      <c r="D4208" s="3" t="inlineStr">
        <is>
          <t>3650/000</t>
        </is>
      </c>
      <c r="E4208" s="3" t="inlineStr">
        <is>
          <t>CoCT - Electricity</t>
        </is>
      </c>
      <c r="F4208" s="3" t="n">
        <v>833.84</v>
      </c>
      <c r="G4208" s="3" t="n">
        <v>130916.84</v>
      </c>
    </row>
    <row r="4209">
      <c r="A4209" s="3" t="inlineStr">
        <is>
          <t>Cape Projects Construction (Pty) Ltd</t>
        </is>
      </c>
      <c r="B4209" s="4" t="n">
        <v>45199</v>
      </c>
      <c r="C4209" s="3" t="inlineStr">
        <is>
          <t>Expenses</t>
        </is>
      </c>
      <c r="D4209" s="3" t="inlineStr">
        <is>
          <t>3650/000</t>
        </is>
      </c>
      <c r="E4209" s="3" t="inlineStr">
        <is>
          <t>Electricity _AND_ Water</t>
        </is>
      </c>
      <c r="F4209" s="3" t="n">
        <v>7040.33</v>
      </c>
      <c r="G4209" s="3" t="n">
        <v>46899.43</v>
      </c>
    </row>
    <row r="4210">
      <c r="A4210" s="3" t="inlineStr">
        <is>
          <t>Heron Fields (Pty) Ltd</t>
        </is>
      </c>
      <c r="B4210" s="4" t="n">
        <v>45199</v>
      </c>
      <c r="C4210" s="3" t="inlineStr">
        <is>
          <t>Expenses</t>
        </is>
      </c>
      <c r="D4210" s="3" t="inlineStr">
        <is>
          <t>3660/000</t>
        </is>
      </c>
      <c r="E4210" s="3" t="inlineStr">
        <is>
          <t>CoCT - Water</t>
        </is>
      </c>
      <c r="F4210" s="3" t="n">
        <v>1094.18</v>
      </c>
      <c r="G4210" s="3" t="n">
        <v>44973.61</v>
      </c>
    </row>
    <row r="4211">
      <c r="A4211" s="3" t="inlineStr">
        <is>
          <t>Heron Fields (Pty) Ltd</t>
        </is>
      </c>
      <c r="B4211" s="4" t="n">
        <v>45199</v>
      </c>
      <c r="C4211" s="3" t="inlineStr">
        <is>
          <t>Expenses</t>
        </is>
      </c>
      <c r="D4211" s="3" t="inlineStr">
        <is>
          <t>3670/000</t>
        </is>
      </c>
      <c r="E4211" s="3" t="inlineStr">
        <is>
          <t>CoCT - Refuse</t>
        </is>
      </c>
      <c r="F4211" s="3" t="n">
        <v>0</v>
      </c>
      <c r="G4211" s="3" t="n">
        <v>10690.2</v>
      </c>
    </row>
    <row r="4212">
      <c r="A4212" s="3" t="inlineStr">
        <is>
          <t>Heron Fields (Pty) Ltd</t>
        </is>
      </c>
      <c r="B4212" s="4" t="n">
        <v>45199</v>
      </c>
      <c r="C4212" s="3" t="inlineStr">
        <is>
          <t>Expenses</t>
        </is>
      </c>
      <c r="D4212" s="3" t="inlineStr">
        <is>
          <t>3700/000</t>
        </is>
      </c>
      <c r="E4212" s="3" t="inlineStr">
        <is>
          <t>Entertainment Expenses</t>
        </is>
      </c>
      <c r="F4212" s="3" t="n">
        <v>0</v>
      </c>
      <c r="G4212" s="3" t="n">
        <v>39.47</v>
      </c>
    </row>
    <row r="4213">
      <c r="A4213" s="3" t="inlineStr">
        <is>
          <t>Heron Fields (Pty) Ltd</t>
        </is>
      </c>
      <c r="B4213" s="4" t="n">
        <v>45199</v>
      </c>
      <c r="C4213" s="3" t="inlineStr">
        <is>
          <t>Expenses</t>
        </is>
      </c>
      <c r="D4213" s="3" t="inlineStr">
        <is>
          <t>3800/000</t>
        </is>
      </c>
      <c r="E4213" s="3" t="inlineStr">
        <is>
          <t>General Expenses</t>
        </is>
      </c>
      <c r="F4213" s="3" t="n">
        <v>0</v>
      </c>
      <c r="G4213" s="3" t="n">
        <v>199.99</v>
      </c>
    </row>
    <row r="4214">
      <c r="A4214" s="3" t="inlineStr">
        <is>
          <t>Heron Fields (Pty) Ltd</t>
        </is>
      </c>
      <c r="B4214" s="4" t="n">
        <v>45199</v>
      </c>
      <c r="C4214" s="3" t="inlineStr">
        <is>
          <t>Expenses</t>
        </is>
      </c>
      <c r="D4214" s="3" t="inlineStr">
        <is>
          <t>3850/000</t>
        </is>
      </c>
      <c r="E4214" s="3" t="inlineStr">
        <is>
          <t>Insurance</t>
        </is>
      </c>
      <c r="F4214" s="3" t="n">
        <v>13224.43</v>
      </c>
      <c r="G4214" s="3" t="n">
        <v>61116.79</v>
      </c>
    </row>
    <row r="4215">
      <c r="A4215" s="3" t="inlineStr">
        <is>
          <t>Cape Projects Construction (Pty) Ltd</t>
        </is>
      </c>
      <c r="B4215" s="4" t="n">
        <v>45199</v>
      </c>
      <c r="C4215" s="3" t="inlineStr">
        <is>
          <t>Expenses</t>
        </is>
      </c>
      <c r="D4215" s="3" t="inlineStr">
        <is>
          <t>3850/001</t>
        </is>
      </c>
      <c r="E4215" s="3" t="inlineStr">
        <is>
          <t>Insurance - Santam</t>
        </is>
      </c>
      <c r="F4215" s="3" t="n">
        <v>4390.6</v>
      </c>
      <c r="G4215" s="3" t="n">
        <v>16363.81</v>
      </c>
    </row>
    <row r="4216">
      <c r="A4216" s="3" t="inlineStr">
        <is>
          <t>Cape Projects Construction (Pty) Ltd</t>
        </is>
      </c>
      <c r="B4216" s="4" t="n">
        <v>45199</v>
      </c>
      <c r="C4216" s="3" t="inlineStr">
        <is>
          <t>Expenses</t>
        </is>
      </c>
      <c r="D4216" s="3" t="inlineStr">
        <is>
          <t>3850/004</t>
        </is>
      </c>
      <c r="E4216" s="3" t="inlineStr">
        <is>
          <t>Insurance - A_AND_G</t>
        </is>
      </c>
      <c r="F4216" s="3" t="n">
        <v>0</v>
      </c>
      <c r="G4216" s="3" t="n">
        <v>24242.76</v>
      </c>
    </row>
    <row r="4217">
      <c r="A4217" s="3" t="inlineStr">
        <is>
          <t>Heron Fields (Pty) Ltd</t>
        </is>
      </c>
      <c r="B4217" s="4" t="n">
        <v>45199</v>
      </c>
      <c r="C4217" s="3" t="inlineStr">
        <is>
          <t>Expenses</t>
        </is>
      </c>
      <c r="D4217" s="3" t="inlineStr">
        <is>
          <t>3900/000</t>
        </is>
      </c>
      <c r="E4217" s="3" t="inlineStr">
        <is>
          <t>Interest Paid</t>
        </is>
      </c>
      <c r="F4217" s="3" t="n">
        <v>0</v>
      </c>
      <c r="G4217" s="3" t="n">
        <v>-533.8</v>
      </c>
    </row>
    <row r="4218">
      <c r="A4218" s="3" t="inlineStr">
        <is>
          <t>Heron Fields (Pty) Ltd</t>
        </is>
      </c>
      <c r="B4218" s="4" t="n">
        <v>45199</v>
      </c>
      <c r="C4218" s="3" t="inlineStr">
        <is>
          <t>Expenses</t>
        </is>
      </c>
      <c r="D4218" s="3" t="inlineStr">
        <is>
          <t>3900/111</t>
        </is>
      </c>
      <c r="E4218" s="3" t="inlineStr">
        <is>
          <t>Interest Paid - Investors @ 6.25%</t>
        </is>
      </c>
      <c r="F4218" s="3" t="n">
        <v>0</v>
      </c>
      <c r="G4218" s="3" t="n">
        <v>167246.17</v>
      </c>
    </row>
    <row r="4219">
      <c r="A4219" s="3" t="inlineStr">
        <is>
          <t>Heron Fields (Pty) Ltd</t>
        </is>
      </c>
      <c r="B4219" s="4" t="n">
        <v>45199</v>
      </c>
      <c r="C4219" s="3" t="inlineStr">
        <is>
          <t>Expenses</t>
        </is>
      </c>
      <c r="D4219" s="3" t="inlineStr">
        <is>
          <t>3900/115</t>
        </is>
      </c>
      <c r="E4219" s="3" t="inlineStr">
        <is>
          <t>Interest Paid - Investors @ 6.5%</t>
        </is>
      </c>
      <c r="F4219" s="3" t="n">
        <v>0</v>
      </c>
      <c r="G4219" s="3" t="n">
        <v>72942.48</v>
      </c>
    </row>
    <row r="4220">
      <c r="A4220" s="3" t="inlineStr">
        <is>
          <t>Heron Fields (Pty) Ltd</t>
        </is>
      </c>
      <c r="B4220" s="4" t="n">
        <v>45199</v>
      </c>
      <c r="C4220" s="3" t="inlineStr">
        <is>
          <t>Expenses</t>
        </is>
      </c>
      <c r="D4220" s="3" t="inlineStr">
        <is>
          <t>3900/117</t>
        </is>
      </c>
      <c r="E4220" s="3" t="inlineStr">
        <is>
          <t>Interest Paid - Investors @ 6.75%</t>
        </is>
      </c>
      <c r="F4220" s="3" t="n">
        <v>0</v>
      </c>
      <c r="G4220" s="3" t="n">
        <v>44124.67</v>
      </c>
    </row>
    <row r="4221">
      <c r="A4221" s="3" t="inlineStr">
        <is>
          <t>Heron Fields (Pty) Ltd</t>
        </is>
      </c>
      <c r="B4221" s="4" t="n">
        <v>45199</v>
      </c>
      <c r="C4221" s="3" t="inlineStr">
        <is>
          <t>Expenses</t>
        </is>
      </c>
      <c r="D4221" s="3" t="inlineStr">
        <is>
          <t>3900/120</t>
        </is>
      </c>
      <c r="E4221" s="3" t="inlineStr">
        <is>
          <t>Interest Paid - Investors @ 7%</t>
        </is>
      </c>
      <c r="F4221" s="3" t="n">
        <v>0</v>
      </c>
      <c r="G4221" s="3" t="n">
        <v>11678.33</v>
      </c>
    </row>
    <row r="4222">
      <c r="A4222" s="3" t="inlineStr">
        <is>
          <t>Heron View (Pty) Ltd</t>
        </is>
      </c>
      <c r="B4222" s="4" t="n">
        <v>45199</v>
      </c>
      <c r="C4222" s="3" t="inlineStr">
        <is>
          <t>Expenses</t>
        </is>
      </c>
      <c r="D4222" s="3" t="inlineStr">
        <is>
          <t>3900/120</t>
        </is>
      </c>
      <c r="E4222" s="3" t="inlineStr">
        <is>
          <t>Interest Paid - Investors @ 7%</t>
        </is>
      </c>
      <c r="F4222" s="3" t="n">
        <v>932.4</v>
      </c>
      <c r="G4222" s="3" t="n">
        <v>1607.78</v>
      </c>
    </row>
    <row r="4223">
      <c r="A4223" s="3" t="inlineStr">
        <is>
          <t>Heron Fields (Pty) Ltd</t>
        </is>
      </c>
      <c r="B4223" s="4" t="n">
        <v>45199</v>
      </c>
      <c r="C4223" s="3" t="inlineStr">
        <is>
          <t>Expenses</t>
        </is>
      </c>
      <c r="D4223" s="3" t="inlineStr">
        <is>
          <t>3900/126</t>
        </is>
      </c>
      <c r="E4223" s="3" t="inlineStr">
        <is>
          <t>Interest Paid - Investors @ 7.5%</t>
        </is>
      </c>
      <c r="F4223" s="3" t="n">
        <v>0</v>
      </c>
      <c r="G4223" s="3" t="n">
        <v>1252.24</v>
      </c>
    </row>
    <row r="4224">
      <c r="A4224" s="3" t="inlineStr">
        <is>
          <t>Heron View (Pty) Ltd</t>
        </is>
      </c>
      <c r="B4224" s="4" t="n">
        <v>45199</v>
      </c>
      <c r="C4224" s="3" t="inlineStr">
        <is>
          <t>Expenses</t>
        </is>
      </c>
      <c r="D4224" s="3" t="inlineStr">
        <is>
          <t>3900/126</t>
        </is>
      </c>
      <c r="E4224" s="3" t="inlineStr">
        <is>
          <t>Interest Paid - Investors @ 7.5%</t>
        </is>
      </c>
      <c r="F4224" s="3" t="n">
        <v>82.19</v>
      </c>
      <c r="G4224" s="3" t="n">
        <v>1507.16</v>
      </c>
    </row>
    <row r="4225">
      <c r="A4225" s="3" t="inlineStr">
        <is>
          <t>Heron Fields (Pty) Ltd</t>
        </is>
      </c>
      <c r="B4225" s="4" t="n">
        <v>45199</v>
      </c>
      <c r="C4225" s="3" t="inlineStr">
        <is>
          <t>Expenses</t>
        </is>
      </c>
      <c r="D4225" s="3" t="inlineStr">
        <is>
          <t>3900/133</t>
        </is>
      </c>
      <c r="E4225" s="3" t="inlineStr">
        <is>
          <t>Interest Paid - Investors @ 8.25%</t>
        </is>
      </c>
      <c r="F4225" s="3" t="n">
        <v>0</v>
      </c>
      <c r="G4225" s="3" t="n">
        <v>5515.07</v>
      </c>
    </row>
    <row r="4226">
      <c r="A4226" s="3" t="inlineStr">
        <is>
          <t>Heron View (Pty) Ltd</t>
        </is>
      </c>
      <c r="B4226" s="4" t="n">
        <v>45199</v>
      </c>
      <c r="C4226" s="3" t="inlineStr">
        <is>
          <t>Expenses</t>
        </is>
      </c>
      <c r="D4226" s="3" t="inlineStr">
        <is>
          <t>3900/133</t>
        </is>
      </c>
      <c r="E4226" s="3" t="inlineStr">
        <is>
          <t>Interest Paid - Investors @ 8.25%</t>
        </is>
      </c>
      <c r="F4226" s="3" t="n">
        <v>26106.19</v>
      </c>
      <c r="G4226" s="3" t="n">
        <v>26106.19</v>
      </c>
    </row>
    <row r="4227">
      <c r="A4227" s="3" t="inlineStr">
        <is>
          <t>Heron Fields (Pty) Ltd</t>
        </is>
      </c>
      <c r="B4227" s="4" t="n">
        <v>45199</v>
      </c>
      <c r="C4227" s="3" t="inlineStr">
        <is>
          <t>Expenses</t>
        </is>
      </c>
      <c r="D4227" s="3" t="inlineStr">
        <is>
          <t>3900/140</t>
        </is>
      </c>
      <c r="E4227" s="3" t="inlineStr">
        <is>
          <t>Interest Paid - Investors @ 9%</t>
        </is>
      </c>
      <c r="F4227" s="3" t="n">
        <v>0</v>
      </c>
      <c r="G4227" s="3" t="n">
        <v>591.78</v>
      </c>
    </row>
    <row r="4228">
      <c r="A4228" s="3" t="inlineStr">
        <is>
          <t>Heron View (Pty) Ltd</t>
        </is>
      </c>
      <c r="B4228" s="4" t="n">
        <v>45199</v>
      </c>
      <c r="C4228" s="3" t="inlineStr">
        <is>
          <t>Expenses</t>
        </is>
      </c>
      <c r="D4228" s="3" t="inlineStr">
        <is>
          <t>3900/140</t>
        </is>
      </c>
      <c r="E4228" s="3" t="inlineStr">
        <is>
          <t>Interest Paid - Investors @ 9%</t>
        </is>
      </c>
      <c r="F4228" s="3" t="n">
        <v>34057.67</v>
      </c>
      <c r="G4228" s="3" t="n">
        <v>62238.37</v>
      </c>
    </row>
    <row r="4229">
      <c r="A4229" s="3" t="inlineStr">
        <is>
          <t>Heron View (Pty) Ltd</t>
        </is>
      </c>
      <c r="B4229" s="4" t="n">
        <v>45199</v>
      </c>
      <c r="C4229" s="3" t="inlineStr">
        <is>
          <t>Expenses</t>
        </is>
      </c>
      <c r="D4229" s="3" t="inlineStr">
        <is>
          <t>3900/147</t>
        </is>
      </c>
      <c r="E4229" s="3" t="inlineStr">
        <is>
          <t>Interest Paid - Investors @ 9.75%</t>
        </is>
      </c>
      <c r="F4229" s="3" t="n">
        <v>2537.9</v>
      </c>
      <c r="G4229" s="3" t="n">
        <v>2537.9</v>
      </c>
    </row>
    <row r="4230">
      <c r="A4230" s="3" t="inlineStr">
        <is>
          <t>Heron View (Pty) Ltd</t>
        </is>
      </c>
      <c r="B4230" s="4" t="n">
        <v>45199</v>
      </c>
      <c r="C4230" s="3" t="inlineStr">
        <is>
          <t>Expenses</t>
        </is>
      </c>
      <c r="D4230" s="3" t="inlineStr">
        <is>
          <t>3900/150</t>
        </is>
      </c>
      <c r="E4230" s="3" t="inlineStr">
        <is>
          <t>Interest Paid - Investors @ 10%</t>
        </is>
      </c>
      <c r="F4230" s="3" t="n">
        <v>4367.12</v>
      </c>
      <c r="G4230" s="3" t="n">
        <v>5709.59</v>
      </c>
    </row>
    <row r="4231">
      <c r="A4231" s="3" t="inlineStr">
        <is>
          <t>Heron View (Pty) Ltd</t>
        </is>
      </c>
      <c r="B4231" s="4" t="n">
        <v>45199</v>
      </c>
      <c r="C4231" s="3" t="inlineStr">
        <is>
          <t>Expenses</t>
        </is>
      </c>
      <c r="D4231" s="3" t="inlineStr">
        <is>
          <t>3900/155</t>
        </is>
      </c>
      <c r="E4231" s="3" t="inlineStr">
        <is>
          <t>Interest Paid - Investors @ 10.5%</t>
        </is>
      </c>
      <c r="F4231" s="3" t="n">
        <v>17723.42</v>
      </c>
      <c r="G4231" s="3" t="n">
        <v>19334.38</v>
      </c>
    </row>
    <row r="4232">
      <c r="A4232" s="3" t="inlineStr">
        <is>
          <t>Heron View (Pty) Ltd</t>
        </is>
      </c>
      <c r="B4232" s="4" t="n">
        <v>45199</v>
      </c>
      <c r="C4232" s="3" t="inlineStr">
        <is>
          <t>Expenses</t>
        </is>
      </c>
      <c r="D4232" s="3" t="inlineStr">
        <is>
          <t>3900/160</t>
        </is>
      </c>
      <c r="E4232" s="3" t="inlineStr">
        <is>
          <t>Interest Paid - Investors @ 11%</t>
        </is>
      </c>
      <c r="F4232" s="3" t="n">
        <v>9131.51</v>
      </c>
      <c r="G4232" s="3" t="n">
        <v>9131.51</v>
      </c>
    </row>
    <row r="4233">
      <c r="A4233" s="3" t="inlineStr">
        <is>
          <t>Heron Fields (Pty) Ltd</t>
        </is>
      </c>
      <c r="B4233" s="4" t="n">
        <v>45199</v>
      </c>
      <c r="C4233" s="3" t="inlineStr">
        <is>
          <t>Expenses</t>
        </is>
      </c>
      <c r="D4233" s="3" t="inlineStr">
        <is>
          <t>3900/190</t>
        </is>
      </c>
      <c r="E4233" s="3" t="inlineStr">
        <is>
          <t>Interest Paid - Investors @ 14%</t>
        </is>
      </c>
      <c r="F4233" s="3" t="n">
        <v>0</v>
      </c>
      <c r="G4233" s="3" t="n">
        <v>400367.2</v>
      </c>
    </row>
    <row r="4234">
      <c r="A4234" s="3" t="inlineStr">
        <is>
          <t>Heron View (Pty) Ltd</t>
        </is>
      </c>
      <c r="B4234" s="4" t="n">
        <v>45199</v>
      </c>
      <c r="C4234" s="3" t="inlineStr">
        <is>
          <t>Expenses</t>
        </is>
      </c>
      <c r="D4234" s="3" t="inlineStr">
        <is>
          <t>3900/190</t>
        </is>
      </c>
      <c r="E4234" s="3" t="inlineStr">
        <is>
          <t>Interest Paid - Investors @ 14%</t>
        </is>
      </c>
      <c r="F4234" s="3" t="n">
        <v>274749.93</v>
      </c>
      <c r="G4234" s="3" t="n">
        <v>589744.15</v>
      </c>
    </row>
    <row r="4235">
      <c r="A4235" s="3" t="inlineStr">
        <is>
          <t>Heron Fields (Pty) Ltd</t>
        </is>
      </c>
      <c r="B4235" s="4" t="n">
        <v>45199</v>
      </c>
      <c r="C4235" s="3" t="inlineStr">
        <is>
          <t>Expenses</t>
        </is>
      </c>
      <c r="D4235" s="3" t="inlineStr">
        <is>
          <t>3900/200</t>
        </is>
      </c>
      <c r="E4235" s="3" t="inlineStr">
        <is>
          <t>Interest Paid - Investors @ 15%</t>
        </is>
      </c>
      <c r="F4235" s="3" t="n">
        <v>0</v>
      </c>
      <c r="G4235" s="3" t="n">
        <v>333349.31</v>
      </c>
    </row>
    <row r="4236">
      <c r="A4236" s="3" t="inlineStr">
        <is>
          <t>Heron Fields (Pty) Ltd</t>
        </is>
      </c>
      <c r="B4236" s="4" t="n">
        <v>45199</v>
      </c>
      <c r="C4236" s="3" t="inlineStr">
        <is>
          <t>Expenses</t>
        </is>
      </c>
      <c r="D4236" s="3" t="inlineStr">
        <is>
          <t>3900/210</t>
        </is>
      </c>
      <c r="E4236" s="3" t="inlineStr">
        <is>
          <t>Interest Paid - Investors @ 16%</t>
        </is>
      </c>
      <c r="F4236" s="3" t="n">
        <v>0</v>
      </c>
      <c r="G4236" s="3" t="n">
        <v>47473.98</v>
      </c>
    </row>
    <row r="4237">
      <c r="A4237" s="3" t="inlineStr">
        <is>
          <t>Heron View (Pty) Ltd</t>
        </is>
      </c>
      <c r="B4237" s="4" t="n">
        <v>45199</v>
      </c>
      <c r="C4237" s="3" t="inlineStr">
        <is>
          <t>Expenses</t>
        </is>
      </c>
      <c r="D4237" s="3" t="inlineStr">
        <is>
          <t>3900/210</t>
        </is>
      </c>
      <c r="E4237" s="3" t="inlineStr">
        <is>
          <t>Interest Paid - Investors @ 16%</t>
        </is>
      </c>
      <c r="F4237" s="3" t="n">
        <v>91616.44</v>
      </c>
      <c r="G4237" s="3" t="n">
        <v>128315.62</v>
      </c>
    </row>
    <row r="4238">
      <c r="A4238" s="3" t="inlineStr">
        <is>
          <t>Heron Fields (Pty) Ltd</t>
        </is>
      </c>
      <c r="B4238" s="4" t="n">
        <v>45199</v>
      </c>
      <c r="C4238" s="3" t="inlineStr">
        <is>
          <t>Expenses</t>
        </is>
      </c>
      <c r="D4238" s="3" t="inlineStr">
        <is>
          <t>3900/230</t>
        </is>
      </c>
      <c r="E4238" s="3" t="inlineStr">
        <is>
          <t>Interest Paid - Investors @ 18%</t>
        </is>
      </c>
      <c r="F4238" s="3" t="n">
        <v>0</v>
      </c>
      <c r="G4238" s="3" t="n">
        <v>3197167.68</v>
      </c>
    </row>
    <row r="4239">
      <c r="A4239" s="3" t="inlineStr">
        <is>
          <t>Heron View (Pty) Ltd</t>
        </is>
      </c>
      <c r="B4239" s="4" t="n">
        <v>45199</v>
      </c>
      <c r="C4239" s="3" t="inlineStr">
        <is>
          <t>Expenses</t>
        </is>
      </c>
      <c r="D4239" s="3" t="inlineStr">
        <is>
          <t>3900/230</t>
        </is>
      </c>
      <c r="E4239" s="3" t="inlineStr">
        <is>
          <t>Interest Paid - Investors @ 18%</t>
        </is>
      </c>
      <c r="F4239" s="3" t="n">
        <v>1025053.74</v>
      </c>
      <c r="G4239" s="3" t="n">
        <v>1428401.69</v>
      </c>
    </row>
    <row r="4240">
      <c r="A4240" s="3" t="inlineStr">
        <is>
          <t>Cape Projects Construction (Pty) Ltd</t>
        </is>
      </c>
      <c r="B4240" s="4" t="n">
        <v>45199</v>
      </c>
      <c r="C4240" s="3" t="inlineStr">
        <is>
          <t>Expenses</t>
        </is>
      </c>
      <c r="D4240" s="3" t="inlineStr">
        <is>
          <t>4000/000</t>
        </is>
      </c>
      <c r="E4240" s="3" t="inlineStr">
        <is>
          <t>Legal Fees</t>
        </is>
      </c>
      <c r="F4240" s="3" t="n">
        <v>0</v>
      </c>
      <c r="G4240" s="3" t="n">
        <v>5202.88</v>
      </c>
    </row>
    <row r="4241">
      <c r="A4241" s="3" t="inlineStr">
        <is>
          <t>Heron View (Pty) Ltd</t>
        </is>
      </c>
      <c r="B4241" s="4" t="n">
        <v>45199</v>
      </c>
      <c r="C4241" s="3" t="inlineStr">
        <is>
          <t>Expenses</t>
        </is>
      </c>
      <c r="D4241" s="3" t="inlineStr">
        <is>
          <t>4050/000</t>
        </is>
      </c>
      <c r="E4241" s="3" t="inlineStr">
        <is>
          <t>Levies</t>
        </is>
      </c>
      <c r="F4241" s="3" t="n">
        <v>95314.44</v>
      </c>
      <c r="G4241" s="3" t="n">
        <v>95314.44</v>
      </c>
    </row>
    <row r="4242">
      <c r="A4242" s="3" t="inlineStr">
        <is>
          <t>Heron Fields (Pty) Ltd</t>
        </is>
      </c>
      <c r="B4242" s="4" t="n">
        <v>45199</v>
      </c>
      <c r="C4242" s="3" t="inlineStr">
        <is>
          <t>Expenses</t>
        </is>
      </c>
      <c r="D4242" s="3" t="inlineStr">
        <is>
          <t>4050/100</t>
        </is>
      </c>
      <c r="E4242" s="3" t="inlineStr">
        <is>
          <t>Developers Levies</t>
        </is>
      </c>
      <c r="F4242" s="3" t="n">
        <v>0</v>
      </c>
      <c r="G4242" s="3" t="n">
        <v>76865.83</v>
      </c>
    </row>
    <row r="4243">
      <c r="A4243" s="3" t="inlineStr">
        <is>
          <t>Heron Fields (Pty) Ltd</t>
        </is>
      </c>
      <c r="B4243" s="4" t="n">
        <v>45199</v>
      </c>
      <c r="C4243" s="3" t="inlineStr">
        <is>
          <t>Expenses</t>
        </is>
      </c>
      <c r="D4243" s="3" t="inlineStr">
        <is>
          <t>4050/200</t>
        </is>
      </c>
      <c r="E4243" s="3" t="inlineStr">
        <is>
          <t>Levies - Amari</t>
        </is>
      </c>
      <c r="F4243" s="3" t="n">
        <v>4142.54</v>
      </c>
      <c r="G4243" s="3" t="n">
        <v>4142.54</v>
      </c>
    </row>
    <row r="4244">
      <c r="A4244" s="3" t="inlineStr">
        <is>
          <t>Heron View (Pty) Ltd</t>
        </is>
      </c>
      <c r="B4244" s="4" t="n">
        <v>45199</v>
      </c>
      <c r="C4244" s="3" t="inlineStr">
        <is>
          <t>Expenses</t>
        </is>
      </c>
      <c r="D4244" s="3" t="inlineStr">
        <is>
          <t>4070/000</t>
        </is>
      </c>
      <c r="E4244" s="3" t="inlineStr">
        <is>
          <t>Management fees - OMH</t>
        </is>
      </c>
      <c r="F4244" s="3" t="n">
        <v>0</v>
      </c>
      <c r="G4244" s="3" t="n">
        <v>400000</v>
      </c>
    </row>
    <row r="4245">
      <c r="A4245" s="3" t="inlineStr">
        <is>
          <t>Heron Fields (Pty) Ltd</t>
        </is>
      </c>
      <c r="B4245" s="4" t="n">
        <v>45199</v>
      </c>
      <c r="C4245" s="3" t="inlineStr">
        <is>
          <t>Expenses</t>
        </is>
      </c>
      <c r="D4245" s="3" t="inlineStr">
        <is>
          <t>4100/001</t>
        </is>
      </c>
      <c r="E4245" s="3" t="inlineStr">
        <is>
          <t>Momentum Admin Fee</t>
        </is>
      </c>
      <c r="F4245" s="3" t="n">
        <v>15149.62</v>
      </c>
      <c r="G4245" s="3" t="n">
        <v>72656.57000000001</v>
      </c>
    </row>
    <row r="4246">
      <c r="A4246" s="3" t="inlineStr">
        <is>
          <t>Cape Projects Construction (Pty) Ltd</t>
        </is>
      </c>
      <c r="B4246" s="4" t="n">
        <v>45199</v>
      </c>
      <c r="C4246" s="3" t="inlineStr">
        <is>
          <t>Expenses</t>
        </is>
      </c>
      <c r="D4246" s="3" t="inlineStr">
        <is>
          <t>4150/000</t>
        </is>
      </c>
      <c r="E4246" s="3" t="inlineStr">
        <is>
          <t>Motor Vehicle Expenses</t>
        </is>
      </c>
      <c r="F4246" s="3" t="n">
        <v>0</v>
      </c>
      <c r="G4246" s="3" t="n">
        <v>362</v>
      </c>
    </row>
    <row r="4247">
      <c r="A4247" s="3" t="inlineStr">
        <is>
          <t>Heron Fields (Pty) Ltd</t>
        </is>
      </c>
      <c r="B4247" s="4" t="n">
        <v>45199</v>
      </c>
      <c r="C4247" s="3" t="inlineStr">
        <is>
          <t>Expenses</t>
        </is>
      </c>
      <c r="D4247" s="3" t="inlineStr">
        <is>
          <t>4150/000</t>
        </is>
      </c>
      <c r="E4247" s="3" t="inlineStr">
        <is>
          <t>Motor Vehicle Expenses</t>
        </is>
      </c>
      <c r="F4247" s="3" t="n">
        <v>0</v>
      </c>
      <c r="G4247" s="3" t="n">
        <v>20</v>
      </c>
    </row>
    <row r="4248">
      <c r="A4248" s="3" t="inlineStr">
        <is>
          <t>Cape Projects Construction (Pty) Ltd</t>
        </is>
      </c>
      <c r="B4248" s="4" t="n">
        <v>45199</v>
      </c>
      <c r="C4248" s="3" t="inlineStr">
        <is>
          <t>Expenses</t>
        </is>
      </c>
      <c r="D4248" s="3" t="inlineStr">
        <is>
          <t>4150/010</t>
        </is>
      </c>
      <c r="E4248" s="3" t="inlineStr">
        <is>
          <t>Motor Vehicle - Petrol _AND_ Oil</t>
        </is>
      </c>
      <c r="F4248" s="3" t="n">
        <v>5244.4</v>
      </c>
      <c r="G4248" s="3" t="n">
        <v>30048.43</v>
      </c>
    </row>
    <row r="4249">
      <c r="A4249" s="3" t="inlineStr">
        <is>
          <t>Cape Projects Construction (Pty) Ltd</t>
        </is>
      </c>
      <c r="B4249" s="4" t="n">
        <v>45199</v>
      </c>
      <c r="C4249" s="3" t="inlineStr">
        <is>
          <t>Expenses</t>
        </is>
      </c>
      <c r="D4249" s="3" t="inlineStr">
        <is>
          <t>4150/020</t>
        </is>
      </c>
      <c r="E4249" s="3" t="inlineStr">
        <is>
          <t>Motor Vehicle - Repairs _AND_ Maint.</t>
        </is>
      </c>
      <c r="F4249" s="3" t="n">
        <v>3637</v>
      </c>
      <c r="G4249" s="3" t="n">
        <v>3637</v>
      </c>
    </row>
    <row r="4250">
      <c r="A4250" s="3" t="inlineStr">
        <is>
          <t>Cape Projects Construction (Pty) Ltd</t>
        </is>
      </c>
      <c r="B4250" s="4" t="n">
        <v>45199</v>
      </c>
      <c r="C4250" s="3" t="inlineStr">
        <is>
          <t>Expenses</t>
        </is>
      </c>
      <c r="D4250" s="3" t="inlineStr">
        <is>
          <t>4150/030</t>
        </is>
      </c>
      <c r="E4250" s="3" t="inlineStr">
        <is>
          <t>Motor Vehicle - Insurance _AND_ Licence</t>
        </is>
      </c>
      <c r="F4250" s="3" t="n">
        <v>0</v>
      </c>
      <c r="G4250" s="3" t="n">
        <v>1069</v>
      </c>
    </row>
    <row r="4251">
      <c r="A4251" s="3" t="inlineStr">
        <is>
          <t>Cape Projects Construction (Pty) Ltd</t>
        </is>
      </c>
      <c r="B4251" s="4" t="n">
        <v>45199</v>
      </c>
      <c r="C4251" s="3" t="inlineStr">
        <is>
          <t>Expenses</t>
        </is>
      </c>
      <c r="D4251" s="3" t="inlineStr">
        <is>
          <t>4200/000</t>
        </is>
      </c>
      <c r="E4251" s="3" t="inlineStr">
        <is>
          <t>Printing _AND_ Stationery</t>
        </is>
      </c>
      <c r="F4251" s="3" t="n">
        <v>7557.38</v>
      </c>
      <c r="G4251" s="3" t="n">
        <v>25896.3</v>
      </c>
    </row>
    <row r="4252">
      <c r="A4252" s="3" t="inlineStr">
        <is>
          <t>Cape Projects Construction (Pty) Ltd</t>
        </is>
      </c>
      <c r="B4252" s="4" t="n">
        <v>45199</v>
      </c>
      <c r="C4252" s="3" t="inlineStr">
        <is>
          <t>Expenses</t>
        </is>
      </c>
      <c r="D4252" s="3" t="inlineStr">
        <is>
          <t>4201/000</t>
        </is>
      </c>
      <c r="E4252" s="3" t="inlineStr">
        <is>
          <t>Printing - Printer rental</t>
        </is>
      </c>
      <c r="F4252" s="3" t="n">
        <v>2745.32</v>
      </c>
      <c r="G4252" s="3" t="n">
        <v>14468.89</v>
      </c>
    </row>
    <row r="4253">
      <c r="A4253" s="3" t="inlineStr">
        <is>
          <t>Cape Projects Construction (Pty) Ltd</t>
        </is>
      </c>
      <c r="B4253" s="4" t="n">
        <v>45199</v>
      </c>
      <c r="C4253" s="3" t="inlineStr">
        <is>
          <t>Expenses</t>
        </is>
      </c>
      <c r="D4253" s="3" t="inlineStr">
        <is>
          <t>4300/000</t>
        </is>
      </c>
      <c r="E4253" s="3" t="inlineStr">
        <is>
          <t>Rent Paid</t>
        </is>
      </c>
      <c r="F4253" s="3" t="n">
        <v>29600</v>
      </c>
      <c r="G4253" s="3" t="n">
        <v>207200</v>
      </c>
    </row>
    <row r="4254">
      <c r="A4254" s="3" t="inlineStr">
        <is>
          <t>Cape Projects Construction (Pty) Ltd</t>
        </is>
      </c>
      <c r="B4254" s="4" t="n">
        <v>45199</v>
      </c>
      <c r="C4254" s="3" t="inlineStr">
        <is>
          <t>Expenses</t>
        </is>
      </c>
      <c r="D4254" s="3" t="inlineStr">
        <is>
          <t>4310/000</t>
        </is>
      </c>
      <c r="E4254" s="3" t="inlineStr">
        <is>
          <t>Rates</t>
        </is>
      </c>
      <c r="F4254" s="3" t="n">
        <v>989.75</v>
      </c>
      <c r="G4254" s="3" t="n">
        <v>8078.79</v>
      </c>
    </row>
    <row r="4255">
      <c r="A4255" s="3" t="inlineStr">
        <is>
          <t>Heron Fields (Pty) Ltd</t>
        </is>
      </c>
      <c r="B4255" s="4" t="n">
        <v>45199</v>
      </c>
      <c r="C4255" s="3" t="inlineStr">
        <is>
          <t>Expenses</t>
        </is>
      </c>
      <c r="D4255" s="3" t="inlineStr">
        <is>
          <t>4310/000</t>
        </is>
      </c>
      <c r="E4255" s="3" t="inlineStr">
        <is>
          <t>Rates - Heron</t>
        </is>
      </c>
      <c r="F4255" s="3" t="n">
        <v>9078.59</v>
      </c>
      <c r="G4255" s="3" t="n">
        <v>-2317.84</v>
      </c>
    </row>
    <row r="4256">
      <c r="A4256" s="3" t="inlineStr">
        <is>
          <t>Cape Projects Construction (Pty) Ltd</t>
        </is>
      </c>
      <c r="B4256" s="4" t="n">
        <v>45199</v>
      </c>
      <c r="C4256" s="3" t="inlineStr">
        <is>
          <t>Expenses</t>
        </is>
      </c>
      <c r="D4256" s="3" t="inlineStr">
        <is>
          <t>4350/000</t>
        </is>
      </c>
      <c r="E4256" s="3" t="inlineStr">
        <is>
          <t>Repairs _AND_ Maintenance</t>
        </is>
      </c>
      <c r="F4256" s="3" t="n">
        <v>0</v>
      </c>
      <c r="G4256" s="3" t="n">
        <v>15462.01</v>
      </c>
    </row>
    <row r="4257">
      <c r="A4257" s="3" t="inlineStr">
        <is>
          <t>Heron Fields (Pty) Ltd</t>
        </is>
      </c>
      <c r="B4257" s="4" t="n">
        <v>45199</v>
      </c>
      <c r="C4257" s="3" t="inlineStr">
        <is>
          <t>Expenses</t>
        </is>
      </c>
      <c r="D4257" s="3" t="inlineStr">
        <is>
          <t>4350/000</t>
        </is>
      </c>
      <c r="E4257" s="3" t="inlineStr">
        <is>
          <t>Repairs _AND_ Maintenance</t>
        </is>
      </c>
      <c r="F4257" s="3" t="n">
        <v>0</v>
      </c>
      <c r="G4257" s="3" t="n">
        <v>33647.28</v>
      </c>
    </row>
    <row r="4258">
      <c r="A4258" s="3" t="inlineStr">
        <is>
          <t>Heron View (Pty) Ltd</t>
        </is>
      </c>
      <c r="B4258" s="4" t="n">
        <v>45199</v>
      </c>
      <c r="C4258" s="3" t="inlineStr">
        <is>
          <t>Expenses</t>
        </is>
      </c>
      <c r="D4258" s="3" t="inlineStr">
        <is>
          <t>4350/000</t>
        </is>
      </c>
      <c r="E4258" s="3" t="inlineStr">
        <is>
          <t>Repairs _AND_ Maintenance</t>
        </is>
      </c>
      <c r="F4258" s="3" t="n">
        <v>16566.56</v>
      </c>
      <c r="G4258" s="3" t="n">
        <v>16566.56</v>
      </c>
    </row>
    <row r="4259">
      <c r="A4259" s="3" t="inlineStr">
        <is>
          <t>Cape Projects Construction (Pty) Ltd</t>
        </is>
      </c>
      <c r="B4259" s="4" t="n">
        <v>45199</v>
      </c>
      <c r="C4259" s="3" t="inlineStr">
        <is>
          <t>Expenses</t>
        </is>
      </c>
      <c r="D4259" s="3" t="inlineStr">
        <is>
          <t>4400/000</t>
        </is>
      </c>
      <c r="E4259" s="3" t="inlineStr">
        <is>
          <t>Salaries _AND_ Wages</t>
        </is>
      </c>
      <c r="F4259" s="3" t="n">
        <v>367762.35</v>
      </c>
      <c r="G4259" s="3" t="n">
        <v>2459557.83</v>
      </c>
    </row>
    <row r="4260">
      <c r="A4260" s="3" t="inlineStr">
        <is>
          <t>Cape Projects Construction (Pty) Ltd</t>
        </is>
      </c>
      <c r="B4260" s="4" t="n">
        <v>45199</v>
      </c>
      <c r="C4260" s="3" t="inlineStr">
        <is>
          <t>Expenses</t>
        </is>
      </c>
      <c r="D4260" s="3" t="inlineStr">
        <is>
          <t>4402</t>
        </is>
      </c>
      <c r="E4260" s="3" t="inlineStr">
        <is>
          <t>Salaries &amp; Wages - WCA</t>
        </is>
      </c>
      <c r="F4260" s="3" t="n">
        <v>0</v>
      </c>
      <c r="G4260" s="3" t="n">
        <v>5192.13</v>
      </c>
    </row>
    <row r="4261">
      <c r="A4261" s="3" t="inlineStr">
        <is>
          <t>Cape Projects Construction (Pty) Ltd</t>
        </is>
      </c>
      <c r="B4261" s="4" t="n">
        <v>45199</v>
      </c>
      <c r="C4261" s="3" t="inlineStr">
        <is>
          <t>Expenses</t>
        </is>
      </c>
      <c r="D4261" s="3" t="inlineStr">
        <is>
          <t>4403/000</t>
        </is>
      </c>
      <c r="E4261" s="3" t="inlineStr">
        <is>
          <t>Security</t>
        </is>
      </c>
      <c r="F4261" s="3" t="n">
        <v>177.33</v>
      </c>
      <c r="G4261" s="3" t="n">
        <v>1241.31</v>
      </c>
    </row>
    <row r="4262">
      <c r="A4262" s="3" t="inlineStr">
        <is>
          <t>Cape Projects Construction (Pty) Ltd</t>
        </is>
      </c>
      <c r="B4262" s="4" t="n">
        <v>45199</v>
      </c>
      <c r="C4262" s="3" t="inlineStr">
        <is>
          <t>Expenses</t>
        </is>
      </c>
      <c r="D4262" s="3" t="inlineStr">
        <is>
          <t>4420/000</t>
        </is>
      </c>
      <c r="E4262" s="3" t="inlineStr">
        <is>
          <t>Small Assets</t>
        </is>
      </c>
      <c r="F4262" s="3" t="n">
        <v>3800</v>
      </c>
      <c r="G4262" s="3" t="n">
        <v>23068.46</v>
      </c>
    </row>
    <row r="4263">
      <c r="A4263" s="3" t="inlineStr">
        <is>
          <t>Heron Fields (Pty) Ltd</t>
        </is>
      </c>
      <c r="B4263" s="4" t="n">
        <v>45199</v>
      </c>
      <c r="C4263" s="3" t="inlineStr">
        <is>
          <t>Expenses</t>
        </is>
      </c>
      <c r="D4263" s="3" t="inlineStr">
        <is>
          <t>4420/001</t>
        </is>
      </c>
      <c r="E4263" s="3" t="inlineStr">
        <is>
          <t>Security - ADT</t>
        </is>
      </c>
      <c r="F4263" s="3" t="n">
        <v>366.14</v>
      </c>
      <c r="G4263" s="3" t="n">
        <v>2449.7</v>
      </c>
    </row>
    <row r="4264">
      <c r="A4264" s="3" t="inlineStr">
        <is>
          <t>Cape Projects Construction (Pty) Ltd</t>
        </is>
      </c>
      <c r="B4264" s="4" t="n">
        <v>45199</v>
      </c>
      <c r="C4264" s="3" t="inlineStr">
        <is>
          <t>Expenses</t>
        </is>
      </c>
      <c r="D4264" s="3" t="inlineStr">
        <is>
          <t>4500/000</t>
        </is>
      </c>
      <c r="E4264" s="3" t="inlineStr">
        <is>
          <t>Staff Welfare _AND_ Refreshmts</t>
        </is>
      </c>
      <c r="F4264" s="3" t="n">
        <v>3395.64</v>
      </c>
      <c r="G4264" s="3" t="n">
        <v>28480.15</v>
      </c>
    </row>
    <row r="4265">
      <c r="A4265" s="3" t="inlineStr">
        <is>
          <t>Cape Projects Construction (Pty) Ltd</t>
        </is>
      </c>
      <c r="B4265" s="4" t="n">
        <v>45199</v>
      </c>
      <c r="C4265" s="3" t="inlineStr">
        <is>
          <t>Expenses</t>
        </is>
      </c>
      <c r="D4265" s="3" t="inlineStr">
        <is>
          <t>4550/000</t>
        </is>
      </c>
      <c r="E4265" s="3" t="inlineStr">
        <is>
          <t>Subscriptions / Licenses</t>
        </is>
      </c>
      <c r="F4265" s="3" t="n">
        <v>0</v>
      </c>
      <c r="G4265" s="3" t="n">
        <v>13527.97</v>
      </c>
    </row>
    <row r="4266">
      <c r="A4266" s="3" t="inlineStr">
        <is>
          <t>Cape Projects Construction (Pty) Ltd</t>
        </is>
      </c>
      <c r="B4266" s="4" t="n">
        <v>45199</v>
      </c>
      <c r="C4266" s="3" t="inlineStr">
        <is>
          <t>Expenses</t>
        </is>
      </c>
      <c r="D4266" s="3" t="inlineStr">
        <is>
          <t>4550/001</t>
        </is>
      </c>
      <c r="E4266" s="3" t="inlineStr">
        <is>
          <t>Subscriptions &amp; Licenses - Sage payroll</t>
        </is>
      </c>
      <c r="F4266" s="3" t="n">
        <v>747</v>
      </c>
      <c r="G4266" s="3" t="n">
        <v>5229</v>
      </c>
    </row>
    <row r="4267">
      <c r="A4267" s="3" t="inlineStr">
        <is>
          <t>Cape Projects Construction (Pty) Ltd</t>
        </is>
      </c>
      <c r="B4267" s="4" t="n">
        <v>45199</v>
      </c>
      <c r="C4267" s="3" t="inlineStr">
        <is>
          <t>Expenses</t>
        </is>
      </c>
      <c r="D4267" s="3" t="inlineStr">
        <is>
          <t>4550/002</t>
        </is>
      </c>
      <c r="E4267" s="3" t="inlineStr">
        <is>
          <t>Subscriptions &amp; Licenses - Caseware</t>
        </is>
      </c>
      <c r="F4267" s="3" t="n">
        <v>0</v>
      </c>
      <c r="G4267" s="3" t="n">
        <v>10825.49</v>
      </c>
    </row>
    <row r="4268">
      <c r="A4268" s="3" t="inlineStr">
        <is>
          <t>Cape Projects Construction (Pty) Ltd</t>
        </is>
      </c>
      <c r="B4268" s="4" t="n">
        <v>45199</v>
      </c>
      <c r="C4268" s="3" t="inlineStr">
        <is>
          <t>Expenses</t>
        </is>
      </c>
      <c r="D4268" s="3" t="inlineStr">
        <is>
          <t>4550/003</t>
        </is>
      </c>
      <c r="E4268" s="3" t="inlineStr">
        <is>
          <t>Subscriptions &amp; Licenses - Xero</t>
        </is>
      </c>
      <c r="F4268" s="3" t="n">
        <v>600</v>
      </c>
      <c r="G4268" s="3" t="n">
        <v>4200</v>
      </c>
    </row>
    <row r="4269">
      <c r="A4269" s="3" t="inlineStr">
        <is>
          <t>Cape Projects Construction (Pty) Ltd</t>
        </is>
      </c>
      <c r="B4269" s="4" t="n">
        <v>45199</v>
      </c>
      <c r="C4269" s="3" t="inlineStr">
        <is>
          <t>Expenses</t>
        </is>
      </c>
      <c r="D4269" s="3" t="inlineStr">
        <is>
          <t>4550/004</t>
        </is>
      </c>
      <c r="E4269" s="3" t="inlineStr">
        <is>
          <t>Subscriptions - Smartsheet</t>
        </is>
      </c>
      <c r="F4269" s="3" t="n">
        <v>846.99</v>
      </c>
      <c r="G4269" s="3" t="n">
        <v>5733.72</v>
      </c>
    </row>
    <row r="4270">
      <c r="A4270" s="3" t="inlineStr">
        <is>
          <t>Cape Projects Construction (Pty) Ltd</t>
        </is>
      </c>
      <c r="B4270" s="4" t="n">
        <v>45199</v>
      </c>
      <c r="C4270" s="3" t="inlineStr">
        <is>
          <t>Expenses</t>
        </is>
      </c>
      <c r="D4270" s="3" t="inlineStr">
        <is>
          <t>4550/008</t>
        </is>
      </c>
      <c r="E4270" s="3" t="inlineStr">
        <is>
          <t>Subscriptions  - Adobe</t>
        </is>
      </c>
      <c r="F4270" s="3" t="n">
        <v>0</v>
      </c>
      <c r="G4270" s="3" t="n">
        <v>4498.72</v>
      </c>
    </row>
    <row r="4271">
      <c r="A4271" s="3" t="inlineStr">
        <is>
          <t>Heron Fields (Pty) Ltd</t>
        </is>
      </c>
      <c r="B4271" s="4" t="n">
        <v>45199</v>
      </c>
      <c r="C4271" s="3" t="inlineStr">
        <is>
          <t>Expenses</t>
        </is>
      </c>
      <c r="D4271" s="3" t="inlineStr">
        <is>
          <t>4550/100</t>
        </is>
      </c>
      <c r="E4271" s="3" t="inlineStr">
        <is>
          <t>Subscriptions - Xero</t>
        </is>
      </c>
      <c r="F4271" s="3" t="n">
        <v>600</v>
      </c>
      <c r="G4271" s="3" t="n">
        <v>4200</v>
      </c>
    </row>
    <row r="4272">
      <c r="A4272" s="3" t="inlineStr">
        <is>
          <t>Heron View (Pty) Ltd</t>
        </is>
      </c>
      <c r="B4272" s="4" t="n">
        <v>45199</v>
      </c>
      <c r="C4272" s="3" t="inlineStr">
        <is>
          <t>Expenses</t>
        </is>
      </c>
      <c r="D4272" s="3" t="inlineStr">
        <is>
          <t>4550/100</t>
        </is>
      </c>
      <c r="E4272" s="3" t="inlineStr">
        <is>
          <t>Subscriptions - Xero</t>
        </is>
      </c>
      <c r="F4272" s="3" t="n">
        <v>600</v>
      </c>
      <c r="G4272" s="3" t="n">
        <v>4200</v>
      </c>
    </row>
    <row r="4273">
      <c r="A4273" s="3" t="inlineStr">
        <is>
          <t>Cape Projects Construction (Pty) Ltd</t>
        </is>
      </c>
      <c r="B4273" s="4" t="n">
        <v>45199</v>
      </c>
      <c r="C4273" s="3" t="inlineStr">
        <is>
          <t>Expenses</t>
        </is>
      </c>
      <c r="D4273" s="3" t="inlineStr">
        <is>
          <t>4560</t>
        </is>
      </c>
      <c r="E4273" s="3" t="inlineStr">
        <is>
          <t>Secretarial fees - CIPC</t>
        </is>
      </c>
      <c r="F4273" s="3" t="n">
        <v>0</v>
      </c>
      <c r="G4273" s="3" t="n">
        <v>4000</v>
      </c>
    </row>
    <row r="4274">
      <c r="A4274" s="3" t="inlineStr">
        <is>
          <t>Cape Projects Construction (Pty) Ltd</t>
        </is>
      </c>
      <c r="B4274" s="4" t="n">
        <v>45199</v>
      </c>
      <c r="C4274" s="3" t="inlineStr">
        <is>
          <t>Expenses</t>
        </is>
      </c>
      <c r="D4274" s="3" t="inlineStr">
        <is>
          <t>4600/000</t>
        </is>
      </c>
      <c r="E4274" s="3" t="inlineStr">
        <is>
          <t>Telephone _AND_ Fax</t>
        </is>
      </c>
      <c r="F4274" s="3" t="n">
        <v>0</v>
      </c>
      <c r="G4274" s="3" t="n">
        <v>11566.33</v>
      </c>
    </row>
    <row r="4275">
      <c r="A4275" s="3" t="inlineStr">
        <is>
          <t>Cape Projects Construction (Pty) Ltd</t>
        </is>
      </c>
      <c r="B4275" s="4" t="n">
        <v>45199</v>
      </c>
      <c r="C4275" s="3" t="inlineStr">
        <is>
          <t>Expenses</t>
        </is>
      </c>
      <c r="D4275" s="3" t="inlineStr">
        <is>
          <t>4700/000</t>
        </is>
      </c>
      <c r="E4275" s="3" t="inlineStr">
        <is>
          <t>PAYE Contributions</t>
        </is>
      </c>
      <c r="F4275" s="3" t="n">
        <v>81838.63</v>
      </c>
      <c r="G4275" s="3" t="n">
        <v>558969.95</v>
      </c>
    </row>
    <row r="4276">
      <c r="A4276" s="3" t="inlineStr">
        <is>
          <t>Cape Projects Construction (Pty) Ltd</t>
        </is>
      </c>
      <c r="B4276" s="4" t="n">
        <v>45199</v>
      </c>
      <c r="C4276" s="3" t="inlineStr">
        <is>
          <t>Expenses</t>
        </is>
      </c>
      <c r="D4276" s="3" t="inlineStr">
        <is>
          <t>4720/000</t>
        </is>
      </c>
      <c r="E4276" s="3" t="inlineStr">
        <is>
          <t>SDL Contributions</t>
        </is>
      </c>
      <c r="F4276" s="3" t="n">
        <v>4371.35</v>
      </c>
      <c r="G4276" s="3" t="n">
        <v>29311.72</v>
      </c>
    </row>
    <row r="4277">
      <c r="A4277" s="3" t="inlineStr">
        <is>
          <t>Cape Projects Construction (Pty) Ltd</t>
        </is>
      </c>
      <c r="B4277" s="4" t="n">
        <v>45199</v>
      </c>
      <c r="C4277" s="3" t="inlineStr">
        <is>
          <t>Expenses</t>
        </is>
      </c>
      <c r="D4277" s="3" t="inlineStr">
        <is>
          <t>4730/000</t>
        </is>
      </c>
      <c r="E4277" s="3" t="inlineStr">
        <is>
          <t>UIF Company Contributions</t>
        </is>
      </c>
      <c r="F4277" s="3" t="n">
        <v>2385.07</v>
      </c>
      <c r="G4277" s="3" t="n">
        <v>15701.95</v>
      </c>
    </row>
    <row r="4278">
      <c r="A4278" s="3" t="inlineStr">
        <is>
          <t>Cape Projects Construction (Pty) Ltd</t>
        </is>
      </c>
      <c r="B4278" s="4" t="n">
        <v>45199</v>
      </c>
      <c r="C4278" s="3" t="inlineStr">
        <is>
          <t>Expenses</t>
        </is>
      </c>
      <c r="D4278" s="3" t="inlineStr">
        <is>
          <t>4731/000</t>
        </is>
      </c>
      <c r="E4278" s="3" t="inlineStr">
        <is>
          <t>UIF Employee Contribution</t>
        </is>
      </c>
      <c r="F4278" s="3" t="n">
        <v>2385.07</v>
      </c>
      <c r="G4278" s="3" t="n">
        <v>15701.95</v>
      </c>
    </row>
    <row r="4279">
      <c r="A4279" s="3" t="inlineStr">
        <is>
          <t>Cape Projects Construction (Pty) Ltd</t>
        </is>
      </c>
      <c r="B4279" s="4" t="n">
        <v>45199</v>
      </c>
      <c r="C4279" s="3" t="inlineStr">
        <is>
          <t>Expenses</t>
        </is>
      </c>
      <c r="D4279" s="3" t="inlineStr">
        <is>
          <t>4740/000</t>
        </is>
      </c>
      <c r="E4279" s="3" t="inlineStr">
        <is>
          <t>BIBC Company Contribution</t>
        </is>
      </c>
      <c r="F4279" s="3" t="n">
        <v>0</v>
      </c>
      <c r="G4279" s="3" t="n">
        <v>15075.35</v>
      </c>
    </row>
    <row r="4280">
      <c r="A4280" s="3" t="inlineStr">
        <is>
          <t>Cape Projects Construction (Pty) Ltd</t>
        </is>
      </c>
      <c r="B4280" s="4" t="n">
        <v>45199</v>
      </c>
      <c r="C4280" s="3" t="inlineStr">
        <is>
          <t>Expenses</t>
        </is>
      </c>
      <c r="D4280" s="3" t="inlineStr">
        <is>
          <t>4741/000</t>
        </is>
      </c>
      <c r="E4280" s="3" t="inlineStr">
        <is>
          <t>BIBC Employee Contribution</t>
        </is>
      </c>
      <c r="F4280" s="3" t="n">
        <v>0</v>
      </c>
      <c r="G4280" s="3" t="n">
        <v>4562.1</v>
      </c>
    </row>
    <row r="4281">
      <c r="A4281" s="3" t="inlineStr">
        <is>
          <t>Heron Fields (Pty) Ltd</t>
        </is>
      </c>
      <c r="B4281" s="4" t="n">
        <v>45199</v>
      </c>
      <c r="C4281" s="3" t="inlineStr">
        <is>
          <t>Equity</t>
        </is>
      </c>
      <c r="D4281" s="3" t="inlineStr">
        <is>
          <t>5100-000</t>
        </is>
      </c>
      <c r="E4281" s="3" t="inlineStr">
        <is>
          <t>Share Capital</t>
        </is>
      </c>
      <c r="F4281" s="3" t="n">
        <v>0</v>
      </c>
      <c r="G4281" s="3" t="n">
        <v>-100</v>
      </c>
    </row>
    <row r="4282">
      <c r="A4282" s="3" t="inlineStr">
        <is>
          <t>Cape Projects Construction (Pty) Ltd</t>
        </is>
      </c>
      <c r="B4282" s="4" t="n">
        <v>45199</v>
      </c>
      <c r="C4282" s="3" t="inlineStr">
        <is>
          <t>Equity</t>
        </is>
      </c>
      <c r="D4282" s="3" t="inlineStr">
        <is>
          <t>5100/000</t>
        </is>
      </c>
      <c r="E4282" s="3" t="inlineStr">
        <is>
          <t>Share Capital / Members Contribution</t>
        </is>
      </c>
      <c r="F4282" s="3" t="n">
        <v>0</v>
      </c>
      <c r="G4282" s="3" t="n">
        <v>-120</v>
      </c>
    </row>
    <row r="4283">
      <c r="A4283" s="3" t="inlineStr">
        <is>
          <t>Cape Projects Construction (Pty) Ltd</t>
        </is>
      </c>
      <c r="B4283" s="4" t="n">
        <v>45199</v>
      </c>
      <c r="C4283" s="3" t="inlineStr">
        <is>
          <t>Equity</t>
        </is>
      </c>
      <c r="D4283" s="3" t="inlineStr">
        <is>
          <t>5200/000</t>
        </is>
      </c>
      <c r="E4283" s="3" t="inlineStr">
        <is>
          <t>Retained Earnings / Loss</t>
        </is>
      </c>
      <c r="F4283" s="3" t="n">
        <v>0</v>
      </c>
      <c r="G4283" s="3" t="n">
        <v>-296075.58</v>
      </c>
    </row>
    <row r="4284">
      <c r="A4284" s="3" t="inlineStr">
        <is>
          <t>Heron Fields (Pty) Ltd</t>
        </is>
      </c>
      <c r="B4284" s="4" t="n">
        <v>45199</v>
      </c>
      <c r="C4284" s="3" t="inlineStr">
        <is>
          <t>Equity</t>
        </is>
      </c>
      <c r="D4284" s="3" t="inlineStr">
        <is>
          <t>5200/000</t>
        </is>
      </c>
      <c r="E4284" s="3" t="inlineStr">
        <is>
          <t>Retained Earnings / Loss</t>
        </is>
      </c>
      <c r="F4284" s="3" t="n">
        <v>0</v>
      </c>
      <c r="G4284" s="3" t="n">
        <v>-17843179.58</v>
      </c>
    </row>
    <row r="4285">
      <c r="A4285" s="3" t="inlineStr">
        <is>
          <t>Heron View (Pty) Ltd</t>
        </is>
      </c>
      <c r="B4285" s="4" t="n">
        <v>45199</v>
      </c>
      <c r="C4285" s="3" t="inlineStr">
        <is>
          <t>Equity</t>
        </is>
      </c>
      <c r="D4285" s="3" t="inlineStr">
        <is>
          <t>5200/000</t>
        </is>
      </c>
      <c r="E4285" s="3" t="inlineStr">
        <is>
          <t>Retained Earnings / Loss</t>
        </is>
      </c>
      <c r="F4285" s="3" t="n">
        <v>0</v>
      </c>
      <c r="G4285" s="3" t="n">
        <v>70398.12</v>
      </c>
    </row>
    <row r="4286">
      <c r="A4286" s="3" t="inlineStr">
        <is>
          <t>Heron Fields (Pty) Ltd</t>
        </is>
      </c>
      <c r="B4286" s="4" t="n">
        <v>45199</v>
      </c>
      <c r="C4286" s="3" t="inlineStr">
        <is>
          <t>Assets</t>
        </is>
      </c>
      <c r="D4286" s="3" t="inlineStr">
        <is>
          <t>5300/001</t>
        </is>
      </c>
      <c r="E4286" s="3" t="inlineStr">
        <is>
          <t>Revaluation of Land stock</t>
        </is>
      </c>
      <c r="F4286" s="3" t="n">
        <v>0</v>
      </c>
      <c r="G4286" s="3" t="n">
        <v>17562360.85</v>
      </c>
    </row>
    <row r="4287">
      <c r="A4287" s="3" t="inlineStr">
        <is>
          <t>Cape Projects Construction (Pty) Ltd</t>
        </is>
      </c>
      <c r="B4287" s="4" t="n">
        <v>45199</v>
      </c>
      <c r="C4287" s="3" t="inlineStr">
        <is>
          <t>Assets</t>
        </is>
      </c>
      <c r="D4287" s="3" t="inlineStr">
        <is>
          <t>5400/150</t>
        </is>
      </c>
      <c r="E4287" s="3" t="inlineStr">
        <is>
          <t>Loan - Quinate</t>
        </is>
      </c>
      <c r="F4287" s="3" t="n">
        <v>165000</v>
      </c>
      <c r="G4287" s="3" t="n">
        <v>390000</v>
      </c>
    </row>
    <row r="4288">
      <c r="A4288" s="3" t="inlineStr">
        <is>
          <t>Cape Projects Construction (Pty) Ltd</t>
        </is>
      </c>
      <c r="B4288" s="4" t="n">
        <v>45199</v>
      </c>
      <c r="C4288" s="3" t="inlineStr">
        <is>
          <t>Assets</t>
        </is>
      </c>
      <c r="D4288" s="3" t="inlineStr">
        <is>
          <t>5400/220</t>
        </is>
      </c>
      <c r="E4288" s="3" t="inlineStr">
        <is>
          <t>Members Loan - WH</t>
        </is>
      </c>
      <c r="F4288" s="3" t="n">
        <v>0</v>
      </c>
      <c r="G4288" s="3" t="n">
        <v>-4342.5</v>
      </c>
    </row>
    <row r="4289">
      <c r="A4289" s="3" t="inlineStr">
        <is>
          <t>Cape Projects Construction (Pty) Ltd</t>
        </is>
      </c>
      <c r="B4289" s="4" t="n">
        <v>45199</v>
      </c>
      <c r="C4289" s="3" t="inlineStr">
        <is>
          <t>Assets</t>
        </is>
      </c>
      <c r="D4289" s="3" t="inlineStr">
        <is>
          <t>5400/300</t>
        </is>
      </c>
      <c r="E4289" s="3" t="inlineStr">
        <is>
          <t>Loan - Opportunity ResidentialCUST ACC</t>
        </is>
      </c>
      <c r="F4289" s="3" t="n">
        <v>4702.35</v>
      </c>
      <c r="G4289" s="3" t="n">
        <v>4702.35</v>
      </c>
    </row>
    <row r="4290">
      <c r="A4290" s="3" t="inlineStr">
        <is>
          <t>Cape Projects Construction (Pty) Ltd</t>
        </is>
      </c>
      <c r="B4290" s="4" t="n">
        <v>45199</v>
      </c>
      <c r="C4290" s="3" t="inlineStr">
        <is>
          <t>Assets</t>
        </is>
      </c>
      <c r="D4290" s="3" t="inlineStr">
        <is>
          <t>5400/450</t>
        </is>
      </c>
      <c r="E4290" s="3" t="inlineStr">
        <is>
          <t>Loan - Opportunity Investment</t>
        </is>
      </c>
      <c r="F4290" s="3" t="n">
        <v>0</v>
      </c>
      <c r="G4290" s="3" t="n">
        <v>-2261000</v>
      </c>
    </row>
    <row r="4291">
      <c r="A4291" s="3" t="inlineStr">
        <is>
          <t>Cape Projects Construction (Pty) Ltd</t>
        </is>
      </c>
      <c r="B4291" s="4" t="n">
        <v>45199</v>
      </c>
      <c r="C4291" s="3" t="inlineStr">
        <is>
          <t>Assets</t>
        </is>
      </c>
      <c r="D4291" s="3" t="inlineStr">
        <is>
          <t>5400/500</t>
        </is>
      </c>
      <c r="E4291" s="3" t="inlineStr">
        <is>
          <t>Loan - Blou Mamba Trust</t>
        </is>
      </c>
      <c r="F4291" s="3" t="n">
        <v>0</v>
      </c>
      <c r="G4291" s="3" t="n">
        <v>4342.5</v>
      </c>
    </row>
    <row r="4292">
      <c r="A4292" s="3" t="inlineStr">
        <is>
          <t>Cape Projects Construction (Pty) Ltd</t>
        </is>
      </c>
      <c r="B4292" s="4" t="n">
        <v>45199</v>
      </c>
      <c r="C4292" s="3" t="inlineStr">
        <is>
          <t>Assets</t>
        </is>
      </c>
      <c r="D4292" s="3" t="inlineStr">
        <is>
          <t>5400/550</t>
        </is>
      </c>
      <c r="E4292" s="3" t="inlineStr">
        <is>
          <t>Loan - Trademark</t>
        </is>
      </c>
      <c r="F4292" s="3" t="n">
        <v>600</v>
      </c>
      <c r="G4292" s="3" t="n">
        <v>36800</v>
      </c>
    </row>
    <row r="4293">
      <c r="A4293" s="3" t="inlineStr">
        <is>
          <t>Cape Projects Construction (Pty) Ltd</t>
        </is>
      </c>
      <c r="B4293" s="4" t="n">
        <v>45199</v>
      </c>
      <c r="C4293" s="3" t="inlineStr">
        <is>
          <t>Assets</t>
        </is>
      </c>
      <c r="D4293" s="3" t="inlineStr">
        <is>
          <t>5400/600</t>
        </is>
      </c>
      <c r="E4293" s="3" t="inlineStr">
        <is>
          <t>Loan - Heron Projects</t>
        </is>
      </c>
      <c r="F4293" s="3" t="n">
        <v>-3800000</v>
      </c>
      <c r="G4293" s="3" t="n">
        <v>-13914940.42</v>
      </c>
    </row>
    <row r="4294">
      <c r="A4294" s="3" t="inlineStr">
        <is>
          <t>Cape Projects Construction (Pty) Ltd</t>
        </is>
      </c>
      <c r="B4294" s="4" t="n">
        <v>45199</v>
      </c>
      <c r="C4294" s="3" t="inlineStr">
        <is>
          <t>Assets</t>
        </is>
      </c>
      <c r="D4294" s="3" t="inlineStr">
        <is>
          <t>5400/650</t>
        </is>
      </c>
      <c r="E4294" s="3" t="inlineStr">
        <is>
          <t>Loan - Noble Shield</t>
        </is>
      </c>
      <c r="F4294" s="3" t="n">
        <v>10600</v>
      </c>
      <c r="G4294" s="3" t="n">
        <v>-105789.44</v>
      </c>
    </row>
    <row r="4295">
      <c r="A4295" s="3" t="inlineStr">
        <is>
          <t>Cape Projects Construction (Pty) Ltd</t>
        </is>
      </c>
      <c r="B4295" s="4" t="n">
        <v>45199</v>
      </c>
      <c r="C4295" s="3" t="inlineStr">
        <is>
          <t>Assets</t>
        </is>
      </c>
      <c r="D4295" s="3" t="inlineStr">
        <is>
          <t>5400/750</t>
        </is>
      </c>
      <c r="E4295" s="3" t="inlineStr">
        <is>
          <t>Loan - Endulini</t>
        </is>
      </c>
      <c r="F4295" s="3" t="n">
        <v>3228000</v>
      </c>
      <c r="G4295" s="3" t="n">
        <v>25372187.4</v>
      </c>
    </row>
    <row r="4296">
      <c r="A4296" s="3" t="inlineStr">
        <is>
          <t>Cape Projects Construction (Pty) Ltd</t>
        </is>
      </c>
      <c r="B4296" s="4" t="n">
        <v>45199</v>
      </c>
      <c r="C4296" s="3" t="inlineStr">
        <is>
          <t>Assets</t>
        </is>
      </c>
      <c r="D4296" s="3" t="inlineStr">
        <is>
          <t>5400/800</t>
        </is>
      </c>
      <c r="E4296" s="3" t="inlineStr">
        <is>
          <t>Loan - Opportunity Management Holdings</t>
        </is>
      </c>
      <c r="F4296" s="3" t="n">
        <v>0</v>
      </c>
      <c r="G4296" s="3" t="n">
        <v>-22601</v>
      </c>
    </row>
    <row r="4297">
      <c r="A4297" s="3" t="inlineStr">
        <is>
          <t>Heron View (Pty) Ltd</t>
        </is>
      </c>
      <c r="B4297" s="4" t="n">
        <v>45199</v>
      </c>
      <c r="C4297" s="3" t="inlineStr">
        <is>
          <t>Liabilities</t>
        </is>
      </c>
      <c r="D4297" s="3" t="inlineStr">
        <is>
          <t>5500/001</t>
        </is>
      </c>
      <c r="E4297" s="3" t="inlineStr">
        <is>
          <t>Loan - Heron Fields</t>
        </is>
      </c>
      <c r="F4297" s="3" t="n">
        <v>6857185.8</v>
      </c>
      <c r="G4297" s="3" t="n">
        <v>-40486034.41</v>
      </c>
    </row>
    <row r="4298">
      <c r="A4298" s="3" t="inlineStr">
        <is>
          <t>Heron Fields (Pty) Ltd</t>
        </is>
      </c>
      <c r="B4298" s="4" t="n">
        <v>45199</v>
      </c>
      <c r="C4298" s="3" t="inlineStr">
        <is>
          <t>Liabilities</t>
        </is>
      </c>
      <c r="D4298" s="3" t="inlineStr">
        <is>
          <t>5500/020</t>
        </is>
      </c>
      <c r="E4298" s="3" t="inlineStr">
        <is>
          <t>Loan - Cape Projects Construction</t>
        </is>
      </c>
      <c r="F4298" s="3" t="n">
        <v>3800000</v>
      </c>
      <c r="G4298" s="3" t="n">
        <v>13914940.42</v>
      </c>
    </row>
    <row r="4299">
      <c r="A4299" s="3" t="inlineStr">
        <is>
          <t>Heron Fields (Pty) Ltd</t>
        </is>
      </c>
      <c r="B4299" s="4" t="n">
        <v>45199</v>
      </c>
      <c r="C4299" s="3" t="inlineStr">
        <is>
          <t>Liabilities</t>
        </is>
      </c>
      <c r="D4299" s="3" t="inlineStr">
        <is>
          <t>5500/030</t>
        </is>
      </c>
      <c r="E4299" s="3" t="inlineStr">
        <is>
          <t>Loan - Opportunity Global Investments</t>
        </is>
      </c>
      <c r="F4299" s="3" t="n">
        <v>72275</v>
      </c>
      <c r="G4299" s="3" t="n">
        <v>3774275</v>
      </c>
    </row>
    <row r="4300">
      <c r="A4300" s="3" t="inlineStr">
        <is>
          <t>Heron Fields (Pty) Ltd</t>
        </is>
      </c>
      <c r="B4300" s="4" t="n">
        <v>45199</v>
      </c>
      <c r="C4300" s="3" t="inlineStr">
        <is>
          <t>Liabilities</t>
        </is>
      </c>
      <c r="D4300" s="3" t="inlineStr">
        <is>
          <t>5500/050</t>
        </is>
      </c>
      <c r="E4300" s="3" t="inlineStr">
        <is>
          <t>Loan - Heron View</t>
        </is>
      </c>
      <c r="F4300" s="3" t="n">
        <v>-6857185.8</v>
      </c>
      <c r="G4300" s="3" t="n">
        <v>40486034.41</v>
      </c>
    </row>
    <row r="4301">
      <c r="A4301" s="3" t="inlineStr">
        <is>
          <t>Heron Fields (Pty) Ltd</t>
        </is>
      </c>
      <c r="B4301" s="4" t="n">
        <v>45199</v>
      </c>
      <c r="C4301" s="3" t="inlineStr">
        <is>
          <t>Liabilities</t>
        </is>
      </c>
      <c r="D4301" s="3" t="inlineStr">
        <is>
          <t>5500/060</t>
        </is>
      </c>
      <c r="E4301" s="3" t="inlineStr">
        <is>
          <t>Loan - Opportunity Management Holdings</t>
        </is>
      </c>
      <c r="F4301" s="3" t="n">
        <v>-20000</v>
      </c>
      <c r="G4301" s="3" t="n">
        <v>42100</v>
      </c>
    </row>
    <row r="4302">
      <c r="A4302" s="3" t="inlineStr">
        <is>
          <t>Heron Fields (Pty) Ltd</t>
        </is>
      </c>
      <c r="B4302" s="4" t="n">
        <v>45199</v>
      </c>
      <c r="C4302" s="3" t="inlineStr">
        <is>
          <t>Liabilities</t>
        </is>
      </c>
      <c r="D4302" s="3" t="inlineStr">
        <is>
          <t>5500/070</t>
        </is>
      </c>
      <c r="E4302" s="3" t="inlineStr">
        <is>
          <t>Loan - Noble Shield</t>
        </is>
      </c>
      <c r="F4302" s="3" t="n">
        <v>0</v>
      </c>
      <c r="G4302" s="3" t="n">
        <v>-20370.22</v>
      </c>
    </row>
    <row r="4303">
      <c r="A4303" s="3" t="inlineStr">
        <is>
          <t>Cape Projects Construction (Pty) Ltd</t>
        </is>
      </c>
      <c r="B4303" s="4" t="n">
        <v>45199</v>
      </c>
      <c r="C4303" s="3" t="inlineStr">
        <is>
          <t>Assets</t>
        </is>
      </c>
      <c r="D4303" s="3" t="inlineStr">
        <is>
          <t>6200/010</t>
        </is>
      </c>
      <c r="E4303" s="3" t="inlineStr">
        <is>
          <t>Motor Vehicles - @ Cost</t>
        </is>
      </c>
      <c r="F4303" s="3" t="n">
        <v>0</v>
      </c>
      <c r="G4303" s="3" t="n">
        <v>216064.1</v>
      </c>
    </row>
    <row r="4304">
      <c r="A4304" s="3" t="inlineStr">
        <is>
          <t>Cape Projects Construction (Pty) Ltd</t>
        </is>
      </c>
      <c r="B4304" s="4" t="n">
        <v>45199</v>
      </c>
      <c r="C4304" s="3" t="inlineStr">
        <is>
          <t>Assets</t>
        </is>
      </c>
      <c r="D4304" s="3" t="inlineStr">
        <is>
          <t>6200/020</t>
        </is>
      </c>
      <c r="E4304" s="3" t="inlineStr">
        <is>
          <t>Motor Vehicles - Accum Depre</t>
        </is>
      </c>
      <c r="F4304" s="3" t="n">
        <v>0</v>
      </c>
      <c r="G4304" s="3" t="n">
        <v>-216063.1</v>
      </c>
    </row>
    <row r="4305">
      <c r="A4305" s="3" t="inlineStr">
        <is>
          <t>Cape Projects Construction (Pty) Ltd</t>
        </is>
      </c>
      <c r="B4305" s="4" t="n">
        <v>45199</v>
      </c>
      <c r="C4305" s="3" t="inlineStr">
        <is>
          <t>Assets</t>
        </is>
      </c>
      <c r="D4305" s="3" t="inlineStr">
        <is>
          <t>6250/010</t>
        </is>
      </c>
      <c r="E4305" s="3" t="inlineStr">
        <is>
          <t>Computer Equipment - @ Cost</t>
        </is>
      </c>
      <c r="F4305" s="3" t="n">
        <v>14673.75</v>
      </c>
      <c r="G4305" s="3" t="n">
        <v>148464.1</v>
      </c>
    </row>
    <row r="4306">
      <c r="A4306" s="3" t="inlineStr">
        <is>
          <t>Cape Projects Construction (Pty) Ltd</t>
        </is>
      </c>
      <c r="B4306" s="4" t="n">
        <v>45199</v>
      </c>
      <c r="C4306" s="3" t="inlineStr">
        <is>
          <t>Assets</t>
        </is>
      </c>
      <c r="D4306" s="3" t="inlineStr">
        <is>
          <t>6250/020</t>
        </is>
      </c>
      <c r="E4306" s="3" t="inlineStr">
        <is>
          <t>Computer Equipment - Accum Depre</t>
        </is>
      </c>
      <c r="F4306" s="3" t="n">
        <v>-3631.27</v>
      </c>
      <c r="G4306" s="3" t="n">
        <v>-66497.64999999999</v>
      </c>
    </row>
    <row r="4307">
      <c r="A4307" s="3" t="inlineStr">
        <is>
          <t>Cape Projects Construction (Pty) Ltd</t>
        </is>
      </c>
      <c r="B4307" s="4" t="n">
        <v>45199</v>
      </c>
      <c r="C4307" s="3" t="inlineStr">
        <is>
          <t>Assets</t>
        </is>
      </c>
      <c r="D4307" s="3" t="inlineStr">
        <is>
          <t>6350/010</t>
        </is>
      </c>
      <c r="E4307" s="3" t="inlineStr">
        <is>
          <t>Furniture _AND_ Fittings - @ Cost</t>
        </is>
      </c>
      <c r="F4307" s="3" t="n">
        <v>0</v>
      </c>
      <c r="G4307" s="3" t="n">
        <v>37955.3</v>
      </c>
    </row>
    <row r="4308">
      <c r="A4308" s="3" t="inlineStr">
        <is>
          <t>Cape Projects Construction (Pty) Ltd</t>
        </is>
      </c>
      <c r="B4308" s="4" t="n">
        <v>45199</v>
      </c>
      <c r="C4308" s="3" t="inlineStr">
        <is>
          <t>Assets</t>
        </is>
      </c>
      <c r="D4308" s="3" t="inlineStr">
        <is>
          <t>6350/020</t>
        </is>
      </c>
      <c r="E4308" s="3" t="inlineStr">
        <is>
          <t>Furniture _AND_ Fittings - Accum Depre</t>
        </is>
      </c>
      <c r="F4308" s="3" t="n">
        <v>-547.6799999999999</v>
      </c>
      <c r="G4308" s="3" t="n">
        <v>-9728.290000000001</v>
      </c>
    </row>
    <row r="4309">
      <c r="A4309" s="3" t="inlineStr">
        <is>
          <t>Cape Projects Construction (Pty) Ltd</t>
        </is>
      </c>
      <c r="B4309" s="4" t="n">
        <v>45199</v>
      </c>
      <c r="C4309" s="3" t="inlineStr">
        <is>
          <t>Assets</t>
        </is>
      </c>
      <c r="D4309" s="3" t="inlineStr">
        <is>
          <t>6600/010</t>
        </is>
      </c>
      <c r="E4309" s="3" t="inlineStr">
        <is>
          <t>Generator Fixed Asset - @ Cost</t>
        </is>
      </c>
      <c r="F4309" s="3" t="n">
        <v>0</v>
      </c>
      <c r="G4309" s="3" t="n">
        <v>71322</v>
      </c>
    </row>
    <row r="4310">
      <c r="A4310" s="3" t="inlineStr">
        <is>
          <t>Cape Projects Construction (Pty) Ltd</t>
        </is>
      </c>
      <c r="B4310" s="4" t="n">
        <v>45199</v>
      </c>
      <c r="C4310" s="3" t="inlineStr">
        <is>
          <t>Assets</t>
        </is>
      </c>
      <c r="D4310" s="3" t="inlineStr">
        <is>
          <t>6600/020</t>
        </is>
      </c>
      <c r="E4310" s="3" t="inlineStr">
        <is>
          <t>Generator Fixed Asset - Accum Depre</t>
        </is>
      </c>
      <c r="F4310" s="3" t="n">
        <v>-1188.69</v>
      </c>
      <c r="G4310" s="3" t="n">
        <v>-9455.719999999999</v>
      </c>
    </row>
    <row r="4311">
      <c r="A4311" s="3" t="inlineStr">
        <is>
          <t>Heron Fields (Pty) Ltd</t>
        </is>
      </c>
      <c r="B4311" s="4" t="n">
        <v>45199</v>
      </c>
      <c r="C4311" s="3" t="inlineStr">
        <is>
          <t>Assets</t>
        </is>
      </c>
      <c r="D4311" s="3" t="inlineStr">
        <is>
          <t>7610/395</t>
        </is>
      </c>
      <c r="E4311" s="3" t="inlineStr">
        <is>
          <t>HF CIP NHBRC</t>
        </is>
      </c>
      <c r="F4311" s="3" t="n">
        <v>0</v>
      </c>
      <c r="G4311" s="3" t="n">
        <v>874505.75</v>
      </c>
    </row>
    <row r="4312">
      <c r="A4312" s="3" t="inlineStr">
        <is>
          <t>Heron View (Pty) Ltd</t>
        </is>
      </c>
      <c r="B4312" s="4" t="n">
        <v>45199</v>
      </c>
      <c r="C4312" s="3" t="inlineStr">
        <is>
          <t>Assets</t>
        </is>
      </c>
      <c r="D4312" s="3" t="inlineStr">
        <is>
          <t>7610/395</t>
        </is>
      </c>
      <c r="E4312" s="3" t="inlineStr">
        <is>
          <t>Heron CIP NHBRC</t>
        </is>
      </c>
      <c r="F4312" s="3" t="n">
        <v>573498</v>
      </c>
      <c r="G4312" s="3" t="n">
        <v>1885062.86</v>
      </c>
    </row>
    <row r="4313">
      <c r="A4313" s="3" t="inlineStr">
        <is>
          <t>Heron Fields (Pty) Ltd</t>
        </is>
      </c>
      <c r="B4313" s="4" t="n">
        <v>45199</v>
      </c>
      <c r="C4313" s="3" t="inlineStr">
        <is>
          <t>Assets</t>
        </is>
      </c>
      <c r="D4313" s="3" t="inlineStr">
        <is>
          <t>7620/100</t>
        </is>
      </c>
      <c r="E4313" s="3" t="inlineStr">
        <is>
          <t>Heron View Land</t>
        </is>
      </c>
      <c r="F4313" s="3" t="n">
        <v>0</v>
      </c>
      <c r="G4313" s="3" t="n">
        <v>26200000</v>
      </c>
    </row>
    <row r="4314">
      <c r="A4314" s="3" t="inlineStr">
        <is>
          <t>Heron Fields (Pty) Ltd</t>
        </is>
      </c>
      <c r="B4314" s="4" t="n">
        <v>45199</v>
      </c>
      <c r="C4314" s="3" t="inlineStr">
        <is>
          <t>Assets</t>
        </is>
      </c>
      <c r="D4314" s="3" t="inlineStr">
        <is>
          <t>7620/101</t>
        </is>
      </c>
      <c r="E4314" s="3" t="inlineStr">
        <is>
          <t>HF CIP Bond Registration Fee</t>
        </is>
      </c>
      <c r="F4314" s="3" t="n">
        <v>0</v>
      </c>
      <c r="G4314" s="3" t="n">
        <v>68427</v>
      </c>
    </row>
    <row r="4315">
      <c r="A4315" s="3" t="inlineStr">
        <is>
          <t>Heron Fields (Pty) Ltd</t>
        </is>
      </c>
      <c r="B4315" s="4" t="n">
        <v>45199</v>
      </c>
      <c r="C4315" s="3" t="inlineStr">
        <is>
          <t>Assets</t>
        </is>
      </c>
      <c r="D4315" s="3" t="inlineStr">
        <is>
          <t>7620/102</t>
        </is>
      </c>
      <c r="E4315" s="3" t="inlineStr">
        <is>
          <t>HF CIP Transfer Fee</t>
        </is>
      </c>
      <c r="F4315" s="3" t="n">
        <v>0</v>
      </c>
      <c r="G4315" s="3" t="n">
        <v>103812</v>
      </c>
    </row>
    <row r="4316">
      <c r="A4316" s="3" t="inlineStr">
        <is>
          <t>Heron Fields (Pty) Ltd</t>
        </is>
      </c>
      <c r="B4316" s="4" t="n">
        <v>45199</v>
      </c>
      <c r="C4316" s="3" t="inlineStr">
        <is>
          <t>Assets</t>
        </is>
      </c>
      <c r="D4316" s="3" t="inlineStr">
        <is>
          <t>7620/220</t>
        </is>
      </c>
      <c r="E4316" s="3" t="inlineStr">
        <is>
          <t>HF CIP Architectural Designs</t>
        </is>
      </c>
      <c r="F4316" s="3" t="n">
        <v>0</v>
      </c>
      <c r="G4316" s="3" t="n">
        <v>314087</v>
      </c>
    </row>
    <row r="4317">
      <c r="A4317" s="3" t="inlineStr">
        <is>
          <t>Heron View (Pty) Ltd</t>
        </is>
      </c>
      <c r="B4317" s="4" t="n">
        <v>45199</v>
      </c>
      <c r="C4317" s="3" t="inlineStr">
        <is>
          <t>Assets</t>
        </is>
      </c>
      <c r="D4317" s="3" t="inlineStr">
        <is>
          <t>7620/220</t>
        </is>
      </c>
      <c r="E4317" s="3" t="inlineStr">
        <is>
          <t>Heron View CIP Architectural Designs</t>
        </is>
      </c>
      <c r="F4317" s="3" t="n">
        <v>8000</v>
      </c>
      <c r="G4317" s="3" t="n">
        <v>758378.5</v>
      </c>
    </row>
    <row r="4318">
      <c r="A4318" s="3" t="inlineStr">
        <is>
          <t>Heron Fields (Pty) Ltd</t>
        </is>
      </c>
      <c r="B4318" s="4" t="n">
        <v>45199</v>
      </c>
      <c r="C4318" s="3" t="inlineStr">
        <is>
          <t>Assets</t>
        </is>
      </c>
      <c r="D4318" s="3" t="inlineStr">
        <is>
          <t>7620/230</t>
        </is>
      </c>
      <c r="E4318" s="3" t="inlineStr">
        <is>
          <t>HF CIP Construction Management</t>
        </is>
      </c>
      <c r="F4318" s="3" t="n">
        <v>0</v>
      </c>
      <c r="G4318" s="3" t="n">
        <v>139500</v>
      </c>
    </row>
    <row r="4319">
      <c r="A4319" s="3" t="inlineStr">
        <is>
          <t>Heron Fields (Pty) Ltd</t>
        </is>
      </c>
      <c r="B4319" s="4" t="n">
        <v>45199</v>
      </c>
      <c r="C4319" s="3" t="inlineStr">
        <is>
          <t>Assets</t>
        </is>
      </c>
      <c r="D4319" s="3" t="inlineStr">
        <is>
          <t>7620/240</t>
        </is>
      </c>
      <c r="E4319" s="3" t="inlineStr">
        <is>
          <t>HF CIP Civil Engineering</t>
        </is>
      </c>
      <c r="F4319" s="3" t="n">
        <v>0</v>
      </c>
      <c r="G4319" s="3" t="n">
        <v>8557641.800000001</v>
      </c>
    </row>
    <row r="4320">
      <c r="A4320" s="3" t="inlineStr">
        <is>
          <t>Heron Fields (Pty) Ltd</t>
        </is>
      </c>
      <c r="B4320" s="4" t="n">
        <v>45199</v>
      </c>
      <c r="C4320" s="3" t="inlineStr">
        <is>
          <t>Assets</t>
        </is>
      </c>
      <c r="D4320" s="3" t="inlineStr">
        <is>
          <t>7620/245</t>
        </is>
      </c>
      <c r="E4320" s="3" t="inlineStr">
        <is>
          <t>HF CIP Development fee</t>
        </is>
      </c>
      <c r="F4320" s="3" t="n">
        <v>0</v>
      </c>
      <c r="G4320" s="3" t="n">
        <v>13807.78</v>
      </c>
    </row>
    <row r="4321">
      <c r="A4321" s="3" t="inlineStr">
        <is>
          <t>Heron Fields (Pty) Ltd</t>
        </is>
      </c>
      <c r="B4321" s="4" t="n">
        <v>45199</v>
      </c>
      <c r="C4321" s="3" t="inlineStr">
        <is>
          <t>Assets</t>
        </is>
      </c>
      <c r="D4321" s="3" t="inlineStr">
        <is>
          <t>7620/250</t>
        </is>
      </c>
      <c r="E4321" s="3" t="inlineStr">
        <is>
          <t>HF CIP Land Surveyor</t>
        </is>
      </c>
      <c r="F4321" s="3" t="n">
        <v>0</v>
      </c>
      <c r="G4321" s="3" t="n">
        <v>197060.09</v>
      </c>
    </row>
    <row r="4322">
      <c r="A4322" s="3" t="inlineStr">
        <is>
          <t>Heron View (Pty) Ltd</t>
        </is>
      </c>
      <c r="B4322" s="4" t="n">
        <v>45199</v>
      </c>
      <c r="C4322" s="3" t="inlineStr">
        <is>
          <t>Assets</t>
        </is>
      </c>
      <c r="D4322" s="3" t="inlineStr">
        <is>
          <t>7620/250</t>
        </is>
      </c>
      <c r="E4322" s="3" t="inlineStr">
        <is>
          <t>Heron View CIP Land Surveyor</t>
        </is>
      </c>
      <c r="F4322" s="3" t="n">
        <v>0</v>
      </c>
      <c r="G4322" s="3" t="n">
        <v>186612.64</v>
      </c>
    </row>
    <row r="4323">
      <c r="A4323" s="3" t="inlineStr">
        <is>
          <t>Heron Fields (Pty) Ltd</t>
        </is>
      </c>
      <c r="B4323" s="4" t="n">
        <v>45199</v>
      </c>
      <c r="C4323" s="3" t="inlineStr">
        <is>
          <t>Assets</t>
        </is>
      </c>
      <c r="D4323" s="3" t="inlineStr">
        <is>
          <t>7620/255</t>
        </is>
      </c>
      <c r="E4323" s="3" t="inlineStr">
        <is>
          <t>HF CIP Landscaping</t>
        </is>
      </c>
      <c r="F4323" s="3" t="n">
        <v>0</v>
      </c>
      <c r="G4323" s="3" t="n">
        <v>7500</v>
      </c>
    </row>
    <row r="4324">
      <c r="A4324" s="3" t="inlineStr">
        <is>
          <t>Heron View (Pty) Ltd</t>
        </is>
      </c>
      <c r="B4324" s="4" t="n">
        <v>45199</v>
      </c>
      <c r="C4324" s="3" t="inlineStr">
        <is>
          <t>Assets</t>
        </is>
      </c>
      <c r="D4324" s="3" t="inlineStr">
        <is>
          <t>7620/255</t>
        </is>
      </c>
      <c r="E4324" s="3" t="inlineStr">
        <is>
          <t>Heron View CIP Landscaping</t>
        </is>
      </c>
      <c r="F4324" s="3" t="n">
        <v>0</v>
      </c>
      <c r="G4324" s="3" t="n">
        <v>114370.5</v>
      </c>
    </row>
    <row r="4325">
      <c r="A4325" s="3" t="inlineStr">
        <is>
          <t>Heron Fields (Pty) Ltd</t>
        </is>
      </c>
      <c r="B4325" s="4" t="n">
        <v>45199</v>
      </c>
      <c r="C4325" s="3" t="inlineStr">
        <is>
          <t>Assets</t>
        </is>
      </c>
      <c r="D4325" s="3" t="inlineStr">
        <is>
          <t>7620/260</t>
        </is>
      </c>
      <c r="E4325" s="3" t="inlineStr">
        <is>
          <t>HF CIP Mechanical Engineers</t>
        </is>
      </c>
      <c r="F4325" s="3" t="n">
        <v>0</v>
      </c>
      <c r="G4325" s="3" t="n">
        <v>146256.38</v>
      </c>
    </row>
    <row r="4326">
      <c r="A4326" s="3" t="inlineStr">
        <is>
          <t>Heron Fields (Pty) Ltd</t>
        </is>
      </c>
      <c r="B4326" s="4" t="n">
        <v>45199</v>
      </c>
      <c r="C4326" s="3" t="inlineStr">
        <is>
          <t>Assets</t>
        </is>
      </c>
      <c r="D4326" s="3" t="inlineStr">
        <is>
          <t>7620/265</t>
        </is>
      </c>
      <c r="E4326" s="3" t="inlineStr">
        <is>
          <t>HF CIP Health &amp; Safety</t>
        </is>
      </c>
      <c r="F4326" s="3" t="n">
        <v>0</v>
      </c>
      <c r="G4326" s="3" t="n">
        <v>20600</v>
      </c>
    </row>
    <row r="4327">
      <c r="A4327" s="3" t="inlineStr">
        <is>
          <t>Heron Fields (Pty) Ltd</t>
        </is>
      </c>
      <c r="B4327" s="4" t="n">
        <v>45199</v>
      </c>
      <c r="C4327" s="3" t="inlineStr">
        <is>
          <t>Assets</t>
        </is>
      </c>
      <c r="D4327" s="3" t="inlineStr">
        <is>
          <t>7620/270</t>
        </is>
      </c>
      <c r="E4327" s="3" t="inlineStr">
        <is>
          <t>HF CIP Geotechnical</t>
        </is>
      </c>
      <c r="F4327" s="3" t="n">
        <v>0</v>
      </c>
      <c r="G4327" s="3" t="n">
        <v>15175</v>
      </c>
    </row>
    <row r="4328">
      <c r="A4328" s="3" t="inlineStr">
        <is>
          <t>Heron Fields (Pty) Ltd</t>
        </is>
      </c>
      <c r="B4328" s="4" t="n">
        <v>45199</v>
      </c>
      <c r="C4328" s="3" t="inlineStr">
        <is>
          <t>Assets</t>
        </is>
      </c>
      <c r="D4328" s="3" t="inlineStr">
        <is>
          <t>7620/275</t>
        </is>
      </c>
      <c r="E4328" s="3" t="inlineStr">
        <is>
          <t>HF CIP Retaining Wall</t>
        </is>
      </c>
      <c r="F4328" s="3" t="n">
        <v>0</v>
      </c>
      <c r="G4328" s="3" t="n">
        <v>570856.08</v>
      </c>
    </row>
    <row r="4329">
      <c r="A4329" s="3" t="inlineStr">
        <is>
          <t>Heron Fields (Pty) Ltd</t>
        </is>
      </c>
      <c r="B4329" s="4" t="n">
        <v>45199</v>
      </c>
      <c r="C4329" s="3" t="inlineStr">
        <is>
          <t>Assets</t>
        </is>
      </c>
      <c r="D4329" s="3" t="inlineStr">
        <is>
          <t>7620/280</t>
        </is>
      </c>
      <c r="E4329" s="3" t="inlineStr">
        <is>
          <t>HF CIP Site Establishment</t>
        </is>
      </c>
      <c r="F4329" s="3" t="n">
        <v>0</v>
      </c>
      <c r="G4329" s="3" t="n">
        <v>47748851.51</v>
      </c>
    </row>
    <row r="4330">
      <c r="A4330" s="3" t="inlineStr">
        <is>
          <t>Heron View (Pty) Ltd</t>
        </is>
      </c>
      <c r="B4330" s="4" t="n">
        <v>45199</v>
      </c>
      <c r="C4330" s="3" t="inlineStr">
        <is>
          <t>Assets</t>
        </is>
      </c>
      <c r="D4330" s="3" t="inlineStr">
        <is>
          <t>7620/280</t>
        </is>
      </c>
      <c r="E4330" s="3" t="inlineStr">
        <is>
          <t>Heron View CIP Site Establishment</t>
        </is>
      </c>
      <c r="F4330" s="3" t="n">
        <v>4967306.73</v>
      </c>
      <c r="G4330" s="3" t="n">
        <v>12836646.5</v>
      </c>
    </row>
    <row r="4331">
      <c r="A4331" s="3" t="inlineStr">
        <is>
          <t>Heron Fields (Pty) Ltd</t>
        </is>
      </c>
      <c r="B4331" s="4" t="n">
        <v>45199</v>
      </c>
      <c r="C4331" s="3" t="inlineStr">
        <is>
          <t>Assets</t>
        </is>
      </c>
      <c r="D4331" s="3" t="inlineStr">
        <is>
          <t>7620/285</t>
        </is>
      </c>
      <c r="E4331" s="3" t="inlineStr">
        <is>
          <t>HF CIP Structuring Fee - Invest</t>
        </is>
      </c>
      <c r="F4331" s="3" t="n">
        <v>0</v>
      </c>
      <c r="G4331" s="3" t="n">
        <v>3850818.04</v>
      </c>
    </row>
    <row r="4332">
      <c r="A4332" s="3" t="inlineStr">
        <is>
          <t>Heron View (Pty) Ltd</t>
        </is>
      </c>
      <c r="B4332" s="4" t="n">
        <v>45199</v>
      </c>
      <c r="C4332" s="3" t="inlineStr">
        <is>
          <t>Assets</t>
        </is>
      </c>
      <c r="D4332" s="3" t="inlineStr">
        <is>
          <t>7620/285</t>
        </is>
      </c>
      <c r="E4332" s="3" t="inlineStr">
        <is>
          <t>Heron View CIP Structuring Fee - Invest</t>
        </is>
      </c>
      <c r="F4332" s="3" t="n">
        <v>0</v>
      </c>
      <c r="G4332" s="3" t="n">
        <v>1826086.96</v>
      </c>
    </row>
    <row r="4333">
      <c r="A4333" s="3" t="inlineStr">
        <is>
          <t>Heron Fields (Pty) Ltd</t>
        </is>
      </c>
      <c r="B4333" s="4" t="n">
        <v>45199</v>
      </c>
      <c r="C4333" s="3" t="inlineStr">
        <is>
          <t>Assets</t>
        </is>
      </c>
      <c r="D4333" s="3" t="inlineStr">
        <is>
          <t>7620/287</t>
        </is>
      </c>
      <c r="E4333" s="3" t="inlineStr">
        <is>
          <t>HF CIP Structuring Fee - Development</t>
        </is>
      </c>
      <c r="F4333" s="3" t="n">
        <v>0</v>
      </c>
      <c r="G4333" s="3" t="n">
        <v>782608.0699999999</v>
      </c>
    </row>
    <row r="4334">
      <c r="A4334" s="3" t="inlineStr">
        <is>
          <t>Heron View (Pty) Ltd</t>
        </is>
      </c>
      <c r="B4334" s="4" t="n">
        <v>45199</v>
      </c>
      <c r="C4334" s="3" t="inlineStr">
        <is>
          <t>Assets</t>
        </is>
      </c>
      <c r="D4334" s="3" t="inlineStr">
        <is>
          <t>7620/287</t>
        </is>
      </c>
      <c r="E4334" s="3" t="inlineStr">
        <is>
          <t>Heron View CIP Structuring Fee - Development</t>
        </is>
      </c>
      <c r="F4334" s="3" t="n">
        <v>0</v>
      </c>
      <c r="G4334" s="3" t="n">
        <v>217391.3</v>
      </c>
    </row>
    <row r="4335">
      <c r="A4335" s="3" t="inlineStr">
        <is>
          <t>Heron Fields (Pty) Ltd</t>
        </is>
      </c>
      <c r="B4335" s="4" t="n">
        <v>45199</v>
      </c>
      <c r="C4335" s="3" t="inlineStr">
        <is>
          <t>Assets</t>
        </is>
      </c>
      <c r="D4335" s="3" t="inlineStr">
        <is>
          <t>7620/290</t>
        </is>
      </c>
      <c r="E4335" s="3" t="inlineStr">
        <is>
          <t>HF CIP Town Planning</t>
        </is>
      </c>
      <c r="F4335" s="3" t="n">
        <v>0</v>
      </c>
      <c r="G4335" s="3" t="n">
        <v>166550</v>
      </c>
    </row>
    <row r="4336">
      <c r="A4336" s="3" t="inlineStr">
        <is>
          <t>Heron View (Pty) Ltd</t>
        </is>
      </c>
      <c r="B4336" s="4" t="n">
        <v>45199</v>
      </c>
      <c r="C4336" s="3" t="inlineStr">
        <is>
          <t>Assets</t>
        </is>
      </c>
      <c r="D4336" s="3" t="inlineStr">
        <is>
          <t>7620/290</t>
        </is>
      </c>
      <c r="E4336" s="3" t="inlineStr">
        <is>
          <t>Heron View CIP Town Planning</t>
        </is>
      </c>
      <c r="F4336" s="3" t="n">
        <v>0</v>
      </c>
      <c r="G4336" s="3" t="n">
        <v>2834.7</v>
      </c>
    </row>
    <row r="4337">
      <c r="A4337" s="3" t="inlineStr">
        <is>
          <t>Heron Fields (Pty) Ltd</t>
        </is>
      </c>
      <c r="B4337" s="4" t="n">
        <v>45199</v>
      </c>
      <c r="C4337" s="3" t="inlineStr">
        <is>
          <t>Assets</t>
        </is>
      </c>
      <c r="D4337" s="3" t="inlineStr">
        <is>
          <t>7620/295</t>
        </is>
      </c>
      <c r="E4337" s="3" t="inlineStr">
        <is>
          <t>HF CIP Traffic Planning</t>
        </is>
      </c>
      <c r="F4337" s="3" t="n">
        <v>0</v>
      </c>
      <c r="G4337" s="3" t="n">
        <v>45000</v>
      </c>
    </row>
    <row r="4338">
      <c r="A4338" s="3" t="inlineStr">
        <is>
          <t>Heron Fields (Pty) Ltd</t>
        </is>
      </c>
      <c r="B4338" s="4" t="n">
        <v>45199</v>
      </c>
      <c r="C4338" s="3" t="inlineStr">
        <is>
          <t>Assets</t>
        </is>
      </c>
      <c r="D4338" s="3" t="inlineStr">
        <is>
          <t>7620/600</t>
        </is>
      </c>
      <c r="E4338" s="3" t="inlineStr">
        <is>
          <t>HF CIP Eco work</t>
        </is>
      </c>
      <c r="F4338" s="3" t="n">
        <v>6000</v>
      </c>
      <c r="G4338" s="3" t="n">
        <v>173000</v>
      </c>
    </row>
    <row r="4339">
      <c r="A4339" s="3" t="inlineStr">
        <is>
          <t>Heron View (Pty) Ltd</t>
        </is>
      </c>
      <c r="B4339" s="4" t="n">
        <v>45199</v>
      </c>
      <c r="C4339" s="3" t="inlineStr">
        <is>
          <t>Assets</t>
        </is>
      </c>
      <c r="D4339" s="3" t="inlineStr">
        <is>
          <t>7620/605</t>
        </is>
      </c>
      <c r="E4339" s="3" t="inlineStr">
        <is>
          <t>Heron View CIP Structural Engineers</t>
        </is>
      </c>
      <c r="F4339" s="3" t="n">
        <v>0</v>
      </c>
      <c r="G4339" s="3" t="n">
        <v>530452.14</v>
      </c>
    </row>
    <row r="4340">
      <c r="A4340" s="3" t="inlineStr">
        <is>
          <t>Heron View (Pty) Ltd</t>
        </is>
      </c>
      <c r="B4340" s="4" t="n">
        <v>45199</v>
      </c>
      <c r="C4340" s="3" t="inlineStr">
        <is>
          <t>Assets</t>
        </is>
      </c>
      <c r="D4340" s="3" t="inlineStr">
        <is>
          <t>7620/610</t>
        </is>
      </c>
      <c r="E4340" s="3" t="inlineStr">
        <is>
          <t>HV CIP Retaining wall</t>
        </is>
      </c>
      <c r="F4340" s="3" t="n">
        <v>0</v>
      </c>
      <c r="G4340" s="3" t="n">
        <v>66190.11</v>
      </c>
    </row>
    <row r="4341">
      <c r="A4341" s="3" t="inlineStr">
        <is>
          <t>Heron Fields (Pty) Ltd</t>
        </is>
      </c>
      <c r="B4341" s="4" t="n">
        <v>45199</v>
      </c>
      <c r="C4341" s="3" t="inlineStr">
        <is>
          <t>Assets</t>
        </is>
      </c>
      <c r="D4341" s="3" t="inlineStr">
        <is>
          <t>7620/630</t>
        </is>
      </c>
      <c r="E4341" s="3" t="inlineStr">
        <is>
          <t>HF CIP CoCT development contribution</t>
        </is>
      </c>
      <c r="F4341" s="3" t="n">
        <v>0</v>
      </c>
      <c r="G4341" s="3" t="n">
        <v>3252759.95</v>
      </c>
    </row>
    <row r="4342">
      <c r="A4342" s="3" t="inlineStr">
        <is>
          <t>Heron View (Pty) Ltd</t>
        </is>
      </c>
      <c r="B4342" s="4" t="n">
        <v>45199</v>
      </c>
      <c r="C4342" s="3" t="inlineStr">
        <is>
          <t>Assets</t>
        </is>
      </c>
      <c r="D4342" s="3" t="inlineStr">
        <is>
          <t>7620/630</t>
        </is>
      </c>
      <c r="E4342" s="3" t="inlineStr">
        <is>
          <t>Heron CIP - CoCT development contribution</t>
        </is>
      </c>
      <c r="F4342" s="3" t="n">
        <v>84070.03</v>
      </c>
      <c r="G4342" s="3" t="n">
        <v>1612299.1</v>
      </c>
    </row>
    <row r="4343">
      <c r="A4343" s="3" t="inlineStr">
        <is>
          <t>Heron Fields (Pty) Ltd</t>
        </is>
      </c>
      <c r="B4343" s="4" t="n">
        <v>45199</v>
      </c>
      <c r="C4343" s="3" t="inlineStr">
        <is>
          <t>Assets</t>
        </is>
      </c>
      <c r="D4343" s="3" t="inlineStr">
        <is>
          <t>7620/640</t>
        </is>
      </c>
      <c r="E4343" s="3" t="inlineStr">
        <is>
          <t>HF CIP Project costs</t>
        </is>
      </c>
      <c r="F4343" s="3" t="n">
        <v>0</v>
      </c>
      <c r="G4343" s="3" t="n">
        <v>622274.51</v>
      </c>
    </row>
    <row r="4344">
      <c r="A4344" s="3" t="inlineStr">
        <is>
          <t>Heron View (Pty) Ltd</t>
        </is>
      </c>
      <c r="B4344" s="4" t="n">
        <v>45199</v>
      </c>
      <c r="C4344" s="3" t="inlineStr">
        <is>
          <t>Assets</t>
        </is>
      </c>
      <c r="D4344" s="3" t="inlineStr">
        <is>
          <t>7620/650</t>
        </is>
      </c>
      <c r="E4344" s="3" t="inlineStr">
        <is>
          <t>CIP - Construction Management</t>
        </is>
      </c>
      <c r="F4344" s="3" t="n">
        <v>0</v>
      </c>
      <c r="G4344" s="3" t="n">
        <v>76530</v>
      </c>
    </row>
    <row r="4345">
      <c r="A4345" s="3" t="inlineStr">
        <is>
          <t>Heron Fields (Pty) Ltd</t>
        </is>
      </c>
      <c r="B4345" s="4" t="n">
        <v>45199</v>
      </c>
      <c r="C4345" s="3" t="inlineStr">
        <is>
          <t>Assets</t>
        </is>
      </c>
      <c r="D4345" s="3" t="inlineStr">
        <is>
          <t>7620/650</t>
        </is>
      </c>
      <c r="E4345" s="3" t="inlineStr">
        <is>
          <t>HF CIP Electrical</t>
        </is>
      </c>
      <c r="F4345" s="3" t="n">
        <v>0</v>
      </c>
      <c r="G4345" s="3" t="n">
        <v>985049.6800000001</v>
      </c>
    </row>
    <row r="4346">
      <c r="A4346" s="3" t="inlineStr">
        <is>
          <t>Heron View (Pty) Ltd</t>
        </is>
      </c>
      <c r="B4346" s="4" t="n">
        <v>45199</v>
      </c>
      <c r="C4346" s="3" t="inlineStr">
        <is>
          <t>Assets</t>
        </is>
      </c>
      <c r="D4346" s="3" t="inlineStr">
        <is>
          <t>7620/660</t>
        </is>
      </c>
      <c r="E4346" s="3" t="inlineStr">
        <is>
          <t>HV CIP Health &amp; Safety</t>
        </is>
      </c>
      <c r="F4346" s="3" t="n">
        <v>1400</v>
      </c>
      <c r="G4346" s="3" t="n">
        <v>24400</v>
      </c>
    </row>
    <row r="4347">
      <c r="A4347" s="3" t="inlineStr">
        <is>
          <t>Heron View (Pty) Ltd</t>
        </is>
      </c>
      <c r="B4347" s="4" t="n">
        <v>45199</v>
      </c>
      <c r="C4347" s="3" t="inlineStr">
        <is>
          <t>Assets</t>
        </is>
      </c>
      <c r="D4347" s="3" t="inlineStr">
        <is>
          <t>7620/670</t>
        </is>
      </c>
      <c r="E4347" s="3" t="inlineStr">
        <is>
          <t>HV CIP - Project costs CPSD</t>
        </is>
      </c>
      <c r="F4347" s="3" t="n">
        <v>334782.61</v>
      </c>
      <c r="G4347" s="3" t="n">
        <v>1019565.21</v>
      </c>
    </row>
    <row r="4348">
      <c r="A4348" s="3" t="inlineStr">
        <is>
          <t>Heron View (Pty) Ltd</t>
        </is>
      </c>
      <c r="B4348" s="4" t="n">
        <v>45199</v>
      </c>
      <c r="C4348" s="3" t="inlineStr">
        <is>
          <t>Assets</t>
        </is>
      </c>
      <c r="D4348" s="3" t="inlineStr">
        <is>
          <t>7620/680</t>
        </is>
      </c>
      <c r="E4348" s="3" t="inlineStr">
        <is>
          <t>HV CIP Elextrical</t>
        </is>
      </c>
      <c r="F4348" s="3" t="n">
        <v>410402.17</v>
      </c>
      <c r="G4348" s="3" t="n">
        <v>1540502.11</v>
      </c>
    </row>
    <row r="4349">
      <c r="A4349" s="3" t="inlineStr">
        <is>
          <t>Heron View (Pty) Ltd</t>
        </is>
      </c>
      <c r="B4349" s="4" t="n">
        <v>45199</v>
      </c>
      <c r="C4349" s="3" t="inlineStr">
        <is>
          <t>Assets</t>
        </is>
      </c>
      <c r="D4349" s="3" t="inlineStr">
        <is>
          <t>7620/690</t>
        </is>
      </c>
      <c r="E4349" s="3" t="inlineStr">
        <is>
          <t>HV CIP Site Establishment</t>
        </is>
      </c>
      <c r="F4349" s="3" t="n">
        <v>0</v>
      </c>
      <c r="G4349" s="3" t="n">
        <v>20707183.05</v>
      </c>
    </row>
    <row r="4350">
      <c r="A4350" s="3" t="inlineStr">
        <is>
          <t>Heron Fields (Pty) Ltd</t>
        </is>
      </c>
      <c r="B4350" s="4" t="n">
        <v>45199</v>
      </c>
      <c r="C4350" s="3" t="inlineStr">
        <is>
          <t>Assets</t>
        </is>
      </c>
      <c r="D4350" s="3" t="inlineStr">
        <is>
          <t>7620/750</t>
        </is>
      </c>
      <c r="E4350" s="3" t="inlineStr">
        <is>
          <t>HF CIP Project costs CPSD</t>
        </is>
      </c>
      <c r="F4350" s="3" t="n">
        <v>0</v>
      </c>
      <c r="G4350" s="3" t="n">
        <v>2148883.15</v>
      </c>
    </row>
    <row r="4351">
      <c r="A4351" s="3" t="inlineStr">
        <is>
          <t>Heron Fields (Pty) Ltd</t>
        </is>
      </c>
      <c r="B4351" s="4" t="n">
        <v>45199</v>
      </c>
      <c r="C4351" s="3" t="inlineStr">
        <is>
          <t>Assets</t>
        </is>
      </c>
      <c r="D4351" s="3" t="inlineStr">
        <is>
          <t>7620/800</t>
        </is>
      </c>
      <c r="E4351" s="3" t="inlineStr">
        <is>
          <t>HF CIP GL Conradie</t>
        </is>
      </c>
      <c r="F4351" s="3" t="n">
        <v>0</v>
      </c>
      <c r="G4351" s="3" t="n">
        <v>1068455</v>
      </c>
    </row>
    <row r="4352">
      <c r="A4352" s="3" t="inlineStr">
        <is>
          <t>Heron View (Pty) Ltd</t>
        </is>
      </c>
      <c r="B4352" s="4" t="n">
        <v>45199</v>
      </c>
      <c r="C4352" s="3" t="inlineStr">
        <is>
          <t>Assets</t>
        </is>
      </c>
      <c r="D4352" s="3" t="inlineStr">
        <is>
          <t>7620/800</t>
        </is>
      </c>
      <c r="E4352" s="3" t="inlineStr">
        <is>
          <t>HV CIP GL Conradie</t>
        </is>
      </c>
      <c r="F4352" s="3" t="n">
        <v>694542.34</v>
      </c>
      <c r="G4352" s="3" t="n">
        <v>2188325.96</v>
      </c>
    </row>
    <row r="4353">
      <c r="A4353" s="3" t="inlineStr">
        <is>
          <t>Heron Fields (Pty) Ltd</t>
        </is>
      </c>
      <c r="B4353" s="4" t="n">
        <v>45199</v>
      </c>
      <c r="C4353" s="3" t="inlineStr">
        <is>
          <t>Assets</t>
        </is>
      </c>
      <c r="D4353" s="3" t="inlineStr">
        <is>
          <t>7700/010</t>
        </is>
      </c>
      <c r="E4353" s="3" t="inlineStr">
        <is>
          <t>Construction 28 Feb 23 HF</t>
        </is>
      </c>
      <c r="F4353" s="3" t="n">
        <v>0</v>
      </c>
      <c r="G4353" s="3" t="n">
        <v>-24427668.44</v>
      </c>
    </row>
    <row r="4354">
      <c r="A4354" s="3" t="inlineStr">
        <is>
          <t>Cape Projects Construction (Pty) Ltd</t>
        </is>
      </c>
      <c r="B4354" s="4" t="n">
        <v>45199</v>
      </c>
      <c r="C4354" s="3" t="inlineStr">
        <is>
          <t>Assets</t>
        </is>
      </c>
      <c r="D4354" s="3" t="inlineStr">
        <is>
          <t>7800/000</t>
        </is>
      </c>
      <c r="E4354" s="3" t="inlineStr">
        <is>
          <t>Deposits paid</t>
        </is>
      </c>
      <c r="F4354" s="3" t="n">
        <v>0</v>
      </c>
      <c r="G4354" s="3" t="n">
        <v>29600</v>
      </c>
    </row>
    <row r="4355">
      <c r="A4355" s="3" t="inlineStr">
        <is>
          <t>Cape Projects Construction (Pty) Ltd</t>
        </is>
      </c>
      <c r="B4355" s="4" t="n">
        <v>45199</v>
      </c>
      <c r="C4355" s="3" t="inlineStr">
        <is>
          <t>Assets</t>
        </is>
      </c>
      <c r="D4355" s="3" t="inlineStr">
        <is>
          <t>8000/000</t>
        </is>
      </c>
      <c r="E4355" s="3" t="inlineStr">
        <is>
          <t>Customer Control Account</t>
        </is>
      </c>
      <c r="F4355" s="3" t="n">
        <v>1629402.74</v>
      </c>
      <c r="G4355" s="3" t="n">
        <v>-8909888.34</v>
      </c>
    </row>
    <row r="4356">
      <c r="A4356" s="3" t="inlineStr">
        <is>
          <t>Heron Fields (Pty) Ltd</t>
        </is>
      </c>
      <c r="B4356" s="4" t="n">
        <v>45199</v>
      </c>
      <c r="C4356" s="3" t="inlineStr">
        <is>
          <t>Assets</t>
        </is>
      </c>
      <c r="D4356" s="3" t="inlineStr">
        <is>
          <t>8000/000</t>
        </is>
      </c>
      <c r="E4356" s="3" t="inlineStr">
        <is>
          <t>Customer Control Account</t>
        </is>
      </c>
      <c r="F4356" s="3" t="n">
        <v>5661.98</v>
      </c>
      <c r="G4356" s="3" t="n">
        <v>361268.59</v>
      </c>
    </row>
    <row r="4357">
      <c r="A4357" s="3" t="inlineStr">
        <is>
          <t>Cape Projects Construction (Pty) Ltd</t>
        </is>
      </c>
      <c r="B4357" s="4" t="n">
        <v>45199</v>
      </c>
      <c r="C4357" s="3" t="inlineStr">
        <is>
          <t>Assets</t>
        </is>
      </c>
      <c r="D4357" s="3" t="inlineStr">
        <is>
          <t>8200/020</t>
        </is>
      </c>
      <c r="E4357" s="3" t="inlineStr">
        <is>
          <t>Staff Loans</t>
        </is>
      </c>
      <c r="F4357" s="3" t="n">
        <v>-2314.28</v>
      </c>
      <c r="G4357" s="3" t="n">
        <v>-2314.28</v>
      </c>
    </row>
    <row r="4358">
      <c r="A4358" s="3" t="inlineStr">
        <is>
          <t>Heron Fields (Pty) Ltd</t>
        </is>
      </c>
      <c r="B4358" s="4" t="n">
        <v>45199</v>
      </c>
      <c r="C4358" s="3" t="inlineStr">
        <is>
          <t>Assets</t>
        </is>
      </c>
      <c r="D4358" s="3" t="inlineStr">
        <is>
          <t>8400/000</t>
        </is>
      </c>
      <c r="E4358" s="3" t="inlineStr">
        <is>
          <t>RMB - 62882379087</t>
        </is>
      </c>
      <c r="F4358" s="3" t="n">
        <v>-965962.74</v>
      </c>
      <c r="G4358" s="3" t="n">
        <v>836600.0699999999</v>
      </c>
    </row>
    <row r="4359">
      <c r="A4359" s="3" t="inlineStr">
        <is>
          <t>Cape Projects Construction (Pty) Ltd</t>
        </is>
      </c>
      <c r="B4359" s="4" t="n">
        <v>45199</v>
      </c>
      <c r="C4359" s="3" t="inlineStr">
        <is>
          <t>Assets</t>
        </is>
      </c>
      <c r="D4359" s="3" t="inlineStr">
        <is>
          <t>8400/000</t>
        </is>
      </c>
      <c r="E4359" s="3" t="inlineStr">
        <is>
          <t>RMB 62275138470</t>
        </is>
      </c>
      <c r="F4359" s="3" t="n">
        <v>-356228.98</v>
      </c>
      <c r="G4359" s="3" t="n">
        <v>388313.23</v>
      </c>
    </row>
    <row r="4360">
      <c r="A4360" s="3" t="inlineStr">
        <is>
          <t>Cape Projects Construction (Pty) Ltd</t>
        </is>
      </c>
      <c r="B4360" s="4" t="n">
        <v>45199</v>
      </c>
      <c r="C4360" s="3" t="inlineStr">
        <is>
          <t>Assets</t>
        </is>
      </c>
      <c r="D4360" s="3" t="inlineStr">
        <is>
          <t>8410/000</t>
        </is>
      </c>
      <c r="E4360" s="3" t="inlineStr">
        <is>
          <t>Petty Cash</t>
        </is>
      </c>
      <c r="F4360" s="3" t="n">
        <v>0</v>
      </c>
      <c r="G4360" s="3" t="n">
        <v>-1188</v>
      </c>
    </row>
    <row r="4361">
      <c r="A4361" s="3" t="inlineStr">
        <is>
          <t>Cape Projects Construction (Pty) Ltd</t>
        </is>
      </c>
      <c r="B4361" s="4" t="n">
        <v>45199</v>
      </c>
      <c r="C4361" s="3" t="inlineStr">
        <is>
          <t>Assets</t>
        </is>
      </c>
      <c r="D4361" s="3" t="inlineStr">
        <is>
          <t>8420/000</t>
        </is>
      </c>
      <c r="E4361" s="3" t="inlineStr">
        <is>
          <t>Momentum Priv Acc RU502230981</t>
        </is>
      </c>
      <c r="F4361" s="3" t="n">
        <v>4</v>
      </c>
      <c r="G4361" s="3" t="n">
        <v>567.41</v>
      </c>
    </row>
    <row r="4362">
      <c r="A4362" s="3" t="inlineStr">
        <is>
          <t>Heron Fields (Pty) Ltd</t>
        </is>
      </c>
      <c r="B4362" s="4" t="n">
        <v>45199</v>
      </c>
      <c r="C4362" s="3" t="inlineStr">
        <is>
          <t>Assets</t>
        </is>
      </c>
      <c r="D4362" s="3" t="inlineStr">
        <is>
          <t>8420/000</t>
        </is>
      </c>
      <c r="E4362" s="3" t="inlineStr">
        <is>
          <t>Petty Cash</t>
        </is>
      </c>
      <c r="F4362" s="3" t="n">
        <v>0</v>
      </c>
      <c r="G4362" s="3" t="n">
        <v>8620</v>
      </c>
    </row>
    <row r="4363">
      <c r="A4363" s="3" t="inlineStr">
        <is>
          <t>Heron Fields (Pty) Ltd</t>
        </is>
      </c>
      <c r="B4363" s="4" t="n">
        <v>45199</v>
      </c>
      <c r="C4363" s="3" t="inlineStr">
        <is>
          <t>Assets</t>
        </is>
      </c>
      <c r="D4363" s="3" t="inlineStr">
        <is>
          <t>8430/000</t>
        </is>
      </c>
      <c r="E4363" s="3" t="inlineStr">
        <is>
          <t>Momentum Private Account RU502230151</t>
        </is>
      </c>
      <c r="F4363" s="3" t="n">
        <v>0</v>
      </c>
      <c r="G4363" s="3" t="n">
        <v>848.4400000000001</v>
      </c>
    </row>
    <row r="4364">
      <c r="A4364" s="3" t="inlineStr">
        <is>
          <t>Heron Fields (Pty) Ltd</t>
        </is>
      </c>
      <c r="B4364" s="4" t="n">
        <v>45199</v>
      </c>
      <c r="C4364" s="3" t="inlineStr">
        <is>
          <t>Assets</t>
        </is>
      </c>
      <c r="D4364" s="3" t="inlineStr">
        <is>
          <t>8440/000</t>
        </is>
      </c>
      <c r="E4364" s="3" t="inlineStr">
        <is>
          <t>Momentum Investors Account RU502229930</t>
        </is>
      </c>
      <c r="F4364" s="3" t="n">
        <v>13963529.43</v>
      </c>
      <c r="G4364" s="3" t="n">
        <v>47558692.45</v>
      </c>
    </row>
    <row r="4365">
      <c r="A4365" s="3" t="inlineStr">
        <is>
          <t>Heron Fields (Pty) Ltd</t>
        </is>
      </c>
      <c r="B4365" s="4" t="n">
        <v>45199</v>
      </c>
      <c r="C4365" s="3" t="inlineStr">
        <is>
          <t>Assets</t>
        </is>
      </c>
      <c r="D4365" s="3" t="inlineStr">
        <is>
          <t>8450/000</t>
        </is>
      </c>
      <c r="E4365" s="3" t="inlineStr">
        <is>
          <t>ABSA Current Acc : 4109071013</t>
        </is>
      </c>
      <c r="F4365" s="3" t="n">
        <v>500</v>
      </c>
      <c r="G4365" s="3" t="n">
        <v>500</v>
      </c>
    </row>
    <row r="4366">
      <c r="A4366" s="3" t="inlineStr">
        <is>
          <t>Cape Projects Construction (Pty) Ltd</t>
        </is>
      </c>
      <c r="B4366" s="4" t="n">
        <v>45199</v>
      </c>
      <c r="C4366" s="3" t="inlineStr">
        <is>
          <t>Liabilities</t>
        </is>
      </c>
      <c r="D4366" s="3" t="inlineStr">
        <is>
          <t>860</t>
        </is>
      </c>
      <c r="E4366" s="3" t="inlineStr">
        <is>
          <t>Rounding</t>
        </is>
      </c>
      <c r="F4366" s="3" t="n">
        <v>-0.65</v>
      </c>
      <c r="G4366" s="3" t="n">
        <v>-29.67</v>
      </c>
    </row>
    <row r="4367">
      <c r="A4367" s="3" t="inlineStr">
        <is>
          <t>Heron Fields (Pty) Ltd</t>
        </is>
      </c>
      <c r="B4367" s="4" t="n">
        <v>45199</v>
      </c>
      <c r="C4367" s="3" t="inlineStr">
        <is>
          <t>Liabilities</t>
        </is>
      </c>
      <c r="D4367" s="3" t="inlineStr">
        <is>
          <t>860</t>
        </is>
      </c>
      <c r="E4367" s="3" t="inlineStr">
        <is>
          <t>Rounding</t>
        </is>
      </c>
      <c r="F4367" s="3" t="n">
        <v>0</v>
      </c>
      <c r="G4367" s="3" t="n">
        <v>0.13</v>
      </c>
    </row>
    <row r="4368">
      <c r="A4368" s="3" t="inlineStr">
        <is>
          <t>Heron View (Pty) Ltd</t>
        </is>
      </c>
      <c r="B4368" s="4" t="n">
        <v>45199</v>
      </c>
      <c r="C4368" s="3" t="inlineStr">
        <is>
          <t>Liabilities</t>
        </is>
      </c>
      <c r="D4368" s="3" t="inlineStr">
        <is>
          <t>860</t>
        </is>
      </c>
      <c r="E4368" s="3" t="inlineStr">
        <is>
          <t>Rounding</t>
        </is>
      </c>
      <c r="F4368" s="3" t="n">
        <v>-0.06</v>
      </c>
      <c r="G4368" s="3" t="n">
        <v>-0.06</v>
      </c>
    </row>
    <row r="4369">
      <c r="A4369" s="3" t="inlineStr">
        <is>
          <t>Cape Projects Construction (Pty) Ltd</t>
        </is>
      </c>
      <c r="B4369" s="4" t="n">
        <v>45199</v>
      </c>
      <c r="C4369" s="3" t="inlineStr">
        <is>
          <t>Liabilities</t>
        </is>
      </c>
      <c r="D4369" s="3" t="inlineStr">
        <is>
          <t>9000/000</t>
        </is>
      </c>
      <c r="E4369" s="3" t="inlineStr">
        <is>
          <t>Supplier Control Account</t>
        </is>
      </c>
      <c r="F4369" s="3" t="n">
        <v>-893800.79</v>
      </c>
      <c r="G4369" s="3" t="n">
        <v>-1615893.59</v>
      </c>
    </row>
    <row r="4370">
      <c r="A4370" s="3" t="inlineStr">
        <is>
          <t>Heron Fields (Pty) Ltd</t>
        </is>
      </c>
      <c r="B4370" s="4" t="n">
        <v>45199</v>
      </c>
      <c r="C4370" s="3" t="inlineStr">
        <is>
          <t>Liabilities</t>
        </is>
      </c>
      <c r="D4370" s="3" t="inlineStr">
        <is>
          <t>9000/000</t>
        </is>
      </c>
      <c r="E4370" s="3" t="inlineStr">
        <is>
          <t>Supplier Control Account</t>
        </is>
      </c>
      <c r="F4370" s="3" t="n">
        <v>-10833411.2</v>
      </c>
      <c r="G4370" s="3" t="n">
        <v>-156661116.37</v>
      </c>
    </row>
    <row r="4371">
      <c r="A4371" s="3" t="inlineStr">
        <is>
          <t>Heron View (Pty) Ltd</t>
        </is>
      </c>
      <c r="B4371" s="4" t="n">
        <v>45199</v>
      </c>
      <c r="C4371" s="3" t="inlineStr">
        <is>
          <t>Liabilities</t>
        </is>
      </c>
      <c r="D4371" s="3" t="inlineStr">
        <is>
          <t>9000/000</t>
        </is>
      </c>
      <c r="E4371" s="3" t="inlineStr">
        <is>
          <t>Supplier Control Account</t>
        </is>
      </c>
      <c r="F4371" s="3" t="n">
        <v>-2530321.73</v>
      </c>
      <c r="G4371" s="3" t="n">
        <v>6564113.86</v>
      </c>
    </row>
    <row r="4372">
      <c r="A4372" s="3" t="inlineStr">
        <is>
          <t>Cape Projects Construction (Pty) Ltd</t>
        </is>
      </c>
      <c r="B4372" s="4" t="n">
        <v>45199</v>
      </c>
      <c r="C4372" s="3" t="inlineStr">
        <is>
          <t>Liabilities</t>
        </is>
      </c>
      <c r="D4372" s="3" t="inlineStr">
        <is>
          <t>9200/000</t>
        </is>
      </c>
      <c r="E4372" s="3" t="inlineStr">
        <is>
          <t>Sundry Suppliers</t>
        </is>
      </c>
      <c r="F4372" s="3" t="n">
        <v>0</v>
      </c>
      <c r="G4372" s="3" t="n">
        <v>1309</v>
      </c>
    </row>
    <row r="4373">
      <c r="A4373" s="3" t="inlineStr">
        <is>
          <t>Cape Projects Construction (Pty) Ltd</t>
        </is>
      </c>
      <c r="B4373" s="4" t="n">
        <v>45199</v>
      </c>
      <c r="C4373" s="3" t="inlineStr">
        <is>
          <t>Liabilities</t>
        </is>
      </c>
      <c r="D4373" s="3" t="inlineStr">
        <is>
          <t>9250/010</t>
        </is>
      </c>
      <c r="E4373" s="3" t="inlineStr">
        <is>
          <t>SALARY CONTROL</t>
        </is>
      </c>
      <c r="F4373" s="3" t="n">
        <v>-0.01</v>
      </c>
      <c r="G4373" s="3" t="n">
        <v>-0.02</v>
      </c>
    </row>
    <row r="4374">
      <c r="A4374" s="3" t="inlineStr">
        <is>
          <t>Cape Projects Construction (Pty) Ltd</t>
        </is>
      </c>
      <c r="B4374" s="4" t="n">
        <v>45199</v>
      </c>
      <c r="C4374" s="3" t="inlineStr">
        <is>
          <t>Liabilities</t>
        </is>
      </c>
      <c r="D4374" s="3" t="inlineStr">
        <is>
          <t>9250/020</t>
        </is>
      </c>
      <c r="E4374" s="3" t="inlineStr">
        <is>
          <t>PAYE, UIF AND SDL CONTROL</t>
        </is>
      </c>
      <c r="F4374" s="3" t="n">
        <v>-27.46</v>
      </c>
      <c r="G4374" s="3" t="n">
        <v>-90980.12</v>
      </c>
    </row>
    <row r="4375">
      <c r="A4375" s="3" t="inlineStr">
        <is>
          <t>Cape Projects Construction (Pty) Ltd</t>
        </is>
      </c>
      <c r="B4375" s="4" t="n">
        <v>45199</v>
      </c>
      <c r="C4375" s="3" t="inlineStr">
        <is>
          <t>Liabilities</t>
        </is>
      </c>
      <c r="D4375" s="3" t="inlineStr">
        <is>
          <t>9250/030</t>
        </is>
      </c>
      <c r="E4375" s="3" t="inlineStr">
        <is>
          <t>BIBC CONTROL</t>
        </is>
      </c>
      <c r="F4375" s="3" t="n">
        <v>0</v>
      </c>
      <c r="G4375" s="3" t="n">
        <v>-49413.95</v>
      </c>
    </row>
    <row r="4376">
      <c r="A4376" s="3" t="inlineStr">
        <is>
          <t>Cape Projects Construction (Pty) Ltd</t>
        </is>
      </c>
      <c r="B4376" s="4" t="n">
        <v>45199</v>
      </c>
      <c r="C4376" s="3" t="inlineStr">
        <is>
          <t>Liabilities</t>
        </is>
      </c>
      <c r="D4376" s="3" t="inlineStr">
        <is>
          <t>9350/000</t>
        </is>
      </c>
      <c r="E4376" s="3" t="inlineStr">
        <is>
          <t>Dividends Payable</t>
        </is>
      </c>
      <c r="F4376" s="3" t="n">
        <v>130000</v>
      </c>
      <c r="G4376" s="3" t="n">
        <v>130000</v>
      </c>
    </row>
    <row r="4377">
      <c r="A4377" s="3" t="inlineStr">
        <is>
          <t>Cape Projects Construction (Pty) Ltd</t>
        </is>
      </c>
      <c r="B4377" s="4" t="n">
        <v>45199</v>
      </c>
      <c r="C4377" s="3" t="inlineStr">
        <is>
          <t>Liabilities</t>
        </is>
      </c>
      <c r="D4377" s="3" t="inlineStr">
        <is>
          <t>9500/000</t>
        </is>
      </c>
      <c r="E4377" s="3" t="inlineStr">
        <is>
          <t>VAT Control Account</t>
        </is>
      </c>
      <c r="F4377" s="3" t="n">
        <v>-123153.66</v>
      </c>
      <c r="G4377" s="3" t="n">
        <v>-72369.44</v>
      </c>
    </row>
    <row r="4378">
      <c r="A4378" s="3" t="inlineStr">
        <is>
          <t>Heron Fields (Pty) Ltd</t>
        </is>
      </c>
      <c r="B4378" s="4" t="n">
        <v>45199</v>
      </c>
      <c r="C4378" s="3" t="inlineStr">
        <is>
          <t>Liabilities</t>
        </is>
      </c>
      <c r="D4378" s="3" t="inlineStr">
        <is>
          <t>9500/000</t>
        </is>
      </c>
      <c r="E4378" s="3" t="inlineStr">
        <is>
          <t>Vat / Tax Control Account</t>
        </is>
      </c>
      <c r="F4378" s="3" t="n">
        <v>750509.34</v>
      </c>
      <c r="G4378" s="3" t="n">
        <v>-3196500.55</v>
      </c>
    </row>
    <row r="4379">
      <c r="A4379" s="3" t="inlineStr">
        <is>
          <t>Heron View (Pty) Ltd</t>
        </is>
      </c>
      <c r="B4379" s="4" t="n">
        <v>45199</v>
      </c>
      <c r="C4379" s="3" t="inlineStr">
        <is>
          <t>Liabilities</t>
        </is>
      </c>
      <c r="D4379" s="3" t="inlineStr">
        <is>
          <t>9500/000</t>
        </is>
      </c>
      <c r="E4379" s="3" t="inlineStr">
        <is>
          <t>Vat / Tax Control Account</t>
        </is>
      </c>
      <c r="F4379" s="3" t="n">
        <v>-938462.91</v>
      </c>
      <c r="G4379" s="3" t="n">
        <v>3516512.96</v>
      </c>
    </row>
    <row r="4380">
      <c r="A4380" s="3" t="inlineStr">
        <is>
          <t>Cape Projects Construction (Pty) Ltd</t>
        </is>
      </c>
      <c r="B4380" s="4" t="n">
        <v>45199</v>
      </c>
      <c r="C4380" s="3" t="inlineStr">
        <is>
          <t>Liabilities</t>
        </is>
      </c>
      <c r="D4380" s="3" t="inlineStr">
        <is>
          <t>9510/000</t>
        </is>
      </c>
      <c r="E4380" s="3" t="inlineStr">
        <is>
          <t>Tax Provision Account</t>
        </is>
      </c>
      <c r="F4380" s="3" t="n">
        <v>-1869.8</v>
      </c>
      <c r="G4380" s="3" t="n">
        <v>-1869.8</v>
      </c>
    </row>
    <row r="4381">
      <c r="A4381" s="3" t="inlineStr">
        <is>
          <t>Heron Fields (Pty) Ltd</t>
        </is>
      </c>
      <c r="B4381" s="4" t="n">
        <v>45199</v>
      </c>
      <c r="C4381" s="3" t="inlineStr">
        <is>
          <t>Liabilities</t>
        </is>
      </c>
      <c r="D4381" s="3" t="inlineStr">
        <is>
          <t>9520/000</t>
        </is>
      </c>
      <c r="E4381" s="3" t="inlineStr">
        <is>
          <t>Income Tax Payable</t>
        </is>
      </c>
      <c r="F4381" s="3" t="n">
        <v>0</v>
      </c>
      <c r="G4381" s="3" t="n">
        <v>59039.93</v>
      </c>
    </row>
    <row r="4382">
      <c r="A4382" s="3" t="inlineStr">
        <is>
          <t>Heron View (Pty) Ltd</t>
        </is>
      </c>
      <c r="B4382" s="4" t="n">
        <v>45199</v>
      </c>
      <c r="C4382" s="3" t="inlineStr">
        <is>
          <t>Liabilities</t>
        </is>
      </c>
      <c r="D4382" s="3" t="inlineStr">
        <is>
          <t>9899/C102</t>
        </is>
      </c>
      <c r="E4382" s="3" t="inlineStr">
        <is>
          <t>Sales - Unit Reg Control C102</t>
        </is>
      </c>
      <c r="F4382" s="3" t="n">
        <v>0</v>
      </c>
      <c r="G4382" s="3" t="n">
        <v>-0.4</v>
      </c>
    </row>
    <row r="4383">
      <c r="A4383" s="3" t="inlineStr">
        <is>
          <t>Cape Projects Construction (Pty) Ltd</t>
        </is>
      </c>
      <c r="B4383" s="4" t="n">
        <v>45199</v>
      </c>
      <c r="C4383" s="3" t="inlineStr">
        <is>
          <t>Liabilities</t>
        </is>
      </c>
      <c r="D4383" s="3" t="inlineStr">
        <is>
          <t>B/S</t>
        </is>
      </c>
      <c r="E4383" s="3" t="inlineStr">
        <is>
          <t>Taxation Payable</t>
        </is>
      </c>
      <c r="F4383" s="3" t="n">
        <v>0</v>
      </c>
      <c r="G4383" s="3" t="n">
        <v>1869.8</v>
      </c>
    </row>
    <row r="4384">
      <c r="A4384" s="3" t="inlineStr">
        <is>
          <t>Cape Projects Construction (Pty) Ltd</t>
        </is>
      </c>
      <c r="B4384" s="4" t="n">
        <v>45199</v>
      </c>
      <c r="C4384" s="3" t="inlineStr">
        <is>
          <t>Liabilities</t>
        </is>
      </c>
      <c r="D4384" s="3" t="inlineStr">
        <is>
          <t>TEMP/ACC</t>
        </is>
      </c>
      <c r="E4384" s="3" t="inlineStr">
        <is>
          <t>Conversion Account</t>
        </is>
      </c>
      <c r="F4384" s="3" t="n">
        <v>0</v>
      </c>
      <c r="G4384" s="3" t="n">
        <v>-254.99</v>
      </c>
    </row>
    <row r="4385">
      <c r="A4385" s="3" t="inlineStr">
        <is>
          <t>Heron Fields (Pty) Ltd</t>
        </is>
      </c>
      <c r="B4385" s="4" t="n">
        <v>45230</v>
      </c>
      <c r="C4385" s="3" t="inlineStr">
        <is>
          <t>Revenue</t>
        </is>
      </c>
      <c r="D4385" s="3" t="inlineStr">
        <is>
          <t>1000/100</t>
        </is>
      </c>
      <c r="E4385" s="3" t="inlineStr">
        <is>
          <t>Sales - Heron Fields</t>
        </is>
      </c>
      <c r="F4385" s="3" t="n">
        <v>-1243391.3</v>
      </c>
      <c r="G4385" s="3" t="n">
        <v>-28096347.83</v>
      </c>
    </row>
    <row r="4386">
      <c r="A4386" s="3" t="inlineStr">
        <is>
          <t>Heron View (Pty) Ltd</t>
        </is>
      </c>
      <c r="B4386" s="4" t="n">
        <v>45230</v>
      </c>
      <c r="C4386" s="3" t="inlineStr">
        <is>
          <t>Revenue</t>
        </is>
      </c>
      <c r="D4386" s="3" t="inlineStr">
        <is>
          <t>1000/100</t>
        </is>
      </c>
      <c r="E4386" s="3" t="inlineStr">
        <is>
          <t>Sales - Heron View Sales</t>
        </is>
      </c>
      <c r="F4386" s="3" t="n">
        <v>0</v>
      </c>
      <c r="G4386" s="3" t="n">
        <v>-19833565.24</v>
      </c>
    </row>
    <row r="4387">
      <c r="A4387" s="3" t="inlineStr">
        <is>
          <t>Heron Fields (Pty) Ltd</t>
        </is>
      </c>
      <c r="B4387" s="4" t="n">
        <v>45230</v>
      </c>
      <c r="C4387" s="3" t="inlineStr">
        <is>
          <t>Revenue</t>
        </is>
      </c>
      <c r="D4387" s="3" t="inlineStr">
        <is>
          <t>1000/101</t>
        </is>
      </c>
      <c r="E4387" s="3" t="inlineStr">
        <is>
          <t>Sales - Heron Fields occupational rent</t>
        </is>
      </c>
      <c r="F4387" s="3" t="n">
        <v>0</v>
      </c>
      <c r="G4387" s="3" t="n">
        <v>-102388.85</v>
      </c>
    </row>
    <row r="4388">
      <c r="A4388" s="3" t="inlineStr">
        <is>
          <t>Heron View (Pty) Ltd</t>
        </is>
      </c>
      <c r="B4388" s="4" t="n">
        <v>45230</v>
      </c>
      <c r="C4388" s="3" t="inlineStr">
        <is>
          <t>Revenue</t>
        </is>
      </c>
      <c r="D4388" s="3" t="inlineStr">
        <is>
          <t>1000/101</t>
        </is>
      </c>
      <c r="E4388" s="3" t="inlineStr">
        <is>
          <t>Sales - Heron View Occupational Rent</t>
        </is>
      </c>
      <c r="F4388" s="3" t="n">
        <v>0</v>
      </c>
      <c r="G4388" s="3" t="n">
        <v>-78825.8</v>
      </c>
    </row>
    <row r="4389">
      <c r="A4389" s="3" t="inlineStr">
        <is>
          <t>Cape Projects Construction (Pty) Ltd</t>
        </is>
      </c>
      <c r="B4389" s="4" t="n">
        <v>45230</v>
      </c>
      <c r="C4389" s="3" t="inlineStr">
        <is>
          <t>Revenue</t>
        </is>
      </c>
      <c r="D4389" s="3" t="inlineStr">
        <is>
          <t>1040/100</t>
        </is>
      </c>
      <c r="E4389" s="3" t="inlineStr">
        <is>
          <t>Fees - Construction - Heron</t>
        </is>
      </c>
      <c r="F4389" s="3" t="n">
        <v>-6737030.67</v>
      </c>
      <c r="G4389" s="3" t="n">
        <v>-35137237.14</v>
      </c>
    </row>
    <row r="4390">
      <c r="A4390" s="3" t="inlineStr">
        <is>
          <t>Cape Projects Construction (Pty) Ltd</t>
        </is>
      </c>
      <c r="B4390" s="4" t="n">
        <v>45230</v>
      </c>
      <c r="C4390" s="3" t="inlineStr">
        <is>
          <t>Revenue</t>
        </is>
      </c>
      <c r="D4390" s="3" t="inlineStr">
        <is>
          <t>1070/000</t>
        </is>
      </c>
      <c r="E4390" s="3" t="inlineStr">
        <is>
          <t>Rent - CT Office</t>
        </is>
      </c>
      <c r="F4390" s="3" t="n">
        <v>0</v>
      </c>
      <c r="G4390" s="3" t="n">
        <v>3490.94</v>
      </c>
    </row>
    <row r="4391">
      <c r="A4391" s="3" t="inlineStr">
        <is>
          <t>Heron Fields (Pty) Ltd</t>
        </is>
      </c>
      <c r="B4391" s="4" t="n">
        <v>45230</v>
      </c>
      <c r="C4391" s="3" t="inlineStr">
        <is>
          <t>Revenue</t>
        </is>
      </c>
      <c r="D4391" s="3" t="inlineStr">
        <is>
          <t>1500/002</t>
        </is>
      </c>
      <c r="E4391" s="3" t="inlineStr">
        <is>
          <t>Rental Income</t>
        </is>
      </c>
      <c r="F4391" s="3" t="n">
        <v>-32138.13</v>
      </c>
      <c r="G4391" s="3" t="n">
        <v>-114630.07</v>
      </c>
    </row>
    <row r="4392">
      <c r="A4392" s="3" t="inlineStr">
        <is>
          <t>Heron View (Pty) Ltd</t>
        </is>
      </c>
      <c r="B4392" s="4" t="n">
        <v>45230</v>
      </c>
      <c r="C4392" s="3" t="inlineStr">
        <is>
          <t>Revenue</t>
        </is>
      </c>
      <c r="D4392" s="3" t="inlineStr">
        <is>
          <t>1500/002</t>
        </is>
      </c>
      <c r="E4392" s="3" t="inlineStr">
        <is>
          <t>Rental Income</t>
        </is>
      </c>
      <c r="F4392" s="3" t="n">
        <v>-13883</v>
      </c>
      <c r="G4392" s="3" t="n">
        <v>-13883</v>
      </c>
    </row>
    <row r="4393">
      <c r="A4393" s="3" t="inlineStr">
        <is>
          <t>Heron Fields (Pty) Ltd</t>
        </is>
      </c>
      <c r="B4393" s="4" t="n">
        <v>45230</v>
      </c>
      <c r="C4393" s="3" t="inlineStr">
        <is>
          <t>Expenses</t>
        </is>
      </c>
      <c r="D4393" s="3" t="inlineStr">
        <is>
          <t>2000/011</t>
        </is>
      </c>
      <c r="E4393" s="3" t="inlineStr">
        <is>
          <t>COS - Heron View Showhouse</t>
        </is>
      </c>
      <c r="F4393" s="3" t="n">
        <v>0</v>
      </c>
      <c r="G4393" s="3" t="n">
        <v>45300.43</v>
      </c>
    </row>
    <row r="4394">
      <c r="A4394" s="3" t="inlineStr">
        <is>
          <t>Heron View (Pty) Ltd</t>
        </is>
      </c>
      <c r="B4394" s="4" t="n">
        <v>45230</v>
      </c>
      <c r="C4394" s="3" t="inlineStr">
        <is>
          <t>Expenses</t>
        </is>
      </c>
      <c r="D4394" s="3" t="inlineStr">
        <is>
          <t>2000/030</t>
        </is>
      </c>
      <c r="E4394" s="3" t="inlineStr">
        <is>
          <t>COS - HV COCT Rates clearance</t>
        </is>
      </c>
      <c r="F4394" s="3" t="n">
        <v>0</v>
      </c>
      <c r="G4394" s="3" t="n">
        <v>237142.94</v>
      </c>
    </row>
    <row r="4395">
      <c r="A4395" s="3" t="inlineStr">
        <is>
          <t>Heron Fields (Pty) Ltd</t>
        </is>
      </c>
      <c r="B4395" s="4" t="n">
        <v>45230</v>
      </c>
      <c r="C4395" s="3" t="inlineStr">
        <is>
          <t>Expenses</t>
        </is>
      </c>
      <c r="D4395" s="3" t="inlineStr">
        <is>
          <t>2000/040</t>
        </is>
      </c>
      <c r="E4395" s="3" t="inlineStr">
        <is>
          <t>COS - Legal Fees</t>
        </is>
      </c>
      <c r="F4395" s="3" t="n">
        <v>36756.85</v>
      </c>
      <c r="G4395" s="3" t="n">
        <v>685713.49</v>
      </c>
    </row>
    <row r="4396">
      <c r="A4396" s="3" t="inlineStr">
        <is>
          <t>Heron View (Pty) Ltd</t>
        </is>
      </c>
      <c r="B4396" s="4" t="n">
        <v>45230</v>
      </c>
      <c r="C4396" s="3" t="inlineStr">
        <is>
          <t>Expenses</t>
        </is>
      </c>
      <c r="D4396" s="3" t="inlineStr">
        <is>
          <t>2000/040</t>
        </is>
      </c>
      <c r="E4396" s="3" t="inlineStr">
        <is>
          <t>COS - Legal Fees</t>
        </is>
      </c>
      <c r="F4396" s="3" t="n">
        <v>0</v>
      </c>
      <c r="G4396" s="3" t="n">
        <v>451248.55</v>
      </c>
    </row>
    <row r="4397">
      <c r="A4397" s="3" t="inlineStr">
        <is>
          <t>Heron View (Pty) Ltd</t>
        </is>
      </c>
      <c r="B4397" s="4" t="n">
        <v>45230</v>
      </c>
      <c r="C4397" s="3" t="inlineStr">
        <is>
          <t>Expenses</t>
        </is>
      </c>
      <c r="D4397" s="3" t="inlineStr">
        <is>
          <t>2000/041</t>
        </is>
      </c>
      <c r="E4397" s="3" t="inlineStr">
        <is>
          <t>COS - Legal Fees Opening of Sec Title Fees</t>
        </is>
      </c>
      <c r="F4397" s="3" t="n">
        <v>0</v>
      </c>
      <c r="G4397" s="3" t="n">
        <v>61556.94</v>
      </c>
    </row>
    <row r="4398">
      <c r="A4398" s="3" t="inlineStr">
        <is>
          <t>Heron Fields (Pty) Ltd</t>
        </is>
      </c>
      <c r="B4398" s="4" t="n">
        <v>45230</v>
      </c>
      <c r="C4398" s="3" t="inlineStr">
        <is>
          <t>Expenses</t>
        </is>
      </c>
      <c r="D4398" s="3" t="inlineStr">
        <is>
          <t>2000/041</t>
        </is>
      </c>
      <c r="E4398" s="3" t="inlineStr">
        <is>
          <t>COS - Legal Fees Opening of Sec Title Scheme</t>
        </is>
      </c>
      <c r="F4398" s="3" t="n">
        <v>10540</v>
      </c>
      <c r="G4398" s="3" t="n">
        <v>10540</v>
      </c>
    </row>
    <row r="4399">
      <c r="A4399" s="3" t="inlineStr">
        <is>
          <t>Heron Fields (Pty) Ltd</t>
        </is>
      </c>
      <c r="B4399" s="4" t="n">
        <v>45230</v>
      </c>
      <c r="C4399" s="3" t="inlineStr">
        <is>
          <t>Expenses</t>
        </is>
      </c>
      <c r="D4399" s="3" t="inlineStr">
        <is>
          <t>2000/050</t>
        </is>
      </c>
      <c r="E4399" s="3" t="inlineStr">
        <is>
          <t>COS - Rates clearance</t>
        </is>
      </c>
      <c r="F4399" s="3" t="n">
        <v>19519.47</v>
      </c>
      <c r="G4399" s="3" t="n">
        <v>44864.59</v>
      </c>
    </row>
    <row r="4400">
      <c r="A4400" s="3" t="inlineStr">
        <is>
          <t>Heron Fields (Pty) Ltd</t>
        </is>
      </c>
      <c r="B4400" s="4" t="n">
        <v>45230</v>
      </c>
      <c r="C4400" s="3" t="inlineStr">
        <is>
          <t>Expenses</t>
        </is>
      </c>
      <c r="D4400" s="3" t="inlineStr">
        <is>
          <t>2000/060</t>
        </is>
      </c>
      <c r="E4400" s="3" t="inlineStr">
        <is>
          <t>COS - Levies</t>
        </is>
      </c>
      <c r="F4400" s="3" t="n">
        <v>0</v>
      </c>
      <c r="G4400" s="3" t="n">
        <v>381069.48</v>
      </c>
    </row>
    <row r="4401">
      <c r="A4401" s="3" t="inlineStr">
        <is>
          <t>Heron Fields (Pty) Ltd</t>
        </is>
      </c>
      <c r="B4401" s="4" t="n">
        <v>45230</v>
      </c>
      <c r="C4401" s="3" t="inlineStr">
        <is>
          <t>Expenses</t>
        </is>
      </c>
      <c r="D4401" s="3" t="inlineStr">
        <is>
          <t>2000/070</t>
        </is>
      </c>
      <c r="E4401" s="3" t="inlineStr">
        <is>
          <t>COS - Commission HF Units</t>
        </is>
      </c>
      <c r="F4401" s="3" t="n">
        <v>62169.57</v>
      </c>
      <c r="G4401" s="3" t="n">
        <v>1405686.97</v>
      </c>
    </row>
    <row r="4402">
      <c r="A4402" s="3" t="inlineStr">
        <is>
          <t>Heron View (Pty) Ltd</t>
        </is>
      </c>
      <c r="B4402" s="4" t="n">
        <v>45230</v>
      </c>
      <c r="C4402" s="3" t="inlineStr">
        <is>
          <t>Expenses</t>
        </is>
      </c>
      <c r="D4402" s="3" t="inlineStr">
        <is>
          <t>2000/070</t>
        </is>
      </c>
      <c r="E4402" s="3" t="inlineStr">
        <is>
          <t>COS - Commission HV Units</t>
        </is>
      </c>
      <c r="F4402" s="3" t="n">
        <v>0</v>
      </c>
      <c r="G4402" s="3" t="n">
        <v>993852.14</v>
      </c>
    </row>
    <row r="4403">
      <c r="A4403" s="3" t="inlineStr">
        <is>
          <t>Heron Fields (Pty) Ltd</t>
        </is>
      </c>
      <c r="B4403" s="4" t="n">
        <v>45230</v>
      </c>
      <c r="C4403" s="3" t="inlineStr">
        <is>
          <t>Expenses</t>
        </is>
      </c>
      <c r="D4403" s="3" t="inlineStr">
        <is>
          <t>2000/080</t>
        </is>
      </c>
      <c r="E4403" s="3" t="inlineStr">
        <is>
          <t>COS - Showhouse - HF</t>
        </is>
      </c>
      <c r="F4403" s="3" t="n">
        <v>0</v>
      </c>
      <c r="G4403" s="3" t="n">
        <v>1005.47</v>
      </c>
    </row>
    <row r="4404">
      <c r="A4404" s="3" t="inlineStr">
        <is>
          <t>Heron View (Pty) Ltd</t>
        </is>
      </c>
      <c r="B4404" s="4" t="n">
        <v>45230</v>
      </c>
      <c r="C4404" s="3" t="inlineStr">
        <is>
          <t>Expenses</t>
        </is>
      </c>
      <c r="D4404" s="3" t="inlineStr">
        <is>
          <t>2000/080</t>
        </is>
      </c>
      <c r="E4404" s="3" t="inlineStr">
        <is>
          <t>COS - Showhouse - HV</t>
        </is>
      </c>
      <c r="F4404" s="3" t="n">
        <v>0</v>
      </c>
      <c r="G4404" s="3" t="n">
        <v>6212.85</v>
      </c>
    </row>
    <row r="4405">
      <c r="A4405" s="3" t="inlineStr">
        <is>
          <t>Heron Fields (Pty) Ltd</t>
        </is>
      </c>
      <c r="B4405" s="4" t="n">
        <v>45230</v>
      </c>
      <c r="C4405" s="3" t="inlineStr">
        <is>
          <t>Expenses</t>
        </is>
      </c>
      <c r="D4405" s="3" t="inlineStr">
        <is>
          <t>2000/090</t>
        </is>
      </c>
      <c r="E4405" s="3" t="inlineStr">
        <is>
          <t>COS - Electricity</t>
        </is>
      </c>
      <c r="F4405" s="3" t="n">
        <v>0</v>
      </c>
      <c r="G4405" s="3" t="n">
        <v>250</v>
      </c>
    </row>
    <row r="4406">
      <c r="A4406" s="3" t="inlineStr">
        <is>
          <t>Heron View (Pty) Ltd</t>
        </is>
      </c>
      <c r="B4406" s="4" t="n">
        <v>45230</v>
      </c>
      <c r="C4406" s="3" t="inlineStr">
        <is>
          <t>Expenses</t>
        </is>
      </c>
      <c r="D4406" s="3" t="inlineStr">
        <is>
          <t>2000/090</t>
        </is>
      </c>
      <c r="E4406" s="3" t="inlineStr">
        <is>
          <t>COS - Electricity</t>
        </is>
      </c>
      <c r="F4406" s="3" t="n">
        <v>86.95999999999999</v>
      </c>
      <c r="G4406" s="3" t="n">
        <v>186.96</v>
      </c>
    </row>
    <row r="4407">
      <c r="A4407" s="3" t="inlineStr">
        <is>
          <t>Heron Fields (Pty) Ltd</t>
        </is>
      </c>
      <c r="B4407" s="4" t="n">
        <v>45230</v>
      </c>
      <c r="C4407" s="3" t="inlineStr">
        <is>
          <t>Expenses</t>
        </is>
      </c>
      <c r="D4407" s="3" t="inlineStr">
        <is>
          <t>2000/100</t>
        </is>
      </c>
      <c r="E4407" s="3" t="inlineStr">
        <is>
          <t>COS - Inverters</t>
        </is>
      </c>
      <c r="F4407" s="3" t="n">
        <v>0</v>
      </c>
      <c r="G4407" s="3" t="n">
        <v>31600</v>
      </c>
    </row>
    <row r="4408">
      <c r="A4408" s="3" t="inlineStr">
        <is>
          <t>Cape Projects Construction (Pty) Ltd</t>
        </is>
      </c>
      <c r="B4408" s="4" t="n">
        <v>45230</v>
      </c>
      <c r="C4408" s="3" t="inlineStr">
        <is>
          <t>Expenses</t>
        </is>
      </c>
      <c r="D4408" s="3" t="inlineStr">
        <is>
          <t>2000/500</t>
        </is>
      </c>
      <c r="E4408" s="3" t="inlineStr">
        <is>
          <t>COS - Electricity Cost Endulini</t>
        </is>
      </c>
      <c r="F4408" s="3" t="n">
        <v>0</v>
      </c>
      <c r="G4408" s="3" t="n">
        <v>286.96</v>
      </c>
    </row>
    <row r="4409">
      <c r="A4409" s="3" t="inlineStr">
        <is>
          <t>Cape Projects Construction (Pty) Ltd</t>
        </is>
      </c>
      <c r="B4409" s="4" t="n">
        <v>45230</v>
      </c>
      <c r="C4409" s="3" t="inlineStr">
        <is>
          <t>Expenses</t>
        </is>
      </c>
      <c r="D4409" s="3" t="inlineStr">
        <is>
          <t>2000/501</t>
        </is>
      </c>
      <c r="E4409" s="3" t="inlineStr">
        <is>
          <t>COS - Electricity Cost Heron Field</t>
        </is>
      </c>
      <c r="F4409" s="3" t="n">
        <v>0</v>
      </c>
      <c r="G4409" s="3" t="n">
        <v>86.95999999999999</v>
      </c>
    </row>
    <row r="4410">
      <c r="A4410" s="3" t="inlineStr">
        <is>
          <t>Cape Projects Construction (Pty) Ltd</t>
        </is>
      </c>
      <c r="B4410" s="4" t="n">
        <v>45230</v>
      </c>
      <c r="C4410" s="3" t="inlineStr">
        <is>
          <t>Expenses</t>
        </is>
      </c>
      <c r="D4410" s="3" t="inlineStr">
        <is>
          <t>2001/000</t>
        </is>
      </c>
      <c r="E4410" s="3" t="inlineStr">
        <is>
          <t>Cost of Sales - SouthWark Project</t>
        </is>
      </c>
      <c r="F4410" s="3" t="n">
        <v>0</v>
      </c>
      <c r="G4410" s="3" t="n">
        <v>30620.97</v>
      </c>
    </row>
    <row r="4411">
      <c r="A4411" s="3" t="inlineStr">
        <is>
          <t>Cape Projects Construction (Pty) Ltd</t>
        </is>
      </c>
      <c r="B4411" s="4" t="n">
        <v>45230</v>
      </c>
      <c r="C4411" s="3" t="inlineStr">
        <is>
          <t>Expenses</t>
        </is>
      </c>
      <c r="D4411" s="3" t="inlineStr">
        <is>
          <t>2002/250</t>
        </is>
      </c>
      <c r="E4411" s="3" t="inlineStr">
        <is>
          <t>COS - Security</t>
        </is>
      </c>
      <c r="F4411" s="3" t="n">
        <v>0</v>
      </c>
      <c r="G4411" s="3" t="n">
        <v>10516.44</v>
      </c>
    </row>
    <row r="4412">
      <c r="A4412" s="3" t="inlineStr">
        <is>
          <t>Cape Projects Construction (Pty) Ltd</t>
        </is>
      </c>
      <c r="B4412" s="4" t="n">
        <v>45230</v>
      </c>
      <c r="C4412" s="3" t="inlineStr">
        <is>
          <t>Expenses</t>
        </is>
      </c>
      <c r="D4412" s="3" t="inlineStr">
        <is>
          <t>2002/252</t>
        </is>
      </c>
      <c r="E4412" s="3" t="inlineStr">
        <is>
          <t>COS - Security - Guarding</t>
        </is>
      </c>
      <c r="F4412" s="3" t="n">
        <v>16000</v>
      </c>
      <c r="G4412" s="3" t="n">
        <v>73620.91</v>
      </c>
    </row>
    <row r="4413">
      <c r="A4413" s="3" t="inlineStr">
        <is>
          <t>Cape Projects Construction (Pty) Ltd</t>
        </is>
      </c>
      <c r="B4413" s="4" t="n">
        <v>45230</v>
      </c>
      <c r="C4413" s="3" t="inlineStr">
        <is>
          <t>Expenses</t>
        </is>
      </c>
      <c r="D4413" s="3" t="inlineStr">
        <is>
          <t>2006/000</t>
        </is>
      </c>
      <c r="E4413" s="3" t="inlineStr">
        <is>
          <t>COS - Endulini Construction</t>
        </is>
      </c>
      <c r="F4413" s="3" t="n">
        <v>21190.94</v>
      </c>
      <c r="G4413" s="3" t="n">
        <v>281666.34</v>
      </c>
    </row>
    <row r="4414">
      <c r="A4414" s="3" t="inlineStr">
        <is>
          <t>Cape Projects Construction (Pty) Ltd</t>
        </is>
      </c>
      <c r="B4414" s="4" t="n">
        <v>45230</v>
      </c>
      <c r="C4414" s="3" t="inlineStr">
        <is>
          <t>Expenses</t>
        </is>
      </c>
      <c r="D4414" s="3" t="inlineStr">
        <is>
          <t>2006/100</t>
        </is>
      </c>
      <c r="E4414" s="3" t="inlineStr">
        <is>
          <t>COS - Endulini P and G</t>
        </is>
      </c>
      <c r="F4414" s="3" t="n">
        <v>7918.34</v>
      </c>
      <c r="G4414" s="3" t="n">
        <v>157897.58</v>
      </c>
    </row>
    <row r="4415">
      <c r="A4415" s="3" t="inlineStr">
        <is>
          <t>Cape Projects Construction (Pty) Ltd</t>
        </is>
      </c>
      <c r="B4415" s="4" t="n">
        <v>45230</v>
      </c>
      <c r="C4415" s="3" t="inlineStr">
        <is>
          <t>Expenses</t>
        </is>
      </c>
      <c r="D4415" s="3" t="inlineStr">
        <is>
          <t>2006/200</t>
        </is>
      </c>
      <c r="E4415" s="3" t="inlineStr">
        <is>
          <t>COS - Insurance</t>
        </is>
      </c>
      <c r="F4415" s="3" t="n">
        <v>0</v>
      </c>
      <c r="G4415" s="3" t="n">
        <v>19969.43</v>
      </c>
    </row>
    <row r="4416">
      <c r="A4416" s="3" t="inlineStr">
        <is>
          <t>Cape Projects Construction (Pty) Ltd</t>
        </is>
      </c>
      <c r="B4416" s="4" t="n">
        <v>45230</v>
      </c>
      <c r="C4416" s="3" t="inlineStr">
        <is>
          <t>Expenses</t>
        </is>
      </c>
      <c r="D4416" s="3" t="inlineStr">
        <is>
          <t>2006/450</t>
        </is>
      </c>
      <c r="E4416" s="3" t="inlineStr">
        <is>
          <t>COS - Endulini - Computer expenses</t>
        </is>
      </c>
      <c r="F4416" s="3" t="n">
        <v>0</v>
      </c>
      <c r="G4416" s="3" t="n">
        <v>26340.75</v>
      </c>
    </row>
    <row r="4417">
      <c r="A4417" s="3" t="inlineStr">
        <is>
          <t>Cape Projects Construction (Pty) Ltd</t>
        </is>
      </c>
      <c r="B4417" s="4" t="n">
        <v>45230</v>
      </c>
      <c r="C4417" s="3" t="inlineStr">
        <is>
          <t>Expenses</t>
        </is>
      </c>
      <c r="D4417" s="3" t="inlineStr">
        <is>
          <t>2006/800</t>
        </is>
      </c>
      <c r="E4417" s="3" t="inlineStr">
        <is>
          <t>COS - Endulini - Telephone &amp; Internet</t>
        </is>
      </c>
      <c r="F4417" s="3" t="n">
        <v>0</v>
      </c>
      <c r="G4417" s="3" t="n">
        <v>760.87</v>
      </c>
    </row>
    <row r="4418">
      <c r="A4418" s="3" t="inlineStr">
        <is>
          <t>Cape Projects Construction (Pty) Ltd</t>
        </is>
      </c>
      <c r="B4418" s="4" t="n">
        <v>45230</v>
      </c>
      <c r="C4418" s="3" t="inlineStr">
        <is>
          <t>Expenses</t>
        </is>
      </c>
      <c r="D4418" s="3" t="inlineStr">
        <is>
          <t>2007/000</t>
        </is>
      </c>
      <c r="E4418" s="3" t="inlineStr">
        <is>
          <t>COS - Repairs &amp; Maintenance - SW Southwark</t>
        </is>
      </c>
      <c r="F4418" s="3" t="n">
        <v>0</v>
      </c>
      <c r="G4418" s="3" t="n">
        <v>27752.22</v>
      </c>
    </row>
    <row r="4419">
      <c r="A4419" s="3" t="inlineStr">
        <is>
          <t>Cape Projects Construction (Pty) Ltd</t>
        </is>
      </c>
      <c r="B4419" s="4" t="n">
        <v>45230</v>
      </c>
      <c r="C4419" s="3" t="inlineStr">
        <is>
          <t>Expenses</t>
        </is>
      </c>
      <c r="D4419" s="3" t="inlineStr">
        <is>
          <t>2008/000</t>
        </is>
      </c>
      <c r="E4419" s="3" t="inlineStr">
        <is>
          <t>COS - Repairs &amp; Maintenance - SH Soho</t>
        </is>
      </c>
      <c r="F4419" s="3" t="n">
        <v>0</v>
      </c>
      <c r="G4419" s="3" t="n">
        <v>7565.57</v>
      </c>
    </row>
    <row r="4420">
      <c r="A4420" s="3" t="inlineStr">
        <is>
          <t>Cape Projects Construction (Pty) Ltd</t>
        </is>
      </c>
      <c r="B4420" s="4" t="n">
        <v>45230</v>
      </c>
      <c r="C4420" s="3" t="inlineStr">
        <is>
          <t>Expenses</t>
        </is>
      </c>
      <c r="D4420" s="3" t="inlineStr">
        <is>
          <t>2011/300</t>
        </is>
      </c>
      <c r="E4420" s="3" t="inlineStr">
        <is>
          <t>COS - Heron Fields - Printing &amp; Stationary</t>
        </is>
      </c>
      <c r="F4420" s="3" t="n">
        <v>0</v>
      </c>
      <c r="G4420" s="3" t="n">
        <v>1129.57</v>
      </c>
    </row>
    <row r="4421">
      <c r="A4421" s="3" t="inlineStr">
        <is>
          <t>Cape Projects Construction (Pty) Ltd</t>
        </is>
      </c>
      <c r="B4421" s="4" t="n">
        <v>45230</v>
      </c>
      <c r="C4421" s="3" t="inlineStr">
        <is>
          <t>Expenses</t>
        </is>
      </c>
      <c r="D4421" s="3" t="inlineStr">
        <is>
          <t>2011/500</t>
        </is>
      </c>
      <c r="E4421" s="3" t="inlineStr">
        <is>
          <t>COS - Heron Fields - Construction</t>
        </is>
      </c>
      <c r="F4421" s="3" t="n">
        <v>44920.98</v>
      </c>
      <c r="G4421" s="3" t="n">
        <v>1599067.63</v>
      </c>
    </row>
    <row r="4422">
      <c r="A4422" s="3" t="inlineStr">
        <is>
          <t>Cape Projects Construction (Pty) Ltd</t>
        </is>
      </c>
      <c r="B4422" s="4" t="n">
        <v>45230</v>
      </c>
      <c r="C4422" s="3" t="inlineStr">
        <is>
          <t>Expenses</t>
        </is>
      </c>
      <c r="D4422" s="3" t="inlineStr">
        <is>
          <t>2011/600</t>
        </is>
      </c>
      <c r="E4422" s="3" t="inlineStr">
        <is>
          <t>COS - Heron Fields - P &amp; G</t>
        </is>
      </c>
      <c r="F4422" s="3" t="n">
        <v>4396.05</v>
      </c>
      <c r="G4422" s="3" t="n">
        <v>331608.69</v>
      </c>
    </row>
    <row r="4423">
      <c r="A4423" s="3" t="inlineStr">
        <is>
          <t>Cape Projects Construction (Pty) Ltd</t>
        </is>
      </c>
      <c r="B4423" s="4" t="n">
        <v>45230</v>
      </c>
      <c r="C4423" s="3" t="inlineStr">
        <is>
          <t>Expenses</t>
        </is>
      </c>
      <c r="D4423" s="3" t="inlineStr">
        <is>
          <t>2011/700</t>
        </is>
      </c>
      <c r="E4423" s="3" t="inlineStr">
        <is>
          <t>COS - Heron Fields - Health &amp; Safety</t>
        </is>
      </c>
      <c r="F4423" s="3" t="n">
        <v>0</v>
      </c>
      <c r="G4423" s="3" t="n">
        <v>694.78</v>
      </c>
    </row>
    <row r="4424">
      <c r="A4424" s="3" t="inlineStr">
        <is>
          <t>Cape Projects Construction (Pty) Ltd</t>
        </is>
      </c>
      <c r="B4424" s="4" t="n">
        <v>45230</v>
      </c>
      <c r="C4424" s="3" t="inlineStr">
        <is>
          <t>Expenses</t>
        </is>
      </c>
      <c r="D4424" s="3" t="inlineStr">
        <is>
          <t>2011/900</t>
        </is>
      </c>
      <c r="E4424" s="3" t="inlineStr">
        <is>
          <t>COS - Heron - Internet</t>
        </is>
      </c>
      <c r="F4424" s="3" t="n">
        <v>1797.39</v>
      </c>
      <c r="G4424" s="3" t="n">
        <v>11884.89</v>
      </c>
    </row>
    <row r="4425">
      <c r="A4425" s="3" t="inlineStr">
        <is>
          <t>Cape Projects Construction (Pty) Ltd</t>
        </is>
      </c>
      <c r="B4425" s="4" t="n">
        <v>45230</v>
      </c>
      <c r="C4425" s="3" t="inlineStr">
        <is>
          <t>Expenses</t>
        </is>
      </c>
      <c r="D4425" s="3" t="inlineStr">
        <is>
          <t>2012/001</t>
        </is>
      </c>
      <c r="E4425" s="3" t="inlineStr">
        <is>
          <t>COS - Heron View - Printing &amp; Stationary</t>
        </is>
      </c>
      <c r="F4425" s="3" t="n">
        <v>1652.17</v>
      </c>
      <c r="G4425" s="3" t="n">
        <v>22410.16</v>
      </c>
    </row>
    <row r="4426">
      <c r="A4426" s="3" t="inlineStr">
        <is>
          <t>Cape Projects Construction (Pty) Ltd</t>
        </is>
      </c>
      <c r="B4426" s="4" t="n">
        <v>45230</v>
      </c>
      <c r="C4426" s="3" t="inlineStr">
        <is>
          <t>Expenses</t>
        </is>
      </c>
      <c r="D4426" s="3" t="inlineStr">
        <is>
          <t>2012/002</t>
        </is>
      </c>
      <c r="E4426" s="3" t="inlineStr">
        <is>
          <t>COS - Heron View - Construction</t>
        </is>
      </c>
      <c r="F4426" s="3" t="n">
        <v>5221094.52</v>
      </c>
      <c r="G4426" s="3" t="n">
        <v>26758384.87</v>
      </c>
    </row>
    <row r="4427">
      <c r="A4427" s="3" t="inlineStr">
        <is>
          <t>Cape Projects Construction (Pty) Ltd</t>
        </is>
      </c>
      <c r="B4427" s="4" t="n">
        <v>45230</v>
      </c>
      <c r="C4427" s="3" t="inlineStr">
        <is>
          <t>Expenses</t>
        </is>
      </c>
      <c r="D4427" s="3" t="inlineStr">
        <is>
          <t>2012/003</t>
        </is>
      </c>
      <c r="E4427" s="3" t="inlineStr">
        <is>
          <t>COS - Heron View - P&amp;G</t>
        </is>
      </c>
      <c r="F4427" s="3" t="n">
        <v>2652.6</v>
      </c>
      <c r="G4427" s="3" t="n">
        <v>545569.89</v>
      </c>
    </row>
    <row r="4428">
      <c r="A4428" s="3" t="inlineStr">
        <is>
          <t>Cape Projects Construction (Pty) Ltd</t>
        </is>
      </c>
      <c r="B4428" s="4" t="n">
        <v>45230</v>
      </c>
      <c r="C4428" s="3" t="inlineStr">
        <is>
          <t>Expenses</t>
        </is>
      </c>
      <c r="D4428" s="3" t="inlineStr">
        <is>
          <t>2013/000</t>
        </is>
      </c>
      <c r="E4428" s="3" t="inlineStr">
        <is>
          <t>COS - Bakhoven</t>
        </is>
      </c>
      <c r="F4428" s="3" t="n">
        <v>0</v>
      </c>
      <c r="G4428" s="3" t="n">
        <v>17292.48</v>
      </c>
    </row>
    <row r="4429">
      <c r="A4429" s="3" t="inlineStr">
        <is>
          <t>Cape Projects Construction (Pty) Ltd</t>
        </is>
      </c>
      <c r="B4429" s="4" t="n">
        <v>45230</v>
      </c>
      <c r="C4429" s="3" t="inlineStr">
        <is>
          <t>Revenue</t>
        </is>
      </c>
      <c r="D4429" s="3" t="inlineStr">
        <is>
          <t>2750/000</t>
        </is>
      </c>
      <c r="E4429" s="3" t="inlineStr">
        <is>
          <t>Interest Received - FNB</t>
        </is>
      </c>
      <c r="F4429" s="3" t="n">
        <v>0</v>
      </c>
      <c r="G4429" s="3" t="n">
        <v>-790.13</v>
      </c>
    </row>
    <row r="4430">
      <c r="A4430" s="3" t="inlineStr">
        <is>
          <t>Cape Projects Construction (Pty) Ltd</t>
        </is>
      </c>
      <c r="B4430" s="4" t="n">
        <v>45230</v>
      </c>
      <c r="C4430" s="3" t="inlineStr">
        <is>
          <t>Revenue</t>
        </is>
      </c>
      <c r="D4430" s="3" t="inlineStr">
        <is>
          <t>2751/001</t>
        </is>
      </c>
      <c r="E4430" s="3" t="inlineStr">
        <is>
          <t>Interest received - Momentum</t>
        </is>
      </c>
      <c r="F4430" s="3" t="n">
        <v>-4.14</v>
      </c>
      <c r="G4430" s="3" t="n">
        <v>-34.23</v>
      </c>
    </row>
    <row r="4431">
      <c r="A4431" s="3" t="inlineStr">
        <is>
          <t>Heron Fields (Pty) Ltd</t>
        </is>
      </c>
      <c r="B4431" s="4" t="n">
        <v>45230</v>
      </c>
      <c r="C4431" s="3" t="inlineStr">
        <is>
          <t>Revenue</t>
        </is>
      </c>
      <c r="D4431" s="3" t="inlineStr">
        <is>
          <t>2755/001</t>
        </is>
      </c>
      <c r="E4431" s="3" t="inlineStr">
        <is>
          <t>Interest Received - Momentum</t>
        </is>
      </c>
      <c r="F4431" s="3" t="n">
        <v>-342091.9</v>
      </c>
      <c r="G4431" s="3" t="n">
        <v>-2081377.05</v>
      </c>
    </row>
    <row r="4432">
      <c r="A4432" s="3" t="inlineStr">
        <is>
          <t>Heron Fields (Pty) Ltd</t>
        </is>
      </c>
      <c r="B4432" s="4" t="n">
        <v>45230</v>
      </c>
      <c r="C4432" s="3" t="inlineStr">
        <is>
          <t>Expenses</t>
        </is>
      </c>
      <c r="D4432" s="3" t="inlineStr">
        <is>
          <t>3000/000</t>
        </is>
      </c>
      <c r="E4432" s="3" t="inlineStr">
        <is>
          <t>Accounting Fees</t>
        </is>
      </c>
      <c r="F4432" s="3" t="n">
        <v>0</v>
      </c>
      <c r="G4432" s="3" t="n">
        <v>15024.96</v>
      </c>
    </row>
    <row r="4433">
      <c r="A4433" s="3" t="inlineStr">
        <is>
          <t>Heron Fields (Pty) Ltd</t>
        </is>
      </c>
      <c r="B4433" s="4" t="n">
        <v>45230</v>
      </c>
      <c r="C4433" s="3" t="inlineStr">
        <is>
          <t>Expenses</t>
        </is>
      </c>
      <c r="D4433" s="3" t="inlineStr">
        <is>
          <t>3000/100</t>
        </is>
      </c>
      <c r="E4433" s="3" t="inlineStr">
        <is>
          <t>Accounting - CIPC</t>
        </is>
      </c>
      <c r="F4433" s="3" t="n">
        <v>0</v>
      </c>
      <c r="G4433" s="3" t="n">
        <v>3050</v>
      </c>
    </row>
    <row r="4434">
      <c r="A4434" s="3" t="inlineStr">
        <is>
          <t>Cape Projects Construction (Pty) Ltd</t>
        </is>
      </c>
      <c r="B4434" s="4" t="n">
        <v>45230</v>
      </c>
      <c r="C4434" s="3" t="inlineStr">
        <is>
          <t>Expenses</t>
        </is>
      </c>
      <c r="D4434" s="3" t="inlineStr">
        <is>
          <t>3001/000</t>
        </is>
      </c>
      <c r="E4434" s="3" t="inlineStr">
        <is>
          <t>Accounting Fees - Other</t>
        </is>
      </c>
      <c r="F4434" s="3" t="n">
        <v>0</v>
      </c>
      <c r="G4434" s="3" t="n">
        <v>1280</v>
      </c>
    </row>
    <row r="4435">
      <c r="A4435" s="3" t="inlineStr">
        <is>
          <t>Cape Projects Construction (Pty) Ltd</t>
        </is>
      </c>
      <c r="B4435" s="4" t="n">
        <v>45230</v>
      </c>
      <c r="C4435" s="3" t="inlineStr">
        <is>
          <t>Expenses</t>
        </is>
      </c>
      <c r="D4435" s="3" t="inlineStr">
        <is>
          <t>3002/000</t>
        </is>
      </c>
      <c r="E4435" s="3" t="inlineStr">
        <is>
          <t>Accounting Fees - Audit</t>
        </is>
      </c>
      <c r="F4435" s="3" t="n">
        <v>0</v>
      </c>
      <c r="G4435" s="3" t="n">
        <v>11170</v>
      </c>
    </row>
    <row r="4436">
      <c r="A4436" s="3" t="inlineStr">
        <is>
          <t>Cape Projects Construction (Pty) Ltd</t>
        </is>
      </c>
      <c r="B4436" s="4" t="n">
        <v>45230</v>
      </c>
      <c r="C4436" s="3" t="inlineStr">
        <is>
          <t>Expenses</t>
        </is>
      </c>
      <c r="D4436" s="3" t="inlineStr">
        <is>
          <t>3050/000</t>
        </is>
      </c>
      <c r="E4436" s="3" t="inlineStr">
        <is>
          <t>Advertising _AND_ Promotions</t>
        </is>
      </c>
      <c r="F4436" s="3" t="n">
        <v>0</v>
      </c>
      <c r="G4436" s="3" t="n">
        <v>10975</v>
      </c>
    </row>
    <row r="4437">
      <c r="A4437" s="3" t="inlineStr">
        <is>
          <t>Heron Fields (Pty) Ltd</t>
        </is>
      </c>
      <c r="B4437" s="4" t="n">
        <v>45230</v>
      </c>
      <c r="C4437" s="3" t="inlineStr">
        <is>
          <t>Expenses</t>
        </is>
      </c>
      <c r="D4437" s="3" t="inlineStr">
        <is>
          <t>3050/000</t>
        </is>
      </c>
      <c r="E4437" s="3" t="inlineStr">
        <is>
          <t>Advertising _AND_ Promotions</t>
        </is>
      </c>
      <c r="F4437" s="3" t="n">
        <v>500</v>
      </c>
      <c r="G4437" s="3" t="n">
        <v>170342.05</v>
      </c>
    </row>
    <row r="4438">
      <c r="A4438" s="3" t="inlineStr">
        <is>
          <t>Heron View (Pty) Ltd</t>
        </is>
      </c>
      <c r="B4438" s="4" t="n">
        <v>45230</v>
      </c>
      <c r="C4438" s="3" t="inlineStr">
        <is>
          <t>Expenses</t>
        </is>
      </c>
      <c r="D4438" s="3" t="inlineStr">
        <is>
          <t>3050/000</t>
        </is>
      </c>
      <c r="E4438" s="3" t="inlineStr">
        <is>
          <t>Advertising _AND_ Promotions</t>
        </is>
      </c>
      <c r="F4438" s="3" t="n">
        <v>1500</v>
      </c>
      <c r="G4438" s="3" t="n">
        <v>52426.47</v>
      </c>
    </row>
    <row r="4439">
      <c r="A4439" s="3" t="inlineStr">
        <is>
          <t>Heron Fields (Pty) Ltd</t>
        </is>
      </c>
      <c r="B4439" s="4" t="n">
        <v>45230</v>
      </c>
      <c r="C4439" s="3" t="inlineStr">
        <is>
          <t>Expenses</t>
        </is>
      </c>
      <c r="D4439" s="3" t="inlineStr">
        <is>
          <t>3050/100</t>
        </is>
      </c>
      <c r="E4439" s="3" t="inlineStr">
        <is>
          <t>Advertising - Property24</t>
        </is>
      </c>
      <c r="F4439" s="3" t="n">
        <v>0</v>
      </c>
      <c r="G4439" s="3" t="n">
        <v>12480</v>
      </c>
    </row>
    <row r="4440">
      <c r="A4440" s="3" t="inlineStr">
        <is>
          <t>Cape Projects Construction (Pty) Ltd</t>
        </is>
      </c>
      <c r="B4440" s="4" t="n">
        <v>45230</v>
      </c>
      <c r="C4440" s="3" t="inlineStr">
        <is>
          <t>Expenses</t>
        </is>
      </c>
      <c r="D4440" s="3" t="inlineStr">
        <is>
          <t>3050/150</t>
        </is>
      </c>
      <c r="E4440" s="3" t="inlineStr">
        <is>
          <t>Advertising - Design Fees</t>
        </is>
      </c>
      <c r="F4440" s="3" t="n">
        <v>0</v>
      </c>
      <c r="G4440" s="3" t="n">
        <v>295</v>
      </c>
    </row>
    <row r="4441">
      <c r="A4441" s="3" t="inlineStr">
        <is>
          <t>Heron Fields (Pty) Ltd</t>
        </is>
      </c>
      <c r="B4441" s="4" t="n">
        <v>45230</v>
      </c>
      <c r="C4441" s="3" t="inlineStr">
        <is>
          <t>Expenses</t>
        </is>
      </c>
      <c r="D4441" s="3" t="inlineStr">
        <is>
          <t>3050/300</t>
        </is>
      </c>
      <c r="E4441" s="3" t="inlineStr">
        <is>
          <t>Advertising - Real Marketing</t>
        </is>
      </c>
      <c r="F4441" s="3" t="n">
        <v>0</v>
      </c>
      <c r="G4441" s="3" t="n">
        <v>10250</v>
      </c>
    </row>
    <row r="4442">
      <c r="A4442" s="3" t="inlineStr">
        <is>
          <t>Heron View (Pty) Ltd</t>
        </is>
      </c>
      <c r="B4442" s="4" t="n">
        <v>45230</v>
      </c>
      <c r="C4442" s="3" t="inlineStr">
        <is>
          <t>Expenses</t>
        </is>
      </c>
      <c r="D4442" s="3" t="inlineStr">
        <is>
          <t>3050/300</t>
        </is>
      </c>
      <c r="E4442" s="3" t="inlineStr">
        <is>
          <t>Advertising - Thinkink</t>
        </is>
      </c>
      <c r="F4442" s="3" t="n">
        <v>17110</v>
      </c>
      <c r="G4442" s="3" t="n">
        <v>17855</v>
      </c>
    </row>
    <row r="4443">
      <c r="A4443" s="3" t="inlineStr">
        <is>
          <t>Heron View (Pty) Ltd</t>
        </is>
      </c>
      <c r="B4443" s="4" t="n">
        <v>45230</v>
      </c>
      <c r="C4443" s="3" t="inlineStr">
        <is>
          <t>Expenses</t>
        </is>
      </c>
      <c r="D4443" s="3" t="inlineStr">
        <is>
          <t>3050/400</t>
        </is>
      </c>
      <c r="E4443" s="3" t="inlineStr">
        <is>
          <t>Advertising - Pure Brand Activation</t>
        </is>
      </c>
      <c r="F4443" s="3" t="n">
        <v>0</v>
      </c>
      <c r="G4443" s="3" t="n">
        <v>14569.1</v>
      </c>
    </row>
    <row r="4444">
      <c r="A4444" s="3" t="inlineStr">
        <is>
          <t>Cape Projects Construction (Pty) Ltd</t>
        </is>
      </c>
      <c r="B4444" s="4" t="n">
        <v>45230</v>
      </c>
      <c r="C4444" s="3" t="inlineStr">
        <is>
          <t>Expenses</t>
        </is>
      </c>
      <c r="D4444" s="3" t="inlineStr">
        <is>
          <t>3050/450</t>
        </is>
      </c>
      <c r="E4444" s="3" t="inlineStr">
        <is>
          <t>Advertising - Other</t>
        </is>
      </c>
      <c r="F4444" s="3" t="n">
        <v>0</v>
      </c>
      <c r="G4444" s="3" t="n">
        <v>1597</v>
      </c>
    </row>
    <row r="4445">
      <c r="A4445" s="3" t="inlineStr">
        <is>
          <t>Heron View (Pty) Ltd</t>
        </is>
      </c>
      <c r="B4445" s="4" t="n">
        <v>45230</v>
      </c>
      <c r="C4445" s="3" t="inlineStr">
        <is>
          <t>Expenses</t>
        </is>
      </c>
      <c r="D4445" s="3" t="inlineStr">
        <is>
          <t>3050/500</t>
        </is>
      </c>
      <c r="E4445" s="3" t="inlineStr">
        <is>
          <t>Advertising - Real Marketing</t>
        </is>
      </c>
      <c r="F4445" s="3" t="n">
        <v>0</v>
      </c>
      <c r="G4445" s="3" t="n">
        <v>18500</v>
      </c>
    </row>
    <row r="4446">
      <c r="A4446" s="3" t="inlineStr">
        <is>
          <t>Cape Projects Construction (Pty) Ltd</t>
        </is>
      </c>
      <c r="B4446" s="4" t="n">
        <v>45230</v>
      </c>
      <c r="C4446" s="3" t="inlineStr">
        <is>
          <t>Expenses</t>
        </is>
      </c>
      <c r="D4446" s="3" t="inlineStr">
        <is>
          <t>3200/000</t>
        </is>
      </c>
      <c r="E4446" s="3" t="inlineStr">
        <is>
          <t>Bank Charges</t>
        </is>
      </c>
      <c r="F4446" s="3" t="n">
        <v>1734.61</v>
      </c>
      <c r="G4446" s="3" t="n">
        <v>14702.11</v>
      </c>
    </row>
    <row r="4447">
      <c r="A4447" s="3" t="inlineStr">
        <is>
          <t>Heron Fields (Pty) Ltd</t>
        </is>
      </c>
      <c r="B4447" s="4" t="n">
        <v>45230</v>
      </c>
      <c r="C4447" s="3" t="inlineStr">
        <is>
          <t>Expenses</t>
        </is>
      </c>
      <c r="D4447" s="3" t="inlineStr">
        <is>
          <t>3200/000</t>
        </is>
      </c>
      <c r="E4447" s="3" t="inlineStr">
        <is>
          <t>Bank Charges</t>
        </is>
      </c>
      <c r="F4447" s="3" t="n">
        <v>369.15</v>
      </c>
      <c r="G4447" s="3" t="n">
        <v>3583.49</v>
      </c>
    </row>
    <row r="4448">
      <c r="A4448" s="3" t="inlineStr">
        <is>
          <t>Cape Projects Construction (Pty) Ltd</t>
        </is>
      </c>
      <c r="B4448" s="4" t="n">
        <v>45230</v>
      </c>
      <c r="C4448" s="3" t="inlineStr">
        <is>
          <t>Expenses</t>
        </is>
      </c>
      <c r="D4448" s="3" t="inlineStr">
        <is>
          <t>3250/000</t>
        </is>
      </c>
      <c r="E4448" s="3" t="inlineStr">
        <is>
          <t>Cleaning</t>
        </is>
      </c>
      <c r="F4448" s="3" t="n">
        <v>0</v>
      </c>
      <c r="G4448" s="3" t="n">
        <v>511.89</v>
      </c>
    </row>
    <row r="4449">
      <c r="A4449" s="3" t="inlineStr">
        <is>
          <t>Cape Projects Construction (Pty) Ltd</t>
        </is>
      </c>
      <c r="B4449" s="4" t="n">
        <v>45230</v>
      </c>
      <c r="C4449" s="3" t="inlineStr">
        <is>
          <t>Expenses</t>
        </is>
      </c>
      <c r="D4449" s="3" t="inlineStr">
        <is>
          <t>3255/000</t>
        </is>
      </c>
      <c r="E4449" s="3" t="inlineStr">
        <is>
          <t>Cell Phone - CT Office</t>
        </is>
      </c>
      <c r="F4449" s="3" t="n">
        <v>0</v>
      </c>
      <c r="G4449" s="3" t="n">
        <v>4123</v>
      </c>
    </row>
    <row r="4450">
      <c r="A4450" s="3" t="inlineStr">
        <is>
          <t>Cape Projects Construction (Pty) Ltd</t>
        </is>
      </c>
      <c r="B4450" s="4" t="n">
        <v>45230</v>
      </c>
      <c r="C4450" s="3" t="inlineStr">
        <is>
          <t>Expenses</t>
        </is>
      </c>
      <c r="D4450" s="3" t="inlineStr">
        <is>
          <t>3256/000</t>
        </is>
      </c>
      <c r="E4450" s="3" t="inlineStr">
        <is>
          <t>Cell Phone - Nick Morgan</t>
        </is>
      </c>
      <c r="F4450" s="3" t="n">
        <v>0</v>
      </c>
      <c r="G4450" s="3" t="n">
        <v>26779.67</v>
      </c>
    </row>
    <row r="4451">
      <c r="A4451" s="3" t="inlineStr">
        <is>
          <t>Cape Projects Construction (Pty) Ltd</t>
        </is>
      </c>
      <c r="B4451" s="4" t="n">
        <v>45230</v>
      </c>
      <c r="C4451" s="3" t="inlineStr">
        <is>
          <t>Expenses</t>
        </is>
      </c>
      <c r="D4451" s="3" t="inlineStr">
        <is>
          <t>3300/000</t>
        </is>
      </c>
      <c r="E4451" s="3" t="inlineStr">
        <is>
          <t>Computer Expenses</t>
        </is>
      </c>
      <c r="F4451" s="3" t="n">
        <v>950</v>
      </c>
      <c r="G4451" s="3" t="n">
        <v>5302.65</v>
      </c>
    </row>
    <row r="4452">
      <c r="A4452" s="3" t="inlineStr">
        <is>
          <t>Cape Projects Construction (Pty) Ltd</t>
        </is>
      </c>
      <c r="B4452" s="4" t="n">
        <v>45230</v>
      </c>
      <c r="C4452" s="3" t="inlineStr">
        <is>
          <t>Expenses</t>
        </is>
      </c>
      <c r="D4452" s="3" t="inlineStr">
        <is>
          <t>3300/100</t>
        </is>
      </c>
      <c r="E4452" s="3" t="inlineStr">
        <is>
          <t>Computer Exp - IT, Internet/Hosting Fee</t>
        </is>
      </c>
      <c r="F4452" s="3" t="n">
        <v>3230</v>
      </c>
      <c r="G4452" s="3" t="n">
        <v>32639</v>
      </c>
    </row>
    <row r="4453">
      <c r="A4453" s="3" t="inlineStr">
        <is>
          <t>Heron Fields (Pty) Ltd</t>
        </is>
      </c>
      <c r="B4453" s="4" t="n">
        <v>45230</v>
      </c>
      <c r="C4453" s="3" t="inlineStr">
        <is>
          <t>Expenses</t>
        </is>
      </c>
      <c r="D4453" s="3" t="inlineStr">
        <is>
          <t>3350/100</t>
        </is>
      </c>
      <c r="E4453" s="3" t="inlineStr">
        <is>
          <t>Consulting Fees - Admin and Finance</t>
        </is>
      </c>
      <c r="F4453" s="3" t="n">
        <v>115333</v>
      </c>
      <c r="G4453" s="3" t="n">
        <v>938749.5699999999</v>
      </c>
    </row>
    <row r="4454">
      <c r="A4454" s="3" t="inlineStr">
        <is>
          <t>Cape Projects Construction (Pty) Ltd</t>
        </is>
      </c>
      <c r="B4454" s="4" t="n">
        <v>45230</v>
      </c>
      <c r="C4454" s="3" t="inlineStr">
        <is>
          <t>Expenses</t>
        </is>
      </c>
      <c r="D4454" s="3" t="inlineStr">
        <is>
          <t>3350/300</t>
        </is>
      </c>
      <c r="E4454" s="3" t="inlineStr">
        <is>
          <t>Consulting Fees - Admin and Finance</t>
        </is>
      </c>
      <c r="F4454" s="3" t="n">
        <v>124297</v>
      </c>
      <c r="G4454" s="3" t="n">
        <v>982740.7</v>
      </c>
    </row>
    <row r="4455">
      <c r="A4455" s="3" t="inlineStr">
        <is>
          <t>Heron Fields (Pty) Ltd</t>
        </is>
      </c>
      <c r="B4455" s="4" t="n">
        <v>45230</v>
      </c>
      <c r="C4455" s="3" t="inlineStr">
        <is>
          <t>Expenses</t>
        </is>
      </c>
      <c r="D4455" s="3" t="inlineStr">
        <is>
          <t>3351/000</t>
        </is>
      </c>
      <c r="E4455" s="3" t="inlineStr">
        <is>
          <t>Consulting fees - Trustee</t>
        </is>
      </c>
      <c r="F4455" s="3" t="n">
        <v>5700</v>
      </c>
      <c r="G4455" s="3" t="n">
        <v>17900</v>
      </c>
    </row>
    <row r="4456">
      <c r="A4456" s="3" t="inlineStr">
        <is>
          <t>Heron View (Pty) Ltd</t>
        </is>
      </c>
      <c r="B4456" s="4" t="n">
        <v>45230</v>
      </c>
      <c r="C4456" s="3" t="inlineStr">
        <is>
          <t>Expenses</t>
        </is>
      </c>
      <c r="D4456" s="3" t="inlineStr">
        <is>
          <t>3351/000</t>
        </is>
      </c>
      <c r="E4456" s="3" t="inlineStr">
        <is>
          <t>Consulting fees - Trustee</t>
        </is>
      </c>
      <c r="F4456" s="3" t="n">
        <v>11750</v>
      </c>
      <c r="G4456" s="3" t="n">
        <v>40750</v>
      </c>
    </row>
    <row r="4457">
      <c r="A4457" s="3" t="inlineStr">
        <is>
          <t>Cape Projects Construction (Pty) Ltd</t>
        </is>
      </c>
      <c r="B4457" s="4" t="n">
        <v>45230</v>
      </c>
      <c r="C4457" s="3" t="inlineStr">
        <is>
          <t>Expenses</t>
        </is>
      </c>
      <c r="D4457" s="3" t="inlineStr">
        <is>
          <t>3400/000</t>
        </is>
      </c>
      <c r="E4457" s="3" t="inlineStr">
        <is>
          <t>Courier _AND_ Postage</t>
        </is>
      </c>
      <c r="F4457" s="3" t="n">
        <v>0</v>
      </c>
      <c r="G4457" s="3" t="n">
        <v>331.09</v>
      </c>
    </row>
    <row r="4458">
      <c r="A4458" s="3" t="inlineStr">
        <is>
          <t>Cape Projects Construction (Pty) Ltd</t>
        </is>
      </c>
      <c r="B4458" s="4" t="n">
        <v>45230</v>
      </c>
      <c r="C4458" s="3" t="inlineStr">
        <is>
          <t>Expenses</t>
        </is>
      </c>
      <c r="D4458" s="3" t="inlineStr">
        <is>
          <t>3450/001</t>
        </is>
      </c>
      <c r="E4458" s="3" t="inlineStr">
        <is>
          <t>Depreciation - Computer Equipment</t>
        </is>
      </c>
      <c r="F4458" s="3" t="n">
        <v>4562.86</v>
      </c>
      <c r="G4458" s="3" t="n">
        <v>28137.52</v>
      </c>
    </row>
    <row r="4459">
      <c r="A4459" s="3" t="inlineStr">
        <is>
          <t>Cape Projects Construction (Pty) Ltd</t>
        </is>
      </c>
      <c r="B4459" s="4" t="n">
        <v>45230</v>
      </c>
      <c r="C4459" s="3" t="inlineStr">
        <is>
          <t>Expenses</t>
        </is>
      </c>
      <c r="D4459" s="3" t="inlineStr">
        <is>
          <t>3450/002</t>
        </is>
      </c>
      <c r="E4459" s="3" t="inlineStr">
        <is>
          <t>Depreciation - Generator Fixed Asset</t>
        </is>
      </c>
      <c r="F4459" s="3" t="n">
        <v>1188.71</v>
      </c>
      <c r="G4459" s="3" t="n">
        <v>7518.87</v>
      </c>
    </row>
    <row r="4460">
      <c r="A4460" s="3" t="inlineStr">
        <is>
          <t>Cape Projects Construction (Pty) Ltd</t>
        </is>
      </c>
      <c r="B4460" s="4" t="n">
        <v>45230</v>
      </c>
      <c r="C4460" s="3" t="inlineStr">
        <is>
          <t>Expenses</t>
        </is>
      </c>
      <c r="D4460" s="3" t="inlineStr">
        <is>
          <t>3450/030</t>
        </is>
      </c>
      <c r="E4460" s="3" t="inlineStr">
        <is>
          <t>Depreciation - Furniture and Fittings</t>
        </is>
      </c>
      <c r="F4460" s="3" t="n">
        <v>547.6799999999999</v>
      </c>
      <c r="G4460" s="3" t="n">
        <v>4381.42</v>
      </c>
    </row>
    <row r="4461">
      <c r="A4461" s="3" t="inlineStr">
        <is>
          <t>Heron Fields (Pty) Ltd</t>
        </is>
      </c>
      <c r="B4461" s="4" t="n">
        <v>45230</v>
      </c>
      <c r="C4461" s="3" t="inlineStr">
        <is>
          <t>Expenses</t>
        </is>
      </c>
      <c r="D4461" s="3" t="inlineStr">
        <is>
          <t>3650/000</t>
        </is>
      </c>
      <c r="E4461" s="3" t="inlineStr">
        <is>
          <t>CoCT - Electricity</t>
        </is>
      </c>
      <c r="F4461" s="3" t="n">
        <v>93347.00999999999</v>
      </c>
      <c r="G4461" s="3" t="n">
        <v>224263.85</v>
      </c>
    </row>
    <row r="4462">
      <c r="A4462" s="3" t="inlineStr">
        <is>
          <t>Cape Projects Construction (Pty) Ltd</t>
        </is>
      </c>
      <c r="B4462" s="4" t="n">
        <v>45230</v>
      </c>
      <c r="C4462" s="3" t="inlineStr">
        <is>
          <t>Expenses</t>
        </is>
      </c>
      <c r="D4462" s="3" t="inlineStr">
        <is>
          <t>3650/000</t>
        </is>
      </c>
      <c r="E4462" s="3" t="inlineStr">
        <is>
          <t>Electricity _AND_ Water</t>
        </is>
      </c>
      <c r="F4462" s="3" t="n">
        <v>6675.2</v>
      </c>
      <c r="G4462" s="3" t="n">
        <v>53574.63</v>
      </c>
    </row>
    <row r="4463">
      <c r="A4463" s="3" t="inlineStr">
        <is>
          <t>Heron Fields (Pty) Ltd</t>
        </is>
      </c>
      <c r="B4463" s="4" t="n">
        <v>45230</v>
      </c>
      <c r="C4463" s="3" t="inlineStr">
        <is>
          <t>Expenses</t>
        </is>
      </c>
      <c r="D4463" s="3" t="inlineStr">
        <is>
          <t>3660/000</t>
        </is>
      </c>
      <c r="E4463" s="3" t="inlineStr">
        <is>
          <t>CoCT - Water</t>
        </is>
      </c>
      <c r="F4463" s="3" t="n">
        <v>47156.78</v>
      </c>
      <c r="G4463" s="3" t="n">
        <v>92130.39</v>
      </c>
    </row>
    <row r="4464">
      <c r="A4464" s="3" t="inlineStr">
        <is>
          <t>Heron Fields (Pty) Ltd</t>
        </is>
      </c>
      <c r="B4464" s="4" t="n">
        <v>45230</v>
      </c>
      <c r="C4464" s="3" t="inlineStr">
        <is>
          <t>Expenses</t>
        </is>
      </c>
      <c r="D4464" s="3" t="inlineStr">
        <is>
          <t>3670/000</t>
        </is>
      </c>
      <c r="E4464" s="3" t="inlineStr">
        <is>
          <t>CoCT - Refuse</t>
        </is>
      </c>
      <c r="F4464" s="3" t="n">
        <v>36288.17</v>
      </c>
      <c r="G4464" s="3" t="n">
        <v>46978.37</v>
      </c>
    </row>
    <row r="4465">
      <c r="A4465" s="3" t="inlineStr">
        <is>
          <t>Heron Fields (Pty) Ltd</t>
        </is>
      </c>
      <c r="B4465" s="4" t="n">
        <v>45230</v>
      </c>
      <c r="C4465" s="3" t="inlineStr">
        <is>
          <t>Expenses</t>
        </is>
      </c>
      <c r="D4465" s="3" t="inlineStr">
        <is>
          <t>3700/000</t>
        </is>
      </c>
      <c r="E4465" s="3" t="inlineStr">
        <is>
          <t>Entertainment Expenses</t>
        </is>
      </c>
      <c r="F4465" s="3" t="n">
        <v>0</v>
      </c>
      <c r="G4465" s="3" t="n">
        <v>39.47</v>
      </c>
    </row>
    <row r="4466">
      <c r="A4466" s="3" t="inlineStr">
        <is>
          <t>Heron Fields (Pty) Ltd</t>
        </is>
      </c>
      <c r="B4466" s="4" t="n">
        <v>45230</v>
      </c>
      <c r="C4466" s="3" t="inlineStr">
        <is>
          <t>Expenses</t>
        </is>
      </c>
      <c r="D4466" s="3" t="inlineStr">
        <is>
          <t>3800/000</t>
        </is>
      </c>
      <c r="E4466" s="3" t="inlineStr">
        <is>
          <t>General Expenses</t>
        </is>
      </c>
      <c r="F4466" s="3" t="n">
        <v>0</v>
      </c>
      <c r="G4466" s="3" t="n">
        <v>199.99</v>
      </c>
    </row>
    <row r="4467">
      <c r="A4467" s="3" t="inlineStr">
        <is>
          <t>Heron Fields (Pty) Ltd</t>
        </is>
      </c>
      <c r="B4467" s="4" t="n">
        <v>45230</v>
      </c>
      <c r="C4467" s="3" t="inlineStr">
        <is>
          <t>Expenses</t>
        </is>
      </c>
      <c r="D4467" s="3" t="inlineStr">
        <is>
          <t>3850/000</t>
        </is>
      </c>
      <c r="E4467" s="3" t="inlineStr">
        <is>
          <t>Insurance</t>
        </is>
      </c>
      <c r="F4467" s="3" t="n">
        <v>12147.19</v>
      </c>
      <c r="G4467" s="3" t="n">
        <v>73263.98</v>
      </c>
    </row>
    <row r="4468">
      <c r="A4468" s="3" t="inlineStr">
        <is>
          <t>Cape Projects Construction (Pty) Ltd</t>
        </is>
      </c>
      <c r="B4468" s="4" t="n">
        <v>45230</v>
      </c>
      <c r="C4468" s="3" t="inlineStr">
        <is>
          <t>Expenses</t>
        </is>
      </c>
      <c r="D4468" s="3" t="inlineStr">
        <is>
          <t>3850/001</t>
        </is>
      </c>
      <c r="E4468" s="3" t="inlineStr">
        <is>
          <t>Insurance - Santam</t>
        </is>
      </c>
      <c r="F4468" s="3" t="n">
        <v>0</v>
      </c>
      <c r="G4468" s="3" t="n">
        <v>16363.81</v>
      </c>
    </row>
    <row r="4469">
      <c r="A4469" s="3" t="inlineStr">
        <is>
          <t>Cape Projects Construction (Pty) Ltd</t>
        </is>
      </c>
      <c r="B4469" s="4" t="n">
        <v>45230</v>
      </c>
      <c r="C4469" s="3" t="inlineStr">
        <is>
          <t>Expenses</t>
        </is>
      </c>
      <c r="D4469" s="3" t="inlineStr">
        <is>
          <t>3850/004</t>
        </is>
      </c>
      <c r="E4469" s="3" t="inlineStr">
        <is>
          <t>Insurance - A_AND_G</t>
        </is>
      </c>
      <c r="F4469" s="3" t="n">
        <v>0</v>
      </c>
      <c r="G4469" s="3" t="n">
        <v>24242.76</v>
      </c>
    </row>
    <row r="4470">
      <c r="A4470" s="3" t="inlineStr">
        <is>
          <t>Heron Fields (Pty) Ltd</t>
        </is>
      </c>
      <c r="B4470" s="4" t="n">
        <v>45230</v>
      </c>
      <c r="C4470" s="3" t="inlineStr">
        <is>
          <t>Expenses</t>
        </is>
      </c>
      <c r="D4470" s="3" t="inlineStr">
        <is>
          <t>3900/000</t>
        </is>
      </c>
      <c r="E4470" s="3" t="inlineStr">
        <is>
          <t>Interest Paid</t>
        </is>
      </c>
      <c r="F4470" s="3" t="n">
        <v>0</v>
      </c>
      <c r="G4470" s="3" t="n">
        <v>-533.8</v>
      </c>
    </row>
    <row r="4471">
      <c r="A4471" s="3" t="inlineStr">
        <is>
          <t>Heron Fields (Pty) Ltd</t>
        </is>
      </c>
      <c r="B4471" s="4" t="n">
        <v>45230</v>
      </c>
      <c r="C4471" s="3" t="inlineStr">
        <is>
          <t>Expenses</t>
        </is>
      </c>
      <c r="D4471" s="3" t="inlineStr">
        <is>
          <t>3900/111</t>
        </is>
      </c>
      <c r="E4471" s="3" t="inlineStr">
        <is>
          <t>Interest Paid - Investors @ 6.25%</t>
        </is>
      </c>
      <c r="F4471" s="3" t="n">
        <v>0</v>
      </c>
      <c r="G4471" s="3" t="n">
        <v>167246.17</v>
      </c>
    </row>
    <row r="4472">
      <c r="A4472" s="3" t="inlineStr">
        <is>
          <t>Heron Fields (Pty) Ltd</t>
        </is>
      </c>
      <c r="B4472" s="4" t="n">
        <v>45230</v>
      </c>
      <c r="C4472" s="3" t="inlineStr">
        <is>
          <t>Expenses</t>
        </is>
      </c>
      <c r="D4472" s="3" t="inlineStr">
        <is>
          <t>3900/115</t>
        </is>
      </c>
      <c r="E4472" s="3" t="inlineStr">
        <is>
          <t>Interest Paid - Investors @ 6.5%</t>
        </is>
      </c>
      <c r="F4472" s="3" t="n">
        <v>0</v>
      </c>
      <c r="G4472" s="3" t="n">
        <v>72942.48</v>
      </c>
    </row>
    <row r="4473">
      <c r="A4473" s="3" t="inlineStr">
        <is>
          <t>Heron Fields (Pty) Ltd</t>
        </is>
      </c>
      <c r="B4473" s="4" t="n">
        <v>45230</v>
      </c>
      <c r="C4473" s="3" t="inlineStr">
        <is>
          <t>Expenses</t>
        </is>
      </c>
      <c r="D4473" s="3" t="inlineStr">
        <is>
          <t>3900/117</t>
        </is>
      </c>
      <c r="E4473" s="3" t="inlineStr">
        <is>
          <t>Interest Paid - Investors @ 6.75%</t>
        </is>
      </c>
      <c r="F4473" s="3" t="n">
        <v>0</v>
      </c>
      <c r="G4473" s="3" t="n">
        <v>44124.67</v>
      </c>
    </row>
    <row r="4474">
      <c r="A4474" s="3" t="inlineStr">
        <is>
          <t>Heron Fields (Pty) Ltd</t>
        </is>
      </c>
      <c r="B4474" s="4" t="n">
        <v>45230</v>
      </c>
      <c r="C4474" s="3" t="inlineStr">
        <is>
          <t>Expenses</t>
        </is>
      </c>
      <c r="D4474" s="3" t="inlineStr">
        <is>
          <t>3900/120</t>
        </is>
      </c>
      <c r="E4474" s="3" t="inlineStr">
        <is>
          <t>Interest Paid - Investors @ 7%</t>
        </is>
      </c>
      <c r="F4474" s="3" t="n">
        <v>0</v>
      </c>
      <c r="G4474" s="3" t="n">
        <v>11678.33</v>
      </c>
    </row>
    <row r="4475">
      <c r="A4475" s="3" t="inlineStr">
        <is>
          <t>Heron View (Pty) Ltd</t>
        </is>
      </c>
      <c r="B4475" s="4" t="n">
        <v>45230</v>
      </c>
      <c r="C4475" s="3" t="inlineStr">
        <is>
          <t>Expenses</t>
        </is>
      </c>
      <c r="D4475" s="3" t="inlineStr">
        <is>
          <t>3900/120</t>
        </is>
      </c>
      <c r="E4475" s="3" t="inlineStr">
        <is>
          <t>Interest Paid - Investors @ 7%</t>
        </is>
      </c>
      <c r="F4475" s="3" t="n">
        <v>0</v>
      </c>
      <c r="G4475" s="3" t="n">
        <v>1607.78</v>
      </c>
    </row>
    <row r="4476">
      <c r="A4476" s="3" t="inlineStr">
        <is>
          <t>Heron Fields (Pty) Ltd</t>
        </is>
      </c>
      <c r="B4476" s="4" t="n">
        <v>45230</v>
      </c>
      <c r="C4476" s="3" t="inlineStr">
        <is>
          <t>Expenses</t>
        </is>
      </c>
      <c r="D4476" s="3" t="inlineStr">
        <is>
          <t>3900/126</t>
        </is>
      </c>
      <c r="E4476" s="3" t="inlineStr">
        <is>
          <t>Interest Paid - Investors @ 7.5%</t>
        </is>
      </c>
      <c r="F4476" s="3" t="n">
        <v>0</v>
      </c>
      <c r="G4476" s="3" t="n">
        <v>1252.24</v>
      </c>
    </row>
    <row r="4477">
      <c r="A4477" s="3" t="inlineStr">
        <is>
          <t>Heron View (Pty) Ltd</t>
        </is>
      </c>
      <c r="B4477" s="4" t="n">
        <v>45230</v>
      </c>
      <c r="C4477" s="3" t="inlineStr">
        <is>
          <t>Expenses</t>
        </is>
      </c>
      <c r="D4477" s="3" t="inlineStr">
        <is>
          <t>3900/126</t>
        </is>
      </c>
      <c r="E4477" s="3" t="inlineStr">
        <is>
          <t>Interest Paid - Investors @ 7.5%</t>
        </is>
      </c>
      <c r="F4477" s="3" t="n">
        <v>0</v>
      </c>
      <c r="G4477" s="3" t="n">
        <v>1507.16</v>
      </c>
    </row>
    <row r="4478">
      <c r="A4478" s="3" t="inlineStr">
        <is>
          <t>Heron Fields (Pty) Ltd</t>
        </is>
      </c>
      <c r="B4478" s="4" t="n">
        <v>45230</v>
      </c>
      <c r="C4478" s="3" t="inlineStr">
        <is>
          <t>Expenses</t>
        </is>
      </c>
      <c r="D4478" s="3" t="inlineStr">
        <is>
          <t>3900/133</t>
        </is>
      </c>
      <c r="E4478" s="3" t="inlineStr">
        <is>
          <t>Interest Paid - Investors @ 8.25%</t>
        </is>
      </c>
      <c r="F4478" s="3" t="n">
        <v>0</v>
      </c>
      <c r="G4478" s="3" t="n">
        <v>5515.07</v>
      </c>
    </row>
    <row r="4479">
      <c r="A4479" s="3" t="inlineStr">
        <is>
          <t>Heron View (Pty) Ltd</t>
        </is>
      </c>
      <c r="B4479" s="4" t="n">
        <v>45230</v>
      </c>
      <c r="C4479" s="3" t="inlineStr">
        <is>
          <t>Expenses</t>
        </is>
      </c>
      <c r="D4479" s="3" t="inlineStr">
        <is>
          <t>3900/133</t>
        </is>
      </c>
      <c r="E4479" s="3" t="inlineStr">
        <is>
          <t>Interest Paid - Investors @ 8.25%</t>
        </is>
      </c>
      <c r="F4479" s="3" t="n">
        <v>0</v>
      </c>
      <c r="G4479" s="3" t="n">
        <v>26106.19</v>
      </c>
    </row>
    <row r="4480">
      <c r="A4480" s="3" t="inlineStr">
        <is>
          <t>Heron Fields (Pty) Ltd</t>
        </is>
      </c>
      <c r="B4480" s="4" t="n">
        <v>45230</v>
      </c>
      <c r="C4480" s="3" t="inlineStr">
        <is>
          <t>Expenses</t>
        </is>
      </c>
      <c r="D4480" s="3" t="inlineStr">
        <is>
          <t>3900/140</t>
        </is>
      </c>
      <c r="E4480" s="3" t="inlineStr">
        <is>
          <t>Interest Paid - Investors @ 9%</t>
        </is>
      </c>
      <c r="F4480" s="3" t="n">
        <v>0</v>
      </c>
      <c r="G4480" s="3" t="n">
        <v>591.78</v>
      </c>
    </row>
    <row r="4481">
      <c r="A4481" s="3" t="inlineStr">
        <is>
          <t>Heron View (Pty) Ltd</t>
        </is>
      </c>
      <c r="B4481" s="4" t="n">
        <v>45230</v>
      </c>
      <c r="C4481" s="3" t="inlineStr">
        <is>
          <t>Expenses</t>
        </is>
      </c>
      <c r="D4481" s="3" t="inlineStr">
        <is>
          <t>3900/140</t>
        </is>
      </c>
      <c r="E4481" s="3" t="inlineStr">
        <is>
          <t>Interest Paid - Investors @ 9%</t>
        </is>
      </c>
      <c r="F4481" s="3" t="n">
        <v>0</v>
      </c>
      <c r="G4481" s="3" t="n">
        <v>62238.37</v>
      </c>
    </row>
    <row r="4482">
      <c r="A4482" s="3" t="inlineStr">
        <is>
          <t>Heron View (Pty) Ltd</t>
        </is>
      </c>
      <c r="B4482" s="4" t="n">
        <v>45230</v>
      </c>
      <c r="C4482" s="3" t="inlineStr">
        <is>
          <t>Expenses</t>
        </is>
      </c>
      <c r="D4482" s="3" t="inlineStr">
        <is>
          <t>3900/147</t>
        </is>
      </c>
      <c r="E4482" s="3" t="inlineStr">
        <is>
          <t>Interest Paid - Investors @ 9.75%</t>
        </is>
      </c>
      <c r="F4482" s="3" t="n">
        <v>0</v>
      </c>
      <c r="G4482" s="3" t="n">
        <v>2537.9</v>
      </c>
    </row>
    <row r="4483">
      <c r="A4483" s="3" t="inlineStr">
        <is>
          <t>Heron View (Pty) Ltd</t>
        </is>
      </c>
      <c r="B4483" s="4" t="n">
        <v>45230</v>
      </c>
      <c r="C4483" s="3" t="inlineStr">
        <is>
          <t>Expenses</t>
        </is>
      </c>
      <c r="D4483" s="3" t="inlineStr">
        <is>
          <t>3900/150</t>
        </is>
      </c>
      <c r="E4483" s="3" t="inlineStr">
        <is>
          <t>Interest Paid - Investors @ 10%</t>
        </is>
      </c>
      <c r="F4483" s="3" t="n">
        <v>0</v>
      </c>
      <c r="G4483" s="3" t="n">
        <v>5709.59</v>
      </c>
    </row>
    <row r="4484">
      <c r="A4484" s="3" t="inlineStr">
        <is>
          <t>Heron View (Pty) Ltd</t>
        </is>
      </c>
      <c r="B4484" s="4" t="n">
        <v>45230</v>
      </c>
      <c r="C4484" s="3" t="inlineStr">
        <is>
          <t>Expenses</t>
        </is>
      </c>
      <c r="D4484" s="3" t="inlineStr">
        <is>
          <t>3900/155</t>
        </is>
      </c>
      <c r="E4484" s="3" t="inlineStr">
        <is>
          <t>Interest Paid - Investors @ 10.5%</t>
        </is>
      </c>
      <c r="F4484" s="3" t="n">
        <v>0</v>
      </c>
      <c r="G4484" s="3" t="n">
        <v>19334.38</v>
      </c>
    </row>
    <row r="4485">
      <c r="A4485" s="3" t="inlineStr">
        <is>
          <t>Heron View (Pty) Ltd</t>
        </is>
      </c>
      <c r="B4485" s="4" t="n">
        <v>45230</v>
      </c>
      <c r="C4485" s="3" t="inlineStr">
        <is>
          <t>Expenses</t>
        </is>
      </c>
      <c r="D4485" s="3" t="inlineStr">
        <is>
          <t>3900/160</t>
        </is>
      </c>
      <c r="E4485" s="3" t="inlineStr">
        <is>
          <t>Interest Paid - Investors @ 11%</t>
        </is>
      </c>
      <c r="F4485" s="3" t="n">
        <v>0</v>
      </c>
      <c r="G4485" s="3" t="n">
        <v>9131.51</v>
      </c>
    </row>
    <row r="4486">
      <c r="A4486" s="3" t="inlineStr">
        <is>
          <t>Heron Fields (Pty) Ltd</t>
        </is>
      </c>
      <c r="B4486" s="4" t="n">
        <v>45230</v>
      </c>
      <c r="C4486" s="3" t="inlineStr">
        <is>
          <t>Expenses</t>
        </is>
      </c>
      <c r="D4486" s="3" t="inlineStr">
        <is>
          <t>3900/190</t>
        </is>
      </c>
      <c r="E4486" s="3" t="inlineStr">
        <is>
          <t>Interest Paid - Investors @ 14%</t>
        </is>
      </c>
      <c r="F4486" s="3" t="n">
        <v>0</v>
      </c>
      <c r="G4486" s="3" t="n">
        <v>400367.2</v>
      </c>
    </row>
    <row r="4487">
      <c r="A4487" s="3" t="inlineStr">
        <is>
          <t>Heron View (Pty) Ltd</t>
        </is>
      </c>
      <c r="B4487" s="4" t="n">
        <v>45230</v>
      </c>
      <c r="C4487" s="3" t="inlineStr">
        <is>
          <t>Expenses</t>
        </is>
      </c>
      <c r="D4487" s="3" t="inlineStr">
        <is>
          <t>3900/190</t>
        </is>
      </c>
      <c r="E4487" s="3" t="inlineStr">
        <is>
          <t>Interest Paid - Investors @ 14%</t>
        </is>
      </c>
      <c r="F4487" s="3" t="n">
        <v>0</v>
      </c>
      <c r="G4487" s="3" t="n">
        <v>589744.15</v>
      </c>
    </row>
    <row r="4488">
      <c r="A4488" s="3" t="inlineStr">
        <is>
          <t>Heron Fields (Pty) Ltd</t>
        </is>
      </c>
      <c r="B4488" s="4" t="n">
        <v>45230</v>
      </c>
      <c r="C4488" s="3" t="inlineStr">
        <is>
          <t>Expenses</t>
        </is>
      </c>
      <c r="D4488" s="3" t="inlineStr">
        <is>
          <t>3900/200</t>
        </is>
      </c>
      <c r="E4488" s="3" t="inlineStr">
        <is>
          <t>Interest Paid - Investors @ 15%</t>
        </is>
      </c>
      <c r="F4488" s="3" t="n">
        <v>0</v>
      </c>
      <c r="G4488" s="3" t="n">
        <v>333349.31</v>
      </c>
    </row>
    <row r="4489">
      <c r="A4489" s="3" t="inlineStr">
        <is>
          <t>Heron Fields (Pty) Ltd</t>
        </is>
      </c>
      <c r="B4489" s="4" t="n">
        <v>45230</v>
      </c>
      <c r="C4489" s="3" t="inlineStr">
        <is>
          <t>Expenses</t>
        </is>
      </c>
      <c r="D4489" s="3" t="inlineStr">
        <is>
          <t>3900/210</t>
        </is>
      </c>
      <c r="E4489" s="3" t="inlineStr">
        <is>
          <t>Interest Paid - Investors @ 16%</t>
        </is>
      </c>
      <c r="F4489" s="3" t="n">
        <v>0</v>
      </c>
      <c r="G4489" s="3" t="n">
        <v>47473.98</v>
      </c>
    </row>
    <row r="4490">
      <c r="A4490" s="3" t="inlineStr">
        <is>
          <t>Heron View (Pty) Ltd</t>
        </is>
      </c>
      <c r="B4490" s="4" t="n">
        <v>45230</v>
      </c>
      <c r="C4490" s="3" t="inlineStr">
        <is>
          <t>Expenses</t>
        </is>
      </c>
      <c r="D4490" s="3" t="inlineStr">
        <is>
          <t>3900/210</t>
        </is>
      </c>
      <c r="E4490" s="3" t="inlineStr">
        <is>
          <t>Interest Paid - Investors @ 16%</t>
        </is>
      </c>
      <c r="F4490" s="3" t="n">
        <v>0</v>
      </c>
      <c r="G4490" s="3" t="n">
        <v>128315.62</v>
      </c>
    </row>
    <row r="4491">
      <c r="A4491" s="3" t="inlineStr">
        <is>
          <t>Heron Fields (Pty) Ltd</t>
        </is>
      </c>
      <c r="B4491" s="4" t="n">
        <v>45230</v>
      </c>
      <c r="C4491" s="3" t="inlineStr">
        <is>
          <t>Expenses</t>
        </is>
      </c>
      <c r="D4491" s="3" t="inlineStr">
        <is>
          <t>3900/230</t>
        </is>
      </c>
      <c r="E4491" s="3" t="inlineStr">
        <is>
          <t>Interest Paid - Investors @ 18%</t>
        </is>
      </c>
      <c r="F4491" s="3" t="n">
        <v>0</v>
      </c>
      <c r="G4491" s="3" t="n">
        <v>3197167.68</v>
      </c>
    </row>
    <row r="4492">
      <c r="A4492" s="3" t="inlineStr">
        <is>
          <t>Heron View (Pty) Ltd</t>
        </is>
      </c>
      <c r="B4492" s="4" t="n">
        <v>45230</v>
      </c>
      <c r="C4492" s="3" t="inlineStr">
        <is>
          <t>Expenses</t>
        </is>
      </c>
      <c r="D4492" s="3" t="inlineStr">
        <is>
          <t>3900/230</t>
        </is>
      </c>
      <c r="E4492" s="3" t="inlineStr">
        <is>
          <t>Interest Paid - Investors @ 18%</t>
        </is>
      </c>
      <c r="F4492" s="3" t="n">
        <v>0</v>
      </c>
      <c r="G4492" s="3" t="n">
        <v>1428401.69</v>
      </c>
    </row>
    <row r="4493">
      <c r="A4493" s="3" t="inlineStr">
        <is>
          <t>Cape Projects Construction (Pty) Ltd</t>
        </is>
      </c>
      <c r="B4493" s="4" t="n">
        <v>45230</v>
      </c>
      <c r="C4493" s="3" t="inlineStr">
        <is>
          <t>Expenses</t>
        </is>
      </c>
      <c r="D4493" s="3" t="inlineStr">
        <is>
          <t>4000/000</t>
        </is>
      </c>
      <c r="E4493" s="3" t="inlineStr">
        <is>
          <t>Legal Fees</t>
        </is>
      </c>
      <c r="F4493" s="3" t="n">
        <v>0</v>
      </c>
      <c r="G4493" s="3" t="n">
        <v>5202.88</v>
      </c>
    </row>
    <row r="4494">
      <c r="A4494" s="3" t="inlineStr">
        <is>
          <t>Heron View (Pty) Ltd</t>
        </is>
      </c>
      <c r="B4494" s="4" t="n">
        <v>45230</v>
      </c>
      <c r="C4494" s="3" t="inlineStr">
        <is>
          <t>Expenses</t>
        </is>
      </c>
      <c r="D4494" s="3" t="inlineStr">
        <is>
          <t>4050/000</t>
        </is>
      </c>
      <c r="E4494" s="3" t="inlineStr">
        <is>
          <t>Levies</t>
        </is>
      </c>
      <c r="F4494" s="3" t="n">
        <v>0</v>
      </c>
      <c r="G4494" s="3" t="n">
        <v>95314.44</v>
      </c>
    </row>
    <row r="4495">
      <c r="A4495" s="3" t="inlineStr">
        <is>
          <t>Heron Fields (Pty) Ltd</t>
        </is>
      </c>
      <c r="B4495" s="4" t="n">
        <v>45230</v>
      </c>
      <c r="C4495" s="3" t="inlineStr">
        <is>
          <t>Expenses</t>
        </is>
      </c>
      <c r="D4495" s="3" t="inlineStr">
        <is>
          <t>4050/100</t>
        </is>
      </c>
      <c r="E4495" s="3" t="inlineStr">
        <is>
          <t>Developers Levies</t>
        </is>
      </c>
      <c r="F4495" s="3" t="n">
        <v>0</v>
      </c>
      <c r="G4495" s="3" t="n">
        <v>76865.83</v>
      </c>
    </row>
    <row r="4496">
      <c r="A4496" s="3" t="inlineStr">
        <is>
          <t>Heron Fields (Pty) Ltd</t>
        </is>
      </c>
      <c r="B4496" s="4" t="n">
        <v>45230</v>
      </c>
      <c r="C4496" s="3" t="inlineStr">
        <is>
          <t>Expenses</t>
        </is>
      </c>
      <c r="D4496" s="3" t="inlineStr">
        <is>
          <t>4050/200</t>
        </is>
      </c>
      <c r="E4496" s="3" t="inlineStr">
        <is>
          <t>Levies - Amari</t>
        </is>
      </c>
      <c r="F4496" s="3" t="n">
        <v>9670.93</v>
      </c>
      <c r="G4496" s="3" t="n">
        <v>13813.47</v>
      </c>
    </row>
    <row r="4497">
      <c r="A4497" s="3" t="inlineStr">
        <is>
          <t>Heron View (Pty) Ltd</t>
        </is>
      </c>
      <c r="B4497" s="4" t="n">
        <v>45230</v>
      </c>
      <c r="C4497" s="3" t="inlineStr">
        <is>
          <t>Expenses</t>
        </is>
      </c>
      <c r="D4497" s="3" t="inlineStr">
        <is>
          <t>4070/000</t>
        </is>
      </c>
      <c r="E4497" s="3" t="inlineStr">
        <is>
          <t>Management fees - OMH</t>
        </is>
      </c>
      <c r="F4497" s="3" t="n">
        <v>0</v>
      </c>
      <c r="G4497" s="3" t="n">
        <v>400000</v>
      </c>
    </row>
    <row r="4498">
      <c r="A4498" s="3" t="inlineStr">
        <is>
          <t>Heron Fields (Pty) Ltd</t>
        </is>
      </c>
      <c r="B4498" s="4" t="n">
        <v>45230</v>
      </c>
      <c r="C4498" s="3" t="inlineStr">
        <is>
          <t>Expenses</t>
        </is>
      </c>
      <c r="D4498" s="3" t="inlineStr">
        <is>
          <t>4100/001</t>
        </is>
      </c>
      <c r="E4498" s="3" t="inlineStr">
        <is>
          <t>Momentum Admin Fee</t>
        </is>
      </c>
      <c r="F4498" s="3" t="n">
        <v>19033.8</v>
      </c>
      <c r="G4498" s="3" t="n">
        <v>91690.37</v>
      </c>
    </row>
    <row r="4499">
      <c r="A4499" s="3" t="inlineStr">
        <is>
          <t>Cape Projects Construction (Pty) Ltd</t>
        </is>
      </c>
      <c r="B4499" s="4" t="n">
        <v>45230</v>
      </c>
      <c r="C4499" s="3" t="inlineStr">
        <is>
          <t>Expenses</t>
        </is>
      </c>
      <c r="D4499" s="3" t="inlineStr">
        <is>
          <t>4150/000</t>
        </is>
      </c>
      <c r="E4499" s="3" t="inlineStr">
        <is>
          <t>Motor Vehicle Expenses</t>
        </is>
      </c>
      <c r="F4499" s="3" t="n">
        <v>0</v>
      </c>
      <c r="G4499" s="3" t="n">
        <v>362</v>
      </c>
    </row>
    <row r="4500">
      <c r="A4500" s="3" t="inlineStr">
        <is>
          <t>Heron Fields (Pty) Ltd</t>
        </is>
      </c>
      <c r="B4500" s="4" t="n">
        <v>45230</v>
      </c>
      <c r="C4500" s="3" t="inlineStr">
        <is>
          <t>Expenses</t>
        </is>
      </c>
      <c r="D4500" s="3" t="inlineStr">
        <is>
          <t>4150/000</t>
        </is>
      </c>
      <c r="E4500" s="3" t="inlineStr">
        <is>
          <t>Motor Vehicle Expenses</t>
        </is>
      </c>
      <c r="F4500" s="3" t="n">
        <v>0</v>
      </c>
      <c r="G4500" s="3" t="n">
        <v>20</v>
      </c>
    </row>
    <row r="4501">
      <c r="A4501" s="3" t="inlineStr">
        <is>
          <t>Cape Projects Construction (Pty) Ltd</t>
        </is>
      </c>
      <c r="B4501" s="4" t="n">
        <v>45230</v>
      </c>
      <c r="C4501" s="3" t="inlineStr">
        <is>
          <t>Expenses</t>
        </is>
      </c>
      <c r="D4501" s="3" t="inlineStr">
        <is>
          <t>4150/010</t>
        </is>
      </c>
      <c r="E4501" s="3" t="inlineStr">
        <is>
          <t>Motor Vehicle - Petrol _AND_ Oil</t>
        </is>
      </c>
      <c r="F4501" s="3" t="n">
        <v>1789.91</v>
      </c>
      <c r="G4501" s="3" t="n">
        <v>31838.34</v>
      </c>
    </row>
    <row r="4502">
      <c r="A4502" s="3" t="inlineStr">
        <is>
          <t>Cape Projects Construction (Pty) Ltd</t>
        </is>
      </c>
      <c r="B4502" s="4" t="n">
        <v>45230</v>
      </c>
      <c r="C4502" s="3" t="inlineStr">
        <is>
          <t>Expenses</t>
        </is>
      </c>
      <c r="D4502" s="3" t="inlineStr">
        <is>
          <t>4150/020</t>
        </is>
      </c>
      <c r="E4502" s="3" t="inlineStr">
        <is>
          <t>Motor Vehicle - Repairs _AND_ Maint.</t>
        </is>
      </c>
      <c r="F4502" s="3" t="n">
        <v>31.3</v>
      </c>
      <c r="G4502" s="3" t="n">
        <v>3668.3</v>
      </c>
    </row>
    <row r="4503">
      <c r="A4503" s="3" t="inlineStr">
        <is>
          <t>Cape Projects Construction (Pty) Ltd</t>
        </is>
      </c>
      <c r="B4503" s="4" t="n">
        <v>45230</v>
      </c>
      <c r="C4503" s="3" t="inlineStr">
        <is>
          <t>Expenses</t>
        </is>
      </c>
      <c r="D4503" s="3" t="inlineStr">
        <is>
          <t>4150/030</t>
        </is>
      </c>
      <c r="E4503" s="3" t="inlineStr">
        <is>
          <t>Motor Vehicle - Insurance _AND_ Licence</t>
        </is>
      </c>
      <c r="F4503" s="3" t="n">
        <v>0</v>
      </c>
      <c r="G4503" s="3" t="n">
        <v>1069</v>
      </c>
    </row>
    <row r="4504">
      <c r="A4504" s="3" t="inlineStr">
        <is>
          <t>Cape Projects Construction (Pty) Ltd</t>
        </is>
      </c>
      <c r="B4504" s="4" t="n">
        <v>45230</v>
      </c>
      <c r="C4504" s="3" t="inlineStr">
        <is>
          <t>Expenses</t>
        </is>
      </c>
      <c r="D4504" s="3" t="inlineStr">
        <is>
          <t>4200/000</t>
        </is>
      </c>
      <c r="E4504" s="3" t="inlineStr">
        <is>
          <t>Printing _AND_ Stationery</t>
        </is>
      </c>
      <c r="F4504" s="3" t="n">
        <v>5021.88</v>
      </c>
      <c r="G4504" s="3" t="n">
        <v>30918.18</v>
      </c>
    </row>
    <row r="4505">
      <c r="A4505" s="3" t="inlineStr">
        <is>
          <t>Cape Projects Construction (Pty) Ltd</t>
        </is>
      </c>
      <c r="B4505" s="4" t="n">
        <v>45230</v>
      </c>
      <c r="C4505" s="3" t="inlineStr">
        <is>
          <t>Expenses</t>
        </is>
      </c>
      <c r="D4505" s="3" t="inlineStr">
        <is>
          <t>4201/000</t>
        </is>
      </c>
      <c r="E4505" s="3" t="inlineStr">
        <is>
          <t>Printing - Printer rental</t>
        </is>
      </c>
      <c r="F4505" s="3" t="n">
        <v>2304.82</v>
      </c>
      <c r="G4505" s="3" t="n">
        <v>16773.71</v>
      </c>
    </row>
    <row r="4506">
      <c r="A4506" s="3" t="inlineStr">
        <is>
          <t>Cape Projects Construction (Pty) Ltd</t>
        </is>
      </c>
      <c r="B4506" s="4" t="n">
        <v>45230</v>
      </c>
      <c r="C4506" s="3" t="inlineStr">
        <is>
          <t>Expenses</t>
        </is>
      </c>
      <c r="D4506" s="3" t="inlineStr">
        <is>
          <t>4300/000</t>
        </is>
      </c>
      <c r="E4506" s="3" t="inlineStr">
        <is>
          <t>Rent Paid</t>
        </is>
      </c>
      <c r="F4506" s="3" t="n">
        <v>29600</v>
      </c>
      <c r="G4506" s="3" t="n">
        <v>236800</v>
      </c>
    </row>
    <row r="4507">
      <c r="A4507" s="3" t="inlineStr">
        <is>
          <t>Cape Projects Construction (Pty) Ltd</t>
        </is>
      </c>
      <c r="B4507" s="4" t="n">
        <v>45230</v>
      </c>
      <c r="C4507" s="3" t="inlineStr">
        <is>
          <t>Expenses</t>
        </is>
      </c>
      <c r="D4507" s="3" t="inlineStr">
        <is>
          <t>4310/000</t>
        </is>
      </c>
      <c r="E4507" s="3" t="inlineStr">
        <is>
          <t>Rates</t>
        </is>
      </c>
      <c r="F4507" s="3" t="n">
        <v>989.75</v>
      </c>
      <c r="G4507" s="3" t="n">
        <v>9068.540000000001</v>
      </c>
    </row>
    <row r="4508">
      <c r="A4508" s="3" t="inlineStr">
        <is>
          <t>Heron Fields (Pty) Ltd</t>
        </is>
      </c>
      <c r="B4508" s="4" t="n">
        <v>45230</v>
      </c>
      <c r="C4508" s="3" t="inlineStr">
        <is>
          <t>Expenses</t>
        </is>
      </c>
      <c r="D4508" s="3" t="inlineStr">
        <is>
          <t>4310/000</t>
        </is>
      </c>
      <c r="E4508" s="3" t="inlineStr">
        <is>
          <t>Rates - Heron</t>
        </is>
      </c>
      <c r="F4508" s="3" t="n">
        <v>0</v>
      </c>
      <c r="G4508" s="3" t="n">
        <v>-2317.84</v>
      </c>
    </row>
    <row r="4509">
      <c r="A4509" s="3" t="inlineStr">
        <is>
          <t>Cape Projects Construction (Pty) Ltd</t>
        </is>
      </c>
      <c r="B4509" s="4" t="n">
        <v>45230</v>
      </c>
      <c r="C4509" s="3" t="inlineStr">
        <is>
          <t>Expenses</t>
        </is>
      </c>
      <c r="D4509" s="3" t="inlineStr">
        <is>
          <t>4350/000</t>
        </is>
      </c>
      <c r="E4509" s="3" t="inlineStr">
        <is>
          <t>Repairs _AND_ Maintenance</t>
        </is>
      </c>
      <c r="F4509" s="3" t="n">
        <v>63.04</v>
      </c>
      <c r="G4509" s="3" t="n">
        <v>15525.05</v>
      </c>
    </row>
    <row r="4510">
      <c r="A4510" s="3" t="inlineStr">
        <is>
          <t>Heron Fields (Pty) Ltd</t>
        </is>
      </c>
      <c r="B4510" s="4" t="n">
        <v>45230</v>
      </c>
      <c r="C4510" s="3" t="inlineStr">
        <is>
          <t>Expenses</t>
        </is>
      </c>
      <c r="D4510" s="3" t="inlineStr">
        <is>
          <t>4350/000</t>
        </is>
      </c>
      <c r="E4510" s="3" t="inlineStr">
        <is>
          <t>Repairs _AND_ Maintenance</t>
        </is>
      </c>
      <c r="F4510" s="3" t="n">
        <v>900</v>
      </c>
      <c r="G4510" s="3" t="n">
        <v>34547.28</v>
      </c>
    </row>
    <row r="4511">
      <c r="A4511" s="3" t="inlineStr">
        <is>
          <t>Heron View (Pty) Ltd</t>
        </is>
      </c>
      <c r="B4511" s="4" t="n">
        <v>45230</v>
      </c>
      <c r="C4511" s="3" t="inlineStr">
        <is>
          <t>Expenses</t>
        </is>
      </c>
      <c r="D4511" s="3" t="inlineStr">
        <is>
          <t>4350/000</t>
        </is>
      </c>
      <c r="E4511" s="3" t="inlineStr">
        <is>
          <t>Repairs _AND_ Maintenance</t>
        </is>
      </c>
      <c r="F4511" s="3" t="n">
        <v>-1003.07</v>
      </c>
      <c r="G4511" s="3" t="n">
        <v>15563.49</v>
      </c>
    </row>
    <row r="4512">
      <c r="A4512" s="3" t="inlineStr">
        <is>
          <t>Cape Projects Construction (Pty) Ltd</t>
        </is>
      </c>
      <c r="B4512" s="4" t="n">
        <v>45230</v>
      </c>
      <c r="C4512" s="3" t="inlineStr">
        <is>
          <t>Expenses</t>
        </is>
      </c>
      <c r="D4512" s="3" t="inlineStr">
        <is>
          <t>4400/000</t>
        </is>
      </c>
      <c r="E4512" s="3" t="inlineStr">
        <is>
          <t>Salaries _AND_ Wages</t>
        </is>
      </c>
      <c r="F4512" s="3" t="n">
        <v>424105.1</v>
      </c>
      <c r="G4512" s="3" t="n">
        <v>2883662.93</v>
      </c>
    </row>
    <row r="4513">
      <c r="A4513" s="3" t="inlineStr">
        <is>
          <t>Cape Projects Construction (Pty) Ltd</t>
        </is>
      </c>
      <c r="B4513" s="4" t="n">
        <v>45230</v>
      </c>
      <c r="C4513" s="3" t="inlineStr">
        <is>
          <t>Expenses</t>
        </is>
      </c>
      <c r="D4513" s="3" t="inlineStr">
        <is>
          <t>4402</t>
        </is>
      </c>
      <c r="E4513" s="3" t="inlineStr">
        <is>
          <t>Salaries &amp; Wages - WCA</t>
        </is>
      </c>
      <c r="F4513" s="3" t="n">
        <v>0</v>
      </c>
      <c r="G4513" s="3" t="n">
        <v>5192.13</v>
      </c>
    </row>
    <row r="4514">
      <c r="A4514" s="3" t="inlineStr">
        <is>
          <t>Cape Projects Construction (Pty) Ltd</t>
        </is>
      </c>
      <c r="B4514" s="4" t="n">
        <v>45230</v>
      </c>
      <c r="C4514" s="3" t="inlineStr">
        <is>
          <t>Expenses</t>
        </is>
      </c>
      <c r="D4514" s="3" t="inlineStr">
        <is>
          <t>4403/000</t>
        </is>
      </c>
      <c r="E4514" s="3" t="inlineStr">
        <is>
          <t>Security</t>
        </is>
      </c>
      <c r="F4514" s="3" t="n">
        <v>191.17</v>
      </c>
      <c r="G4514" s="3" t="n">
        <v>1432.48</v>
      </c>
    </row>
    <row r="4515">
      <c r="A4515" s="3" t="inlineStr">
        <is>
          <t>Cape Projects Construction (Pty) Ltd</t>
        </is>
      </c>
      <c r="B4515" s="4" t="n">
        <v>45230</v>
      </c>
      <c r="C4515" s="3" t="inlineStr">
        <is>
          <t>Expenses</t>
        </is>
      </c>
      <c r="D4515" s="3" t="inlineStr">
        <is>
          <t>4420/000</t>
        </is>
      </c>
      <c r="E4515" s="3" t="inlineStr">
        <is>
          <t>Small Assets</t>
        </is>
      </c>
      <c r="F4515" s="3" t="n">
        <v>7942.28</v>
      </c>
      <c r="G4515" s="3" t="n">
        <v>31010.74</v>
      </c>
    </row>
    <row r="4516">
      <c r="A4516" s="3" t="inlineStr">
        <is>
          <t>Heron Fields (Pty) Ltd</t>
        </is>
      </c>
      <c r="B4516" s="4" t="n">
        <v>45230</v>
      </c>
      <c r="C4516" s="3" t="inlineStr">
        <is>
          <t>Expenses</t>
        </is>
      </c>
      <c r="D4516" s="3" t="inlineStr">
        <is>
          <t>4420/001</t>
        </is>
      </c>
      <c r="E4516" s="3" t="inlineStr">
        <is>
          <t>Security - ADT</t>
        </is>
      </c>
      <c r="F4516" s="3" t="n">
        <v>366.14</v>
      </c>
      <c r="G4516" s="3" t="n">
        <v>2815.84</v>
      </c>
    </row>
    <row r="4517">
      <c r="A4517" s="3" t="inlineStr">
        <is>
          <t>Cape Projects Construction (Pty) Ltd</t>
        </is>
      </c>
      <c r="B4517" s="4" t="n">
        <v>45230</v>
      </c>
      <c r="C4517" s="3" t="inlineStr">
        <is>
          <t>Expenses</t>
        </is>
      </c>
      <c r="D4517" s="3" t="inlineStr">
        <is>
          <t>4450/000</t>
        </is>
      </c>
      <c r="E4517" s="3" t="inlineStr">
        <is>
          <t>Staff Training</t>
        </is>
      </c>
      <c r="F4517" s="3" t="n">
        <v>2262.6</v>
      </c>
      <c r="G4517" s="3" t="n">
        <v>2262.6</v>
      </c>
    </row>
    <row r="4518">
      <c r="A4518" s="3" t="inlineStr">
        <is>
          <t>Cape Projects Construction (Pty) Ltd</t>
        </is>
      </c>
      <c r="B4518" s="4" t="n">
        <v>45230</v>
      </c>
      <c r="C4518" s="3" t="inlineStr">
        <is>
          <t>Expenses</t>
        </is>
      </c>
      <c r="D4518" s="3" t="inlineStr">
        <is>
          <t>4500/000</t>
        </is>
      </c>
      <c r="E4518" s="3" t="inlineStr">
        <is>
          <t>Staff Welfare _AND_ Refreshmts</t>
        </is>
      </c>
      <c r="F4518" s="3" t="n">
        <v>2655.98</v>
      </c>
      <c r="G4518" s="3" t="n">
        <v>31136.13</v>
      </c>
    </row>
    <row r="4519">
      <c r="A4519" s="3" t="inlineStr">
        <is>
          <t>Cape Projects Construction (Pty) Ltd</t>
        </is>
      </c>
      <c r="B4519" s="4" t="n">
        <v>45230</v>
      </c>
      <c r="C4519" s="3" t="inlineStr">
        <is>
          <t>Expenses</t>
        </is>
      </c>
      <c r="D4519" s="3" t="inlineStr">
        <is>
          <t>4550/000</t>
        </is>
      </c>
      <c r="E4519" s="3" t="inlineStr">
        <is>
          <t>Subscriptions / Licenses</t>
        </is>
      </c>
      <c r="F4519" s="3" t="n">
        <v>0</v>
      </c>
      <c r="G4519" s="3" t="n">
        <v>13527.97</v>
      </c>
    </row>
    <row r="4520">
      <c r="A4520" s="3" t="inlineStr">
        <is>
          <t>Cape Projects Construction (Pty) Ltd</t>
        </is>
      </c>
      <c r="B4520" s="4" t="n">
        <v>45230</v>
      </c>
      <c r="C4520" s="3" t="inlineStr">
        <is>
          <t>Expenses</t>
        </is>
      </c>
      <c r="D4520" s="3" t="inlineStr">
        <is>
          <t>4550/001</t>
        </is>
      </c>
      <c r="E4520" s="3" t="inlineStr">
        <is>
          <t>Subscriptions &amp; Licenses - Sage payroll</t>
        </is>
      </c>
      <c r="F4520" s="3" t="n">
        <v>747</v>
      </c>
      <c r="G4520" s="3" t="n">
        <v>5976</v>
      </c>
    </row>
    <row r="4521">
      <c r="A4521" s="3" t="inlineStr">
        <is>
          <t>Cape Projects Construction (Pty) Ltd</t>
        </is>
      </c>
      <c r="B4521" s="4" t="n">
        <v>45230</v>
      </c>
      <c r="C4521" s="3" t="inlineStr">
        <is>
          <t>Expenses</t>
        </is>
      </c>
      <c r="D4521" s="3" t="inlineStr">
        <is>
          <t>4550/002</t>
        </is>
      </c>
      <c r="E4521" s="3" t="inlineStr">
        <is>
          <t>Subscriptions &amp; Licenses - Caseware</t>
        </is>
      </c>
      <c r="F4521" s="3" t="n">
        <v>0</v>
      </c>
      <c r="G4521" s="3" t="n">
        <v>10825.49</v>
      </c>
    </row>
    <row r="4522">
      <c r="A4522" s="3" t="inlineStr">
        <is>
          <t>Cape Projects Construction (Pty) Ltd</t>
        </is>
      </c>
      <c r="B4522" s="4" t="n">
        <v>45230</v>
      </c>
      <c r="C4522" s="3" t="inlineStr">
        <is>
          <t>Expenses</t>
        </is>
      </c>
      <c r="D4522" s="3" t="inlineStr">
        <is>
          <t>4550/003</t>
        </is>
      </c>
      <c r="E4522" s="3" t="inlineStr">
        <is>
          <t>Subscriptions &amp; Licenses - Xero</t>
        </is>
      </c>
      <c r="F4522" s="3" t="n">
        <v>600</v>
      </c>
      <c r="G4522" s="3" t="n">
        <v>4800</v>
      </c>
    </row>
    <row r="4523">
      <c r="A4523" s="3" t="inlineStr">
        <is>
          <t>Cape Projects Construction (Pty) Ltd</t>
        </is>
      </c>
      <c r="B4523" s="4" t="n">
        <v>45230</v>
      </c>
      <c r="C4523" s="3" t="inlineStr">
        <is>
          <t>Expenses</t>
        </is>
      </c>
      <c r="D4523" s="3" t="inlineStr">
        <is>
          <t>4550/004</t>
        </is>
      </c>
      <c r="E4523" s="3" t="inlineStr">
        <is>
          <t>Subscriptions - Smartsheet</t>
        </is>
      </c>
      <c r="F4523" s="3" t="n">
        <v>847</v>
      </c>
      <c r="G4523" s="3" t="n">
        <v>6580.72</v>
      </c>
    </row>
    <row r="4524">
      <c r="A4524" s="3" t="inlineStr">
        <is>
          <t>Cape Projects Construction (Pty) Ltd</t>
        </is>
      </c>
      <c r="B4524" s="4" t="n">
        <v>45230</v>
      </c>
      <c r="C4524" s="3" t="inlineStr">
        <is>
          <t>Expenses</t>
        </is>
      </c>
      <c r="D4524" s="3" t="inlineStr">
        <is>
          <t>4550/008</t>
        </is>
      </c>
      <c r="E4524" s="3" t="inlineStr">
        <is>
          <t>Subscriptions  - Adobe</t>
        </is>
      </c>
      <c r="F4524" s="3" t="n">
        <v>0</v>
      </c>
      <c r="G4524" s="3" t="n">
        <v>4498.72</v>
      </c>
    </row>
    <row r="4525">
      <c r="A4525" s="3" t="inlineStr">
        <is>
          <t>Heron Fields (Pty) Ltd</t>
        </is>
      </c>
      <c r="B4525" s="4" t="n">
        <v>45230</v>
      </c>
      <c r="C4525" s="3" t="inlineStr">
        <is>
          <t>Expenses</t>
        </is>
      </c>
      <c r="D4525" s="3" t="inlineStr">
        <is>
          <t>4550/100</t>
        </is>
      </c>
      <c r="E4525" s="3" t="inlineStr">
        <is>
          <t>Subscriptions - Xero</t>
        </is>
      </c>
      <c r="F4525" s="3" t="n">
        <v>600</v>
      </c>
      <c r="G4525" s="3" t="n">
        <v>4800</v>
      </c>
    </row>
    <row r="4526">
      <c r="A4526" s="3" t="inlineStr">
        <is>
          <t>Heron View (Pty) Ltd</t>
        </is>
      </c>
      <c r="B4526" s="4" t="n">
        <v>45230</v>
      </c>
      <c r="C4526" s="3" t="inlineStr">
        <is>
          <t>Expenses</t>
        </is>
      </c>
      <c r="D4526" s="3" t="inlineStr">
        <is>
          <t>4550/100</t>
        </is>
      </c>
      <c r="E4526" s="3" t="inlineStr">
        <is>
          <t>Subscriptions - Xero</t>
        </is>
      </c>
      <c r="F4526" s="3" t="n">
        <v>600</v>
      </c>
      <c r="G4526" s="3" t="n">
        <v>4800</v>
      </c>
    </row>
    <row r="4527">
      <c r="A4527" s="3" t="inlineStr">
        <is>
          <t>Heron Fields (Pty) Ltd</t>
        </is>
      </c>
      <c r="B4527" s="4" t="n">
        <v>45230</v>
      </c>
      <c r="C4527" s="3" t="inlineStr">
        <is>
          <t>Expenses</t>
        </is>
      </c>
      <c r="D4527" s="3" t="inlineStr">
        <is>
          <t>4550/200</t>
        </is>
      </c>
      <c r="E4527" s="3" t="inlineStr">
        <is>
          <t>Subscription - NHBRC</t>
        </is>
      </c>
      <c r="F4527" s="3" t="n">
        <v>526.3200000000001</v>
      </c>
      <c r="G4527" s="3" t="n">
        <v>526.3200000000001</v>
      </c>
    </row>
    <row r="4528">
      <c r="A4528" s="3" t="inlineStr">
        <is>
          <t>Cape Projects Construction (Pty) Ltd</t>
        </is>
      </c>
      <c r="B4528" s="4" t="n">
        <v>45230</v>
      </c>
      <c r="C4528" s="3" t="inlineStr">
        <is>
          <t>Expenses</t>
        </is>
      </c>
      <c r="D4528" s="3" t="inlineStr">
        <is>
          <t>4560</t>
        </is>
      </c>
      <c r="E4528" s="3" t="inlineStr">
        <is>
          <t>Secretarial fees - CIPC</t>
        </is>
      </c>
      <c r="F4528" s="3" t="n">
        <v>0</v>
      </c>
      <c r="G4528" s="3" t="n">
        <v>4000</v>
      </c>
    </row>
    <row r="4529">
      <c r="A4529" s="3" t="inlineStr">
        <is>
          <t>Cape Projects Construction (Pty) Ltd</t>
        </is>
      </c>
      <c r="B4529" s="4" t="n">
        <v>45230</v>
      </c>
      <c r="C4529" s="3" t="inlineStr">
        <is>
          <t>Expenses</t>
        </is>
      </c>
      <c r="D4529" s="3" t="inlineStr">
        <is>
          <t>4600/000</t>
        </is>
      </c>
      <c r="E4529" s="3" t="inlineStr">
        <is>
          <t>Telephone _AND_ Fax</t>
        </is>
      </c>
      <c r="F4529" s="3" t="n">
        <v>0</v>
      </c>
      <c r="G4529" s="3" t="n">
        <v>11566.33</v>
      </c>
    </row>
    <row r="4530">
      <c r="A4530" s="3" t="inlineStr">
        <is>
          <t>Cape Projects Construction (Pty) Ltd</t>
        </is>
      </c>
      <c r="B4530" s="4" t="n">
        <v>45230</v>
      </c>
      <c r="C4530" s="3" t="inlineStr">
        <is>
          <t>Expenses</t>
        </is>
      </c>
      <c r="D4530" s="3" t="inlineStr">
        <is>
          <t>4700/000</t>
        </is>
      </c>
      <c r="E4530" s="3" t="inlineStr">
        <is>
          <t>PAYE Contributions</t>
        </is>
      </c>
      <c r="F4530" s="3" t="n">
        <v>89188.14999999999</v>
      </c>
      <c r="G4530" s="3" t="n">
        <v>648158.1</v>
      </c>
    </row>
    <row r="4531">
      <c r="A4531" s="3" t="inlineStr">
        <is>
          <t>Cape Projects Construction (Pty) Ltd</t>
        </is>
      </c>
      <c r="B4531" s="4" t="n">
        <v>45230</v>
      </c>
      <c r="C4531" s="3" t="inlineStr">
        <is>
          <t>Expenses</t>
        </is>
      </c>
      <c r="D4531" s="3" t="inlineStr">
        <is>
          <t>4720/000</t>
        </is>
      </c>
      <c r="E4531" s="3" t="inlineStr">
        <is>
          <t>SDL Contributions</t>
        </is>
      </c>
      <c r="F4531" s="3" t="n">
        <v>5014.74</v>
      </c>
      <c r="G4531" s="3" t="n">
        <v>34326.46</v>
      </c>
    </row>
    <row r="4532">
      <c r="A4532" s="3" t="inlineStr">
        <is>
          <t>Cape Projects Construction (Pty) Ltd</t>
        </is>
      </c>
      <c r="B4532" s="4" t="n">
        <v>45230</v>
      </c>
      <c r="C4532" s="3" t="inlineStr">
        <is>
          <t>Expenses</t>
        </is>
      </c>
      <c r="D4532" s="3" t="inlineStr">
        <is>
          <t>4730/000</t>
        </is>
      </c>
      <c r="E4532" s="3" t="inlineStr">
        <is>
          <t>UIF Company Contributions</t>
        </is>
      </c>
      <c r="F4532" s="3" t="n">
        <v>3028.4</v>
      </c>
      <c r="G4532" s="3" t="n">
        <v>18730.35</v>
      </c>
    </row>
    <row r="4533">
      <c r="A4533" s="3" t="inlineStr">
        <is>
          <t>Cape Projects Construction (Pty) Ltd</t>
        </is>
      </c>
      <c r="B4533" s="4" t="n">
        <v>45230</v>
      </c>
      <c r="C4533" s="3" t="inlineStr">
        <is>
          <t>Expenses</t>
        </is>
      </c>
      <c r="D4533" s="3" t="inlineStr">
        <is>
          <t>4731/000</t>
        </is>
      </c>
      <c r="E4533" s="3" t="inlineStr">
        <is>
          <t>UIF Employee Contribution</t>
        </is>
      </c>
      <c r="F4533" s="3" t="n">
        <v>3028.4</v>
      </c>
      <c r="G4533" s="3" t="n">
        <v>18730.35</v>
      </c>
    </row>
    <row r="4534">
      <c r="A4534" s="3" t="inlineStr">
        <is>
          <t>Cape Projects Construction (Pty) Ltd</t>
        </is>
      </c>
      <c r="B4534" s="4" t="n">
        <v>45230</v>
      </c>
      <c r="C4534" s="3" t="inlineStr">
        <is>
          <t>Expenses</t>
        </is>
      </c>
      <c r="D4534" s="3" t="inlineStr">
        <is>
          <t>4740/000</t>
        </is>
      </c>
      <c r="E4534" s="3" t="inlineStr">
        <is>
          <t>BIBC Company Contribution</t>
        </is>
      </c>
      <c r="F4534" s="3" t="n">
        <v>0</v>
      </c>
      <c r="G4534" s="3" t="n">
        <v>15075.35</v>
      </c>
    </row>
    <row r="4535">
      <c r="A4535" s="3" t="inlineStr">
        <is>
          <t>Cape Projects Construction (Pty) Ltd</t>
        </is>
      </c>
      <c r="B4535" s="4" t="n">
        <v>45230</v>
      </c>
      <c r="C4535" s="3" t="inlineStr">
        <is>
          <t>Expenses</t>
        </is>
      </c>
      <c r="D4535" s="3" t="inlineStr">
        <is>
          <t>4741/000</t>
        </is>
      </c>
      <c r="E4535" s="3" t="inlineStr">
        <is>
          <t>BIBC Employee Contribution</t>
        </is>
      </c>
      <c r="F4535" s="3" t="n">
        <v>0</v>
      </c>
      <c r="G4535" s="3" t="n">
        <v>4562.1</v>
      </c>
    </row>
    <row r="4536">
      <c r="A4536" s="3" t="inlineStr">
        <is>
          <t>Heron Fields (Pty) Ltd</t>
        </is>
      </c>
      <c r="B4536" s="4" t="n">
        <v>45230</v>
      </c>
      <c r="C4536" s="3" t="inlineStr">
        <is>
          <t>Equity</t>
        </is>
      </c>
      <c r="D4536" s="3" t="inlineStr">
        <is>
          <t>5100-000</t>
        </is>
      </c>
      <c r="E4536" s="3" t="inlineStr">
        <is>
          <t>Share Capital</t>
        </is>
      </c>
      <c r="F4536" s="3" t="n">
        <v>0</v>
      </c>
      <c r="G4536" s="3" t="n">
        <v>-100</v>
      </c>
    </row>
    <row r="4537">
      <c r="A4537" s="3" t="inlineStr">
        <is>
          <t>Cape Projects Construction (Pty) Ltd</t>
        </is>
      </c>
      <c r="B4537" s="4" t="n">
        <v>45230</v>
      </c>
      <c r="C4537" s="3" t="inlineStr">
        <is>
          <t>Equity</t>
        </is>
      </c>
      <c r="D4537" s="3" t="inlineStr">
        <is>
          <t>5100/000</t>
        </is>
      </c>
      <c r="E4537" s="3" t="inlineStr">
        <is>
          <t>Share Capital / Members Contribution</t>
        </is>
      </c>
      <c r="F4537" s="3" t="n">
        <v>0</v>
      </c>
      <c r="G4537" s="3" t="n">
        <v>-120</v>
      </c>
    </row>
    <row r="4538">
      <c r="A4538" s="3" t="inlineStr">
        <is>
          <t>Cape Projects Construction (Pty) Ltd</t>
        </is>
      </c>
      <c r="B4538" s="4" t="n">
        <v>45230</v>
      </c>
      <c r="C4538" s="3" t="inlineStr">
        <is>
          <t>Equity</t>
        </is>
      </c>
      <c r="D4538" s="3" t="inlineStr">
        <is>
          <t>5200/000</t>
        </is>
      </c>
      <c r="E4538" s="3" t="inlineStr">
        <is>
          <t>Retained Earnings / Loss</t>
        </is>
      </c>
      <c r="F4538" s="3" t="n">
        <v>0</v>
      </c>
      <c r="G4538" s="3" t="n">
        <v>-296075.58</v>
      </c>
    </row>
    <row r="4539">
      <c r="A4539" s="3" t="inlineStr">
        <is>
          <t>Heron Fields (Pty) Ltd</t>
        </is>
      </c>
      <c r="B4539" s="4" t="n">
        <v>45230</v>
      </c>
      <c r="C4539" s="3" t="inlineStr">
        <is>
          <t>Equity</t>
        </is>
      </c>
      <c r="D4539" s="3" t="inlineStr">
        <is>
          <t>5200/000</t>
        </is>
      </c>
      <c r="E4539" s="3" t="inlineStr">
        <is>
          <t>Retained Earnings / Loss</t>
        </is>
      </c>
      <c r="F4539" s="3" t="n">
        <v>0</v>
      </c>
      <c r="G4539" s="3" t="n">
        <v>-17843179.58</v>
      </c>
    </row>
    <row r="4540">
      <c r="A4540" s="3" t="inlineStr">
        <is>
          <t>Heron View (Pty) Ltd</t>
        </is>
      </c>
      <c r="B4540" s="4" t="n">
        <v>45230</v>
      </c>
      <c r="C4540" s="3" t="inlineStr">
        <is>
          <t>Equity</t>
        </is>
      </c>
      <c r="D4540" s="3" t="inlineStr">
        <is>
          <t>5200/000</t>
        </is>
      </c>
      <c r="E4540" s="3" t="inlineStr">
        <is>
          <t>Retained Earnings / Loss</t>
        </is>
      </c>
      <c r="F4540" s="3" t="n">
        <v>0</v>
      </c>
      <c r="G4540" s="3" t="n">
        <v>70398.12</v>
      </c>
    </row>
    <row r="4541">
      <c r="A4541" s="3" t="inlineStr">
        <is>
          <t>Heron Fields (Pty) Ltd</t>
        </is>
      </c>
      <c r="B4541" s="4" t="n">
        <v>45230</v>
      </c>
      <c r="C4541" s="3" t="inlineStr">
        <is>
          <t>Assets</t>
        </is>
      </c>
      <c r="D4541" s="3" t="inlineStr">
        <is>
          <t>5300/001</t>
        </is>
      </c>
      <c r="E4541" s="3" t="inlineStr">
        <is>
          <t>Revaluation of Land stock</t>
        </is>
      </c>
      <c r="F4541" s="3" t="n">
        <v>0</v>
      </c>
      <c r="G4541" s="3" t="n">
        <v>17562360.85</v>
      </c>
    </row>
    <row r="4542">
      <c r="A4542" s="3" t="inlineStr">
        <is>
          <t>Heron Fields (Pty) Ltd</t>
        </is>
      </c>
      <c r="B4542" s="4" t="n">
        <v>45230</v>
      </c>
      <c r="C4542" s="3" t="inlineStr">
        <is>
          <t>Assets</t>
        </is>
      </c>
      <c r="D4542" s="3" t="inlineStr">
        <is>
          <t>5400/000</t>
        </is>
      </c>
      <c r="E4542" s="3" t="inlineStr">
        <is>
          <t>Deposit: Ruiterwacht development</t>
        </is>
      </c>
      <c r="F4542" s="3" t="n">
        <v>3150000</v>
      </c>
      <c r="G4542" s="3" t="n">
        <v>3150000</v>
      </c>
    </row>
    <row r="4543">
      <c r="A4543" s="3" t="inlineStr">
        <is>
          <t>Cape Projects Construction (Pty) Ltd</t>
        </is>
      </c>
      <c r="B4543" s="4" t="n">
        <v>45230</v>
      </c>
      <c r="C4543" s="3" t="inlineStr">
        <is>
          <t>Assets</t>
        </is>
      </c>
      <c r="D4543" s="3" t="inlineStr">
        <is>
          <t>5400/150</t>
        </is>
      </c>
      <c r="E4543" s="3" t="inlineStr">
        <is>
          <t>Loan - Quinate</t>
        </is>
      </c>
      <c r="F4543" s="3" t="n">
        <v>-280000</v>
      </c>
      <c r="G4543" s="3" t="n">
        <v>110000</v>
      </c>
    </row>
    <row r="4544">
      <c r="A4544" s="3" t="inlineStr">
        <is>
          <t>Cape Projects Construction (Pty) Ltd</t>
        </is>
      </c>
      <c r="B4544" s="4" t="n">
        <v>45230</v>
      </c>
      <c r="C4544" s="3" t="inlineStr">
        <is>
          <t>Assets</t>
        </is>
      </c>
      <c r="D4544" s="3" t="inlineStr">
        <is>
          <t>5400/220</t>
        </is>
      </c>
      <c r="E4544" s="3" t="inlineStr">
        <is>
          <t>Members Loan - WH</t>
        </is>
      </c>
      <c r="F4544" s="3" t="n">
        <v>0</v>
      </c>
      <c r="G4544" s="3" t="n">
        <v>-4342.5</v>
      </c>
    </row>
    <row r="4545">
      <c r="A4545" s="3" t="inlineStr">
        <is>
          <t>Cape Projects Construction (Pty) Ltd</t>
        </is>
      </c>
      <c r="B4545" s="4" t="n">
        <v>45230</v>
      </c>
      <c r="C4545" s="3" t="inlineStr">
        <is>
          <t>Assets</t>
        </is>
      </c>
      <c r="D4545" s="3" t="inlineStr">
        <is>
          <t>5400/300</t>
        </is>
      </c>
      <c r="E4545" s="3" t="inlineStr">
        <is>
          <t>Loan - Opportunity ResidentialCUST ACC</t>
        </is>
      </c>
      <c r="F4545" s="3" t="n">
        <v>0</v>
      </c>
      <c r="G4545" s="3" t="n">
        <v>4702.35</v>
      </c>
    </row>
    <row r="4546">
      <c r="A4546" s="3" t="inlineStr">
        <is>
          <t>Cape Projects Construction (Pty) Ltd</t>
        </is>
      </c>
      <c r="B4546" s="4" t="n">
        <v>45230</v>
      </c>
      <c r="C4546" s="3" t="inlineStr">
        <is>
          <t>Assets</t>
        </is>
      </c>
      <c r="D4546" s="3" t="inlineStr">
        <is>
          <t>5400/450</t>
        </is>
      </c>
      <c r="E4546" s="3" t="inlineStr">
        <is>
          <t>Loan - Opportunity Investment</t>
        </is>
      </c>
      <c r="F4546" s="3" t="n">
        <v>60000</v>
      </c>
      <c r="G4546" s="3" t="n">
        <v>-2201000</v>
      </c>
    </row>
    <row r="4547">
      <c r="A4547" s="3" t="inlineStr">
        <is>
          <t>Cape Projects Construction (Pty) Ltd</t>
        </is>
      </c>
      <c r="B4547" s="4" t="n">
        <v>45230</v>
      </c>
      <c r="C4547" s="3" t="inlineStr">
        <is>
          <t>Assets</t>
        </is>
      </c>
      <c r="D4547" s="3" t="inlineStr">
        <is>
          <t>5400/500</t>
        </is>
      </c>
      <c r="E4547" s="3" t="inlineStr">
        <is>
          <t>Loan - Blou Mamba Trust</t>
        </is>
      </c>
      <c r="F4547" s="3" t="n">
        <v>0</v>
      </c>
      <c r="G4547" s="3" t="n">
        <v>4342.5</v>
      </c>
    </row>
    <row r="4548">
      <c r="A4548" s="3" t="inlineStr">
        <is>
          <t>Cape Projects Construction (Pty) Ltd</t>
        </is>
      </c>
      <c r="B4548" s="4" t="n">
        <v>45230</v>
      </c>
      <c r="C4548" s="3" t="inlineStr">
        <is>
          <t>Assets</t>
        </is>
      </c>
      <c r="D4548" s="3" t="inlineStr">
        <is>
          <t>5400/550</t>
        </is>
      </c>
      <c r="E4548" s="3" t="inlineStr">
        <is>
          <t>Loan - Trademark</t>
        </is>
      </c>
      <c r="F4548" s="3" t="n">
        <v>600</v>
      </c>
      <c r="G4548" s="3" t="n">
        <v>37400</v>
      </c>
    </row>
    <row r="4549">
      <c r="A4549" s="3" t="inlineStr">
        <is>
          <t>Cape Projects Construction (Pty) Ltd</t>
        </is>
      </c>
      <c r="B4549" s="4" t="n">
        <v>45230</v>
      </c>
      <c r="C4549" s="3" t="inlineStr">
        <is>
          <t>Assets</t>
        </is>
      </c>
      <c r="D4549" s="3" t="inlineStr">
        <is>
          <t>5400/600</t>
        </is>
      </c>
      <c r="E4549" s="3" t="inlineStr">
        <is>
          <t>Loan - Heron Projects</t>
        </is>
      </c>
      <c r="F4549" s="3" t="n">
        <v>-4650000</v>
      </c>
      <c r="G4549" s="3" t="n">
        <v>-18564940.42</v>
      </c>
    </row>
    <row r="4550">
      <c r="A4550" s="3" t="inlineStr">
        <is>
          <t>Cape Projects Construction (Pty) Ltd</t>
        </is>
      </c>
      <c r="B4550" s="4" t="n">
        <v>45230</v>
      </c>
      <c r="C4550" s="3" t="inlineStr">
        <is>
          <t>Assets</t>
        </is>
      </c>
      <c r="D4550" s="3" t="inlineStr">
        <is>
          <t>5400/650</t>
        </is>
      </c>
      <c r="E4550" s="3" t="inlineStr">
        <is>
          <t>Loan - Noble Shield</t>
        </is>
      </c>
      <c r="F4550" s="3" t="n">
        <v>600</v>
      </c>
      <c r="G4550" s="3" t="n">
        <v>-105189.44</v>
      </c>
    </row>
    <row r="4551">
      <c r="A4551" s="3" t="inlineStr">
        <is>
          <t>Cape Projects Construction (Pty) Ltd</t>
        </is>
      </c>
      <c r="B4551" s="4" t="n">
        <v>45230</v>
      </c>
      <c r="C4551" s="3" t="inlineStr">
        <is>
          <t>Assets</t>
        </is>
      </c>
      <c r="D4551" s="3" t="inlineStr">
        <is>
          <t>5400/750</t>
        </is>
      </c>
      <c r="E4551" s="3" t="inlineStr">
        <is>
          <t>Loan - Endulini</t>
        </is>
      </c>
      <c r="F4551" s="3" t="n">
        <v>30000</v>
      </c>
      <c r="G4551" s="3" t="n">
        <v>25402187.4</v>
      </c>
    </row>
    <row r="4552">
      <c r="A4552" s="3" t="inlineStr">
        <is>
          <t>Cape Projects Construction (Pty) Ltd</t>
        </is>
      </c>
      <c r="B4552" s="4" t="n">
        <v>45230</v>
      </c>
      <c r="C4552" s="3" t="inlineStr">
        <is>
          <t>Assets</t>
        </is>
      </c>
      <c r="D4552" s="3" t="inlineStr">
        <is>
          <t>5400/800</t>
        </is>
      </c>
      <c r="E4552" s="3" t="inlineStr">
        <is>
          <t>Loan - Opportunity Management Holdings</t>
        </is>
      </c>
      <c r="F4552" s="3" t="n">
        <v>100000</v>
      </c>
      <c r="G4552" s="3" t="n">
        <v>77399</v>
      </c>
    </row>
    <row r="4553">
      <c r="A4553" s="3" t="inlineStr">
        <is>
          <t>Heron View (Pty) Ltd</t>
        </is>
      </c>
      <c r="B4553" s="4" t="n">
        <v>45230</v>
      </c>
      <c r="C4553" s="3" t="inlineStr">
        <is>
          <t>Liabilities</t>
        </is>
      </c>
      <c r="D4553" s="3" t="inlineStr">
        <is>
          <t>5500/001</t>
        </is>
      </c>
      <c r="E4553" s="3" t="inlineStr">
        <is>
          <t>Loan - Heron Fields</t>
        </is>
      </c>
      <c r="F4553" s="3" t="n">
        <v>-2946586.39</v>
      </c>
      <c r="G4553" s="3" t="n">
        <v>-43432620.8</v>
      </c>
    </row>
    <row r="4554">
      <c r="A4554" s="3" t="inlineStr">
        <is>
          <t>Heron Fields (Pty) Ltd</t>
        </is>
      </c>
      <c r="B4554" s="4" t="n">
        <v>45230</v>
      </c>
      <c r="C4554" s="3" t="inlineStr">
        <is>
          <t>Liabilities</t>
        </is>
      </c>
      <c r="D4554" s="3" t="inlineStr">
        <is>
          <t>5500/020</t>
        </is>
      </c>
      <c r="E4554" s="3" t="inlineStr">
        <is>
          <t>Loan - Cape Projects Construction</t>
        </is>
      </c>
      <c r="F4554" s="3" t="n">
        <v>4650000</v>
      </c>
      <c r="G4554" s="3" t="n">
        <v>18564940.42</v>
      </c>
    </row>
    <row r="4555">
      <c r="A4555" s="3" t="inlineStr">
        <is>
          <t>Heron Fields (Pty) Ltd</t>
        </is>
      </c>
      <c r="B4555" s="4" t="n">
        <v>45230</v>
      </c>
      <c r="C4555" s="3" t="inlineStr">
        <is>
          <t>Liabilities</t>
        </is>
      </c>
      <c r="D4555" s="3" t="inlineStr">
        <is>
          <t>5500/030</t>
        </is>
      </c>
      <c r="E4555" s="3" t="inlineStr">
        <is>
          <t>Loan - Opportunity Global Investments</t>
        </is>
      </c>
      <c r="F4555" s="3" t="n">
        <v>270000</v>
      </c>
      <c r="G4555" s="3" t="n">
        <v>4044275</v>
      </c>
    </row>
    <row r="4556">
      <c r="A4556" s="3" t="inlineStr">
        <is>
          <t>Heron Fields (Pty) Ltd</t>
        </is>
      </c>
      <c r="B4556" s="4" t="n">
        <v>45230</v>
      </c>
      <c r="C4556" s="3" t="inlineStr">
        <is>
          <t>Liabilities</t>
        </is>
      </c>
      <c r="D4556" s="3" t="inlineStr">
        <is>
          <t>5500/050</t>
        </is>
      </c>
      <c r="E4556" s="3" t="inlineStr">
        <is>
          <t>Loan - Heron View</t>
        </is>
      </c>
      <c r="F4556" s="3" t="n">
        <v>2946586.39</v>
      </c>
      <c r="G4556" s="3" t="n">
        <v>43432620.8</v>
      </c>
    </row>
    <row r="4557">
      <c r="A4557" s="3" t="inlineStr">
        <is>
          <t>Heron Fields (Pty) Ltd</t>
        </is>
      </c>
      <c r="B4557" s="4" t="n">
        <v>45230</v>
      </c>
      <c r="C4557" s="3" t="inlineStr">
        <is>
          <t>Liabilities</t>
        </is>
      </c>
      <c r="D4557" s="3" t="inlineStr">
        <is>
          <t>5500/060</t>
        </is>
      </c>
      <c r="E4557" s="3" t="inlineStr">
        <is>
          <t>Loan - Opportunity Management Holdings</t>
        </is>
      </c>
      <c r="F4557" s="3" t="n">
        <v>0</v>
      </c>
      <c r="G4557" s="3" t="n">
        <v>42100</v>
      </c>
    </row>
    <row r="4558">
      <c r="A4558" s="3" t="inlineStr">
        <is>
          <t>Heron Fields (Pty) Ltd</t>
        </is>
      </c>
      <c r="B4558" s="4" t="n">
        <v>45230</v>
      </c>
      <c r="C4558" s="3" t="inlineStr">
        <is>
          <t>Liabilities</t>
        </is>
      </c>
      <c r="D4558" s="3" t="inlineStr">
        <is>
          <t>5500/070</t>
        </is>
      </c>
      <c r="E4558" s="3" t="inlineStr">
        <is>
          <t>Loan - Noble Shield</t>
        </is>
      </c>
      <c r="F4558" s="3" t="n">
        <v>0</v>
      </c>
      <c r="G4558" s="3" t="n">
        <v>-20370.22</v>
      </c>
    </row>
    <row r="4559">
      <c r="A4559" s="3" t="inlineStr">
        <is>
          <t>Cape Projects Construction (Pty) Ltd</t>
        </is>
      </c>
      <c r="B4559" s="4" t="n">
        <v>45230</v>
      </c>
      <c r="C4559" s="3" t="inlineStr">
        <is>
          <t>Assets</t>
        </is>
      </c>
      <c r="D4559" s="3" t="inlineStr">
        <is>
          <t>6200/010</t>
        </is>
      </c>
      <c r="E4559" s="3" t="inlineStr">
        <is>
          <t>Motor Vehicles - @ Cost</t>
        </is>
      </c>
      <c r="F4559" s="3" t="n">
        <v>0</v>
      </c>
      <c r="G4559" s="3" t="n">
        <v>216064.1</v>
      </c>
    </row>
    <row r="4560">
      <c r="A4560" s="3" t="inlineStr">
        <is>
          <t>Cape Projects Construction (Pty) Ltd</t>
        </is>
      </c>
      <c r="B4560" s="4" t="n">
        <v>45230</v>
      </c>
      <c r="C4560" s="3" t="inlineStr">
        <is>
          <t>Assets</t>
        </is>
      </c>
      <c r="D4560" s="3" t="inlineStr">
        <is>
          <t>6200/020</t>
        </is>
      </c>
      <c r="E4560" s="3" t="inlineStr">
        <is>
          <t>Motor Vehicles - Accum Depre</t>
        </is>
      </c>
      <c r="F4560" s="3" t="n">
        <v>0</v>
      </c>
      <c r="G4560" s="3" t="n">
        <v>-216063.1</v>
      </c>
    </row>
    <row r="4561">
      <c r="A4561" s="3" t="inlineStr">
        <is>
          <t>Cape Projects Construction (Pty) Ltd</t>
        </is>
      </c>
      <c r="B4561" s="4" t="n">
        <v>45230</v>
      </c>
      <c r="C4561" s="3" t="inlineStr">
        <is>
          <t>Assets</t>
        </is>
      </c>
      <c r="D4561" s="3" t="inlineStr">
        <is>
          <t>6250/010</t>
        </is>
      </c>
      <c r="E4561" s="3" t="inlineStr">
        <is>
          <t>Computer Equipment - @ Cost</t>
        </is>
      </c>
      <c r="F4561" s="3" t="n">
        <v>29688.38</v>
      </c>
      <c r="G4561" s="3" t="n">
        <v>178152.48</v>
      </c>
    </row>
    <row r="4562">
      <c r="A4562" s="3" t="inlineStr">
        <is>
          <t>Cape Projects Construction (Pty) Ltd</t>
        </is>
      </c>
      <c r="B4562" s="4" t="n">
        <v>45230</v>
      </c>
      <c r="C4562" s="3" t="inlineStr">
        <is>
          <t>Assets</t>
        </is>
      </c>
      <c r="D4562" s="3" t="inlineStr">
        <is>
          <t>6250/020</t>
        </is>
      </c>
      <c r="E4562" s="3" t="inlineStr">
        <is>
          <t>Computer Equipment - Accum Depre</t>
        </is>
      </c>
      <c r="F4562" s="3" t="n">
        <v>-4562.86</v>
      </c>
      <c r="G4562" s="3" t="n">
        <v>-71060.50999999999</v>
      </c>
    </row>
    <row r="4563">
      <c r="A4563" s="3" t="inlineStr">
        <is>
          <t>Cape Projects Construction (Pty) Ltd</t>
        </is>
      </c>
      <c r="B4563" s="4" t="n">
        <v>45230</v>
      </c>
      <c r="C4563" s="3" t="inlineStr">
        <is>
          <t>Assets</t>
        </is>
      </c>
      <c r="D4563" s="3" t="inlineStr">
        <is>
          <t>6350/010</t>
        </is>
      </c>
      <c r="E4563" s="3" t="inlineStr">
        <is>
          <t>Furniture _AND_ Fittings - @ Cost</t>
        </is>
      </c>
      <c r="F4563" s="3" t="n">
        <v>0</v>
      </c>
      <c r="G4563" s="3" t="n">
        <v>37955.3</v>
      </c>
    </row>
    <row r="4564">
      <c r="A4564" s="3" t="inlineStr">
        <is>
          <t>Cape Projects Construction (Pty) Ltd</t>
        </is>
      </c>
      <c r="B4564" s="4" t="n">
        <v>45230</v>
      </c>
      <c r="C4564" s="3" t="inlineStr">
        <is>
          <t>Assets</t>
        </is>
      </c>
      <c r="D4564" s="3" t="inlineStr">
        <is>
          <t>6350/020</t>
        </is>
      </c>
      <c r="E4564" s="3" t="inlineStr">
        <is>
          <t>Furniture _AND_ Fittings - Accum Depre</t>
        </is>
      </c>
      <c r="F4564" s="3" t="n">
        <v>-547.6799999999999</v>
      </c>
      <c r="G4564" s="3" t="n">
        <v>-10275.97</v>
      </c>
    </row>
    <row r="4565">
      <c r="A4565" s="3" t="inlineStr">
        <is>
          <t>Cape Projects Construction (Pty) Ltd</t>
        </is>
      </c>
      <c r="B4565" s="4" t="n">
        <v>45230</v>
      </c>
      <c r="C4565" s="3" t="inlineStr">
        <is>
          <t>Assets</t>
        </is>
      </c>
      <c r="D4565" s="3" t="inlineStr">
        <is>
          <t>6600/010</t>
        </is>
      </c>
      <c r="E4565" s="3" t="inlineStr">
        <is>
          <t>Generator Fixed Asset - @ Cost</t>
        </is>
      </c>
      <c r="F4565" s="3" t="n">
        <v>0</v>
      </c>
      <c r="G4565" s="3" t="n">
        <v>71322</v>
      </c>
    </row>
    <row r="4566">
      <c r="A4566" s="3" t="inlineStr">
        <is>
          <t>Cape Projects Construction (Pty) Ltd</t>
        </is>
      </c>
      <c r="B4566" s="4" t="n">
        <v>45230</v>
      </c>
      <c r="C4566" s="3" t="inlineStr">
        <is>
          <t>Assets</t>
        </is>
      </c>
      <c r="D4566" s="3" t="inlineStr">
        <is>
          <t>6600/020</t>
        </is>
      </c>
      <c r="E4566" s="3" t="inlineStr">
        <is>
          <t>Generator Fixed Asset - Accum Depre</t>
        </is>
      </c>
      <c r="F4566" s="3" t="n">
        <v>-1188.71</v>
      </c>
      <c r="G4566" s="3" t="n">
        <v>-10644.43</v>
      </c>
    </row>
    <row r="4567">
      <c r="A4567" s="3" t="inlineStr">
        <is>
          <t>Heron Fields (Pty) Ltd</t>
        </is>
      </c>
      <c r="B4567" s="4" t="n">
        <v>45230</v>
      </c>
      <c r="C4567" s="3" t="inlineStr">
        <is>
          <t>Assets</t>
        </is>
      </c>
      <c r="D4567" s="3" t="inlineStr">
        <is>
          <t>7610/395</t>
        </is>
      </c>
      <c r="E4567" s="3" t="inlineStr">
        <is>
          <t>HF CIP NHBRC</t>
        </is>
      </c>
      <c r="F4567" s="3" t="n">
        <v>0</v>
      </c>
      <c r="G4567" s="3" t="n">
        <v>874505.75</v>
      </c>
    </row>
    <row r="4568">
      <c r="A4568" s="3" t="inlineStr">
        <is>
          <t>Heron View (Pty) Ltd</t>
        </is>
      </c>
      <c r="B4568" s="4" t="n">
        <v>45230</v>
      </c>
      <c r="C4568" s="3" t="inlineStr">
        <is>
          <t>Assets</t>
        </is>
      </c>
      <c r="D4568" s="3" t="inlineStr">
        <is>
          <t>7610/395</t>
        </is>
      </c>
      <c r="E4568" s="3" t="inlineStr">
        <is>
          <t>Heron CIP NHBRC</t>
        </is>
      </c>
      <c r="F4568" s="3" t="n">
        <v>253288</v>
      </c>
      <c r="G4568" s="3" t="n">
        <v>2138350.86</v>
      </c>
    </row>
    <row r="4569">
      <c r="A4569" s="3" t="inlineStr">
        <is>
          <t>Heron Fields (Pty) Ltd</t>
        </is>
      </c>
      <c r="B4569" s="4" t="n">
        <v>45230</v>
      </c>
      <c r="C4569" s="3" t="inlineStr">
        <is>
          <t>Assets</t>
        </is>
      </c>
      <c r="D4569" s="3" t="inlineStr">
        <is>
          <t>7620/100</t>
        </is>
      </c>
      <c r="E4569" s="3" t="inlineStr">
        <is>
          <t>Heron View Land</t>
        </is>
      </c>
      <c r="F4569" s="3" t="n">
        <v>0</v>
      </c>
      <c r="G4569" s="3" t="n">
        <v>26200000</v>
      </c>
    </row>
    <row r="4570">
      <c r="A4570" s="3" t="inlineStr">
        <is>
          <t>Heron Fields (Pty) Ltd</t>
        </is>
      </c>
      <c r="B4570" s="4" t="n">
        <v>45230</v>
      </c>
      <c r="C4570" s="3" t="inlineStr">
        <is>
          <t>Assets</t>
        </is>
      </c>
      <c r="D4570" s="3" t="inlineStr">
        <is>
          <t>7620/101</t>
        </is>
      </c>
      <c r="E4570" s="3" t="inlineStr">
        <is>
          <t>HF CIP Bond Registration Fee</t>
        </is>
      </c>
      <c r="F4570" s="3" t="n">
        <v>0</v>
      </c>
      <c r="G4570" s="3" t="n">
        <v>68427</v>
      </c>
    </row>
    <row r="4571">
      <c r="A4571" s="3" t="inlineStr">
        <is>
          <t>Heron Fields (Pty) Ltd</t>
        </is>
      </c>
      <c r="B4571" s="4" t="n">
        <v>45230</v>
      </c>
      <c r="C4571" s="3" t="inlineStr">
        <is>
          <t>Assets</t>
        </is>
      </c>
      <c r="D4571" s="3" t="inlineStr">
        <is>
          <t>7620/102</t>
        </is>
      </c>
      <c r="E4571" s="3" t="inlineStr">
        <is>
          <t>HF CIP Transfer Fee</t>
        </is>
      </c>
      <c r="F4571" s="3" t="n">
        <v>0</v>
      </c>
      <c r="G4571" s="3" t="n">
        <v>103812</v>
      </c>
    </row>
    <row r="4572">
      <c r="A4572" s="3" t="inlineStr">
        <is>
          <t>Heron Fields (Pty) Ltd</t>
        </is>
      </c>
      <c r="B4572" s="4" t="n">
        <v>45230</v>
      </c>
      <c r="C4572" s="3" t="inlineStr">
        <is>
          <t>Assets</t>
        </is>
      </c>
      <c r="D4572" s="3" t="inlineStr">
        <is>
          <t>7620/220</t>
        </is>
      </c>
      <c r="E4572" s="3" t="inlineStr">
        <is>
          <t>HF CIP Architectural Designs</t>
        </is>
      </c>
      <c r="F4572" s="3" t="n">
        <v>0</v>
      </c>
      <c r="G4572" s="3" t="n">
        <v>314087</v>
      </c>
    </row>
    <row r="4573">
      <c r="A4573" s="3" t="inlineStr">
        <is>
          <t>Heron View (Pty) Ltd</t>
        </is>
      </c>
      <c r="B4573" s="4" t="n">
        <v>45230</v>
      </c>
      <c r="C4573" s="3" t="inlineStr">
        <is>
          <t>Assets</t>
        </is>
      </c>
      <c r="D4573" s="3" t="inlineStr">
        <is>
          <t>7620/220</t>
        </is>
      </c>
      <c r="E4573" s="3" t="inlineStr">
        <is>
          <t>Heron View CIP Architectural Designs</t>
        </is>
      </c>
      <c r="F4573" s="3" t="n">
        <v>7600</v>
      </c>
      <c r="G4573" s="3" t="n">
        <v>765978.5</v>
      </c>
    </row>
    <row r="4574">
      <c r="A4574" s="3" t="inlineStr">
        <is>
          <t>Heron Fields (Pty) Ltd</t>
        </is>
      </c>
      <c r="B4574" s="4" t="n">
        <v>45230</v>
      </c>
      <c r="C4574" s="3" t="inlineStr">
        <is>
          <t>Assets</t>
        </is>
      </c>
      <c r="D4574" s="3" t="inlineStr">
        <is>
          <t>7620/230</t>
        </is>
      </c>
      <c r="E4574" s="3" t="inlineStr">
        <is>
          <t>HF CIP Construction Management</t>
        </is>
      </c>
      <c r="F4574" s="3" t="n">
        <v>0</v>
      </c>
      <c r="G4574" s="3" t="n">
        <v>139500</v>
      </c>
    </row>
    <row r="4575">
      <c r="A4575" s="3" t="inlineStr">
        <is>
          <t>Heron Fields (Pty) Ltd</t>
        </is>
      </c>
      <c r="B4575" s="4" t="n">
        <v>45230</v>
      </c>
      <c r="C4575" s="3" t="inlineStr">
        <is>
          <t>Assets</t>
        </is>
      </c>
      <c r="D4575" s="3" t="inlineStr">
        <is>
          <t>7620/240</t>
        </is>
      </c>
      <c r="E4575" s="3" t="inlineStr">
        <is>
          <t>HF CIP Civil Engineering</t>
        </is>
      </c>
      <c r="F4575" s="3" t="n">
        <v>0</v>
      </c>
      <c r="G4575" s="3" t="n">
        <v>8557641.800000001</v>
      </c>
    </row>
    <row r="4576">
      <c r="A4576" s="3" t="inlineStr">
        <is>
          <t>Heron Fields (Pty) Ltd</t>
        </is>
      </c>
      <c r="B4576" s="4" t="n">
        <v>45230</v>
      </c>
      <c r="C4576" s="3" t="inlineStr">
        <is>
          <t>Assets</t>
        </is>
      </c>
      <c r="D4576" s="3" t="inlineStr">
        <is>
          <t>7620/245</t>
        </is>
      </c>
      <c r="E4576" s="3" t="inlineStr">
        <is>
          <t>HF CIP Development fee</t>
        </is>
      </c>
      <c r="F4576" s="3" t="n">
        <v>0</v>
      </c>
      <c r="G4576" s="3" t="n">
        <v>13807.78</v>
      </c>
    </row>
    <row r="4577">
      <c r="A4577" s="3" t="inlineStr">
        <is>
          <t>Heron Fields (Pty) Ltd</t>
        </is>
      </c>
      <c r="B4577" s="4" t="n">
        <v>45230</v>
      </c>
      <c r="C4577" s="3" t="inlineStr">
        <is>
          <t>Assets</t>
        </is>
      </c>
      <c r="D4577" s="3" t="inlineStr">
        <is>
          <t>7620/250</t>
        </is>
      </c>
      <c r="E4577" s="3" t="inlineStr">
        <is>
          <t>HF CIP Land Surveyor</t>
        </is>
      </c>
      <c r="F4577" s="3" t="n">
        <v>0</v>
      </c>
      <c r="G4577" s="3" t="n">
        <v>197060.09</v>
      </c>
    </row>
    <row r="4578">
      <c r="A4578" s="3" t="inlineStr">
        <is>
          <t>Heron View (Pty) Ltd</t>
        </is>
      </c>
      <c r="B4578" s="4" t="n">
        <v>45230</v>
      </c>
      <c r="C4578" s="3" t="inlineStr">
        <is>
          <t>Assets</t>
        </is>
      </c>
      <c r="D4578" s="3" t="inlineStr">
        <is>
          <t>7620/250</t>
        </is>
      </c>
      <c r="E4578" s="3" t="inlineStr">
        <is>
          <t>Heron View CIP Land Surveyor</t>
        </is>
      </c>
      <c r="F4578" s="3" t="n">
        <v>64138.83</v>
      </c>
      <c r="G4578" s="3" t="n">
        <v>250751.47</v>
      </c>
    </row>
    <row r="4579">
      <c r="A4579" s="3" t="inlineStr">
        <is>
          <t>Heron Fields (Pty) Ltd</t>
        </is>
      </c>
      <c r="B4579" s="4" t="n">
        <v>45230</v>
      </c>
      <c r="C4579" s="3" t="inlineStr">
        <is>
          <t>Assets</t>
        </is>
      </c>
      <c r="D4579" s="3" t="inlineStr">
        <is>
          <t>7620/255</t>
        </is>
      </c>
      <c r="E4579" s="3" t="inlineStr">
        <is>
          <t>HF CIP Landscaping</t>
        </is>
      </c>
      <c r="F4579" s="3" t="n">
        <v>0</v>
      </c>
      <c r="G4579" s="3" t="n">
        <v>7500</v>
      </c>
    </row>
    <row r="4580">
      <c r="A4580" s="3" t="inlineStr">
        <is>
          <t>Heron View (Pty) Ltd</t>
        </is>
      </c>
      <c r="B4580" s="4" t="n">
        <v>45230</v>
      </c>
      <c r="C4580" s="3" t="inlineStr">
        <is>
          <t>Assets</t>
        </is>
      </c>
      <c r="D4580" s="3" t="inlineStr">
        <is>
          <t>7620/255</t>
        </is>
      </c>
      <c r="E4580" s="3" t="inlineStr">
        <is>
          <t>Heron View CIP Landscaping</t>
        </is>
      </c>
      <c r="F4580" s="3" t="n">
        <v>0</v>
      </c>
      <c r="G4580" s="3" t="n">
        <v>114370.5</v>
      </c>
    </row>
    <row r="4581">
      <c r="A4581" s="3" t="inlineStr">
        <is>
          <t>Heron Fields (Pty) Ltd</t>
        </is>
      </c>
      <c r="B4581" s="4" t="n">
        <v>45230</v>
      </c>
      <c r="C4581" s="3" t="inlineStr">
        <is>
          <t>Assets</t>
        </is>
      </c>
      <c r="D4581" s="3" t="inlineStr">
        <is>
          <t>7620/260</t>
        </is>
      </c>
      <c r="E4581" s="3" t="inlineStr">
        <is>
          <t>HF CIP Mechanical Engineers</t>
        </is>
      </c>
      <c r="F4581" s="3" t="n">
        <v>0</v>
      </c>
      <c r="G4581" s="3" t="n">
        <v>146256.38</v>
      </c>
    </row>
    <row r="4582">
      <c r="A4582" s="3" t="inlineStr">
        <is>
          <t>Heron Fields (Pty) Ltd</t>
        </is>
      </c>
      <c r="B4582" s="4" t="n">
        <v>45230</v>
      </c>
      <c r="C4582" s="3" t="inlineStr">
        <is>
          <t>Assets</t>
        </is>
      </c>
      <c r="D4582" s="3" t="inlineStr">
        <is>
          <t>7620/265</t>
        </is>
      </c>
      <c r="E4582" s="3" t="inlineStr">
        <is>
          <t>HF CIP Health &amp; Safety</t>
        </is>
      </c>
      <c r="F4582" s="3" t="n">
        <v>0</v>
      </c>
      <c r="G4582" s="3" t="n">
        <v>20600</v>
      </c>
    </row>
    <row r="4583">
      <c r="A4583" s="3" t="inlineStr">
        <is>
          <t>Heron Fields (Pty) Ltd</t>
        </is>
      </c>
      <c r="B4583" s="4" t="n">
        <v>45230</v>
      </c>
      <c r="C4583" s="3" t="inlineStr">
        <is>
          <t>Assets</t>
        </is>
      </c>
      <c r="D4583" s="3" t="inlineStr">
        <is>
          <t>7620/270</t>
        </is>
      </c>
      <c r="E4583" s="3" t="inlineStr">
        <is>
          <t>HF CIP Geotechnical</t>
        </is>
      </c>
      <c r="F4583" s="3" t="n">
        <v>0</v>
      </c>
      <c r="G4583" s="3" t="n">
        <v>15175</v>
      </c>
    </row>
    <row r="4584">
      <c r="A4584" s="3" t="inlineStr">
        <is>
          <t>Heron Fields (Pty) Ltd</t>
        </is>
      </c>
      <c r="B4584" s="4" t="n">
        <v>45230</v>
      </c>
      <c r="C4584" s="3" t="inlineStr">
        <is>
          <t>Assets</t>
        </is>
      </c>
      <c r="D4584" s="3" t="inlineStr">
        <is>
          <t>7620/275</t>
        </is>
      </c>
      <c r="E4584" s="3" t="inlineStr">
        <is>
          <t>HF CIP Retaining Wall</t>
        </is>
      </c>
      <c r="F4584" s="3" t="n">
        <v>0</v>
      </c>
      <c r="G4584" s="3" t="n">
        <v>570856.08</v>
      </c>
    </row>
    <row r="4585">
      <c r="A4585" s="3" t="inlineStr">
        <is>
          <t>Heron Fields (Pty) Ltd</t>
        </is>
      </c>
      <c r="B4585" s="4" t="n">
        <v>45230</v>
      </c>
      <c r="C4585" s="3" t="inlineStr">
        <is>
          <t>Assets</t>
        </is>
      </c>
      <c r="D4585" s="3" t="inlineStr">
        <is>
          <t>7620/280</t>
        </is>
      </c>
      <c r="E4585" s="3" t="inlineStr">
        <is>
          <t>HF CIP Site Establishment</t>
        </is>
      </c>
      <c r="F4585" s="3" t="n">
        <v>0</v>
      </c>
      <c r="G4585" s="3" t="n">
        <v>47748851.51</v>
      </c>
    </row>
    <row r="4586">
      <c r="A4586" s="3" t="inlineStr">
        <is>
          <t>Heron View (Pty) Ltd</t>
        </is>
      </c>
      <c r="B4586" s="4" t="n">
        <v>45230</v>
      </c>
      <c r="C4586" s="3" t="inlineStr">
        <is>
          <t>Assets</t>
        </is>
      </c>
      <c r="D4586" s="3" t="inlineStr">
        <is>
          <t>7620/280</t>
        </is>
      </c>
      <c r="E4586" s="3" t="inlineStr">
        <is>
          <t>Heron View CIP Site Establishment</t>
        </is>
      </c>
      <c r="F4586" s="3" t="n">
        <v>6737049.57</v>
      </c>
      <c r="G4586" s="3" t="n">
        <v>19573696.07</v>
      </c>
    </row>
    <row r="4587">
      <c r="A4587" s="3" t="inlineStr">
        <is>
          <t>Heron Fields (Pty) Ltd</t>
        </is>
      </c>
      <c r="B4587" s="4" t="n">
        <v>45230</v>
      </c>
      <c r="C4587" s="3" t="inlineStr">
        <is>
          <t>Assets</t>
        </is>
      </c>
      <c r="D4587" s="3" t="inlineStr">
        <is>
          <t>7620/285</t>
        </is>
      </c>
      <c r="E4587" s="3" t="inlineStr">
        <is>
          <t>HF CIP Structuring Fee - Invest</t>
        </is>
      </c>
      <c r="F4587" s="3" t="n">
        <v>0</v>
      </c>
      <c r="G4587" s="3" t="n">
        <v>3850818.04</v>
      </c>
    </row>
    <row r="4588">
      <c r="A4588" s="3" t="inlineStr">
        <is>
          <t>Heron View (Pty) Ltd</t>
        </is>
      </c>
      <c r="B4588" s="4" t="n">
        <v>45230</v>
      </c>
      <c r="C4588" s="3" t="inlineStr">
        <is>
          <t>Assets</t>
        </is>
      </c>
      <c r="D4588" s="3" t="inlineStr">
        <is>
          <t>7620/285</t>
        </is>
      </c>
      <c r="E4588" s="3" t="inlineStr">
        <is>
          <t>Heron View CIP Structuring Fee - Invest</t>
        </is>
      </c>
      <c r="F4588" s="3" t="n">
        <v>0</v>
      </c>
      <c r="G4588" s="3" t="n">
        <v>1826086.96</v>
      </c>
    </row>
    <row r="4589">
      <c r="A4589" s="3" t="inlineStr">
        <is>
          <t>Heron Fields (Pty) Ltd</t>
        </is>
      </c>
      <c r="B4589" s="4" t="n">
        <v>45230</v>
      </c>
      <c r="C4589" s="3" t="inlineStr">
        <is>
          <t>Assets</t>
        </is>
      </c>
      <c r="D4589" s="3" t="inlineStr">
        <is>
          <t>7620/287</t>
        </is>
      </c>
      <c r="E4589" s="3" t="inlineStr">
        <is>
          <t>HF CIP Structuring Fee - Development</t>
        </is>
      </c>
      <c r="F4589" s="3" t="n">
        <v>0</v>
      </c>
      <c r="G4589" s="3" t="n">
        <v>782608.0699999999</v>
      </c>
    </row>
    <row r="4590">
      <c r="A4590" s="3" t="inlineStr">
        <is>
          <t>Heron View (Pty) Ltd</t>
        </is>
      </c>
      <c r="B4590" s="4" t="n">
        <v>45230</v>
      </c>
      <c r="C4590" s="3" t="inlineStr">
        <is>
          <t>Assets</t>
        </is>
      </c>
      <c r="D4590" s="3" t="inlineStr">
        <is>
          <t>7620/287</t>
        </is>
      </c>
      <c r="E4590" s="3" t="inlineStr">
        <is>
          <t>Heron View CIP Structuring Fee - Development</t>
        </is>
      </c>
      <c r="F4590" s="3" t="n">
        <v>0</v>
      </c>
      <c r="G4590" s="3" t="n">
        <v>217391.3</v>
      </c>
    </row>
    <row r="4591">
      <c r="A4591" s="3" t="inlineStr">
        <is>
          <t>Heron Fields (Pty) Ltd</t>
        </is>
      </c>
      <c r="B4591" s="4" t="n">
        <v>45230</v>
      </c>
      <c r="C4591" s="3" t="inlineStr">
        <is>
          <t>Assets</t>
        </is>
      </c>
      <c r="D4591" s="3" t="inlineStr">
        <is>
          <t>7620/290</t>
        </is>
      </c>
      <c r="E4591" s="3" t="inlineStr">
        <is>
          <t>HF CIP Town Planning</t>
        </is>
      </c>
      <c r="F4591" s="3" t="n">
        <v>0</v>
      </c>
      <c r="G4591" s="3" t="n">
        <v>166550</v>
      </c>
    </row>
    <row r="4592">
      <c r="A4592" s="3" t="inlineStr">
        <is>
          <t>Heron View (Pty) Ltd</t>
        </is>
      </c>
      <c r="B4592" s="4" t="n">
        <v>45230</v>
      </c>
      <c r="C4592" s="3" t="inlineStr">
        <is>
          <t>Assets</t>
        </is>
      </c>
      <c r="D4592" s="3" t="inlineStr">
        <is>
          <t>7620/290</t>
        </is>
      </c>
      <c r="E4592" s="3" t="inlineStr">
        <is>
          <t>Heron View CIP Town Planning</t>
        </is>
      </c>
      <c r="F4592" s="3" t="n">
        <v>0</v>
      </c>
      <c r="G4592" s="3" t="n">
        <v>2834.7</v>
      </c>
    </row>
    <row r="4593">
      <c r="A4593" s="3" t="inlineStr">
        <is>
          <t>Heron Fields (Pty) Ltd</t>
        </is>
      </c>
      <c r="B4593" s="4" t="n">
        <v>45230</v>
      </c>
      <c r="C4593" s="3" t="inlineStr">
        <is>
          <t>Assets</t>
        </is>
      </c>
      <c r="D4593" s="3" t="inlineStr">
        <is>
          <t>7620/295</t>
        </is>
      </c>
      <c r="E4593" s="3" t="inlineStr">
        <is>
          <t>HF CIP Traffic Planning</t>
        </is>
      </c>
      <c r="F4593" s="3" t="n">
        <v>0</v>
      </c>
      <c r="G4593" s="3" t="n">
        <v>45000</v>
      </c>
    </row>
    <row r="4594">
      <c r="A4594" s="3" t="inlineStr">
        <is>
          <t>Heron Fields (Pty) Ltd</t>
        </is>
      </c>
      <c r="B4594" s="4" t="n">
        <v>45230</v>
      </c>
      <c r="C4594" s="3" t="inlineStr">
        <is>
          <t>Assets</t>
        </is>
      </c>
      <c r="D4594" s="3" t="inlineStr">
        <is>
          <t>7620/600</t>
        </is>
      </c>
      <c r="E4594" s="3" t="inlineStr">
        <is>
          <t>HF CIP Eco work</t>
        </is>
      </c>
      <c r="F4594" s="3" t="n">
        <v>6000</v>
      </c>
      <c r="G4594" s="3" t="n">
        <v>179000</v>
      </c>
    </row>
    <row r="4595">
      <c r="A4595" s="3" t="inlineStr">
        <is>
          <t>Heron View (Pty) Ltd</t>
        </is>
      </c>
      <c r="B4595" s="4" t="n">
        <v>45230</v>
      </c>
      <c r="C4595" s="3" t="inlineStr">
        <is>
          <t>Assets</t>
        </is>
      </c>
      <c r="D4595" s="3" t="inlineStr">
        <is>
          <t>7620/605</t>
        </is>
      </c>
      <c r="E4595" s="3" t="inlineStr">
        <is>
          <t>Heron View CIP Structural Engineers</t>
        </is>
      </c>
      <c r="F4595" s="3" t="n">
        <v>118925</v>
      </c>
      <c r="G4595" s="3" t="n">
        <v>649377.14</v>
      </c>
    </row>
    <row r="4596">
      <c r="A4596" s="3" t="inlineStr">
        <is>
          <t>Heron View (Pty) Ltd</t>
        </is>
      </c>
      <c r="B4596" s="4" t="n">
        <v>45230</v>
      </c>
      <c r="C4596" s="3" t="inlineStr">
        <is>
          <t>Assets</t>
        </is>
      </c>
      <c r="D4596" s="3" t="inlineStr">
        <is>
          <t>7620/610</t>
        </is>
      </c>
      <c r="E4596" s="3" t="inlineStr">
        <is>
          <t>HV CIP Retaining wall</t>
        </is>
      </c>
      <c r="F4596" s="3" t="n">
        <v>0</v>
      </c>
      <c r="G4596" s="3" t="n">
        <v>66190.11</v>
      </c>
    </row>
    <row r="4597">
      <c r="A4597" s="3" t="inlineStr">
        <is>
          <t>Heron Fields (Pty) Ltd</t>
        </is>
      </c>
      <c r="B4597" s="4" t="n">
        <v>45230</v>
      </c>
      <c r="C4597" s="3" t="inlineStr">
        <is>
          <t>Assets</t>
        </is>
      </c>
      <c r="D4597" s="3" t="inlineStr">
        <is>
          <t>7620/630</t>
        </is>
      </c>
      <c r="E4597" s="3" t="inlineStr">
        <is>
          <t>HF CIP CoCT development contribution</t>
        </is>
      </c>
      <c r="F4597" s="3" t="n">
        <v>0</v>
      </c>
      <c r="G4597" s="3" t="n">
        <v>3252759.95</v>
      </c>
    </row>
    <row r="4598">
      <c r="A4598" s="3" t="inlineStr">
        <is>
          <t>Heron View (Pty) Ltd</t>
        </is>
      </c>
      <c r="B4598" s="4" t="n">
        <v>45230</v>
      </c>
      <c r="C4598" s="3" t="inlineStr">
        <is>
          <t>Assets</t>
        </is>
      </c>
      <c r="D4598" s="3" t="inlineStr">
        <is>
          <t>7620/630</t>
        </is>
      </c>
      <c r="E4598" s="3" t="inlineStr">
        <is>
          <t>Heron CIP - CoCT development contribution</t>
        </is>
      </c>
      <c r="F4598" s="3" t="n">
        <v>60401.74</v>
      </c>
      <c r="G4598" s="3" t="n">
        <v>1672700.84</v>
      </c>
    </row>
    <row r="4599">
      <c r="A4599" s="3" t="inlineStr">
        <is>
          <t>Heron Fields (Pty) Ltd</t>
        </is>
      </c>
      <c r="B4599" s="4" t="n">
        <v>45230</v>
      </c>
      <c r="C4599" s="3" t="inlineStr">
        <is>
          <t>Assets</t>
        </is>
      </c>
      <c r="D4599" s="3" t="inlineStr">
        <is>
          <t>7620/640</t>
        </is>
      </c>
      <c r="E4599" s="3" t="inlineStr">
        <is>
          <t>HF CIP Project costs</t>
        </is>
      </c>
      <c r="F4599" s="3" t="n">
        <v>0</v>
      </c>
      <c r="G4599" s="3" t="n">
        <v>622274.51</v>
      </c>
    </row>
    <row r="4600">
      <c r="A4600" s="3" t="inlineStr">
        <is>
          <t>Heron View (Pty) Ltd</t>
        </is>
      </c>
      <c r="B4600" s="4" t="n">
        <v>45230</v>
      </c>
      <c r="C4600" s="3" t="inlineStr">
        <is>
          <t>Assets</t>
        </is>
      </c>
      <c r="D4600" s="3" t="inlineStr">
        <is>
          <t>7620/650</t>
        </is>
      </c>
      <c r="E4600" s="3" t="inlineStr">
        <is>
          <t>CIP - Construction Management</t>
        </is>
      </c>
      <c r="F4600" s="3" t="n">
        <v>0</v>
      </c>
      <c r="G4600" s="3" t="n">
        <v>76530</v>
      </c>
    </row>
    <row r="4601">
      <c r="A4601" s="3" t="inlineStr">
        <is>
          <t>Heron Fields (Pty) Ltd</t>
        </is>
      </c>
      <c r="B4601" s="4" t="n">
        <v>45230</v>
      </c>
      <c r="C4601" s="3" t="inlineStr">
        <is>
          <t>Assets</t>
        </is>
      </c>
      <c r="D4601" s="3" t="inlineStr">
        <is>
          <t>7620/650</t>
        </is>
      </c>
      <c r="E4601" s="3" t="inlineStr">
        <is>
          <t>HF CIP Electrical</t>
        </is>
      </c>
      <c r="F4601" s="3" t="n">
        <v>0</v>
      </c>
      <c r="G4601" s="3" t="n">
        <v>985049.6800000001</v>
      </c>
    </row>
    <row r="4602">
      <c r="A4602" s="3" t="inlineStr">
        <is>
          <t>Heron View (Pty) Ltd</t>
        </is>
      </c>
      <c r="B4602" s="4" t="n">
        <v>45230</v>
      </c>
      <c r="C4602" s="3" t="inlineStr">
        <is>
          <t>Assets</t>
        </is>
      </c>
      <c r="D4602" s="3" t="inlineStr">
        <is>
          <t>7620/660</t>
        </is>
      </c>
      <c r="E4602" s="3" t="inlineStr">
        <is>
          <t>HV CIP Health &amp; Safety</t>
        </is>
      </c>
      <c r="F4602" s="3" t="n">
        <v>1400</v>
      </c>
      <c r="G4602" s="3" t="n">
        <v>25800</v>
      </c>
    </row>
    <row r="4603">
      <c r="A4603" s="3" t="inlineStr">
        <is>
          <t>Heron View (Pty) Ltd</t>
        </is>
      </c>
      <c r="B4603" s="4" t="n">
        <v>45230</v>
      </c>
      <c r="C4603" s="3" t="inlineStr">
        <is>
          <t>Assets</t>
        </is>
      </c>
      <c r="D4603" s="3" t="inlineStr">
        <is>
          <t>7620/670</t>
        </is>
      </c>
      <c r="E4603" s="3" t="inlineStr">
        <is>
          <t>HV CIP - Project costs CPSD</t>
        </is>
      </c>
      <c r="F4603" s="3" t="n">
        <v>334782.61</v>
      </c>
      <c r="G4603" s="3" t="n">
        <v>1354347.82</v>
      </c>
    </row>
    <row r="4604">
      <c r="A4604" s="3" t="inlineStr">
        <is>
          <t>Heron View (Pty) Ltd</t>
        </is>
      </c>
      <c r="B4604" s="4" t="n">
        <v>45230</v>
      </c>
      <c r="C4604" s="3" t="inlineStr">
        <is>
          <t>Assets</t>
        </is>
      </c>
      <c r="D4604" s="3" t="inlineStr">
        <is>
          <t>7620/680</t>
        </is>
      </c>
      <c r="E4604" s="3" t="inlineStr">
        <is>
          <t>HV CIP Elextrical</t>
        </is>
      </c>
      <c r="F4604" s="3" t="n">
        <v>0</v>
      </c>
      <c r="G4604" s="3" t="n">
        <v>1540502.11</v>
      </c>
    </row>
    <row r="4605">
      <c r="A4605" s="3" t="inlineStr">
        <is>
          <t>Heron View (Pty) Ltd</t>
        </is>
      </c>
      <c r="B4605" s="4" t="n">
        <v>45230</v>
      </c>
      <c r="C4605" s="3" t="inlineStr">
        <is>
          <t>Assets</t>
        </is>
      </c>
      <c r="D4605" s="3" t="inlineStr">
        <is>
          <t>7620/690</t>
        </is>
      </c>
      <c r="E4605" s="3" t="inlineStr">
        <is>
          <t>HV CIP Site Establishment</t>
        </is>
      </c>
      <c r="F4605" s="3" t="n">
        <v>0</v>
      </c>
      <c r="G4605" s="3" t="n">
        <v>20707183.05</v>
      </c>
    </row>
    <row r="4606">
      <c r="A4606" s="3" t="inlineStr">
        <is>
          <t>Heron Fields (Pty) Ltd</t>
        </is>
      </c>
      <c r="B4606" s="4" t="n">
        <v>45230</v>
      </c>
      <c r="C4606" s="3" t="inlineStr">
        <is>
          <t>Assets</t>
        </is>
      </c>
      <c r="D4606" s="3" t="inlineStr">
        <is>
          <t>7620/750</t>
        </is>
      </c>
      <c r="E4606" s="3" t="inlineStr">
        <is>
          <t>HF CIP Project costs CPSD</t>
        </is>
      </c>
      <c r="F4606" s="3" t="n">
        <v>0</v>
      </c>
      <c r="G4606" s="3" t="n">
        <v>2148883.15</v>
      </c>
    </row>
    <row r="4607">
      <c r="A4607" s="3" t="inlineStr">
        <is>
          <t>Heron Fields (Pty) Ltd</t>
        </is>
      </c>
      <c r="B4607" s="4" t="n">
        <v>45230</v>
      </c>
      <c r="C4607" s="3" t="inlineStr">
        <is>
          <t>Assets</t>
        </is>
      </c>
      <c r="D4607" s="3" t="inlineStr">
        <is>
          <t>7620/800</t>
        </is>
      </c>
      <c r="E4607" s="3" t="inlineStr">
        <is>
          <t>HF CIP GL Conradie</t>
        </is>
      </c>
      <c r="F4607" s="3" t="n">
        <v>0</v>
      </c>
      <c r="G4607" s="3" t="n">
        <v>1068455</v>
      </c>
    </row>
    <row r="4608">
      <c r="A4608" s="3" t="inlineStr">
        <is>
          <t>Heron View (Pty) Ltd</t>
        </is>
      </c>
      <c r="B4608" s="4" t="n">
        <v>45230</v>
      </c>
      <c r="C4608" s="3" t="inlineStr">
        <is>
          <t>Assets</t>
        </is>
      </c>
      <c r="D4608" s="3" t="inlineStr">
        <is>
          <t>7620/800</t>
        </is>
      </c>
      <c r="E4608" s="3" t="inlineStr">
        <is>
          <t>HV CIP GL Conradie</t>
        </is>
      </c>
      <c r="F4608" s="3" t="n">
        <v>0</v>
      </c>
      <c r="G4608" s="3" t="n">
        <v>2188325.96</v>
      </c>
    </row>
    <row r="4609">
      <c r="A4609" s="3" t="inlineStr">
        <is>
          <t>Heron Fields (Pty) Ltd</t>
        </is>
      </c>
      <c r="B4609" s="4" t="n">
        <v>45230</v>
      </c>
      <c r="C4609" s="3" t="inlineStr">
        <is>
          <t>Assets</t>
        </is>
      </c>
      <c r="D4609" s="3" t="inlineStr">
        <is>
          <t>7700/010</t>
        </is>
      </c>
      <c r="E4609" s="3" t="inlineStr">
        <is>
          <t>Construction 28 Feb 23 HF</t>
        </is>
      </c>
      <c r="F4609" s="3" t="n">
        <v>0</v>
      </c>
      <c r="G4609" s="3" t="n">
        <v>-24427668.44</v>
      </c>
    </row>
    <row r="4610">
      <c r="A4610" s="3" t="inlineStr">
        <is>
          <t>Cape Projects Construction (Pty) Ltd</t>
        </is>
      </c>
      <c r="B4610" s="4" t="n">
        <v>45230</v>
      </c>
      <c r="C4610" s="3" t="inlineStr">
        <is>
          <t>Assets</t>
        </is>
      </c>
      <c r="D4610" s="3" t="inlineStr">
        <is>
          <t>7800/000</t>
        </is>
      </c>
      <c r="E4610" s="3" t="inlineStr">
        <is>
          <t>Deposits paid</t>
        </is>
      </c>
      <c r="F4610" s="3" t="n">
        <v>0</v>
      </c>
      <c r="G4610" s="3" t="n">
        <v>29600</v>
      </c>
    </row>
    <row r="4611">
      <c r="A4611" s="3" t="inlineStr">
        <is>
          <t>Cape Projects Construction (Pty) Ltd</t>
        </is>
      </c>
      <c r="B4611" s="4" t="n">
        <v>45230</v>
      </c>
      <c r="C4611" s="3" t="inlineStr">
        <is>
          <t>Assets</t>
        </is>
      </c>
      <c r="D4611" s="3" t="inlineStr">
        <is>
          <t>8000/000</t>
        </is>
      </c>
      <c r="E4611" s="3" t="inlineStr">
        <is>
          <t>Customer Control Account</t>
        </is>
      </c>
      <c r="F4611" s="3" t="n">
        <v>6747607.01</v>
      </c>
      <c r="G4611" s="3" t="n">
        <v>-2162281.33</v>
      </c>
    </row>
    <row r="4612">
      <c r="A4612" s="3" t="inlineStr">
        <is>
          <t>Heron Fields (Pty) Ltd</t>
        </is>
      </c>
      <c r="B4612" s="4" t="n">
        <v>45230</v>
      </c>
      <c r="C4612" s="3" t="inlineStr">
        <is>
          <t>Assets</t>
        </is>
      </c>
      <c r="D4612" s="3" t="inlineStr">
        <is>
          <t>8000/000</t>
        </is>
      </c>
      <c r="E4612" s="3" t="inlineStr">
        <is>
          <t>Customer Control Account</t>
        </is>
      </c>
      <c r="F4612" s="3" t="n">
        <v>4965.58</v>
      </c>
      <c r="G4612" s="3" t="n">
        <v>366234.17</v>
      </c>
    </row>
    <row r="4613">
      <c r="A4613" s="3" t="inlineStr">
        <is>
          <t>Cape Projects Construction (Pty) Ltd</t>
        </is>
      </c>
      <c r="B4613" s="4" t="n">
        <v>45230</v>
      </c>
      <c r="C4613" s="3" t="inlineStr">
        <is>
          <t>Assets</t>
        </is>
      </c>
      <c r="D4613" s="3" t="inlineStr">
        <is>
          <t>8200/020</t>
        </is>
      </c>
      <c r="E4613" s="3" t="inlineStr">
        <is>
          <t>Staff Loans</t>
        </is>
      </c>
      <c r="F4613" s="3" t="n">
        <v>8019.13</v>
      </c>
      <c r="G4613" s="3" t="n">
        <v>5704.85</v>
      </c>
    </row>
    <row r="4614">
      <c r="A4614" s="3" t="inlineStr">
        <is>
          <t>Heron Fields (Pty) Ltd</t>
        </is>
      </c>
      <c r="B4614" s="4" t="n">
        <v>45230</v>
      </c>
      <c r="C4614" s="3" t="inlineStr">
        <is>
          <t>Assets</t>
        </is>
      </c>
      <c r="D4614" s="3" t="inlineStr">
        <is>
          <t>8400/000</t>
        </is>
      </c>
      <c r="E4614" s="3" t="inlineStr">
        <is>
          <t>RMB - 62882379087</t>
        </is>
      </c>
      <c r="F4614" s="3" t="n">
        <v>1489399.76</v>
      </c>
      <c r="G4614" s="3" t="n">
        <v>2325999.83</v>
      </c>
    </row>
    <row r="4615">
      <c r="A4615" s="3" t="inlineStr">
        <is>
          <t>Cape Projects Construction (Pty) Ltd</t>
        </is>
      </c>
      <c r="B4615" s="4" t="n">
        <v>45230</v>
      </c>
      <c r="C4615" s="3" t="inlineStr">
        <is>
          <t>Assets</t>
        </is>
      </c>
      <c r="D4615" s="3" t="inlineStr">
        <is>
          <t>8400/000</t>
        </is>
      </c>
      <c r="E4615" s="3" t="inlineStr">
        <is>
          <t>RMB 62275138470</t>
        </is>
      </c>
      <c r="F4615" s="3" t="n">
        <v>-214893.22</v>
      </c>
      <c r="G4615" s="3" t="n">
        <v>173420.01</v>
      </c>
    </row>
    <row r="4616">
      <c r="A4616" s="3" t="inlineStr">
        <is>
          <t>Cape Projects Construction (Pty) Ltd</t>
        </is>
      </c>
      <c r="B4616" s="4" t="n">
        <v>45230</v>
      </c>
      <c r="C4616" s="3" t="inlineStr">
        <is>
          <t>Assets</t>
        </is>
      </c>
      <c r="D4616" s="3" t="inlineStr">
        <is>
          <t>8410/000</t>
        </is>
      </c>
      <c r="E4616" s="3" t="inlineStr">
        <is>
          <t>Petty Cash</t>
        </is>
      </c>
      <c r="F4616" s="3" t="n">
        <v>0</v>
      </c>
      <c r="G4616" s="3" t="n">
        <v>-1188</v>
      </c>
    </row>
    <row r="4617">
      <c r="A4617" s="3" t="inlineStr">
        <is>
          <t>Cape Projects Construction (Pty) Ltd</t>
        </is>
      </c>
      <c r="B4617" s="4" t="n">
        <v>45230</v>
      </c>
      <c r="C4617" s="3" t="inlineStr">
        <is>
          <t>Assets</t>
        </is>
      </c>
      <c r="D4617" s="3" t="inlineStr">
        <is>
          <t>8420/000</t>
        </is>
      </c>
      <c r="E4617" s="3" t="inlineStr">
        <is>
          <t>Momentum Priv Acc RU502230981</t>
        </is>
      </c>
      <c r="F4617" s="3" t="n">
        <v>4.14</v>
      </c>
      <c r="G4617" s="3" t="n">
        <v>571.55</v>
      </c>
    </row>
    <row r="4618">
      <c r="A4618" s="3" t="inlineStr">
        <is>
          <t>Heron Fields (Pty) Ltd</t>
        </is>
      </c>
      <c r="B4618" s="4" t="n">
        <v>45230</v>
      </c>
      <c r="C4618" s="3" t="inlineStr">
        <is>
          <t>Assets</t>
        </is>
      </c>
      <c r="D4618" s="3" t="inlineStr">
        <is>
          <t>8420/000</t>
        </is>
      </c>
      <c r="E4618" s="3" t="inlineStr">
        <is>
          <t>Petty Cash</t>
        </is>
      </c>
      <c r="F4618" s="3" t="n">
        <v>0</v>
      </c>
      <c r="G4618" s="3" t="n">
        <v>8620</v>
      </c>
    </row>
    <row r="4619">
      <c r="A4619" s="3" t="inlineStr">
        <is>
          <t>Heron Fields (Pty) Ltd</t>
        </is>
      </c>
      <c r="B4619" s="4" t="n">
        <v>45230</v>
      </c>
      <c r="C4619" s="3" t="inlineStr">
        <is>
          <t>Assets</t>
        </is>
      </c>
      <c r="D4619" s="3" t="inlineStr">
        <is>
          <t>8430/000</t>
        </is>
      </c>
      <c r="E4619" s="3" t="inlineStr">
        <is>
          <t>Momentum Private Account RU502230151</t>
        </is>
      </c>
      <c r="F4619" s="3" t="n">
        <v>23.47</v>
      </c>
      <c r="G4619" s="3" t="n">
        <v>871.91</v>
      </c>
    </row>
    <row r="4620">
      <c r="A4620" s="3" t="inlineStr">
        <is>
          <t>Heron Fields (Pty) Ltd</t>
        </is>
      </c>
      <c r="B4620" s="4" t="n">
        <v>45230</v>
      </c>
      <c r="C4620" s="3" t="inlineStr">
        <is>
          <t>Assets</t>
        </is>
      </c>
      <c r="D4620" s="3" t="inlineStr">
        <is>
          <t>8440/000</t>
        </is>
      </c>
      <c r="E4620" s="3" t="inlineStr">
        <is>
          <t>Momentum Investors Account RU502229930</t>
        </is>
      </c>
      <c r="F4620" s="3" t="n">
        <v>-5922489.84</v>
      </c>
      <c r="G4620" s="3" t="n">
        <v>41636202.61</v>
      </c>
    </row>
    <row r="4621">
      <c r="A4621" s="3" t="inlineStr">
        <is>
          <t>Heron Fields (Pty) Ltd</t>
        </is>
      </c>
      <c r="B4621" s="4" t="n">
        <v>45230</v>
      </c>
      <c r="C4621" s="3" t="inlineStr">
        <is>
          <t>Assets</t>
        </is>
      </c>
      <c r="D4621" s="3" t="inlineStr">
        <is>
          <t>8450/000</t>
        </is>
      </c>
      <c r="E4621" s="3" t="inlineStr">
        <is>
          <t>ABSA Current Acc : 4109071013</t>
        </is>
      </c>
      <c r="F4621" s="3" t="n">
        <v>0</v>
      </c>
      <c r="G4621" s="3" t="n">
        <v>500</v>
      </c>
    </row>
    <row r="4622">
      <c r="A4622" s="3" t="inlineStr">
        <is>
          <t>Cape Projects Construction (Pty) Ltd</t>
        </is>
      </c>
      <c r="B4622" s="4" t="n">
        <v>45230</v>
      </c>
      <c r="C4622" s="3" t="inlineStr">
        <is>
          <t>Liabilities</t>
        </is>
      </c>
      <c r="D4622" s="3" t="inlineStr">
        <is>
          <t>860</t>
        </is>
      </c>
      <c r="E4622" s="3" t="inlineStr">
        <is>
          <t>Rounding</t>
        </is>
      </c>
      <c r="F4622" s="3" t="n">
        <v>-0.08</v>
      </c>
      <c r="G4622" s="3" t="n">
        <v>-29.75</v>
      </c>
    </row>
    <row r="4623">
      <c r="A4623" s="3" t="inlineStr">
        <is>
          <t>Heron Fields (Pty) Ltd</t>
        </is>
      </c>
      <c r="B4623" s="4" t="n">
        <v>45230</v>
      </c>
      <c r="C4623" s="3" t="inlineStr">
        <is>
          <t>Liabilities</t>
        </is>
      </c>
      <c r="D4623" s="3" t="inlineStr">
        <is>
          <t>860</t>
        </is>
      </c>
      <c r="E4623" s="3" t="inlineStr">
        <is>
          <t>Rounding</t>
        </is>
      </c>
      <c r="F4623" s="3" t="n">
        <v>0.01</v>
      </c>
      <c r="G4623" s="3" t="n">
        <v>0.14</v>
      </c>
    </row>
    <row r="4624">
      <c r="A4624" s="3" t="inlineStr">
        <is>
          <t>Heron View (Pty) Ltd</t>
        </is>
      </c>
      <c r="B4624" s="4" t="n">
        <v>45230</v>
      </c>
      <c r="C4624" s="3" t="inlineStr">
        <is>
          <t>Liabilities</t>
        </is>
      </c>
      <c r="D4624" s="3" t="inlineStr">
        <is>
          <t>860</t>
        </is>
      </c>
      <c r="E4624" s="3" t="inlineStr">
        <is>
          <t>Rounding</t>
        </is>
      </c>
      <c r="F4624" s="3" t="n">
        <v>0</v>
      </c>
      <c r="G4624" s="3" t="n">
        <v>-0.06</v>
      </c>
    </row>
    <row r="4625">
      <c r="A4625" s="3" t="inlineStr">
        <is>
          <t>Cape Projects Construction (Pty) Ltd</t>
        </is>
      </c>
      <c r="B4625" s="4" t="n">
        <v>45230</v>
      </c>
      <c r="C4625" s="3" t="inlineStr">
        <is>
          <t>Liabilities</t>
        </is>
      </c>
      <c r="D4625" s="3" t="inlineStr">
        <is>
          <t>9000/000</t>
        </is>
      </c>
      <c r="E4625" s="3" t="inlineStr">
        <is>
          <t>Supplier Control Account</t>
        </is>
      </c>
      <c r="F4625" s="3" t="n">
        <v>-1080910.7</v>
      </c>
      <c r="G4625" s="3" t="n">
        <v>-2696804.29</v>
      </c>
    </row>
    <row r="4626">
      <c r="A4626" s="3" t="inlineStr">
        <is>
          <t>Heron Fields (Pty) Ltd</t>
        </is>
      </c>
      <c r="B4626" s="4" t="n">
        <v>45230</v>
      </c>
      <c r="C4626" s="3" t="inlineStr">
        <is>
          <t>Liabilities</t>
        </is>
      </c>
      <c r="D4626" s="3" t="inlineStr">
        <is>
          <t>9000/000</t>
        </is>
      </c>
      <c r="E4626" s="3" t="inlineStr">
        <is>
          <t>Supplier Control Account</t>
        </is>
      </c>
      <c r="F4626" s="3" t="n">
        <v>-4159998.49</v>
      </c>
      <c r="G4626" s="3" t="n">
        <v>-160821114.86</v>
      </c>
    </row>
    <row r="4627">
      <c r="A4627" s="3" t="inlineStr">
        <is>
          <t>Heron View (Pty) Ltd</t>
        </is>
      </c>
      <c r="B4627" s="4" t="n">
        <v>45230</v>
      </c>
      <c r="C4627" s="3" t="inlineStr">
        <is>
          <t>Liabilities</t>
        </is>
      </c>
      <c r="D4627" s="3" t="inlineStr">
        <is>
          <t>9000/000</t>
        </is>
      </c>
      <c r="E4627" s="3" t="inlineStr">
        <is>
          <t>Supplier Control Account</t>
        </is>
      </c>
      <c r="F4627" s="3" t="n">
        <v>-5747108.99</v>
      </c>
      <c r="G4627" s="3" t="n">
        <v>817004.87</v>
      </c>
    </row>
    <row r="4628">
      <c r="A4628" s="3" t="inlineStr">
        <is>
          <t>Cape Projects Construction (Pty) Ltd</t>
        </is>
      </c>
      <c r="B4628" s="4" t="n">
        <v>45230</v>
      </c>
      <c r="C4628" s="3" t="inlineStr">
        <is>
          <t>Liabilities</t>
        </is>
      </c>
      <c r="D4628" s="3" t="inlineStr">
        <is>
          <t>9200/000</t>
        </is>
      </c>
      <c r="E4628" s="3" t="inlineStr">
        <is>
          <t>Sundry Suppliers</t>
        </is>
      </c>
      <c r="F4628" s="3" t="n">
        <v>0</v>
      </c>
      <c r="G4628" s="3" t="n">
        <v>1309</v>
      </c>
    </row>
    <row r="4629">
      <c r="A4629" s="3" t="inlineStr">
        <is>
          <t>Cape Projects Construction (Pty) Ltd</t>
        </is>
      </c>
      <c r="B4629" s="4" t="n">
        <v>45230</v>
      </c>
      <c r="C4629" s="3" t="inlineStr">
        <is>
          <t>Liabilities</t>
        </is>
      </c>
      <c r="D4629" s="3" t="inlineStr">
        <is>
          <t>9250/010</t>
        </is>
      </c>
      <c r="E4629" s="3" t="inlineStr">
        <is>
          <t>SALARY CONTROL</t>
        </is>
      </c>
      <c r="F4629" s="3" t="n">
        <v>0.02</v>
      </c>
      <c r="G4629" s="3" t="n">
        <v>0</v>
      </c>
    </row>
    <row r="4630">
      <c r="A4630" s="3" t="inlineStr">
        <is>
          <t>Cape Projects Construction (Pty) Ltd</t>
        </is>
      </c>
      <c r="B4630" s="4" t="n">
        <v>45230</v>
      </c>
      <c r="C4630" s="3" t="inlineStr">
        <is>
          <t>Liabilities</t>
        </is>
      </c>
      <c r="D4630" s="3" t="inlineStr">
        <is>
          <t>9250/020</t>
        </is>
      </c>
      <c r="E4630" s="3" t="inlineStr">
        <is>
          <t>PAYE, UIF AND SDL CONTROL</t>
        </is>
      </c>
      <c r="F4630" s="3" t="n">
        <v>-9279.57</v>
      </c>
      <c r="G4630" s="3" t="n">
        <v>-100259.69</v>
      </c>
    </row>
    <row r="4631">
      <c r="A4631" s="3" t="inlineStr">
        <is>
          <t>Cape Projects Construction (Pty) Ltd</t>
        </is>
      </c>
      <c r="B4631" s="4" t="n">
        <v>45230</v>
      </c>
      <c r="C4631" s="3" t="inlineStr">
        <is>
          <t>Liabilities</t>
        </is>
      </c>
      <c r="D4631" s="3" t="inlineStr">
        <is>
          <t>9250/030</t>
        </is>
      </c>
      <c r="E4631" s="3" t="inlineStr">
        <is>
          <t>BIBC CONTROL</t>
        </is>
      </c>
      <c r="F4631" s="3" t="n">
        <v>0</v>
      </c>
      <c r="G4631" s="3" t="n">
        <v>-49413.95</v>
      </c>
    </row>
    <row r="4632">
      <c r="A4632" s="3" t="inlineStr">
        <is>
          <t>Cape Projects Construction (Pty) Ltd</t>
        </is>
      </c>
      <c r="B4632" s="4" t="n">
        <v>45230</v>
      </c>
      <c r="C4632" s="3" t="inlineStr">
        <is>
          <t>Liabilities</t>
        </is>
      </c>
      <c r="D4632" s="3" t="inlineStr">
        <is>
          <t>9350/000</t>
        </is>
      </c>
      <c r="E4632" s="3" t="inlineStr">
        <is>
          <t>Dividends Payable</t>
        </is>
      </c>
      <c r="F4632" s="3" t="n">
        <v>0</v>
      </c>
      <c r="G4632" s="3" t="n">
        <v>130000</v>
      </c>
    </row>
    <row r="4633">
      <c r="A4633" s="3" t="inlineStr">
        <is>
          <t>Cape Projects Construction (Pty) Ltd</t>
        </is>
      </c>
      <c r="B4633" s="4" t="n">
        <v>45230</v>
      </c>
      <c r="C4633" s="3" t="inlineStr">
        <is>
          <t>Liabilities</t>
        </is>
      </c>
      <c r="D4633" s="3" t="inlineStr">
        <is>
          <t>9500/000</t>
        </is>
      </c>
      <c r="E4633" s="3" t="inlineStr">
        <is>
          <t>VAT Control Account</t>
        </is>
      </c>
      <c r="F4633" s="3" t="n">
        <v>-42321.62</v>
      </c>
      <c r="G4633" s="3" t="n">
        <v>-114691.06</v>
      </c>
    </row>
    <row r="4634">
      <c r="A4634" s="3" t="inlineStr">
        <is>
          <t>Heron Fields (Pty) Ltd</t>
        </is>
      </c>
      <c r="B4634" s="4" t="n">
        <v>45230</v>
      </c>
      <c r="C4634" s="3" t="inlineStr">
        <is>
          <t>Liabilities</t>
        </is>
      </c>
      <c r="D4634" s="3" t="inlineStr">
        <is>
          <t>9500/000</t>
        </is>
      </c>
      <c r="E4634" s="3" t="inlineStr">
        <is>
          <t>Vat / Tax Control Account</t>
        </is>
      </c>
      <c r="F4634" s="3" t="n">
        <v>-1287789.93</v>
      </c>
      <c r="G4634" s="3" t="n">
        <v>-4484290.48</v>
      </c>
    </row>
    <row r="4635">
      <c r="A4635" s="3" t="inlineStr">
        <is>
          <t>Heron View (Pty) Ltd</t>
        </is>
      </c>
      <c r="B4635" s="4" t="n">
        <v>45230</v>
      </c>
      <c r="C4635" s="3" t="inlineStr">
        <is>
          <t>Liabilities</t>
        </is>
      </c>
      <c r="D4635" s="3" t="inlineStr">
        <is>
          <t>9500/000</t>
        </is>
      </c>
      <c r="E4635" s="3" t="inlineStr">
        <is>
          <t>Vat / Tax Control Account</t>
        </is>
      </c>
      <c r="F4635" s="3" t="n">
        <v>1099948.74</v>
      </c>
      <c r="G4635" s="3" t="n">
        <v>4616461.7</v>
      </c>
    </row>
    <row r="4636">
      <c r="A4636" s="3" t="inlineStr">
        <is>
          <t>Cape Projects Construction (Pty) Ltd</t>
        </is>
      </c>
      <c r="B4636" s="4" t="n">
        <v>45230</v>
      </c>
      <c r="C4636" s="3" t="inlineStr">
        <is>
          <t>Liabilities</t>
        </is>
      </c>
      <c r="D4636" s="3" t="inlineStr">
        <is>
          <t>9510/000</t>
        </is>
      </c>
      <c r="E4636" s="3" t="inlineStr">
        <is>
          <t>Tax Provision Account</t>
        </is>
      </c>
      <c r="F4636" s="3" t="n">
        <v>0</v>
      </c>
      <c r="G4636" s="3" t="n">
        <v>-1869.8</v>
      </c>
    </row>
    <row r="4637">
      <c r="A4637" s="3" t="inlineStr">
        <is>
          <t>Heron Fields (Pty) Ltd</t>
        </is>
      </c>
      <c r="B4637" s="4" t="n">
        <v>45230</v>
      </c>
      <c r="C4637" s="3" t="inlineStr">
        <is>
          <t>Liabilities</t>
        </is>
      </c>
      <c r="D4637" s="3" t="inlineStr">
        <is>
          <t>9520/000</t>
        </is>
      </c>
      <c r="E4637" s="3" t="inlineStr">
        <is>
          <t>Income Tax Payable</t>
        </is>
      </c>
      <c r="F4637" s="3" t="n">
        <v>0</v>
      </c>
      <c r="G4637" s="3" t="n">
        <v>59039.93</v>
      </c>
    </row>
    <row r="4638">
      <c r="A4638" s="3" t="inlineStr">
        <is>
          <t>Heron View (Pty) Ltd</t>
        </is>
      </c>
      <c r="B4638" s="4" t="n">
        <v>45230</v>
      </c>
      <c r="C4638" s="3" t="inlineStr">
        <is>
          <t>Liabilities</t>
        </is>
      </c>
      <c r="D4638" s="3" t="inlineStr">
        <is>
          <t>9899/C102</t>
        </is>
      </c>
      <c r="E4638" s="3" t="inlineStr">
        <is>
          <t>Sales - Unit Reg Control C102</t>
        </is>
      </c>
      <c r="F4638" s="3" t="n">
        <v>0</v>
      </c>
      <c r="G4638" s="3" t="n">
        <v>-0.4</v>
      </c>
    </row>
    <row r="4639">
      <c r="A4639" s="3" t="inlineStr">
        <is>
          <t>Cape Projects Construction (Pty) Ltd</t>
        </is>
      </c>
      <c r="B4639" s="4" t="n">
        <v>45230</v>
      </c>
      <c r="C4639" s="3" t="inlineStr">
        <is>
          <t>Liabilities</t>
        </is>
      </c>
      <c r="D4639" s="3" t="inlineStr">
        <is>
          <t>B/S</t>
        </is>
      </c>
      <c r="E4639" s="3" t="inlineStr">
        <is>
          <t>Taxation Payable</t>
        </is>
      </c>
      <c r="F4639" s="3" t="n">
        <v>0</v>
      </c>
      <c r="G4639" s="3" t="n">
        <v>1869.8</v>
      </c>
    </row>
    <row r="4640">
      <c r="A4640" s="3" t="inlineStr">
        <is>
          <t>Cape Projects Construction (Pty) Ltd</t>
        </is>
      </c>
      <c r="B4640" s="4" t="n">
        <v>45230</v>
      </c>
      <c r="C4640" s="3" t="inlineStr">
        <is>
          <t>Liabilities</t>
        </is>
      </c>
      <c r="D4640" s="3" t="inlineStr">
        <is>
          <t>TEMP/ACC</t>
        </is>
      </c>
      <c r="E4640" s="3" t="inlineStr">
        <is>
          <t>Conversion Account</t>
        </is>
      </c>
      <c r="F4640" s="3" t="n">
        <v>0</v>
      </c>
      <c r="G4640" s="3" t="n">
        <v>-254.99</v>
      </c>
    </row>
    <row r="4641">
      <c r="A4641" s="3" t="inlineStr">
        <is>
          <t>Heron Fields (Pty) Ltd</t>
        </is>
      </c>
      <c r="B4641" s="4" t="n">
        <v>45260</v>
      </c>
      <c r="C4641" s="3" t="inlineStr">
        <is>
          <t>Revenue</t>
        </is>
      </c>
      <c r="D4641" s="3" t="inlineStr">
        <is>
          <t>1000/100</t>
        </is>
      </c>
      <c r="E4641" s="3" t="inlineStr">
        <is>
          <t>Sales - Heron Fields</t>
        </is>
      </c>
      <c r="F4641" s="3" t="n">
        <v>0</v>
      </c>
      <c r="G4641" s="3" t="n">
        <v>-28096347.83</v>
      </c>
    </row>
    <row r="4642">
      <c r="A4642" s="3" t="inlineStr">
        <is>
          <t>Heron View (Pty) Ltd</t>
        </is>
      </c>
      <c r="B4642" s="4" t="n">
        <v>45260</v>
      </c>
      <c r="C4642" s="3" t="inlineStr">
        <is>
          <t>Revenue</t>
        </is>
      </c>
      <c r="D4642" s="3" t="inlineStr">
        <is>
          <t>1000/100</t>
        </is>
      </c>
      <c r="E4642" s="3" t="inlineStr">
        <is>
          <t>Sales - Heron View Sales</t>
        </is>
      </c>
      <c r="F4642" s="3" t="n">
        <v>-1517304.35</v>
      </c>
      <c r="G4642" s="3" t="n">
        <v>-21350869.59</v>
      </c>
    </row>
    <row r="4643">
      <c r="A4643" s="3" t="inlineStr">
        <is>
          <t>Heron Fields (Pty) Ltd</t>
        </is>
      </c>
      <c r="B4643" s="4" t="n">
        <v>45260</v>
      </c>
      <c r="C4643" s="3" t="inlineStr">
        <is>
          <t>Revenue</t>
        </is>
      </c>
      <c r="D4643" s="3" t="inlineStr">
        <is>
          <t>1000/101</t>
        </is>
      </c>
      <c r="E4643" s="3" t="inlineStr">
        <is>
          <t>Sales - Heron Fields occupational rent</t>
        </is>
      </c>
      <c r="F4643" s="3" t="n">
        <v>0</v>
      </c>
      <c r="G4643" s="3" t="n">
        <v>-102388.85</v>
      </c>
    </row>
    <row r="4644">
      <c r="A4644" s="3" t="inlineStr">
        <is>
          <t>Heron View (Pty) Ltd</t>
        </is>
      </c>
      <c r="B4644" s="4" t="n">
        <v>45260</v>
      </c>
      <c r="C4644" s="3" t="inlineStr">
        <is>
          <t>Revenue</t>
        </is>
      </c>
      <c r="D4644" s="3" t="inlineStr">
        <is>
          <t>1000/101</t>
        </is>
      </c>
      <c r="E4644" s="3" t="inlineStr">
        <is>
          <t>Sales - Heron View Occupational Rent</t>
        </is>
      </c>
      <c r="F4644" s="3" t="n">
        <v>0</v>
      </c>
      <c r="G4644" s="3" t="n">
        <v>-78825.8</v>
      </c>
    </row>
    <row r="4645">
      <c r="A4645" s="3" t="inlineStr">
        <is>
          <t>Cape Projects Construction (Pty) Ltd</t>
        </is>
      </c>
      <c r="B4645" s="4" t="n">
        <v>45260</v>
      </c>
      <c r="C4645" s="3" t="inlineStr">
        <is>
          <t>Revenue</t>
        </is>
      </c>
      <c r="D4645" s="3" t="inlineStr">
        <is>
          <t>1040/100</t>
        </is>
      </c>
      <c r="E4645" s="3" t="inlineStr">
        <is>
          <t>Fees - Construction - Heron</t>
        </is>
      </c>
      <c r="F4645" s="3" t="n">
        <v>-11562012.71</v>
      </c>
      <c r="G4645" s="3" t="n">
        <v>-46699249.85</v>
      </c>
    </row>
    <row r="4646">
      <c r="A4646" s="3" t="inlineStr">
        <is>
          <t>Cape Projects Construction (Pty) Ltd</t>
        </is>
      </c>
      <c r="B4646" s="4" t="n">
        <v>45260</v>
      </c>
      <c r="C4646" s="3" t="inlineStr">
        <is>
          <t>Revenue</t>
        </is>
      </c>
      <c r="D4646" s="3" t="inlineStr">
        <is>
          <t>1070/000</t>
        </is>
      </c>
      <c r="E4646" s="3" t="inlineStr">
        <is>
          <t>Rent - CT Office</t>
        </is>
      </c>
      <c r="F4646" s="3" t="n">
        <v>0</v>
      </c>
      <c r="G4646" s="3" t="n">
        <v>3490.94</v>
      </c>
    </row>
    <row r="4647">
      <c r="A4647" s="3" t="inlineStr">
        <is>
          <t>Heron Fields (Pty) Ltd</t>
        </is>
      </c>
      <c r="B4647" s="4" t="n">
        <v>45260</v>
      </c>
      <c r="C4647" s="3" t="inlineStr">
        <is>
          <t>Revenue</t>
        </is>
      </c>
      <c r="D4647" s="3" t="inlineStr">
        <is>
          <t>1500/002</t>
        </is>
      </c>
      <c r="E4647" s="3" t="inlineStr">
        <is>
          <t>Rental Income</t>
        </is>
      </c>
      <c r="F4647" s="3" t="n">
        <v>-34500</v>
      </c>
      <c r="G4647" s="3" t="n">
        <v>-149130.07</v>
      </c>
    </row>
    <row r="4648">
      <c r="A4648" s="3" t="inlineStr">
        <is>
          <t>Heron View (Pty) Ltd</t>
        </is>
      </c>
      <c r="B4648" s="4" t="n">
        <v>45260</v>
      </c>
      <c r="C4648" s="3" t="inlineStr">
        <is>
          <t>Revenue</t>
        </is>
      </c>
      <c r="D4648" s="3" t="inlineStr">
        <is>
          <t>1500/002</t>
        </is>
      </c>
      <c r="E4648" s="3" t="inlineStr">
        <is>
          <t>Rental Income</t>
        </is>
      </c>
      <c r="F4648" s="3" t="n">
        <v>0</v>
      </c>
      <c r="G4648" s="3" t="n">
        <v>-13883</v>
      </c>
    </row>
    <row r="4649">
      <c r="A4649" s="3" t="inlineStr">
        <is>
          <t>Heron Fields (Pty) Ltd</t>
        </is>
      </c>
      <c r="B4649" s="4" t="n">
        <v>45260</v>
      </c>
      <c r="C4649" s="3" t="inlineStr">
        <is>
          <t>Expenses</t>
        </is>
      </c>
      <c r="D4649" s="3" t="inlineStr">
        <is>
          <t>2000/011</t>
        </is>
      </c>
      <c r="E4649" s="3" t="inlineStr">
        <is>
          <t>COS - Heron View Showhouse</t>
        </is>
      </c>
      <c r="F4649" s="3" t="n">
        <v>0</v>
      </c>
      <c r="G4649" s="3" t="n">
        <v>45300.43</v>
      </c>
    </row>
    <row r="4650">
      <c r="A4650" s="3" t="inlineStr">
        <is>
          <t>Heron View (Pty) Ltd</t>
        </is>
      </c>
      <c r="B4650" s="4" t="n">
        <v>45260</v>
      </c>
      <c r="C4650" s="3" t="inlineStr">
        <is>
          <t>Expenses</t>
        </is>
      </c>
      <c r="D4650" s="3" t="inlineStr">
        <is>
          <t>2000/030</t>
        </is>
      </c>
      <c r="E4650" s="3" t="inlineStr">
        <is>
          <t>COS - HV COCT Rates clearance</t>
        </is>
      </c>
      <c r="F4650" s="3" t="n">
        <v>0</v>
      </c>
      <c r="G4650" s="3" t="n">
        <v>237142.94</v>
      </c>
    </row>
    <row r="4651">
      <c r="A4651" s="3" t="inlineStr">
        <is>
          <t>Heron Fields (Pty) Ltd</t>
        </is>
      </c>
      <c r="B4651" s="4" t="n">
        <v>45260</v>
      </c>
      <c r="C4651" s="3" t="inlineStr">
        <is>
          <t>Expenses</t>
        </is>
      </c>
      <c r="D4651" s="3" t="inlineStr">
        <is>
          <t>2000/040</t>
        </is>
      </c>
      <c r="E4651" s="3" t="inlineStr">
        <is>
          <t>COS - Legal Fees</t>
        </is>
      </c>
      <c r="F4651" s="3" t="n">
        <v>0</v>
      </c>
      <c r="G4651" s="3" t="n">
        <v>685713.49</v>
      </c>
    </row>
    <row r="4652">
      <c r="A4652" s="3" t="inlineStr">
        <is>
          <t>Heron View (Pty) Ltd</t>
        </is>
      </c>
      <c r="B4652" s="4" t="n">
        <v>45260</v>
      </c>
      <c r="C4652" s="3" t="inlineStr">
        <is>
          <t>Expenses</t>
        </is>
      </c>
      <c r="D4652" s="3" t="inlineStr">
        <is>
          <t>2000/040</t>
        </is>
      </c>
      <c r="E4652" s="3" t="inlineStr">
        <is>
          <t>COS - Legal Fees</t>
        </is>
      </c>
      <c r="F4652" s="3" t="n">
        <v>23865.75</v>
      </c>
      <c r="G4652" s="3" t="n">
        <v>475114.3</v>
      </c>
    </row>
    <row r="4653">
      <c r="A4653" s="3" t="inlineStr">
        <is>
          <t>Heron View (Pty) Ltd</t>
        </is>
      </c>
      <c r="B4653" s="4" t="n">
        <v>45260</v>
      </c>
      <c r="C4653" s="3" t="inlineStr">
        <is>
          <t>Expenses</t>
        </is>
      </c>
      <c r="D4653" s="3" t="inlineStr">
        <is>
          <t>2000/041</t>
        </is>
      </c>
      <c r="E4653" s="3" t="inlineStr">
        <is>
          <t>COS - Legal Fees Opening of Sec Title Fees</t>
        </is>
      </c>
      <c r="F4653" s="3" t="n">
        <v>17618</v>
      </c>
      <c r="G4653" s="3" t="n">
        <v>79174.94</v>
      </c>
    </row>
    <row r="4654">
      <c r="A4654" s="3" t="inlineStr">
        <is>
          <t>Heron Fields (Pty) Ltd</t>
        </is>
      </c>
      <c r="B4654" s="4" t="n">
        <v>45260</v>
      </c>
      <c r="C4654" s="3" t="inlineStr">
        <is>
          <t>Expenses</t>
        </is>
      </c>
      <c r="D4654" s="3" t="inlineStr">
        <is>
          <t>2000/041</t>
        </is>
      </c>
      <c r="E4654" s="3" t="inlineStr">
        <is>
          <t>COS - Legal Fees Opening of Sec Title Scheme</t>
        </is>
      </c>
      <c r="F4654" s="3" t="n">
        <v>0</v>
      </c>
      <c r="G4654" s="3" t="n">
        <v>10540</v>
      </c>
    </row>
    <row r="4655">
      <c r="A4655" s="3" t="inlineStr">
        <is>
          <t>Heron Fields (Pty) Ltd</t>
        </is>
      </c>
      <c r="B4655" s="4" t="n">
        <v>45260</v>
      </c>
      <c r="C4655" s="3" t="inlineStr">
        <is>
          <t>Expenses</t>
        </is>
      </c>
      <c r="D4655" s="3" t="inlineStr">
        <is>
          <t>2000/050</t>
        </is>
      </c>
      <c r="E4655" s="3" t="inlineStr">
        <is>
          <t>COS - Rates clearance</t>
        </is>
      </c>
      <c r="F4655" s="3" t="n">
        <v>0</v>
      </c>
      <c r="G4655" s="3" t="n">
        <v>44864.59</v>
      </c>
    </row>
    <row r="4656">
      <c r="A4656" s="3" t="inlineStr">
        <is>
          <t>Heron Fields (Pty) Ltd</t>
        </is>
      </c>
      <c r="B4656" s="4" t="n">
        <v>45260</v>
      </c>
      <c r="C4656" s="3" t="inlineStr">
        <is>
          <t>Expenses</t>
        </is>
      </c>
      <c r="D4656" s="3" t="inlineStr">
        <is>
          <t>2000/060</t>
        </is>
      </c>
      <c r="E4656" s="3" t="inlineStr">
        <is>
          <t>COS - Levies</t>
        </is>
      </c>
      <c r="F4656" s="3" t="n">
        <v>0</v>
      </c>
      <c r="G4656" s="3" t="n">
        <v>381069.48</v>
      </c>
    </row>
    <row r="4657">
      <c r="A4657" s="3" t="inlineStr">
        <is>
          <t>Heron Fields (Pty) Ltd</t>
        </is>
      </c>
      <c r="B4657" s="4" t="n">
        <v>45260</v>
      </c>
      <c r="C4657" s="3" t="inlineStr">
        <is>
          <t>Expenses</t>
        </is>
      </c>
      <c r="D4657" s="3" t="inlineStr">
        <is>
          <t>2000/070</t>
        </is>
      </c>
      <c r="E4657" s="3" t="inlineStr">
        <is>
          <t>COS - Commission HF Units</t>
        </is>
      </c>
      <c r="F4657" s="3" t="n">
        <v>0</v>
      </c>
      <c r="G4657" s="3" t="n">
        <v>1405686.97</v>
      </c>
    </row>
    <row r="4658">
      <c r="A4658" s="3" t="inlineStr">
        <is>
          <t>Heron View (Pty) Ltd</t>
        </is>
      </c>
      <c r="B4658" s="4" t="n">
        <v>45260</v>
      </c>
      <c r="C4658" s="3" t="inlineStr">
        <is>
          <t>Expenses</t>
        </is>
      </c>
      <c r="D4658" s="3" t="inlineStr">
        <is>
          <t>2000/070</t>
        </is>
      </c>
      <c r="E4658" s="3" t="inlineStr">
        <is>
          <t>COS - Commission HV Units</t>
        </is>
      </c>
      <c r="F4658" s="3" t="n">
        <v>74778.25999999999</v>
      </c>
      <c r="G4658" s="3" t="n">
        <v>1068630.4</v>
      </c>
    </row>
    <row r="4659">
      <c r="A4659" s="3" t="inlineStr">
        <is>
          <t>Heron Fields (Pty) Ltd</t>
        </is>
      </c>
      <c r="B4659" s="4" t="n">
        <v>45260</v>
      </c>
      <c r="C4659" s="3" t="inlineStr">
        <is>
          <t>Expenses</t>
        </is>
      </c>
      <c r="D4659" s="3" t="inlineStr">
        <is>
          <t>2000/080</t>
        </is>
      </c>
      <c r="E4659" s="3" t="inlineStr">
        <is>
          <t>COS - Showhouse - HF</t>
        </is>
      </c>
      <c r="F4659" s="3" t="n">
        <v>0</v>
      </c>
      <c r="G4659" s="3" t="n">
        <v>1005.47</v>
      </c>
    </row>
    <row r="4660">
      <c r="A4660" s="3" t="inlineStr">
        <is>
          <t>Heron View (Pty) Ltd</t>
        </is>
      </c>
      <c r="B4660" s="4" t="n">
        <v>45260</v>
      </c>
      <c r="C4660" s="3" t="inlineStr">
        <is>
          <t>Expenses</t>
        </is>
      </c>
      <c r="D4660" s="3" t="inlineStr">
        <is>
          <t>2000/080</t>
        </is>
      </c>
      <c r="E4660" s="3" t="inlineStr">
        <is>
          <t>COS - Showhouse - HV</t>
        </is>
      </c>
      <c r="F4660" s="3" t="n">
        <v>0</v>
      </c>
      <c r="G4660" s="3" t="n">
        <v>6212.85</v>
      </c>
    </row>
    <row r="4661">
      <c r="A4661" s="3" t="inlineStr">
        <is>
          <t>Heron Fields (Pty) Ltd</t>
        </is>
      </c>
      <c r="B4661" s="4" t="n">
        <v>45260</v>
      </c>
      <c r="C4661" s="3" t="inlineStr">
        <is>
          <t>Expenses</t>
        </is>
      </c>
      <c r="D4661" s="3" t="inlineStr">
        <is>
          <t>2000/090</t>
        </is>
      </c>
      <c r="E4661" s="3" t="inlineStr">
        <is>
          <t>COS - Electricity</t>
        </is>
      </c>
      <c r="F4661" s="3" t="n">
        <v>0</v>
      </c>
      <c r="G4661" s="3" t="n">
        <v>250</v>
      </c>
    </row>
    <row r="4662">
      <c r="A4662" s="3" t="inlineStr">
        <is>
          <t>Heron View (Pty) Ltd</t>
        </is>
      </c>
      <c r="B4662" s="4" t="n">
        <v>45260</v>
      </c>
      <c r="C4662" s="3" t="inlineStr">
        <is>
          <t>Expenses</t>
        </is>
      </c>
      <c r="D4662" s="3" t="inlineStr">
        <is>
          <t>2000/090</t>
        </is>
      </c>
      <c r="E4662" s="3" t="inlineStr">
        <is>
          <t>COS - Electricity</t>
        </is>
      </c>
      <c r="F4662" s="3" t="n">
        <v>86.95999999999999</v>
      </c>
      <c r="G4662" s="3" t="n">
        <v>273.92</v>
      </c>
    </row>
    <row r="4663">
      <c r="A4663" s="3" t="inlineStr">
        <is>
          <t>Heron Fields (Pty) Ltd</t>
        </is>
      </c>
      <c r="B4663" s="4" t="n">
        <v>45260</v>
      </c>
      <c r="C4663" s="3" t="inlineStr">
        <is>
          <t>Expenses</t>
        </is>
      </c>
      <c r="D4663" s="3" t="inlineStr">
        <is>
          <t>2000/100</t>
        </is>
      </c>
      <c r="E4663" s="3" t="inlineStr">
        <is>
          <t>COS - Inverters</t>
        </is>
      </c>
      <c r="F4663" s="3" t="n">
        <v>0</v>
      </c>
      <c r="G4663" s="3" t="n">
        <v>31600</v>
      </c>
    </row>
    <row r="4664">
      <c r="A4664" s="3" t="inlineStr">
        <is>
          <t>Cape Projects Construction (Pty) Ltd</t>
        </is>
      </c>
      <c r="B4664" s="4" t="n">
        <v>45260</v>
      </c>
      <c r="C4664" s="3" t="inlineStr">
        <is>
          <t>Expenses</t>
        </is>
      </c>
      <c r="D4664" s="3" t="inlineStr">
        <is>
          <t>2000/500</t>
        </is>
      </c>
      <c r="E4664" s="3" t="inlineStr">
        <is>
          <t>COS - Electricity Cost Endulini</t>
        </is>
      </c>
      <c r="F4664" s="3" t="n">
        <v>0</v>
      </c>
      <c r="G4664" s="3" t="n">
        <v>286.96</v>
      </c>
    </row>
    <row r="4665">
      <c r="A4665" s="3" t="inlineStr">
        <is>
          <t>Cape Projects Construction (Pty) Ltd</t>
        </is>
      </c>
      <c r="B4665" s="4" t="n">
        <v>45260</v>
      </c>
      <c r="C4665" s="3" t="inlineStr">
        <is>
          <t>Expenses</t>
        </is>
      </c>
      <c r="D4665" s="3" t="inlineStr">
        <is>
          <t>2000/501</t>
        </is>
      </c>
      <c r="E4665" s="3" t="inlineStr">
        <is>
          <t>COS - Electricity Cost Heron Field</t>
        </is>
      </c>
      <c r="F4665" s="3" t="n">
        <v>0</v>
      </c>
      <c r="G4665" s="3" t="n">
        <v>86.95999999999999</v>
      </c>
    </row>
    <row r="4666">
      <c r="A4666" s="3" t="inlineStr">
        <is>
          <t>Cape Projects Construction (Pty) Ltd</t>
        </is>
      </c>
      <c r="B4666" s="4" t="n">
        <v>45260</v>
      </c>
      <c r="C4666" s="3" t="inlineStr">
        <is>
          <t>Expenses</t>
        </is>
      </c>
      <c r="D4666" s="3" t="inlineStr">
        <is>
          <t>2001/000</t>
        </is>
      </c>
      <c r="E4666" s="3" t="inlineStr">
        <is>
          <t>Cost of Sales - SouthWark Project</t>
        </is>
      </c>
      <c r="F4666" s="3" t="n">
        <v>0</v>
      </c>
      <c r="G4666" s="3" t="n">
        <v>30620.97</v>
      </c>
    </row>
    <row r="4667">
      <c r="A4667" s="3" t="inlineStr">
        <is>
          <t>Cape Projects Construction (Pty) Ltd</t>
        </is>
      </c>
      <c r="B4667" s="4" t="n">
        <v>45260</v>
      </c>
      <c r="C4667" s="3" t="inlineStr">
        <is>
          <t>Expenses</t>
        </is>
      </c>
      <c r="D4667" s="3" t="inlineStr">
        <is>
          <t>2002/109</t>
        </is>
      </c>
      <c r="E4667" s="3" t="inlineStr">
        <is>
          <t>COS - SoHo External SITE LABOUR</t>
        </is>
      </c>
      <c r="F4667" s="3" t="n">
        <v>7408.46</v>
      </c>
      <c r="G4667" s="3" t="n">
        <v>7408.46</v>
      </c>
    </row>
    <row r="4668">
      <c r="A4668" s="3" t="inlineStr">
        <is>
          <t>Cape Projects Construction (Pty) Ltd</t>
        </is>
      </c>
      <c r="B4668" s="4" t="n">
        <v>45260</v>
      </c>
      <c r="C4668" s="3" t="inlineStr">
        <is>
          <t>Expenses</t>
        </is>
      </c>
      <c r="D4668" s="3" t="inlineStr">
        <is>
          <t>2002/250</t>
        </is>
      </c>
      <c r="E4668" s="3" t="inlineStr">
        <is>
          <t>COS - Security</t>
        </is>
      </c>
      <c r="F4668" s="3" t="n">
        <v>0</v>
      </c>
      <c r="G4668" s="3" t="n">
        <v>10516.44</v>
      </c>
    </row>
    <row r="4669">
      <c r="A4669" s="3" t="inlineStr">
        <is>
          <t>Cape Projects Construction (Pty) Ltd</t>
        </is>
      </c>
      <c r="B4669" s="4" t="n">
        <v>45260</v>
      </c>
      <c r="C4669" s="3" t="inlineStr">
        <is>
          <t>Expenses</t>
        </is>
      </c>
      <c r="D4669" s="3" t="inlineStr">
        <is>
          <t>2002/252</t>
        </is>
      </c>
      <c r="E4669" s="3" t="inlineStr">
        <is>
          <t>COS - Security - Guarding</t>
        </is>
      </c>
      <c r="F4669" s="3" t="n">
        <v>16000</v>
      </c>
      <c r="G4669" s="3" t="n">
        <v>89620.91</v>
      </c>
    </row>
    <row r="4670">
      <c r="A4670" s="3" t="inlineStr">
        <is>
          <t>Cape Projects Construction (Pty) Ltd</t>
        </is>
      </c>
      <c r="B4670" s="4" t="n">
        <v>45260</v>
      </c>
      <c r="C4670" s="3" t="inlineStr">
        <is>
          <t>Expenses</t>
        </is>
      </c>
      <c r="D4670" s="3" t="inlineStr">
        <is>
          <t>2006/000</t>
        </is>
      </c>
      <c r="E4670" s="3" t="inlineStr">
        <is>
          <t>COS - Endulini Construction</t>
        </is>
      </c>
      <c r="F4670" s="3" t="n">
        <v>58881.4</v>
      </c>
      <c r="G4670" s="3" t="n">
        <v>340547.74</v>
      </c>
    </row>
    <row r="4671">
      <c r="A4671" s="3" t="inlineStr">
        <is>
          <t>Cape Projects Construction (Pty) Ltd</t>
        </is>
      </c>
      <c r="B4671" s="4" t="n">
        <v>45260</v>
      </c>
      <c r="C4671" s="3" t="inlineStr">
        <is>
          <t>Expenses</t>
        </is>
      </c>
      <c r="D4671" s="3" t="inlineStr">
        <is>
          <t>2006/100</t>
        </is>
      </c>
      <c r="E4671" s="3" t="inlineStr">
        <is>
          <t>COS - Endulini P and G</t>
        </is>
      </c>
      <c r="F4671" s="3" t="n">
        <v>2263.78</v>
      </c>
      <c r="G4671" s="3" t="n">
        <v>160161.36</v>
      </c>
    </row>
    <row r="4672">
      <c r="A4672" s="3" t="inlineStr">
        <is>
          <t>Cape Projects Construction (Pty) Ltd</t>
        </is>
      </c>
      <c r="B4672" s="4" t="n">
        <v>45260</v>
      </c>
      <c r="C4672" s="3" t="inlineStr">
        <is>
          <t>Expenses</t>
        </is>
      </c>
      <c r="D4672" s="3" t="inlineStr">
        <is>
          <t>2006/200</t>
        </is>
      </c>
      <c r="E4672" s="3" t="inlineStr">
        <is>
          <t>COS - Insurance</t>
        </is>
      </c>
      <c r="F4672" s="3" t="n">
        <v>0</v>
      </c>
      <c r="G4672" s="3" t="n">
        <v>19969.43</v>
      </c>
    </row>
    <row r="4673">
      <c r="A4673" s="3" t="inlineStr">
        <is>
          <t>Cape Projects Construction (Pty) Ltd</t>
        </is>
      </c>
      <c r="B4673" s="4" t="n">
        <v>45260</v>
      </c>
      <c r="C4673" s="3" t="inlineStr">
        <is>
          <t>Expenses</t>
        </is>
      </c>
      <c r="D4673" s="3" t="inlineStr">
        <is>
          <t>2006/450</t>
        </is>
      </c>
      <c r="E4673" s="3" t="inlineStr">
        <is>
          <t>COS - Endulini - Computer expenses</t>
        </is>
      </c>
      <c r="F4673" s="3" t="n">
        <v>0</v>
      </c>
      <c r="G4673" s="3" t="n">
        <v>26340.75</v>
      </c>
    </row>
    <row r="4674">
      <c r="A4674" s="3" t="inlineStr">
        <is>
          <t>Cape Projects Construction (Pty) Ltd</t>
        </is>
      </c>
      <c r="B4674" s="4" t="n">
        <v>45260</v>
      </c>
      <c r="C4674" s="3" t="inlineStr">
        <is>
          <t>Expenses</t>
        </is>
      </c>
      <c r="D4674" s="3" t="inlineStr">
        <is>
          <t>2006/800</t>
        </is>
      </c>
      <c r="E4674" s="3" t="inlineStr">
        <is>
          <t>COS - Endulini - Telephone &amp; Internet</t>
        </is>
      </c>
      <c r="F4674" s="3" t="n">
        <v>0</v>
      </c>
      <c r="G4674" s="3" t="n">
        <v>760.87</v>
      </c>
    </row>
    <row r="4675">
      <c r="A4675" s="3" t="inlineStr">
        <is>
          <t>Cape Projects Construction (Pty) Ltd</t>
        </is>
      </c>
      <c r="B4675" s="4" t="n">
        <v>45260</v>
      </c>
      <c r="C4675" s="3" t="inlineStr">
        <is>
          <t>Expenses</t>
        </is>
      </c>
      <c r="D4675" s="3" t="inlineStr">
        <is>
          <t>2007/000</t>
        </is>
      </c>
      <c r="E4675" s="3" t="inlineStr">
        <is>
          <t>COS - Repairs &amp; Maintenance - SW Southwark</t>
        </is>
      </c>
      <c r="F4675" s="3" t="n">
        <v>0</v>
      </c>
      <c r="G4675" s="3" t="n">
        <v>27752.22</v>
      </c>
    </row>
    <row r="4676">
      <c r="A4676" s="3" t="inlineStr">
        <is>
          <t>Cape Projects Construction (Pty) Ltd</t>
        </is>
      </c>
      <c r="B4676" s="4" t="n">
        <v>45260</v>
      </c>
      <c r="C4676" s="3" t="inlineStr">
        <is>
          <t>Expenses</t>
        </is>
      </c>
      <c r="D4676" s="3" t="inlineStr">
        <is>
          <t>2008/000</t>
        </is>
      </c>
      <c r="E4676" s="3" t="inlineStr">
        <is>
          <t>COS - Repairs &amp; Maintenance - SH Soho</t>
        </is>
      </c>
      <c r="F4676" s="3" t="n">
        <v>0</v>
      </c>
      <c r="G4676" s="3" t="n">
        <v>7565.57</v>
      </c>
    </row>
    <row r="4677">
      <c r="A4677" s="3" t="inlineStr">
        <is>
          <t>Cape Projects Construction (Pty) Ltd</t>
        </is>
      </c>
      <c r="B4677" s="4" t="n">
        <v>45260</v>
      </c>
      <c r="C4677" s="3" t="inlineStr">
        <is>
          <t>Expenses</t>
        </is>
      </c>
      <c r="D4677" s="3" t="inlineStr">
        <is>
          <t>2011/300</t>
        </is>
      </c>
      <c r="E4677" s="3" t="inlineStr">
        <is>
          <t>COS - Heron Fields - Printing &amp; Stationary</t>
        </is>
      </c>
      <c r="F4677" s="3" t="n">
        <v>0</v>
      </c>
      <c r="G4677" s="3" t="n">
        <v>1129.57</v>
      </c>
    </row>
    <row r="4678">
      <c r="A4678" s="3" t="inlineStr">
        <is>
          <t>Cape Projects Construction (Pty) Ltd</t>
        </is>
      </c>
      <c r="B4678" s="4" t="n">
        <v>45260</v>
      </c>
      <c r="C4678" s="3" t="inlineStr">
        <is>
          <t>Expenses</t>
        </is>
      </c>
      <c r="D4678" s="3" t="inlineStr">
        <is>
          <t>2011/500</t>
        </is>
      </c>
      <c r="E4678" s="3" t="inlineStr">
        <is>
          <t>COS - Heron Fields - Construction</t>
        </is>
      </c>
      <c r="F4678" s="3" t="n">
        <v>34156.45</v>
      </c>
      <c r="G4678" s="3" t="n">
        <v>1633224.08</v>
      </c>
    </row>
    <row r="4679">
      <c r="A4679" s="3" t="inlineStr">
        <is>
          <t>Cape Projects Construction (Pty) Ltd</t>
        </is>
      </c>
      <c r="B4679" s="4" t="n">
        <v>45260</v>
      </c>
      <c r="C4679" s="3" t="inlineStr">
        <is>
          <t>Expenses</t>
        </is>
      </c>
      <c r="D4679" s="3" t="inlineStr">
        <is>
          <t>2011/600</t>
        </is>
      </c>
      <c r="E4679" s="3" t="inlineStr">
        <is>
          <t>COS - Heron Fields - P &amp; G</t>
        </is>
      </c>
      <c r="F4679" s="3" t="n">
        <v>4110.17</v>
      </c>
      <c r="G4679" s="3" t="n">
        <v>335718.86</v>
      </c>
    </row>
    <row r="4680">
      <c r="A4680" s="3" t="inlineStr">
        <is>
          <t>Cape Projects Construction (Pty) Ltd</t>
        </is>
      </c>
      <c r="B4680" s="4" t="n">
        <v>45260</v>
      </c>
      <c r="C4680" s="3" t="inlineStr">
        <is>
          <t>Expenses</t>
        </is>
      </c>
      <c r="D4680" s="3" t="inlineStr">
        <is>
          <t>2011/700</t>
        </is>
      </c>
      <c r="E4680" s="3" t="inlineStr">
        <is>
          <t>COS - Heron Fields - Health &amp; Safety</t>
        </is>
      </c>
      <c r="F4680" s="3" t="n">
        <v>0</v>
      </c>
      <c r="G4680" s="3" t="n">
        <v>694.78</v>
      </c>
    </row>
    <row r="4681">
      <c r="A4681" s="3" t="inlineStr">
        <is>
          <t>Cape Projects Construction (Pty) Ltd</t>
        </is>
      </c>
      <c r="B4681" s="4" t="n">
        <v>45260</v>
      </c>
      <c r="C4681" s="3" t="inlineStr">
        <is>
          <t>Expenses</t>
        </is>
      </c>
      <c r="D4681" s="3" t="inlineStr">
        <is>
          <t>2011/900</t>
        </is>
      </c>
      <c r="E4681" s="3" t="inlineStr">
        <is>
          <t>COS - Heron - Internet</t>
        </is>
      </c>
      <c r="F4681" s="3" t="n">
        <v>1797.39</v>
      </c>
      <c r="G4681" s="3" t="n">
        <v>13682.28</v>
      </c>
    </row>
    <row r="4682">
      <c r="A4682" s="3" t="inlineStr">
        <is>
          <t>Cape Projects Construction (Pty) Ltd</t>
        </is>
      </c>
      <c r="B4682" s="4" t="n">
        <v>45260</v>
      </c>
      <c r="C4682" s="3" t="inlineStr">
        <is>
          <t>Expenses</t>
        </is>
      </c>
      <c r="D4682" s="3" t="inlineStr">
        <is>
          <t>2012/001</t>
        </is>
      </c>
      <c r="E4682" s="3" t="inlineStr">
        <is>
          <t>COS - Heron View - Printing &amp; Stationary</t>
        </is>
      </c>
      <c r="F4682" s="3" t="n">
        <v>5843.48</v>
      </c>
      <c r="G4682" s="3" t="n">
        <v>28253.64</v>
      </c>
    </row>
    <row r="4683">
      <c r="A4683" s="3" t="inlineStr">
        <is>
          <t>Cape Projects Construction (Pty) Ltd</t>
        </is>
      </c>
      <c r="B4683" s="4" t="n">
        <v>45260</v>
      </c>
      <c r="C4683" s="3" t="inlineStr">
        <is>
          <t>Expenses</t>
        </is>
      </c>
      <c r="D4683" s="3" t="inlineStr">
        <is>
          <t>2012/002</t>
        </is>
      </c>
      <c r="E4683" s="3" t="inlineStr">
        <is>
          <t>COS - Heron View - Construction</t>
        </is>
      </c>
      <c r="F4683" s="3" t="n">
        <v>10559669.02</v>
      </c>
      <c r="G4683" s="3" t="n">
        <v>37318053.89</v>
      </c>
    </row>
    <row r="4684">
      <c r="A4684" s="3" t="inlineStr">
        <is>
          <t>Cape Projects Construction (Pty) Ltd</t>
        </is>
      </c>
      <c r="B4684" s="4" t="n">
        <v>45260</v>
      </c>
      <c r="C4684" s="3" t="inlineStr">
        <is>
          <t>Expenses</t>
        </is>
      </c>
      <c r="D4684" s="3" t="inlineStr">
        <is>
          <t>2012/003</t>
        </is>
      </c>
      <c r="E4684" s="3" t="inlineStr">
        <is>
          <t>COS - Heron View - P&amp;G</t>
        </is>
      </c>
      <c r="F4684" s="3" t="n">
        <v>1665.25</v>
      </c>
      <c r="G4684" s="3" t="n">
        <v>547235.14</v>
      </c>
    </row>
    <row r="4685">
      <c r="A4685" s="3" t="inlineStr">
        <is>
          <t>Cape Projects Construction (Pty) Ltd</t>
        </is>
      </c>
      <c r="B4685" s="4" t="n">
        <v>45260</v>
      </c>
      <c r="C4685" s="3" t="inlineStr">
        <is>
          <t>Expenses</t>
        </is>
      </c>
      <c r="D4685" s="3" t="inlineStr">
        <is>
          <t>2013/000</t>
        </is>
      </c>
      <c r="E4685" s="3" t="inlineStr">
        <is>
          <t>COS - Bakhoven</t>
        </is>
      </c>
      <c r="F4685" s="3" t="n">
        <v>0</v>
      </c>
      <c r="G4685" s="3" t="n">
        <v>17292.48</v>
      </c>
    </row>
    <row r="4686">
      <c r="A4686" s="3" t="inlineStr">
        <is>
          <t>Cape Projects Construction (Pty) Ltd</t>
        </is>
      </c>
      <c r="B4686" s="4" t="n">
        <v>45260</v>
      </c>
      <c r="C4686" s="3" t="inlineStr">
        <is>
          <t>Revenue</t>
        </is>
      </c>
      <c r="D4686" s="3" t="inlineStr">
        <is>
          <t>2750/000</t>
        </is>
      </c>
      <c r="E4686" s="3" t="inlineStr">
        <is>
          <t>Interest Received - FNB</t>
        </is>
      </c>
      <c r="F4686" s="3" t="n">
        <v>-699.89</v>
      </c>
      <c r="G4686" s="3" t="n">
        <v>-1490.02</v>
      </c>
    </row>
    <row r="4687">
      <c r="A4687" s="3" t="inlineStr">
        <is>
          <t>Cape Projects Construction (Pty) Ltd</t>
        </is>
      </c>
      <c r="B4687" s="4" t="n">
        <v>45260</v>
      </c>
      <c r="C4687" s="3" t="inlineStr">
        <is>
          <t>Revenue</t>
        </is>
      </c>
      <c r="D4687" s="3" t="inlineStr">
        <is>
          <t>2751/001</t>
        </is>
      </c>
      <c r="E4687" s="3" t="inlineStr">
        <is>
          <t>Interest received - Momentum</t>
        </is>
      </c>
      <c r="F4687" s="3" t="n">
        <v>0</v>
      </c>
      <c r="G4687" s="3" t="n">
        <v>-34.23</v>
      </c>
    </row>
    <row r="4688">
      <c r="A4688" s="3" t="inlineStr">
        <is>
          <t>Heron Fields (Pty) Ltd</t>
        </is>
      </c>
      <c r="B4688" s="4" t="n">
        <v>45260</v>
      </c>
      <c r="C4688" s="3" t="inlineStr">
        <is>
          <t>Revenue</t>
        </is>
      </c>
      <c r="D4688" s="3" t="inlineStr">
        <is>
          <t>2755/001</t>
        </is>
      </c>
      <c r="E4688" s="3" t="inlineStr">
        <is>
          <t>Interest Received - Momentum</t>
        </is>
      </c>
      <c r="F4688" s="3" t="n">
        <v>-289283.88</v>
      </c>
      <c r="G4688" s="3" t="n">
        <v>-2370660.93</v>
      </c>
    </row>
    <row r="4689">
      <c r="A4689" s="3" t="inlineStr">
        <is>
          <t>Heron Fields (Pty) Ltd</t>
        </is>
      </c>
      <c r="B4689" s="4" t="n">
        <v>45260</v>
      </c>
      <c r="C4689" s="3" t="inlineStr">
        <is>
          <t>Expenses</t>
        </is>
      </c>
      <c r="D4689" s="3" t="inlineStr">
        <is>
          <t>3000/000</t>
        </is>
      </c>
      <c r="E4689" s="3" t="inlineStr">
        <is>
          <t>Accounting Fees</t>
        </is>
      </c>
      <c r="F4689" s="3" t="n">
        <v>0</v>
      </c>
      <c r="G4689" s="3" t="n">
        <v>15024.96</v>
      </c>
    </row>
    <row r="4690">
      <c r="A4690" s="3" t="inlineStr">
        <is>
          <t>Heron Fields (Pty) Ltd</t>
        </is>
      </c>
      <c r="B4690" s="4" t="n">
        <v>45260</v>
      </c>
      <c r="C4690" s="3" t="inlineStr">
        <is>
          <t>Expenses</t>
        </is>
      </c>
      <c r="D4690" s="3" t="inlineStr">
        <is>
          <t>3000/100</t>
        </is>
      </c>
      <c r="E4690" s="3" t="inlineStr">
        <is>
          <t>Accounting - CIPC</t>
        </is>
      </c>
      <c r="F4690" s="3" t="n">
        <v>0</v>
      </c>
      <c r="G4690" s="3" t="n">
        <v>3050</v>
      </c>
    </row>
    <row r="4691">
      <c r="A4691" s="3" t="inlineStr">
        <is>
          <t>Cape Projects Construction (Pty) Ltd</t>
        </is>
      </c>
      <c r="B4691" s="4" t="n">
        <v>45260</v>
      </c>
      <c r="C4691" s="3" t="inlineStr">
        <is>
          <t>Expenses</t>
        </is>
      </c>
      <c r="D4691" s="3" t="inlineStr">
        <is>
          <t>3001/000</t>
        </is>
      </c>
      <c r="E4691" s="3" t="inlineStr">
        <is>
          <t>Accounting Fees - Other</t>
        </is>
      </c>
      <c r="F4691" s="3" t="n">
        <v>0</v>
      </c>
      <c r="G4691" s="3" t="n">
        <v>1280</v>
      </c>
    </row>
    <row r="4692">
      <c r="A4692" s="3" t="inlineStr">
        <is>
          <t>Cape Projects Construction (Pty) Ltd</t>
        </is>
      </c>
      <c r="B4692" s="4" t="n">
        <v>45260</v>
      </c>
      <c r="C4692" s="3" t="inlineStr">
        <is>
          <t>Expenses</t>
        </is>
      </c>
      <c r="D4692" s="3" t="inlineStr">
        <is>
          <t>3002/000</t>
        </is>
      </c>
      <c r="E4692" s="3" t="inlineStr">
        <is>
          <t>Accounting Fees - Audit</t>
        </is>
      </c>
      <c r="F4692" s="3" t="n">
        <v>0</v>
      </c>
      <c r="G4692" s="3" t="n">
        <v>11170</v>
      </c>
    </row>
    <row r="4693">
      <c r="A4693" s="3" t="inlineStr">
        <is>
          <t>Cape Projects Construction (Pty) Ltd</t>
        </is>
      </c>
      <c r="B4693" s="4" t="n">
        <v>45260</v>
      </c>
      <c r="C4693" s="3" t="inlineStr">
        <is>
          <t>Expenses</t>
        </is>
      </c>
      <c r="D4693" s="3" t="inlineStr">
        <is>
          <t>3050/000</t>
        </is>
      </c>
      <c r="E4693" s="3" t="inlineStr">
        <is>
          <t>Advertising _AND_ Promotions</t>
        </is>
      </c>
      <c r="F4693" s="3" t="n">
        <v>0</v>
      </c>
      <c r="G4693" s="3" t="n">
        <v>10975</v>
      </c>
    </row>
    <row r="4694">
      <c r="A4694" s="3" t="inlineStr">
        <is>
          <t>Heron Fields (Pty) Ltd</t>
        </is>
      </c>
      <c r="B4694" s="4" t="n">
        <v>45260</v>
      </c>
      <c r="C4694" s="3" t="inlineStr">
        <is>
          <t>Expenses</t>
        </is>
      </c>
      <c r="D4694" s="3" t="inlineStr">
        <is>
          <t>3050/000</t>
        </is>
      </c>
      <c r="E4694" s="3" t="inlineStr">
        <is>
          <t>Advertising _AND_ Promotions</t>
        </is>
      </c>
      <c r="F4694" s="3" t="n">
        <v>7641.04</v>
      </c>
      <c r="G4694" s="3" t="n">
        <v>177983.09</v>
      </c>
    </row>
    <row r="4695">
      <c r="A4695" s="3" t="inlineStr">
        <is>
          <t>Heron View (Pty) Ltd</t>
        </is>
      </c>
      <c r="B4695" s="4" t="n">
        <v>45260</v>
      </c>
      <c r="C4695" s="3" t="inlineStr">
        <is>
          <t>Expenses</t>
        </is>
      </c>
      <c r="D4695" s="3" t="inlineStr">
        <is>
          <t>3050/000</t>
        </is>
      </c>
      <c r="E4695" s="3" t="inlineStr">
        <is>
          <t>Advertising _AND_ Promotions</t>
        </is>
      </c>
      <c r="F4695" s="3" t="n">
        <v>0</v>
      </c>
      <c r="G4695" s="3" t="n">
        <v>52426.47</v>
      </c>
    </row>
    <row r="4696">
      <c r="A4696" s="3" t="inlineStr">
        <is>
          <t>Heron Fields (Pty) Ltd</t>
        </is>
      </c>
      <c r="B4696" s="4" t="n">
        <v>45260</v>
      </c>
      <c r="C4696" s="3" t="inlineStr">
        <is>
          <t>Expenses</t>
        </is>
      </c>
      <c r="D4696" s="3" t="inlineStr">
        <is>
          <t>3050/100</t>
        </is>
      </c>
      <c r="E4696" s="3" t="inlineStr">
        <is>
          <t>Advertising - Property24</t>
        </is>
      </c>
      <c r="F4696" s="3" t="n">
        <v>0</v>
      </c>
      <c r="G4696" s="3" t="n">
        <v>12480</v>
      </c>
    </row>
    <row r="4697">
      <c r="A4697" s="3" t="inlineStr">
        <is>
          <t>Cape Projects Construction (Pty) Ltd</t>
        </is>
      </c>
      <c r="B4697" s="4" t="n">
        <v>45260</v>
      </c>
      <c r="C4697" s="3" t="inlineStr">
        <is>
          <t>Expenses</t>
        </is>
      </c>
      <c r="D4697" s="3" t="inlineStr">
        <is>
          <t>3050/150</t>
        </is>
      </c>
      <c r="E4697" s="3" t="inlineStr">
        <is>
          <t>Advertising - Design Fees</t>
        </is>
      </c>
      <c r="F4697" s="3" t="n">
        <v>0</v>
      </c>
      <c r="G4697" s="3" t="n">
        <v>295</v>
      </c>
    </row>
    <row r="4698">
      <c r="A4698" s="3" t="inlineStr">
        <is>
          <t>Heron Fields (Pty) Ltd</t>
        </is>
      </c>
      <c r="B4698" s="4" t="n">
        <v>45260</v>
      </c>
      <c r="C4698" s="3" t="inlineStr">
        <is>
          <t>Expenses</t>
        </is>
      </c>
      <c r="D4698" s="3" t="inlineStr">
        <is>
          <t>3050/300</t>
        </is>
      </c>
      <c r="E4698" s="3" t="inlineStr">
        <is>
          <t>Advertising - Real Marketing</t>
        </is>
      </c>
      <c r="F4698" s="3" t="n">
        <v>0</v>
      </c>
      <c r="G4698" s="3" t="n">
        <v>10250</v>
      </c>
    </row>
    <row r="4699">
      <c r="A4699" s="3" t="inlineStr">
        <is>
          <t>Heron View (Pty) Ltd</t>
        </is>
      </c>
      <c r="B4699" s="4" t="n">
        <v>45260</v>
      </c>
      <c r="C4699" s="3" t="inlineStr">
        <is>
          <t>Expenses</t>
        </is>
      </c>
      <c r="D4699" s="3" t="inlineStr">
        <is>
          <t>3050/300</t>
        </is>
      </c>
      <c r="E4699" s="3" t="inlineStr">
        <is>
          <t>Advertising - Thinkink</t>
        </is>
      </c>
      <c r="F4699" s="3" t="n">
        <v>0</v>
      </c>
      <c r="G4699" s="3" t="n">
        <v>17855</v>
      </c>
    </row>
    <row r="4700">
      <c r="A4700" s="3" t="inlineStr">
        <is>
          <t>Heron View (Pty) Ltd</t>
        </is>
      </c>
      <c r="B4700" s="4" t="n">
        <v>45260</v>
      </c>
      <c r="C4700" s="3" t="inlineStr">
        <is>
          <t>Expenses</t>
        </is>
      </c>
      <c r="D4700" s="3" t="inlineStr">
        <is>
          <t>3050/400</t>
        </is>
      </c>
      <c r="E4700" s="3" t="inlineStr">
        <is>
          <t>Advertising - Pure Brand Activation</t>
        </is>
      </c>
      <c r="F4700" s="3" t="n">
        <v>0</v>
      </c>
      <c r="G4700" s="3" t="n">
        <v>14569.1</v>
      </c>
    </row>
    <row r="4701">
      <c r="A4701" s="3" t="inlineStr">
        <is>
          <t>Cape Projects Construction (Pty) Ltd</t>
        </is>
      </c>
      <c r="B4701" s="4" t="n">
        <v>45260</v>
      </c>
      <c r="C4701" s="3" t="inlineStr">
        <is>
          <t>Expenses</t>
        </is>
      </c>
      <c r="D4701" s="3" t="inlineStr">
        <is>
          <t>3050/450</t>
        </is>
      </c>
      <c r="E4701" s="3" t="inlineStr">
        <is>
          <t>Advertising - Other</t>
        </is>
      </c>
      <c r="F4701" s="3" t="n">
        <v>0</v>
      </c>
      <c r="G4701" s="3" t="n">
        <v>1597</v>
      </c>
    </row>
    <row r="4702">
      <c r="A4702" s="3" t="inlineStr">
        <is>
          <t>Heron View (Pty) Ltd</t>
        </is>
      </c>
      <c r="B4702" s="4" t="n">
        <v>45260</v>
      </c>
      <c r="C4702" s="3" t="inlineStr">
        <is>
          <t>Expenses</t>
        </is>
      </c>
      <c r="D4702" s="3" t="inlineStr">
        <is>
          <t>3050/500</t>
        </is>
      </c>
      <c r="E4702" s="3" t="inlineStr">
        <is>
          <t>Advertising - Real Marketing</t>
        </is>
      </c>
      <c r="F4702" s="3" t="n">
        <v>0</v>
      </c>
      <c r="G4702" s="3" t="n">
        <v>18500</v>
      </c>
    </row>
    <row r="4703">
      <c r="A4703" s="3" t="inlineStr">
        <is>
          <t>Cape Projects Construction (Pty) Ltd</t>
        </is>
      </c>
      <c r="B4703" s="4" t="n">
        <v>45260</v>
      </c>
      <c r="C4703" s="3" t="inlineStr">
        <is>
          <t>Expenses</t>
        </is>
      </c>
      <c r="D4703" s="3" t="inlineStr">
        <is>
          <t>3200/000</t>
        </is>
      </c>
      <c r="E4703" s="3" t="inlineStr">
        <is>
          <t>Bank Charges</t>
        </is>
      </c>
      <c r="F4703" s="3" t="n">
        <v>1423.87</v>
      </c>
      <c r="G4703" s="3" t="n">
        <v>16125.98</v>
      </c>
    </row>
    <row r="4704">
      <c r="A4704" s="3" t="inlineStr">
        <is>
          <t>Heron Fields (Pty) Ltd</t>
        </is>
      </c>
      <c r="B4704" s="4" t="n">
        <v>45260</v>
      </c>
      <c r="C4704" s="3" t="inlineStr">
        <is>
          <t>Expenses</t>
        </is>
      </c>
      <c r="D4704" s="3" t="inlineStr">
        <is>
          <t>3200/000</t>
        </is>
      </c>
      <c r="E4704" s="3" t="inlineStr">
        <is>
          <t>Bank Charges</t>
        </is>
      </c>
      <c r="F4704" s="3" t="n">
        <v>398.2</v>
      </c>
      <c r="G4704" s="3" t="n">
        <v>3981.69</v>
      </c>
    </row>
    <row r="4705">
      <c r="A4705" s="3" t="inlineStr">
        <is>
          <t>Cape Projects Construction (Pty) Ltd</t>
        </is>
      </c>
      <c r="B4705" s="4" t="n">
        <v>45260</v>
      </c>
      <c r="C4705" s="3" t="inlineStr">
        <is>
          <t>Expenses</t>
        </is>
      </c>
      <c r="D4705" s="3" t="inlineStr">
        <is>
          <t>3250/000</t>
        </is>
      </c>
      <c r="E4705" s="3" t="inlineStr">
        <is>
          <t>Cleaning</t>
        </is>
      </c>
      <c r="F4705" s="3" t="n">
        <v>216.48</v>
      </c>
      <c r="G4705" s="3" t="n">
        <v>728.37</v>
      </c>
    </row>
    <row r="4706">
      <c r="A4706" s="3" t="inlineStr">
        <is>
          <t>Cape Projects Construction (Pty) Ltd</t>
        </is>
      </c>
      <c r="B4706" s="4" t="n">
        <v>45260</v>
      </c>
      <c r="C4706" s="3" t="inlineStr">
        <is>
          <t>Expenses</t>
        </is>
      </c>
      <c r="D4706" s="3" t="inlineStr">
        <is>
          <t>3255/000</t>
        </is>
      </c>
      <c r="E4706" s="3" t="inlineStr">
        <is>
          <t>Cell Phone - CT Office</t>
        </is>
      </c>
      <c r="F4706" s="3" t="n">
        <v>0</v>
      </c>
      <c r="G4706" s="3" t="n">
        <v>4123</v>
      </c>
    </row>
    <row r="4707">
      <c r="A4707" s="3" t="inlineStr">
        <is>
          <t>Cape Projects Construction (Pty) Ltd</t>
        </is>
      </c>
      <c r="B4707" s="4" t="n">
        <v>45260</v>
      </c>
      <c r="C4707" s="3" t="inlineStr">
        <is>
          <t>Expenses</t>
        </is>
      </c>
      <c r="D4707" s="3" t="inlineStr">
        <is>
          <t>3256/000</t>
        </is>
      </c>
      <c r="E4707" s="3" t="inlineStr">
        <is>
          <t>Cell Phone - Nick Morgan</t>
        </is>
      </c>
      <c r="F4707" s="3" t="n">
        <v>0</v>
      </c>
      <c r="G4707" s="3" t="n">
        <v>26779.67</v>
      </c>
    </row>
    <row r="4708">
      <c r="A4708" s="3" t="inlineStr">
        <is>
          <t>Cape Projects Construction (Pty) Ltd</t>
        </is>
      </c>
      <c r="B4708" s="4" t="n">
        <v>45260</v>
      </c>
      <c r="C4708" s="3" t="inlineStr">
        <is>
          <t>Expenses</t>
        </is>
      </c>
      <c r="D4708" s="3" t="inlineStr">
        <is>
          <t>3300/000</t>
        </is>
      </c>
      <c r="E4708" s="3" t="inlineStr">
        <is>
          <t>Computer Expenses</t>
        </is>
      </c>
      <c r="F4708" s="3" t="n">
        <v>1100</v>
      </c>
      <c r="G4708" s="3" t="n">
        <v>6402.65</v>
      </c>
    </row>
    <row r="4709">
      <c r="A4709" s="3" t="inlineStr">
        <is>
          <t>Cape Projects Construction (Pty) Ltd</t>
        </is>
      </c>
      <c r="B4709" s="4" t="n">
        <v>45260</v>
      </c>
      <c r="C4709" s="3" t="inlineStr">
        <is>
          <t>Expenses</t>
        </is>
      </c>
      <c r="D4709" s="3" t="inlineStr">
        <is>
          <t>3300/100</t>
        </is>
      </c>
      <c r="E4709" s="3" t="inlineStr">
        <is>
          <t>Computer Exp - IT, Internet/Hosting Fee</t>
        </is>
      </c>
      <c r="F4709" s="3" t="n">
        <v>3230</v>
      </c>
      <c r="G4709" s="3" t="n">
        <v>35869</v>
      </c>
    </row>
    <row r="4710">
      <c r="A4710" s="3" t="inlineStr">
        <is>
          <t>Heron Fields (Pty) Ltd</t>
        </is>
      </c>
      <c r="B4710" s="4" t="n">
        <v>45260</v>
      </c>
      <c r="C4710" s="3" t="inlineStr">
        <is>
          <t>Expenses</t>
        </is>
      </c>
      <c r="D4710" s="3" t="inlineStr">
        <is>
          <t>3350/100</t>
        </is>
      </c>
      <c r="E4710" s="3" t="inlineStr">
        <is>
          <t>Consulting Fees - Admin and Finance</t>
        </is>
      </c>
      <c r="F4710" s="3" t="n">
        <v>115333</v>
      </c>
      <c r="G4710" s="3" t="n">
        <v>1054082.57</v>
      </c>
    </row>
    <row r="4711">
      <c r="A4711" s="3" t="inlineStr">
        <is>
          <t>Cape Projects Construction (Pty) Ltd</t>
        </is>
      </c>
      <c r="B4711" s="4" t="n">
        <v>45260</v>
      </c>
      <c r="C4711" s="3" t="inlineStr">
        <is>
          <t>Expenses</t>
        </is>
      </c>
      <c r="D4711" s="3" t="inlineStr">
        <is>
          <t>3350/300</t>
        </is>
      </c>
      <c r="E4711" s="3" t="inlineStr">
        <is>
          <t>Consulting Fees - Admin and Finance</t>
        </is>
      </c>
      <c r="F4711" s="3" t="n">
        <v>124297</v>
      </c>
      <c r="G4711" s="3" t="n">
        <v>1107037.7</v>
      </c>
    </row>
    <row r="4712">
      <c r="A4712" s="3" t="inlineStr">
        <is>
          <t>Heron Fields (Pty) Ltd</t>
        </is>
      </c>
      <c r="B4712" s="4" t="n">
        <v>45260</v>
      </c>
      <c r="C4712" s="3" t="inlineStr">
        <is>
          <t>Expenses</t>
        </is>
      </c>
      <c r="D4712" s="3" t="inlineStr">
        <is>
          <t>3351/000</t>
        </is>
      </c>
      <c r="E4712" s="3" t="inlineStr">
        <is>
          <t>Consulting fees - Trustee</t>
        </is>
      </c>
      <c r="F4712" s="3" t="n">
        <v>4200</v>
      </c>
      <c r="G4712" s="3" t="n">
        <v>22100</v>
      </c>
    </row>
    <row r="4713">
      <c r="A4713" s="3" t="inlineStr">
        <is>
          <t>Heron View (Pty) Ltd</t>
        </is>
      </c>
      <c r="B4713" s="4" t="n">
        <v>45260</v>
      </c>
      <c r="C4713" s="3" t="inlineStr">
        <is>
          <t>Expenses</t>
        </is>
      </c>
      <c r="D4713" s="3" t="inlineStr">
        <is>
          <t>3351/000</t>
        </is>
      </c>
      <c r="E4713" s="3" t="inlineStr">
        <is>
          <t>Consulting fees - Trustee</t>
        </is>
      </c>
      <c r="F4713" s="3" t="n">
        <v>11250</v>
      </c>
      <c r="G4713" s="3" t="n">
        <v>52000</v>
      </c>
    </row>
    <row r="4714">
      <c r="A4714" s="3" t="inlineStr">
        <is>
          <t>Cape Projects Construction (Pty) Ltd</t>
        </is>
      </c>
      <c r="B4714" s="4" t="n">
        <v>45260</v>
      </c>
      <c r="C4714" s="3" t="inlineStr">
        <is>
          <t>Expenses</t>
        </is>
      </c>
      <c r="D4714" s="3" t="inlineStr">
        <is>
          <t>3400/000</t>
        </is>
      </c>
      <c r="E4714" s="3" t="inlineStr">
        <is>
          <t>Courier _AND_ Postage</t>
        </is>
      </c>
      <c r="F4714" s="3" t="n">
        <v>0</v>
      </c>
      <c r="G4714" s="3" t="n">
        <v>331.09</v>
      </c>
    </row>
    <row r="4715">
      <c r="A4715" s="3" t="inlineStr">
        <is>
          <t>Cape Projects Construction (Pty) Ltd</t>
        </is>
      </c>
      <c r="B4715" s="4" t="n">
        <v>45260</v>
      </c>
      <c r="C4715" s="3" t="inlineStr">
        <is>
          <t>Expenses</t>
        </is>
      </c>
      <c r="D4715" s="3" t="inlineStr">
        <is>
          <t>3450/001</t>
        </is>
      </c>
      <c r="E4715" s="3" t="inlineStr">
        <is>
          <t>Depreciation - Computer Equipment</t>
        </is>
      </c>
      <c r="F4715" s="3" t="n">
        <v>4549.49</v>
      </c>
      <c r="G4715" s="3" t="n">
        <v>32687.01</v>
      </c>
    </row>
    <row r="4716">
      <c r="A4716" s="3" t="inlineStr">
        <is>
          <t>Cape Projects Construction (Pty) Ltd</t>
        </is>
      </c>
      <c r="B4716" s="4" t="n">
        <v>45260</v>
      </c>
      <c r="C4716" s="3" t="inlineStr">
        <is>
          <t>Expenses</t>
        </is>
      </c>
      <c r="D4716" s="3" t="inlineStr">
        <is>
          <t>3450/002</t>
        </is>
      </c>
      <c r="E4716" s="3" t="inlineStr">
        <is>
          <t>Depreciation - Generator Fixed Asset</t>
        </is>
      </c>
      <c r="F4716" s="3" t="n">
        <v>1188.7</v>
      </c>
      <c r="G4716" s="3" t="n">
        <v>8707.57</v>
      </c>
    </row>
    <row r="4717">
      <c r="A4717" s="3" t="inlineStr">
        <is>
          <t>Cape Projects Construction (Pty) Ltd</t>
        </is>
      </c>
      <c r="B4717" s="4" t="n">
        <v>45260</v>
      </c>
      <c r="C4717" s="3" t="inlineStr">
        <is>
          <t>Expenses</t>
        </is>
      </c>
      <c r="D4717" s="3" t="inlineStr">
        <is>
          <t>3450/030</t>
        </is>
      </c>
      <c r="E4717" s="3" t="inlineStr">
        <is>
          <t>Depreciation - Furniture and Fittings</t>
        </is>
      </c>
      <c r="F4717" s="3" t="n">
        <v>547.67</v>
      </c>
      <c r="G4717" s="3" t="n">
        <v>4929.09</v>
      </c>
    </row>
    <row r="4718">
      <c r="A4718" s="3" t="inlineStr">
        <is>
          <t>Heron Fields (Pty) Ltd</t>
        </is>
      </c>
      <c r="B4718" s="4" t="n">
        <v>45260</v>
      </c>
      <c r="C4718" s="3" t="inlineStr">
        <is>
          <t>Expenses</t>
        </is>
      </c>
      <c r="D4718" s="3" t="inlineStr">
        <is>
          <t>3650/000</t>
        </is>
      </c>
      <c r="E4718" s="3" t="inlineStr">
        <is>
          <t>CoCT - Electricity</t>
        </is>
      </c>
      <c r="F4718" s="3" t="n">
        <v>498.69</v>
      </c>
      <c r="G4718" s="3" t="n">
        <v>224762.54</v>
      </c>
    </row>
    <row r="4719">
      <c r="A4719" s="3" t="inlineStr">
        <is>
          <t>Cape Projects Construction (Pty) Ltd</t>
        </is>
      </c>
      <c r="B4719" s="4" t="n">
        <v>45260</v>
      </c>
      <c r="C4719" s="3" t="inlineStr">
        <is>
          <t>Expenses</t>
        </is>
      </c>
      <c r="D4719" s="3" t="inlineStr">
        <is>
          <t>3650/000</t>
        </is>
      </c>
      <c r="E4719" s="3" t="inlineStr">
        <is>
          <t>Electricity _AND_ Water</t>
        </is>
      </c>
      <c r="F4719" s="3" t="n">
        <v>7400.09</v>
      </c>
      <c r="G4719" s="3" t="n">
        <v>60974.72</v>
      </c>
    </row>
    <row r="4720">
      <c r="A4720" s="3" t="inlineStr">
        <is>
          <t>Heron Fields (Pty) Ltd</t>
        </is>
      </c>
      <c r="B4720" s="4" t="n">
        <v>45260</v>
      </c>
      <c r="C4720" s="3" t="inlineStr">
        <is>
          <t>Expenses</t>
        </is>
      </c>
      <c r="D4720" s="3" t="inlineStr">
        <is>
          <t>3660/000</t>
        </is>
      </c>
      <c r="E4720" s="3" t="inlineStr">
        <is>
          <t>CoCT - Water</t>
        </is>
      </c>
      <c r="F4720" s="3" t="n">
        <v>1058.21</v>
      </c>
      <c r="G4720" s="3" t="n">
        <v>93188.60000000001</v>
      </c>
    </row>
    <row r="4721">
      <c r="A4721" s="3" t="inlineStr">
        <is>
          <t>Heron Fields (Pty) Ltd</t>
        </is>
      </c>
      <c r="B4721" s="4" t="n">
        <v>45260</v>
      </c>
      <c r="C4721" s="3" t="inlineStr">
        <is>
          <t>Expenses</t>
        </is>
      </c>
      <c r="D4721" s="3" t="inlineStr">
        <is>
          <t>3670/000</t>
        </is>
      </c>
      <c r="E4721" s="3" t="inlineStr">
        <is>
          <t>CoCT - Refuse</t>
        </is>
      </c>
      <c r="F4721" s="3" t="n">
        <v>0</v>
      </c>
      <c r="G4721" s="3" t="n">
        <v>46978.37</v>
      </c>
    </row>
    <row r="4722">
      <c r="A4722" s="3" t="inlineStr">
        <is>
          <t>Heron Fields (Pty) Ltd</t>
        </is>
      </c>
      <c r="B4722" s="4" t="n">
        <v>45260</v>
      </c>
      <c r="C4722" s="3" t="inlineStr">
        <is>
          <t>Expenses</t>
        </is>
      </c>
      <c r="D4722" s="3" t="inlineStr">
        <is>
          <t>3700/000</t>
        </is>
      </c>
      <c r="E4722" s="3" t="inlineStr">
        <is>
          <t>Entertainment Expenses</t>
        </is>
      </c>
      <c r="F4722" s="3" t="n">
        <v>0</v>
      </c>
      <c r="G4722" s="3" t="n">
        <v>39.47</v>
      </c>
    </row>
    <row r="4723">
      <c r="A4723" s="3" t="inlineStr">
        <is>
          <t>Heron Fields (Pty) Ltd</t>
        </is>
      </c>
      <c r="B4723" s="4" t="n">
        <v>45260</v>
      </c>
      <c r="C4723" s="3" t="inlineStr">
        <is>
          <t>Expenses</t>
        </is>
      </c>
      <c r="D4723" s="3" t="inlineStr">
        <is>
          <t>3800/000</t>
        </is>
      </c>
      <c r="E4723" s="3" t="inlineStr">
        <is>
          <t>General Expenses</t>
        </is>
      </c>
      <c r="F4723" s="3" t="n">
        <v>0</v>
      </c>
      <c r="G4723" s="3" t="n">
        <v>199.99</v>
      </c>
    </row>
    <row r="4724">
      <c r="A4724" s="3" t="inlineStr">
        <is>
          <t>Heron Fields (Pty) Ltd</t>
        </is>
      </c>
      <c r="B4724" s="4" t="n">
        <v>45260</v>
      </c>
      <c r="C4724" s="3" t="inlineStr">
        <is>
          <t>Expenses</t>
        </is>
      </c>
      <c r="D4724" s="3" t="inlineStr">
        <is>
          <t>3850/000</t>
        </is>
      </c>
      <c r="E4724" s="3" t="inlineStr">
        <is>
          <t>Insurance</t>
        </is>
      </c>
      <c r="F4724" s="3" t="n">
        <v>12118.18</v>
      </c>
      <c r="G4724" s="3" t="n">
        <v>85382.16</v>
      </c>
    </row>
    <row r="4725">
      <c r="A4725" s="3" t="inlineStr">
        <is>
          <t>Cape Projects Construction (Pty) Ltd</t>
        </is>
      </c>
      <c r="B4725" s="4" t="n">
        <v>45260</v>
      </c>
      <c r="C4725" s="3" t="inlineStr">
        <is>
          <t>Expenses</t>
        </is>
      </c>
      <c r="D4725" s="3" t="inlineStr">
        <is>
          <t>3850/001</t>
        </is>
      </c>
      <c r="E4725" s="3" t="inlineStr">
        <is>
          <t>Insurance - Santam</t>
        </is>
      </c>
      <c r="F4725" s="3" t="n">
        <v>2211.15</v>
      </c>
      <c r="G4725" s="3" t="n">
        <v>18574.96</v>
      </c>
    </row>
    <row r="4726">
      <c r="A4726" s="3" t="inlineStr">
        <is>
          <t>Cape Projects Construction (Pty) Ltd</t>
        </is>
      </c>
      <c r="B4726" s="4" t="n">
        <v>45260</v>
      </c>
      <c r="C4726" s="3" t="inlineStr">
        <is>
          <t>Expenses</t>
        </is>
      </c>
      <c r="D4726" s="3" t="inlineStr">
        <is>
          <t>3850/004</t>
        </is>
      </c>
      <c r="E4726" s="3" t="inlineStr">
        <is>
          <t>Insurance - A_AND_G</t>
        </is>
      </c>
      <c r="F4726" s="3" t="n">
        <v>0</v>
      </c>
      <c r="G4726" s="3" t="n">
        <v>24242.76</v>
      </c>
    </row>
    <row r="4727">
      <c r="A4727" s="3" t="inlineStr">
        <is>
          <t>Heron Fields (Pty) Ltd</t>
        </is>
      </c>
      <c r="B4727" s="4" t="n">
        <v>45260</v>
      </c>
      <c r="C4727" s="3" t="inlineStr">
        <is>
          <t>Expenses</t>
        </is>
      </c>
      <c r="D4727" s="3" t="inlineStr">
        <is>
          <t>3900/000</t>
        </is>
      </c>
      <c r="E4727" s="3" t="inlineStr">
        <is>
          <t>Interest Paid</t>
        </is>
      </c>
      <c r="F4727" s="3" t="n">
        <v>0</v>
      </c>
      <c r="G4727" s="3" t="n">
        <v>-533.8</v>
      </c>
    </row>
    <row r="4728">
      <c r="A4728" s="3" t="inlineStr">
        <is>
          <t>Heron Fields (Pty) Ltd</t>
        </is>
      </c>
      <c r="B4728" s="4" t="n">
        <v>45260</v>
      </c>
      <c r="C4728" s="3" t="inlineStr">
        <is>
          <t>Expenses</t>
        </is>
      </c>
      <c r="D4728" s="3" t="inlineStr">
        <is>
          <t>3900/111</t>
        </is>
      </c>
      <c r="E4728" s="3" t="inlineStr">
        <is>
          <t>Interest Paid - Investors @ 6.25%</t>
        </is>
      </c>
      <c r="F4728" s="3" t="n">
        <v>0</v>
      </c>
      <c r="G4728" s="3" t="n">
        <v>167246.17</v>
      </c>
    </row>
    <row r="4729">
      <c r="A4729" s="3" t="inlineStr">
        <is>
          <t>Heron Fields (Pty) Ltd</t>
        </is>
      </c>
      <c r="B4729" s="4" t="n">
        <v>45260</v>
      </c>
      <c r="C4729" s="3" t="inlineStr">
        <is>
          <t>Expenses</t>
        </is>
      </c>
      <c r="D4729" s="3" t="inlineStr">
        <is>
          <t>3900/115</t>
        </is>
      </c>
      <c r="E4729" s="3" t="inlineStr">
        <is>
          <t>Interest Paid - Investors @ 6.5%</t>
        </is>
      </c>
      <c r="F4729" s="3" t="n">
        <v>0</v>
      </c>
      <c r="G4729" s="3" t="n">
        <v>72942.48</v>
      </c>
    </row>
    <row r="4730">
      <c r="A4730" s="3" t="inlineStr">
        <is>
          <t>Heron Fields (Pty) Ltd</t>
        </is>
      </c>
      <c r="B4730" s="4" t="n">
        <v>45260</v>
      </c>
      <c r="C4730" s="3" t="inlineStr">
        <is>
          <t>Expenses</t>
        </is>
      </c>
      <c r="D4730" s="3" t="inlineStr">
        <is>
          <t>3900/117</t>
        </is>
      </c>
      <c r="E4730" s="3" t="inlineStr">
        <is>
          <t>Interest Paid - Investors @ 6.75%</t>
        </is>
      </c>
      <c r="F4730" s="3" t="n">
        <v>0</v>
      </c>
      <c r="G4730" s="3" t="n">
        <v>44124.67</v>
      </c>
    </row>
    <row r="4731">
      <c r="A4731" s="3" t="inlineStr">
        <is>
          <t>Heron Fields (Pty) Ltd</t>
        </is>
      </c>
      <c r="B4731" s="4" t="n">
        <v>45260</v>
      </c>
      <c r="C4731" s="3" t="inlineStr">
        <is>
          <t>Expenses</t>
        </is>
      </c>
      <c r="D4731" s="3" t="inlineStr">
        <is>
          <t>3900/120</t>
        </is>
      </c>
      <c r="E4731" s="3" t="inlineStr">
        <is>
          <t>Interest Paid - Investors @ 7%</t>
        </is>
      </c>
      <c r="F4731" s="3" t="n">
        <v>0</v>
      </c>
      <c r="G4731" s="3" t="n">
        <v>11678.33</v>
      </c>
    </row>
    <row r="4732">
      <c r="A4732" s="3" t="inlineStr">
        <is>
          <t>Heron View (Pty) Ltd</t>
        </is>
      </c>
      <c r="B4732" s="4" t="n">
        <v>45260</v>
      </c>
      <c r="C4732" s="3" t="inlineStr">
        <is>
          <t>Expenses</t>
        </is>
      </c>
      <c r="D4732" s="3" t="inlineStr">
        <is>
          <t>3900/120</t>
        </is>
      </c>
      <c r="E4732" s="3" t="inlineStr">
        <is>
          <t>Interest Paid - Investors @ 7%</t>
        </is>
      </c>
      <c r="F4732" s="3" t="n">
        <v>0</v>
      </c>
      <c r="G4732" s="3" t="n">
        <v>1607.78</v>
      </c>
    </row>
    <row r="4733">
      <c r="A4733" s="3" t="inlineStr">
        <is>
          <t>Heron Fields (Pty) Ltd</t>
        </is>
      </c>
      <c r="B4733" s="4" t="n">
        <v>45260</v>
      </c>
      <c r="C4733" s="3" t="inlineStr">
        <is>
          <t>Expenses</t>
        </is>
      </c>
      <c r="D4733" s="3" t="inlineStr">
        <is>
          <t>3900/126</t>
        </is>
      </c>
      <c r="E4733" s="3" t="inlineStr">
        <is>
          <t>Interest Paid - Investors @ 7.5%</t>
        </is>
      </c>
      <c r="F4733" s="3" t="n">
        <v>0</v>
      </c>
      <c r="G4733" s="3" t="n">
        <v>1252.24</v>
      </c>
    </row>
    <row r="4734">
      <c r="A4734" s="3" t="inlineStr">
        <is>
          <t>Heron View (Pty) Ltd</t>
        </is>
      </c>
      <c r="B4734" s="4" t="n">
        <v>45260</v>
      </c>
      <c r="C4734" s="3" t="inlineStr">
        <is>
          <t>Expenses</t>
        </is>
      </c>
      <c r="D4734" s="3" t="inlineStr">
        <is>
          <t>3900/126</t>
        </is>
      </c>
      <c r="E4734" s="3" t="inlineStr">
        <is>
          <t>Interest Paid - Investors @ 7.5%</t>
        </is>
      </c>
      <c r="F4734" s="3" t="n">
        <v>0</v>
      </c>
      <c r="G4734" s="3" t="n">
        <v>1507.16</v>
      </c>
    </row>
    <row r="4735">
      <c r="A4735" s="3" t="inlineStr">
        <is>
          <t>Heron Fields (Pty) Ltd</t>
        </is>
      </c>
      <c r="B4735" s="4" t="n">
        <v>45260</v>
      </c>
      <c r="C4735" s="3" t="inlineStr">
        <is>
          <t>Expenses</t>
        </is>
      </c>
      <c r="D4735" s="3" t="inlineStr">
        <is>
          <t>3900/133</t>
        </is>
      </c>
      <c r="E4735" s="3" t="inlineStr">
        <is>
          <t>Interest Paid - Investors @ 8.25%</t>
        </is>
      </c>
      <c r="F4735" s="3" t="n">
        <v>0</v>
      </c>
      <c r="G4735" s="3" t="n">
        <v>5515.07</v>
      </c>
    </row>
    <row r="4736">
      <c r="A4736" s="3" t="inlineStr">
        <is>
          <t>Heron View (Pty) Ltd</t>
        </is>
      </c>
      <c r="B4736" s="4" t="n">
        <v>45260</v>
      </c>
      <c r="C4736" s="3" t="inlineStr">
        <is>
          <t>Expenses</t>
        </is>
      </c>
      <c r="D4736" s="3" t="inlineStr">
        <is>
          <t>3900/133</t>
        </is>
      </c>
      <c r="E4736" s="3" t="inlineStr">
        <is>
          <t>Interest Paid - Investors @ 8.25%</t>
        </is>
      </c>
      <c r="F4736" s="3" t="n">
        <v>4972.6</v>
      </c>
      <c r="G4736" s="3" t="n">
        <v>31078.79</v>
      </c>
    </row>
    <row r="4737">
      <c r="A4737" s="3" t="inlineStr">
        <is>
          <t>Heron Fields (Pty) Ltd</t>
        </is>
      </c>
      <c r="B4737" s="4" t="n">
        <v>45260</v>
      </c>
      <c r="C4737" s="3" t="inlineStr">
        <is>
          <t>Expenses</t>
        </is>
      </c>
      <c r="D4737" s="3" t="inlineStr">
        <is>
          <t>3900/140</t>
        </is>
      </c>
      <c r="E4737" s="3" t="inlineStr">
        <is>
          <t>Interest Paid - Investors @ 9%</t>
        </is>
      </c>
      <c r="F4737" s="3" t="n">
        <v>0</v>
      </c>
      <c r="G4737" s="3" t="n">
        <v>591.78</v>
      </c>
    </row>
    <row r="4738">
      <c r="A4738" s="3" t="inlineStr">
        <is>
          <t>Heron View (Pty) Ltd</t>
        </is>
      </c>
      <c r="B4738" s="4" t="n">
        <v>45260</v>
      </c>
      <c r="C4738" s="3" t="inlineStr">
        <is>
          <t>Expenses</t>
        </is>
      </c>
      <c r="D4738" s="3" t="inlineStr">
        <is>
          <t>3900/140</t>
        </is>
      </c>
      <c r="E4738" s="3" t="inlineStr">
        <is>
          <t>Interest Paid - Investors @ 9%</t>
        </is>
      </c>
      <c r="F4738" s="3" t="n">
        <v>577.21</v>
      </c>
      <c r="G4738" s="3" t="n">
        <v>62815.58</v>
      </c>
    </row>
    <row r="4739">
      <c r="A4739" s="3" t="inlineStr">
        <is>
          <t>Heron View (Pty) Ltd</t>
        </is>
      </c>
      <c r="B4739" s="4" t="n">
        <v>45260</v>
      </c>
      <c r="C4739" s="3" t="inlineStr">
        <is>
          <t>Expenses</t>
        </is>
      </c>
      <c r="D4739" s="3" t="inlineStr">
        <is>
          <t>3900/147</t>
        </is>
      </c>
      <c r="E4739" s="3" t="inlineStr">
        <is>
          <t>Interest Paid - Investors @ 9.75%</t>
        </is>
      </c>
      <c r="F4739" s="3" t="n">
        <v>0</v>
      </c>
      <c r="G4739" s="3" t="n">
        <v>2537.9</v>
      </c>
    </row>
    <row r="4740">
      <c r="A4740" s="3" t="inlineStr">
        <is>
          <t>Heron View (Pty) Ltd</t>
        </is>
      </c>
      <c r="B4740" s="4" t="n">
        <v>45260</v>
      </c>
      <c r="C4740" s="3" t="inlineStr">
        <is>
          <t>Expenses</t>
        </is>
      </c>
      <c r="D4740" s="3" t="inlineStr">
        <is>
          <t>3900/150</t>
        </is>
      </c>
      <c r="E4740" s="3" t="inlineStr">
        <is>
          <t>Interest Paid - Investors @ 10%</t>
        </is>
      </c>
      <c r="F4740" s="3" t="n">
        <v>0</v>
      </c>
      <c r="G4740" s="3" t="n">
        <v>5709.59</v>
      </c>
    </row>
    <row r="4741">
      <c r="A4741" s="3" t="inlineStr">
        <is>
          <t>Heron View (Pty) Ltd</t>
        </is>
      </c>
      <c r="B4741" s="4" t="n">
        <v>45260</v>
      </c>
      <c r="C4741" s="3" t="inlineStr">
        <is>
          <t>Expenses</t>
        </is>
      </c>
      <c r="D4741" s="3" t="inlineStr">
        <is>
          <t>3900/155</t>
        </is>
      </c>
      <c r="E4741" s="3" t="inlineStr">
        <is>
          <t>Interest Paid - Investors @ 10.5%</t>
        </is>
      </c>
      <c r="F4741" s="3" t="n">
        <v>0</v>
      </c>
      <c r="G4741" s="3" t="n">
        <v>19334.38</v>
      </c>
    </row>
    <row r="4742">
      <c r="A4742" s="3" t="inlineStr">
        <is>
          <t>Heron View (Pty) Ltd</t>
        </is>
      </c>
      <c r="B4742" s="4" t="n">
        <v>45260</v>
      </c>
      <c r="C4742" s="3" t="inlineStr">
        <is>
          <t>Expenses</t>
        </is>
      </c>
      <c r="D4742" s="3" t="inlineStr">
        <is>
          <t>3900/160</t>
        </is>
      </c>
      <c r="E4742" s="3" t="inlineStr">
        <is>
          <t>Interest Paid - Investors @ 11%</t>
        </is>
      </c>
      <c r="F4742" s="3" t="n">
        <v>0</v>
      </c>
      <c r="G4742" s="3" t="n">
        <v>9131.51</v>
      </c>
    </row>
    <row r="4743">
      <c r="A4743" s="3" t="inlineStr">
        <is>
          <t>Heron Fields (Pty) Ltd</t>
        </is>
      </c>
      <c r="B4743" s="4" t="n">
        <v>45260</v>
      </c>
      <c r="C4743" s="3" t="inlineStr">
        <is>
          <t>Expenses</t>
        </is>
      </c>
      <c r="D4743" s="3" t="inlineStr">
        <is>
          <t>3900/190</t>
        </is>
      </c>
      <c r="E4743" s="3" t="inlineStr">
        <is>
          <t>Interest Paid - Investors @ 14%</t>
        </is>
      </c>
      <c r="F4743" s="3" t="n">
        <v>0</v>
      </c>
      <c r="G4743" s="3" t="n">
        <v>400367.2</v>
      </c>
    </row>
    <row r="4744">
      <c r="A4744" s="3" t="inlineStr">
        <is>
          <t>Heron View (Pty) Ltd</t>
        </is>
      </c>
      <c r="B4744" s="4" t="n">
        <v>45260</v>
      </c>
      <c r="C4744" s="3" t="inlineStr">
        <is>
          <t>Expenses</t>
        </is>
      </c>
      <c r="D4744" s="3" t="inlineStr">
        <is>
          <t>3900/190</t>
        </is>
      </c>
      <c r="E4744" s="3" t="inlineStr">
        <is>
          <t>Interest Paid - Investors @ 14%</t>
        </is>
      </c>
      <c r="F4744" s="3" t="n">
        <v>15468.15</v>
      </c>
      <c r="G4744" s="3" t="n">
        <v>605212.3</v>
      </c>
    </row>
    <row r="4745">
      <c r="A4745" s="3" t="inlineStr">
        <is>
          <t>Heron Fields (Pty) Ltd</t>
        </is>
      </c>
      <c r="B4745" s="4" t="n">
        <v>45260</v>
      </c>
      <c r="C4745" s="3" t="inlineStr">
        <is>
          <t>Expenses</t>
        </is>
      </c>
      <c r="D4745" s="3" t="inlineStr">
        <is>
          <t>3900/200</t>
        </is>
      </c>
      <c r="E4745" s="3" t="inlineStr">
        <is>
          <t>Interest Paid - Investors @ 15%</t>
        </is>
      </c>
      <c r="F4745" s="3" t="n">
        <v>0</v>
      </c>
      <c r="G4745" s="3" t="n">
        <v>333349.31</v>
      </c>
    </row>
    <row r="4746">
      <c r="A4746" s="3" t="inlineStr">
        <is>
          <t>Heron Fields (Pty) Ltd</t>
        </is>
      </c>
      <c r="B4746" s="4" t="n">
        <v>45260</v>
      </c>
      <c r="C4746" s="3" t="inlineStr">
        <is>
          <t>Expenses</t>
        </is>
      </c>
      <c r="D4746" s="3" t="inlineStr">
        <is>
          <t>3900/210</t>
        </is>
      </c>
      <c r="E4746" s="3" t="inlineStr">
        <is>
          <t>Interest Paid - Investors @ 16%</t>
        </is>
      </c>
      <c r="F4746" s="3" t="n">
        <v>0</v>
      </c>
      <c r="G4746" s="3" t="n">
        <v>47473.98</v>
      </c>
    </row>
    <row r="4747">
      <c r="A4747" s="3" t="inlineStr">
        <is>
          <t>Heron View (Pty) Ltd</t>
        </is>
      </c>
      <c r="B4747" s="4" t="n">
        <v>45260</v>
      </c>
      <c r="C4747" s="3" t="inlineStr">
        <is>
          <t>Expenses</t>
        </is>
      </c>
      <c r="D4747" s="3" t="inlineStr">
        <is>
          <t>3900/210</t>
        </is>
      </c>
      <c r="E4747" s="3" t="inlineStr">
        <is>
          <t>Interest Paid - Investors @ 16%</t>
        </is>
      </c>
      <c r="F4747" s="3" t="n">
        <v>0</v>
      </c>
      <c r="G4747" s="3" t="n">
        <v>128315.62</v>
      </c>
    </row>
    <row r="4748">
      <c r="A4748" s="3" t="inlineStr">
        <is>
          <t>Heron Fields (Pty) Ltd</t>
        </is>
      </c>
      <c r="B4748" s="4" t="n">
        <v>45260</v>
      </c>
      <c r="C4748" s="3" t="inlineStr">
        <is>
          <t>Expenses</t>
        </is>
      </c>
      <c r="D4748" s="3" t="inlineStr">
        <is>
          <t>3900/230</t>
        </is>
      </c>
      <c r="E4748" s="3" t="inlineStr">
        <is>
          <t>Interest Paid - Investors @ 18%</t>
        </is>
      </c>
      <c r="F4748" s="3" t="n">
        <v>0</v>
      </c>
      <c r="G4748" s="3" t="n">
        <v>3197167.68</v>
      </c>
    </row>
    <row r="4749">
      <c r="A4749" s="3" t="inlineStr">
        <is>
          <t>Heron View (Pty) Ltd</t>
        </is>
      </c>
      <c r="B4749" s="4" t="n">
        <v>45260</v>
      </c>
      <c r="C4749" s="3" t="inlineStr">
        <is>
          <t>Expenses</t>
        </is>
      </c>
      <c r="D4749" s="3" t="inlineStr">
        <is>
          <t>3900/230</t>
        </is>
      </c>
      <c r="E4749" s="3" t="inlineStr">
        <is>
          <t>Interest Paid - Investors @ 18%</t>
        </is>
      </c>
      <c r="F4749" s="3" t="n">
        <v>204164.39</v>
      </c>
      <c r="G4749" s="3" t="n">
        <v>1632566.08</v>
      </c>
    </row>
    <row r="4750">
      <c r="A4750" s="3" t="inlineStr">
        <is>
          <t>Cape Projects Construction (Pty) Ltd</t>
        </is>
      </c>
      <c r="B4750" s="4" t="n">
        <v>45260</v>
      </c>
      <c r="C4750" s="3" t="inlineStr">
        <is>
          <t>Expenses</t>
        </is>
      </c>
      <c r="D4750" s="3" t="inlineStr">
        <is>
          <t>4000/000</t>
        </is>
      </c>
      <c r="E4750" s="3" t="inlineStr">
        <is>
          <t>Legal Fees</t>
        </is>
      </c>
      <c r="F4750" s="3" t="n">
        <v>0</v>
      </c>
      <c r="G4750" s="3" t="n">
        <v>5202.88</v>
      </c>
    </row>
    <row r="4751">
      <c r="A4751" s="3" t="inlineStr">
        <is>
          <t>Heron View (Pty) Ltd</t>
        </is>
      </c>
      <c r="B4751" s="4" t="n">
        <v>45260</v>
      </c>
      <c r="C4751" s="3" t="inlineStr">
        <is>
          <t>Expenses</t>
        </is>
      </c>
      <c r="D4751" s="3" t="inlineStr">
        <is>
          <t>4050/000</t>
        </is>
      </c>
      <c r="E4751" s="3" t="inlineStr">
        <is>
          <t>Levies</t>
        </is>
      </c>
      <c r="F4751" s="3" t="n">
        <v>0</v>
      </c>
      <c r="G4751" s="3" t="n">
        <v>95314.44</v>
      </c>
    </row>
    <row r="4752">
      <c r="A4752" s="3" t="inlineStr">
        <is>
          <t>Heron Fields (Pty) Ltd</t>
        </is>
      </c>
      <c r="B4752" s="4" t="n">
        <v>45260</v>
      </c>
      <c r="C4752" s="3" t="inlineStr">
        <is>
          <t>Expenses</t>
        </is>
      </c>
      <c r="D4752" s="3" t="inlineStr">
        <is>
          <t>4050/100</t>
        </is>
      </c>
      <c r="E4752" s="3" t="inlineStr">
        <is>
          <t>Developers Levies</t>
        </is>
      </c>
      <c r="F4752" s="3" t="n">
        <v>0</v>
      </c>
      <c r="G4752" s="3" t="n">
        <v>76865.83</v>
      </c>
    </row>
    <row r="4753">
      <c r="A4753" s="3" t="inlineStr">
        <is>
          <t>Heron Fields (Pty) Ltd</t>
        </is>
      </c>
      <c r="B4753" s="4" t="n">
        <v>45260</v>
      </c>
      <c r="C4753" s="3" t="inlineStr">
        <is>
          <t>Expenses</t>
        </is>
      </c>
      <c r="D4753" s="3" t="inlineStr">
        <is>
          <t>4050/200</t>
        </is>
      </c>
      <c r="E4753" s="3" t="inlineStr">
        <is>
          <t>Levies - Amari</t>
        </is>
      </c>
      <c r="F4753" s="3" t="n">
        <v>5862.1</v>
      </c>
      <c r="G4753" s="3" t="n">
        <v>19675.57</v>
      </c>
    </row>
    <row r="4754">
      <c r="A4754" s="3" t="inlineStr">
        <is>
          <t>Heron View (Pty) Ltd</t>
        </is>
      </c>
      <c r="B4754" s="4" t="n">
        <v>45260</v>
      </c>
      <c r="C4754" s="3" t="inlineStr">
        <is>
          <t>Expenses</t>
        </is>
      </c>
      <c r="D4754" s="3" t="inlineStr">
        <is>
          <t>4070/000</t>
        </is>
      </c>
      <c r="E4754" s="3" t="inlineStr">
        <is>
          <t>Management fees - OMH</t>
        </is>
      </c>
      <c r="F4754" s="3" t="n">
        <v>0</v>
      </c>
      <c r="G4754" s="3" t="n">
        <v>400000</v>
      </c>
    </row>
    <row r="4755">
      <c r="A4755" s="3" t="inlineStr">
        <is>
          <t>Heron Fields (Pty) Ltd</t>
        </is>
      </c>
      <c r="B4755" s="4" t="n">
        <v>45260</v>
      </c>
      <c r="C4755" s="3" t="inlineStr">
        <is>
          <t>Expenses</t>
        </is>
      </c>
      <c r="D4755" s="3" t="inlineStr">
        <is>
          <t>4100/001</t>
        </is>
      </c>
      <c r="E4755" s="3" t="inlineStr">
        <is>
          <t>Momentum Admin Fee</t>
        </is>
      </c>
      <c r="F4755" s="3" t="n">
        <v>17979.75</v>
      </c>
      <c r="G4755" s="3" t="n">
        <v>109670.12</v>
      </c>
    </row>
    <row r="4756">
      <c r="A4756" s="3" t="inlineStr">
        <is>
          <t>Cape Projects Construction (Pty) Ltd</t>
        </is>
      </c>
      <c r="B4756" s="4" t="n">
        <v>45260</v>
      </c>
      <c r="C4756" s="3" t="inlineStr">
        <is>
          <t>Expenses</t>
        </is>
      </c>
      <c r="D4756" s="3" t="inlineStr">
        <is>
          <t>4150/000</t>
        </is>
      </c>
      <c r="E4756" s="3" t="inlineStr">
        <is>
          <t>Motor Vehicle Expenses</t>
        </is>
      </c>
      <c r="F4756" s="3" t="n">
        <v>0</v>
      </c>
      <c r="G4756" s="3" t="n">
        <v>362</v>
      </c>
    </row>
    <row r="4757">
      <c r="A4757" s="3" t="inlineStr">
        <is>
          <t>Heron Fields (Pty) Ltd</t>
        </is>
      </c>
      <c r="B4757" s="4" t="n">
        <v>45260</v>
      </c>
      <c r="C4757" s="3" t="inlineStr">
        <is>
          <t>Expenses</t>
        </is>
      </c>
      <c r="D4757" s="3" t="inlineStr">
        <is>
          <t>4150/000</t>
        </is>
      </c>
      <c r="E4757" s="3" t="inlineStr">
        <is>
          <t>Motor Vehicle Expenses</t>
        </is>
      </c>
      <c r="F4757" s="3" t="n">
        <v>0</v>
      </c>
      <c r="G4757" s="3" t="n">
        <v>20</v>
      </c>
    </row>
    <row r="4758">
      <c r="A4758" s="3" t="inlineStr">
        <is>
          <t>Cape Projects Construction (Pty) Ltd</t>
        </is>
      </c>
      <c r="B4758" s="4" t="n">
        <v>45260</v>
      </c>
      <c r="C4758" s="3" t="inlineStr">
        <is>
          <t>Expenses</t>
        </is>
      </c>
      <c r="D4758" s="3" t="inlineStr">
        <is>
          <t>4150/010</t>
        </is>
      </c>
      <c r="E4758" s="3" t="inlineStr">
        <is>
          <t>Motor Vehicle - Petrol _AND_ Oil</t>
        </is>
      </c>
      <c r="F4758" s="3" t="n">
        <v>3911.97</v>
      </c>
      <c r="G4758" s="3" t="n">
        <v>35750.31</v>
      </c>
    </row>
    <row r="4759">
      <c r="A4759" s="3" t="inlineStr">
        <is>
          <t>Cape Projects Construction (Pty) Ltd</t>
        </is>
      </c>
      <c r="B4759" s="4" t="n">
        <v>45260</v>
      </c>
      <c r="C4759" s="3" t="inlineStr">
        <is>
          <t>Expenses</t>
        </is>
      </c>
      <c r="D4759" s="3" t="inlineStr">
        <is>
          <t>4150/020</t>
        </is>
      </c>
      <c r="E4759" s="3" t="inlineStr">
        <is>
          <t>Motor Vehicle - Repairs _AND_ Maint.</t>
        </is>
      </c>
      <c r="F4759" s="3" t="n">
        <v>0</v>
      </c>
      <c r="G4759" s="3" t="n">
        <v>3668.3</v>
      </c>
    </row>
    <row r="4760">
      <c r="A4760" s="3" t="inlineStr">
        <is>
          <t>Cape Projects Construction (Pty) Ltd</t>
        </is>
      </c>
      <c r="B4760" s="4" t="n">
        <v>45260</v>
      </c>
      <c r="C4760" s="3" t="inlineStr">
        <is>
          <t>Expenses</t>
        </is>
      </c>
      <c r="D4760" s="3" t="inlineStr">
        <is>
          <t>4150/030</t>
        </is>
      </c>
      <c r="E4760" s="3" t="inlineStr">
        <is>
          <t>Motor Vehicle - Insurance _AND_ Licence</t>
        </is>
      </c>
      <c r="F4760" s="3" t="n">
        <v>0</v>
      </c>
      <c r="G4760" s="3" t="n">
        <v>1069</v>
      </c>
    </row>
    <row r="4761">
      <c r="A4761" s="3" t="inlineStr">
        <is>
          <t>Cape Projects Construction (Pty) Ltd</t>
        </is>
      </c>
      <c r="B4761" s="4" t="n">
        <v>45260</v>
      </c>
      <c r="C4761" s="3" t="inlineStr">
        <is>
          <t>Expenses</t>
        </is>
      </c>
      <c r="D4761" s="3" t="inlineStr">
        <is>
          <t>4200/000</t>
        </is>
      </c>
      <c r="E4761" s="3" t="inlineStr">
        <is>
          <t>Printing _AND_ Stationery</t>
        </is>
      </c>
      <c r="F4761" s="3" t="n">
        <v>2706.92</v>
      </c>
      <c r="G4761" s="3" t="n">
        <v>33625.1</v>
      </c>
    </row>
    <row r="4762">
      <c r="A4762" s="3" t="inlineStr">
        <is>
          <t>Cape Projects Construction (Pty) Ltd</t>
        </is>
      </c>
      <c r="B4762" s="4" t="n">
        <v>45260</v>
      </c>
      <c r="C4762" s="3" t="inlineStr">
        <is>
          <t>Expenses</t>
        </is>
      </c>
      <c r="D4762" s="3" t="inlineStr">
        <is>
          <t>4201/000</t>
        </is>
      </c>
      <c r="E4762" s="3" t="inlineStr">
        <is>
          <t>Printing - Printer rental</t>
        </is>
      </c>
      <c r="F4762" s="3" t="n">
        <v>2280.91</v>
      </c>
      <c r="G4762" s="3" t="n">
        <v>19054.62</v>
      </c>
    </row>
    <row r="4763">
      <c r="A4763" s="3" t="inlineStr">
        <is>
          <t>Cape Projects Construction (Pty) Ltd</t>
        </is>
      </c>
      <c r="B4763" s="4" t="n">
        <v>45260</v>
      </c>
      <c r="C4763" s="3" t="inlineStr">
        <is>
          <t>Expenses</t>
        </is>
      </c>
      <c r="D4763" s="3" t="inlineStr">
        <is>
          <t>4300/000</t>
        </is>
      </c>
      <c r="E4763" s="3" t="inlineStr">
        <is>
          <t>Rent Paid</t>
        </is>
      </c>
      <c r="F4763" s="3" t="n">
        <v>31820</v>
      </c>
      <c r="G4763" s="3" t="n">
        <v>268620</v>
      </c>
    </row>
    <row r="4764">
      <c r="A4764" s="3" t="inlineStr">
        <is>
          <t>Cape Projects Construction (Pty) Ltd</t>
        </is>
      </c>
      <c r="B4764" s="4" t="n">
        <v>45260</v>
      </c>
      <c r="C4764" s="3" t="inlineStr">
        <is>
          <t>Expenses</t>
        </is>
      </c>
      <c r="D4764" s="3" t="inlineStr">
        <is>
          <t>4310/000</t>
        </is>
      </c>
      <c r="E4764" s="3" t="inlineStr">
        <is>
          <t>Rates</t>
        </is>
      </c>
      <c r="F4764" s="3" t="n">
        <v>989.75</v>
      </c>
      <c r="G4764" s="3" t="n">
        <v>10058.29</v>
      </c>
    </row>
    <row r="4765">
      <c r="A4765" s="3" t="inlineStr">
        <is>
          <t>Heron Fields (Pty) Ltd</t>
        </is>
      </c>
      <c r="B4765" s="4" t="n">
        <v>45260</v>
      </c>
      <c r="C4765" s="3" t="inlineStr">
        <is>
          <t>Expenses</t>
        </is>
      </c>
      <c r="D4765" s="3" t="inlineStr">
        <is>
          <t>4310/000</t>
        </is>
      </c>
      <c r="E4765" s="3" t="inlineStr">
        <is>
          <t>Rates - Heron</t>
        </is>
      </c>
      <c r="F4765" s="3" t="n">
        <v>213951.5</v>
      </c>
      <c r="G4765" s="3" t="n">
        <v>211633.66</v>
      </c>
    </row>
    <row r="4766">
      <c r="A4766" s="3" t="inlineStr">
        <is>
          <t>Cape Projects Construction (Pty) Ltd</t>
        </is>
      </c>
      <c r="B4766" s="4" t="n">
        <v>45260</v>
      </c>
      <c r="C4766" s="3" t="inlineStr">
        <is>
          <t>Expenses</t>
        </is>
      </c>
      <c r="D4766" s="3" t="inlineStr">
        <is>
          <t>4350/000</t>
        </is>
      </c>
      <c r="E4766" s="3" t="inlineStr">
        <is>
          <t>Repairs _AND_ Maintenance</t>
        </is>
      </c>
      <c r="F4766" s="3" t="n">
        <v>599.97</v>
      </c>
      <c r="G4766" s="3" t="n">
        <v>16125.02</v>
      </c>
    </row>
    <row r="4767">
      <c r="A4767" s="3" t="inlineStr">
        <is>
          <t>Heron Fields (Pty) Ltd</t>
        </is>
      </c>
      <c r="B4767" s="4" t="n">
        <v>45260</v>
      </c>
      <c r="C4767" s="3" t="inlineStr">
        <is>
          <t>Expenses</t>
        </is>
      </c>
      <c r="D4767" s="3" t="inlineStr">
        <is>
          <t>4350/000</t>
        </is>
      </c>
      <c r="E4767" s="3" t="inlineStr">
        <is>
          <t>Repairs _AND_ Maintenance</t>
        </is>
      </c>
      <c r="F4767" s="3" t="n">
        <v>0</v>
      </c>
      <c r="G4767" s="3" t="n">
        <v>34547.28</v>
      </c>
    </row>
    <row r="4768">
      <c r="A4768" s="3" t="inlineStr">
        <is>
          <t>Heron View (Pty) Ltd</t>
        </is>
      </c>
      <c r="B4768" s="4" t="n">
        <v>45260</v>
      </c>
      <c r="C4768" s="3" t="inlineStr">
        <is>
          <t>Expenses</t>
        </is>
      </c>
      <c r="D4768" s="3" t="inlineStr">
        <is>
          <t>4350/000</t>
        </is>
      </c>
      <c r="E4768" s="3" t="inlineStr">
        <is>
          <t>Repairs _AND_ Maintenance</t>
        </is>
      </c>
      <c r="F4768" s="3" t="n">
        <v>0</v>
      </c>
      <c r="G4768" s="3" t="n">
        <v>15563.49</v>
      </c>
    </row>
    <row r="4769">
      <c r="A4769" s="3" t="inlineStr">
        <is>
          <t>Cape Projects Construction (Pty) Ltd</t>
        </is>
      </c>
      <c r="B4769" s="4" t="n">
        <v>45260</v>
      </c>
      <c r="C4769" s="3" t="inlineStr">
        <is>
          <t>Expenses</t>
        </is>
      </c>
      <c r="D4769" s="3" t="inlineStr">
        <is>
          <t>4400/000</t>
        </is>
      </c>
      <c r="E4769" s="3" t="inlineStr">
        <is>
          <t>Salaries _AND_ Wages</t>
        </is>
      </c>
      <c r="F4769" s="3" t="n">
        <v>448756.2</v>
      </c>
      <c r="G4769" s="3" t="n">
        <v>3332419.13</v>
      </c>
    </row>
    <row r="4770">
      <c r="A4770" s="3" t="inlineStr">
        <is>
          <t>Cape Projects Construction (Pty) Ltd</t>
        </is>
      </c>
      <c r="B4770" s="4" t="n">
        <v>45260</v>
      </c>
      <c r="C4770" s="3" t="inlineStr">
        <is>
          <t>Expenses</t>
        </is>
      </c>
      <c r="D4770" s="3" t="inlineStr">
        <is>
          <t>4402</t>
        </is>
      </c>
      <c r="E4770" s="3" t="inlineStr">
        <is>
          <t>Salaries &amp; Wages - WCA</t>
        </is>
      </c>
      <c r="F4770" s="3" t="n">
        <v>0</v>
      </c>
      <c r="G4770" s="3" t="n">
        <v>5192.13</v>
      </c>
    </row>
    <row r="4771">
      <c r="A4771" s="3" t="inlineStr">
        <is>
          <t>Cape Projects Construction (Pty) Ltd</t>
        </is>
      </c>
      <c r="B4771" s="4" t="n">
        <v>45260</v>
      </c>
      <c r="C4771" s="3" t="inlineStr">
        <is>
          <t>Expenses</t>
        </is>
      </c>
      <c r="D4771" s="3" t="inlineStr">
        <is>
          <t>4403/000</t>
        </is>
      </c>
      <c r="E4771" s="3" t="inlineStr">
        <is>
          <t>Security</t>
        </is>
      </c>
      <c r="F4771" s="3" t="n">
        <v>191.17</v>
      </c>
      <c r="G4771" s="3" t="n">
        <v>1623.65</v>
      </c>
    </row>
    <row r="4772">
      <c r="A4772" s="3" t="inlineStr">
        <is>
          <t>Heron Fields (Pty) Ltd</t>
        </is>
      </c>
      <c r="B4772" s="4" t="n">
        <v>45260</v>
      </c>
      <c r="C4772" s="3" t="inlineStr">
        <is>
          <t>Expenses</t>
        </is>
      </c>
      <c r="D4772" s="3" t="inlineStr">
        <is>
          <t>4420/000</t>
        </is>
      </c>
      <c r="E4772" s="3" t="inlineStr">
        <is>
          <t>Security</t>
        </is>
      </c>
      <c r="F4772" s="3" t="n">
        <v>7198.71</v>
      </c>
      <c r="G4772" s="3" t="n">
        <v>7198.71</v>
      </c>
    </row>
    <row r="4773">
      <c r="A4773" s="3" t="inlineStr">
        <is>
          <t>Cape Projects Construction (Pty) Ltd</t>
        </is>
      </c>
      <c r="B4773" s="4" t="n">
        <v>45260</v>
      </c>
      <c r="C4773" s="3" t="inlineStr">
        <is>
          <t>Expenses</t>
        </is>
      </c>
      <c r="D4773" s="3" t="inlineStr">
        <is>
          <t>4420/000</t>
        </is>
      </c>
      <c r="E4773" s="3" t="inlineStr">
        <is>
          <t>Small Assets</t>
        </is>
      </c>
      <c r="F4773" s="3" t="n">
        <v>0</v>
      </c>
      <c r="G4773" s="3" t="n">
        <v>31010.74</v>
      </c>
    </row>
    <row r="4774">
      <c r="A4774" s="3" t="inlineStr">
        <is>
          <t>Heron Fields (Pty) Ltd</t>
        </is>
      </c>
      <c r="B4774" s="4" t="n">
        <v>45260</v>
      </c>
      <c r="C4774" s="3" t="inlineStr">
        <is>
          <t>Expenses</t>
        </is>
      </c>
      <c r="D4774" s="3" t="inlineStr">
        <is>
          <t>4420/001</t>
        </is>
      </c>
      <c r="E4774" s="3" t="inlineStr">
        <is>
          <t>Security - ADT</t>
        </is>
      </c>
      <c r="F4774" s="3" t="n">
        <v>366.14</v>
      </c>
      <c r="G4774" s="3" t="n">
        <v>3181.98</v>
      </c>
    </row>
    <row r="4775">
      <c r="A4775" s="3" t="inlineStr">
        <is>
          <t>Cape Projects Construction (Pty) Ltd</t>
        </is>
      </c>
      <c r="B4775" s="4" t="n">
        <v>45260</v>
      </c>
      <c r="C4775" s="3" t="inlineStr">
        <is>
          <t>Expenses</t>
        </is>
      </c>
      <c r="D4775" s="3" t="inlineStr">
        <is>
          <t>4450/000</t>
        </is>
      </c>
      <c r="E4775" s="3" t="inlineStr">
        <is>
          <t>Staff Training</t>
        </is>
      </c>
      <c r="F4775" s="3" t="n">
        <v>1190.1</v>
      </c>
      <c r="G4775" s="3" t="n">
        <v>3452.7</v>
      </c>
    </row>
    <row r="4776">
      <c r="A4776" s="3" t="inlineStr">
        <is>
          <t>Cape Projects Construction (Pty) Ltd</t>
        </is>
      </c>
      <c r="B4776" s="4" t="n">
        <v>45260</v>
      </c>
      <c r="C4776" s="3" t="inlineStr">
        <is>
          <t>Expenses</t>
        </is>
      </c>
      <c r="D4776" s="3" t="inlineStr">
        <is>
          <t>4500/000</t>
        </is>
      </c>
      <c r="E4776" s="3" t="inlineStr">
        <is>
          <t>Staff Welfare _AND_ Refreshmts</t>
        </is>
      </c>
      <c r="F4776" s="3" t="n">
        <v>1697.41</v>
      </c>
      <c r="G4776" s="3" t="n">
        <v>32833.54</v>
      </c>
    </row>
    <row r="4777">
      <c r="A4777" s="3" t="inlineStr">
        <is>
          <t>Cape Projects Construction (Pty) Ltd</t>
        </is>
      </c>
      <c r="B4777" s="4" t="n">
        <v>45260</v>
      </c>
      <c r="C4777" s="3" t="inlineStr">
        <is>
          <t>Expenses</t>
        </is>
      </c>
      <c r="D4777" s="3" t="inlineStr">
        <is>
          <t>4550/000</t>
        </is>
      </c>
      <c r="E4777" s="3" t="inlineStr">
        <is>
          <t>Subscriptions / Licenses</t>
        </is>
      </c>
      <c r="F4777" s="3" t="n">
        <v>0</v>
      </c>
      <c r="G4777" s="3" t="n">
        <v>13527.97</v>
      </c>
    </row>
    <row r="4778">
      <c r="A4778" s="3" t="inlineStr">
        <is>
          <t>Cape Projects Construction (Pty) Ltd</t>
        </is>
      </c>
      <c r="B4778" s="4" t="n">
        <v>45260</v>
      </c>
      <c r="C4778" s="3" t="inlineStr">
        <is>
          <t>Expenses</t>
        </is>
      </c>
      <c r="D4778" s="3" t="inlineStr">
        <is>
          <t>4550/001</t>
        </is>
      </c>
      <c r="E4778" s="3" t="inlineStr">
        <is>
          <t>Subscriptions &amp; Licenses - Sage payroll</t>
        </is>
      </c>
      <c r="F4778" s="3" t="n">
        <v>747</v>
      </c>
      <c r="G4778" s="3" t="n">
        <v>6723</v>
      </c>
    </row>
    <row r="4779">
      <c r="A4779" s="3" t="inlineStr">
        <is>
          <t>Cape Projects Construction (Pty) Ltd</t>
        </is>
      </c>
      <c r="B4779" s="4" t="n">
        <v>45260</v>
      </c>
      <c r="C4779" s="3" t="inlineStr">
        <is>
          <t>Expenses</t>
        </is>
      </c>
      <c r="D4779" s="3" t="inlineStr">
        <is>
          <t>4550/002</t>
        </is>
      </c>
      <c r="E4779" s="3" t="inlineStr">
        <is>
          <t>Subscriptions &amp; Licenses - Caseware</t>
        </is>
      </c>
      <c r="F4779" s="3" t="n">
        <v>0</v>
      </c>
      <c r="G4779" s="3" t="n">
        <v>10825.49</v>
      </c>
    </row>
    <row r="4780">
      <c r="A4780" s="3" t="inlineStr">
        <is>
          <t>Cape Projects Construction (Pty) Ltd</t>
        </is>
      </c>
      <c r="B4780" s="4" t="n">
        <v>45260</v>
      </c>
      <c r="C4780" s="3" t="inlineStr">
        <is>
          <t>Expenses</t>
        </is>
      </c>
      <c r="D4780" s="3" t="inlineStr">
        <is>
          <t>4550/003</t>
        </is>
      </c>
      <c r="E4780" s="3" t="inlineStr">
        <is>
          <t>Subscriptions &amp; Licenses - Xero</t>
        </is>
      </c>
      <c r="F4780" s="3" t="n">
        <v>600</v>
      </c>
      <c r="G4780" s="3" t="n">
        <v>5400</v>
      </c>
    </row>
    <row r="4781">
      <c r="A4781" s="3" t="inlineStr">
        <is>
          <t>Cape Projects Construction (Pty) Ltd</t>
        </is>
      </c>
      <c r="B4781" s="4" t="n">
        <v>45260</v>
      </c>
      <c r="C4781" s="3" t="inlineStr">
        <is>
          <t>Expenses</t>
        </is>
      </c>
      <c r="D4781" s="3" t="inlineStr">
        <is>
          <t>4550/004</t>
        </is>
      </c>
      <c r="E4781" s="3" t="inlineStr">
        <is>
          <t>Subscriptions - Smartsheet</t>
        </is>
      </c>
      <c r="F4781" s="3" t="n">
        <v>1215.69</v>
      </c>
      <c r="G4781" s="3" t="n">
        <v>7796.41</v>
      </c>
    </row>
    <row r="4782">
      <c r="A4782" s="3" t="inlineStr">
        <is>
          <t>Cape Projects Construction (Pty) Ltd</t>
        </is>
      </c>
      <c r="B4782" s="4" t="n">
        <v>45260</v>
      </c>
      <c r="C4782" s="3" t="inlineStr">
        <is>
          <t>Expenses</t>
        </is>
      </c>
      <c r="D4782" s="3" t="inlineStr">
        <is>
          <t>4550/007</t>
        </is>
      </c>
      <c r="E4782" s="3" t="inlineStr">
        <is>
          <t>Subscription &amp; Licenses - ERS Bio</t>
        </is>
      </c>
      <c r="F4782" s="3" t="n">
        <v>1437.86</v>
      </c>
      <c r="G4782" s="3" t="n">
        <v>1437.86</v>
      </c>
    </row>
    <row r="4783">
      <c r="A4783" s="3" t="inlineStr">
        <is>
          <t>Cape Projects Construction (Pty) Ltd</t>
        </is>
      </c>
      <c r="B4783" s="4" t="n">
        <v>45260</v>
      </c>
      <c r="C4783" s="3" t="inlineStr">
        <is>
          <t>Expenses</t>
        </is>
      </c>
      <c r="D4783" s="3" t="inlineStr">
        <is>
          <t>4550/008</t>
        </is>
      </c>
      <c r="E4783" s="3" t="inlineStr">
        <is>
          <t>Subscriptions  - Adobe</t>
        </is>
      </c>
      <c r="F4783" s="3" t="n">
        <v>0</v>
      </c>
      <c r="G4783" s="3" t="n">
        <v>4498.72</v>
      </c>
    </row>
    <row r="4784">
      <c r="A4784" s="3" t="inlineStr">
        <is>
          <t>Heron Fields (Pty) Ltd</t>
        </is>
      </c>
      <c r="B4784" s="4" t="n">
        <v>45260</v>
      </c>
      <c r="C4784" s="3" t="inlineStr">
        <is>
          <t>Expenses</t>
        </is>
      </c>
      <c r="D4784" s="3" t="inlineStr">
        <is>
          <t>4550/100</t>
        </is>
      </c>
      <c r="E4784" s="3" t="inlineStr">
        <is>
          <t>Subscriptions - Xero</t>
        </is>
      </c>
      <c r="F4784" s="3" t="n">
        <v>600</v>
      </c>
      <c r="G4784" s="3" t="n">
        <v>5400</v>
      </c>
    </row>
    <row r="4785">
      <c r="A4785" s="3" t="inlineStr">
        <is>
          <t>Heron View (Pty) Ltd</t>
        </is>
      </c>
      <c r="B4785" s="4" t="n">
        <v>45260</v>
      </c>
      <c r="C4785" s="3" t="inlineStr">
        <is>
          <t>Expenses</t>
        </is>
      </c>
      <c r="D4785" s="3" t="inlineStr">
        <is>
          <t>4550/100</t>
        </is>
      </c>
      <c r="E4785" s="3" t="inlineStr">
        <is>
          <t>Subscriptions - Xero</t>
        </is>
      </c>
      <c r="F4785" s="3" t="n">
        <v>600</v>
      </c>
      <c r="G4785" s="3" t="n">
        <v>5400</v>
      </c>
    </row>
    <row r="4786">
      <c r="A4786" s="3" t="inlineStr">
        <is>
          <t>Heron Fields (Pty) Ltd</t>
        </is>
      </c>
      <c r="B4786" s="4" t="n">
        <v>45260</v>
      </c>
      <c r="C4786" s="3" t="inlineStr">
        <is>
          <t>Expenses</t>
        </is>
      </c>
      <c r="D4786" s="3" t="inlineStr">
        <is>
          <t>4550/200</t>
        </is>
      </c>
      <c r="E4786" s="3" t="inlineStr">
        <is>
          <t>Subscription - NHBRC</t>
        </is>
      </c>
      <c r="F4786" s="3" t="n">
        <v>0</v>
      </c>
      <c r="G4786" s="3" t="n">
        <v>526.3200000000001</v>
      </c>
    </row>
    <row r="4787">
      <c r="A4787" s="3" t="inlineStr">
        <is>
          <t>Cape Projects Construction (Pty) Ltd</t>
        </is>
      </c>
      <c r="B4787" s="4" t="n">
        <v>45260</v>
      </c>
      <c r="C4787" s="3" t="inlineStr">
        <is>
          <t>Expenses</t>
        </is>
      </c>
      <c r="D4787" s="3" t="inlineStr">
        <is>
          <t>4560</t>
        </is>
      </c>
      <c r="E4787" s="3" t="inlineStr">
        <is>
          <t>Secretarial fees - CIPC</t>
        </is>
      </c>
      <c r="F4787" s="3" t="n">
        <v>0</v>
      </c>
      <c r="G4787" s="3" t="n">
        <v>4000</v>
      </c>
    </row>
    <row r="4788">
      <c r="A4788" s="3" t="inlineStr">
        <is>
          <t>Cape Projects Construction (Pty) Ltd</t>
        </is>
      </c>
      <c r="B4788" s="4" t="n">
        <v>45260</v>
      </c>
      <c r="C4788" s="3" t="inlineStr">
        <is>
          <t>Expenses</t>
        </is>
      </c>
      <c r="D4788" s="3" t="inlineStr">
        <is>
          <t>4600/000</t>
        </is>
      </c>
      <c r="E4788" s="3" t="inlineStr">
        <is>
          <t>Telephone _AND_ Fax</t>
        </is>
      </c>
      <c r="F4788" s="3" t="n">
        <v>0</v>
      </c>
      <c r="G4788" s="3" t="n">
        <v>11566.33</v>
      </c>
    </row>
    <row r="4789">
      <c r="A4789" s="3" t="inlineStr">
        <is>
          <t>Cape Projects Construction (Pty) Ltd</t>
        </is>
      </c>
      <c r="B4789" s="4" t="n">
        <v>45260</v>
      </c>
      <c r="C4789" s="3" t="inlineStr">
        <is>
          <t>Expenses</t>
        </is>
      </c>
      <c r="D4789" s="3" t="inlineStr">
        <is>
          <t>4700/000</t>
        </is>
      </c>
      <c r="E4789" s="3" t="inlineStr">
        <is>
          <t>PAYE Contributions</t>
        </is>
      </c>
      <c r="F4789" s="3" t="n">
        <v>98374.47</v>
      </c>
      <c r="G4789" s="3" t="n">
        <v>746532.5699999999</v>
      </c>
    </row>
    <row r="4790">
      <c r="A4790" s="3" t="inlineStr">
        <is>
          <t>Cape Projects Construction (Pty) Ltd</t>
        </is>
      </c>
      <c r="B4790" s="4" t="n">
        <v>45260</v>
      </c>
      <c r="C4790" s="3" t="inlineStr">
        <is>
          <t>Expenses</t>
        </is>
      </c>
      <c r="D4790" s="3" t="inlineStr">
        <is>
          <t>4720/000</t>
        </is>
      </c>
      <c r="E4790" s="3" t="inlineStr">
        <is>
          <t>SDL Contributions</t>
        </is>
      </c>
      <c r="F4790" s="3" t="n">
        <v>5370.73</v>
      </c>
      <c r="G4790" s="3" t="n">
        <v>39697.19</v>
      </c>
    </row>
    <row r="4791">
      <c r="A4791" s="3" t="inlineStr">
        <is>
          <t>Cape Projects Construction (Pty) Ltd</t>
        </is>
      </c>
      <c r="B4791" s="4" t="n">
        <v>45260</v>
      </c>
      <c r="C4791" s="3" t="inlineStr">
        <is>
          <t>Expenses</t>
        </is>
      </c>
      <c r="D4791" s="3" t="inlineStr">
        <is>
          <t>4730/000</t>
        </is>
      </c>
      <c r="E4791" s="3" t="inlineStr">
        <is>
          <t>UIF Company Contributions</t>
        </is>
      </c>
      <c r="F4791" s="3" t="n">
        <v>3093.33</v>
      </c>
      <c r="G4791" s="3" t="n">
        <v>21823.68</v>
      </c>
    </row>
    <row r="4792">
      <c r="A4792" s="3" t="inlineStr">
        <is>
          <t>Cape Projects Construction (Pty) Ltd</t>
        </is>
      </c>
      <c r="B4792" s="4" t="n">
        <v>45260</v>
      </c>
      <c r="C4792" s="3" t="inlineStr">
        <is>
          <t>Expenses</t>
        </is>
      </c>
      <c r="D4792" s="3" t="inlineStr">
        <is>
          <t>4731/000</t>
        </is>
      </c>
      <c r="E4792" s="3" t="inlineStr">
        <is>
          <t>UIF Employee Contribution</t>
        </is>
      </c>
      <c r="F4792" s="3" t="n">
        <v>3093.33</v>
      </c>
      <c r="G4792" s="3" t="n">
        <v>21823.68</v>
      </c>
    </row>
    <row r="4793">
      <c r="A4793" s="3" t="inlineStr">
        <is>
          <t>Cape Projects Construction (Pty) Ltd</t>
        </is>
      </c>
      <c r="B4793" s="4" t="n">
        <v>45260</v>
      </c>
      <c r="C4793" s="3" t="inlineStr">
        <is>
          <t>Expenses</t>
        </is>
      </c>
      <c r="D4793" s="3" t="inlineStr">
        <is>
          <t>4740/000</t>
        </is>
      </c>
      <c r="E4793" s="3" t="inlineStr">
        <is>
          <t>BIBC Company Contribution</t>
        </is>
      </c>
      <c r="F4793" s="3" t="n">
        <v>0</v>
      </c>
      <c r="G4793" s="3" t="n">
        <v>15075.35</v>
      </c>
    </row>
    <row r="4794">
      <c r="A4794" s="3" t="inlineStr">
        <is>
          <t>Cape Projects Construction (Pty) Ltd</t>
        </is>
      </c>
      <c r="B4794" s="4" t="n">
        <v>45260</v>
      </c>
      <c r="C4794" s="3" t="inlineStr">
        <is>
          <t>Expenses</t>
        </is>
      </c>
      <c r="D4794" s="3" t="inlineStr">
        <is>
          <t>4741/000</t>
        </is>
      </c>
      <c r="E4794" s="3" t="inlineStr">
        <is>
          <t>BIBC Employee Contribution</t>
        </is>
      </c>
      <c r="F4794" s="3" t="n">
        <v>0</v>
      </c>
      <c r="G4794" s="3" t="n">
        <v>4562.1</v>
      </c>
    </row>
    <row r="4795">
      <c r="A4795" s="3" t="inlineStr">
        <is>
          <t>Heron Fields (Pty) Ltd</t>
        </is>
      </c>
      <c r="B4795" s="4" t="n">
        <v>45260</v>
      </c>
      <c r="C4795" s="3" t="inlineStr">
        <is>
          <t>Equity</t>
        </is>
      </c>
      <c r="D4795" s="3" t="inlineStr">
        <is>
          <t>5100-000</t>
        </is>
      </c>
      <c r="E4795" s="3" t="inlineStr">
        <is>
          <t>Share Capital</t>
        </is>
      </c>
      <c r="F4795" s="3" t="n">
        <v>0</v>
      </c>
      <c r="G4795" s="3" t="n">
        <v>-100</v>
      </c>
    </row>
    <row r="4796">
      <c r="A4796" s="3" t="inlineStr">
        <is>
          <t>Cape Projects Construction (Pty) Ltd</t>
        </is>
      </c>
      <c r="B4796" s="4" t="n">
        <v>45260</v>
      </c>
      <c r="C4796" s="3" t="inlineStr">
        <is>
          <t>Equity</t>
        </is>
      </c>
      <c r="D4796" s="3" t="inlineStr">
        <is>
          <t>5100/000</t>
        </is>
      </c>
      <c r="E4796" s="3" t="inlineStr">
        <is>
          <t>Share Capital / Members Contribution</t>
        </is>
      </c>
      <c r="F4796" s="3" t="n">
        <v>0</v>
      </c>
      <c r="G4796" s="3" t="n">
        <v>-120</v>
      </c>
    </row>
    <row r="4797">
      <c r="A4797" s="3" t="inlineStr">
        <is>
          <t>Cape Projects Construction (Pty) Ltd</t>
        </is>
      </c>
      <c r="B4797" s="4" t="n">
        <v>45260</v>
      </c>
      <c r="C4797" s="3" t="inlineStr">
        <is>
          <t>Equity</t>
        </is>
      </c>
      <c r="D4797" s="3" t="inlineStr">
        <is>
          <t>5200/000</t>
        </is>
      </c>
      <c r="E4797" s="3" t="inlineStr">
        <is>
          <t>Retained Earnings / Loss</t>
        </is>
      </c>
      <c r="F4797" s="3" t="n">
        <v>0</v>
      </c>
      <c r="G4797" s="3" t="n">
        <v>-296075.58</v>
      </c>
    </row>
    <row r="4798">
      <c r="A4798" s="3" t="inlineStr">
        <is>
          <t>Heron Fields (Pty) Ltd</t>
        </is>
      </c>
      <c r="B4798" s="4" t="n">
        <v>45260</v>
      </c>
      <c r="C4798" s="3" t="inlineStr">
        <is>
          <t>Equity</t>
        </is>
      </c>
      <c r="D4798" s="3" t="inlineStr">
        <is>
          <t>5200/000</t>
        </is>
      </c>
      <c r="E4798" s="3" t="inlineStr">
        <is>
          <t>Retained Earnings / Loss</t>
        </is>
      </c>
      <c r="F4798" s="3" t="n">
        <v>0</v>
      </c>
      <c r="G4798" s="3" t="n">
        <v>-17843179.58</v>
      </c>
    </row>
    <row r="4799">
      <c r="A4799" s="3" t="inlineStr">
        <is>
          <t>Heron View (Pty) Ltd</t>
        </is>
      </c>
      <c r="B4799" s="4" t="n">
        <v>45260</v>
      </c>
      <c r="C4799" s="3" t="inlineStr">
        <is>
          <t>Equity</t>
        </is>
      </c>
      <c r="D4799" s="3" t="inlineStr">
        <is>
          <t>5200/000</t>
        </is>
      </c>
      <c r="E4799" s="3" t="inlineStr">
        <is>
          <t>Retained Earnings / Loss</t>
        </is>
      </c>
      <c r="F4799" s="3" t="n">
        <v>0</v>
      </c>
      <c r="G4799" s="3" t="n">
        <v>70398.12</v>
      </c>
    </row>
    <row r="4800">
      <c r="A4800" s="3" t="inlineStr">
        <is>
          <t>Heron Fields (Pty) Ltd</t>
        </is>
      </c>
      <c r="B4800" s="4" t="n">
        <v>45260</v>
      </c>
      <c r="C4800" s="3" t="inlineStr">
        <is>
          <t>Assets</t>
        </is>
      </c>
      <c r="D4800" s="3" t="inlineStr">
        <is>
          <t>5300/001</t>
        </is>
      </c>
      <c r="E4800" s="3" t="inlineStr">
        <is>
          <t>Revaluation of Land stock</t>
        </is>
      </c>
      <c r="F4800" s="3" t="n">
        <v>0</v>
      </c>
      <c r="G4800" s="3" t="n">
        <v>17562360.85</v>
      </c>
    </row>
    <row r="4801">
      <c r="A4801" s="3" t="inlineStr">
        <is>
          <t>Heron Fields (Pty) Ltd</t>
        </is>
      </c>
      <c r="B4801" s="4" t="n">
        <v>45260</v>
      </c>
      <c r="C4801" s="3" t="inlineStr">
        <is>
          <t>Assets</t>
        </is>
      </c>
      <c r="D4801" s="3" t="inlineStr">
        <is>
          <t>5400/000</t>
        </is>
      </c>
      <c r="E4801" s="3" t="inlineStr">
        <is>
          <t>Deposit: Ruiterwacht development</t>
        </is>
      </c>
      <c r="F4801" s="3" t="n">
        <v>1800000</v>
      </c>
      <c r="G4801" s="3" t="n">
        <v>4950000</v>
      </c>
    </row>
    <row r="4802">
      <c r="A4802" s="3" t="inlineStr">
        <is>
          <t>Cape Projects Construction (Pty) Ltd</t>
        </is>
      </c>
      <c r="B4802" s="4" t="n">
        <v>45260</v>
      </c>
      <c r="C4802" s="3" t="inlineStr">
        <is>
          <t>Assets</t>
        </is>
      </c>
      <c r="D4802" s="3" t="inlineStr">
        <is>
          <t>5400/150</t>
        </is>
      </c>
      <c r="E4802" s="3" t="inlineStr">
        <is>
          <t>Loan - Quinate</t>
        </is>
      </c>
      <c r="F4802" s="3" t="n">
        <v>-2377423.63</v>
      </c>
      <c r="G4802" s="3" t="n">
        <v>-2267423.63</v>
      </c>
    </row>
    <row r="4803">
      <c r="A4803" s="3" t="inlineStr">
        <is>
          <t>Cape Projects Construction (Pty) Ltd</t>
        </is>
      </c>
      <c r="B4803" s="4" t="n">
        <v>45260</v>
      </c>
      <c r="C4803" s="3" t="inlineStr">
        <is>
          <t>Assets</t>
        </is>
      </c>
      <c r="D4803" s="3" t="inlineStr">
        <is>
          <t>5400/220</t>
        </is>
      </c>
      <c r="E4803" s="3" t="inlineStr">
        <is>
          <t>Members Loan - WH</t>
        </is>
      </c>
      <c r="F4803" s="3" t="n">
        <v>0</v>
      </c>
      <c r="G4803" s="3" t="n">
        <v>-4342.5</v>
      </c>
    </row>
    <row r="4804">
      <c r="A4804" s="3" t="inlineStr">
        <is>
          <t>Cape Projects Construction (Pty) Ltd</t>
        </is>
      </c>
      <c r="B4804" s="4" t="n">
        <v>45260</v>
      </c>
      <c r="C4804" s="3" t="inlineStr">
        <is>
          <t>Assets</t>
        </is>
      </c>
      <c r="D4804" s="3" t="inlineStr">
        <is>
          <t>5400/300</t>
        </is>
      </c>
      <c r="E4804" s="3" t="inlineStr">
        <is>
          <t>Loan - Opportunity ResidentialCUST ACC</t>
        </is>
      </c>
      <c r="F4804" s="3" t="n">
        <v>0</v>
      </c>
      <c r="G4804" s="3" t="n">
        <v>4702.35</v>
      </c>
    </row>
    <row r="4805">
      <c r="A4805" s="3" t="inlineStr">
        <is>
          <t>Cape Projects Construction (Pty) Ltd</t>
        </is>
      </c>
      <c r="B4805" s="4" t="n">
        <v>45260</v>
      </c>
      <c r="C4805" s="3" t="inlineStr">
        <is>
          <t>Assets</t>
        </is>
      </c>
      <c r="D4805" s="3" t="inlineStr">
        <is>
          <t>5400/450</t>
        </is>
      </c>
      <c r="E4805" s="3" t="inlineStr">
        <is>
          <t>Loan - Opportunity Investment</t>
        </is>
      </c>
      <c r="F4805" s="3" t="n">
        <v>200000</v>
      </c>
      <c r="G4805" s="3" t="n">
        <v>-2001000</v>
      </c>
    </row>
    <row r="4806">
      <c r="A4806" s="3" t="inlineStr">
        <is>
          <t>Cape Projects Construction (Pty) Ltd</t>
        </is>
      </c>
      <c r="B4806" s="4" t="n">
        <v>45260</v>
      </c>
      <c r="C4806" s="3" t="inlineStr">
        <is>
          <t>Assets</t>
        </is>
      </c>
      <c r="D4806" s="3" t="inlineStr">
        <is>
          <t>5400/500</t>
        </is>
      </c>
      <c r="E4806" s="3" t="inlineStr">
        <is>
          <t>Loan - Blou Mamba Trust</t>
        </is>
      </c>
      <c r="F4806" s="3" t="n">
        <v>0</v>
      </c>
      <c r="G4806" s="3" t="n">
        <v>4342.5</v>
      </c>
    </row>
    <row r="4807">
      <c r="A4807" s="3" t="inlineStr">
        <is>
          <t>Cape Projects Construction (Pty) Ltd</t>
        </is>
      </c>
      <c r="B4807" s="4" t="n">
        <v>45260</v>
      </c>
      <c r="C4807" s="3" t="inlineStr">
        <is>
          <t>Assets</t>
        </is>
      </c>
      <c r="D4807" s="3" t="inlineStr">
        <is>
          <t>5400/550</t>
        </is>
      </c>
      <c r="E4807" s="3" t="inlineStr">
        <is>
          <t>Loan - Trademark</t>
        </is>
      </c>
      <c r="F4807" s="3" t="n">
        <v>-56800</v>
      </c>
      <c r="G4807" s="3" t="n">
        <v>-19400</v>
      </c>
    </row>
    <row r="4808">
      <c r="A4808" s="3" t="inlineStr">
        <is>
          <t>Cape Projects Construction (Pty) Ltd</t>
        </is>
      </c>
      <c r="B4808" s="4" t="n">
        <v>45260</v>
      </c>
      <c r="C4808" s="3" t="inlineStr">
        <is>
          <t>Assets</t>
        </is>
      </c>
      <c r="D4808" s="3" t="inlineStr">
        <is>
          <t>5400/600</t>
        </is>
      </c>
      <c r="E4808" s="3" t="inlineStr">
        <is>
          <t>Loan - Heron Projects</t>
        </is>
      </c>
      <c r="F4808" s="3" t="n">
        <v>255202</v>
      </c>
      <c r="G4808" s="3" t="n">
        <v>-18309738.42</v>
      </c>
    </row>
    <row r="4809">
      <c r="A4809" s="3" t="inlineStr">
        <is>
          <t>Cape Projects Construction (Pty) Ltd</t>
        </is>
      </c>
      <c r="B4809" s="4" t="n">
        <v>45260</v>
      </c>
      <c r="C4809" s="3" t="inlineStr">
        <is>
          <t>Assets</t>
        </is>
      </c>
      <c r="D4809" s="3" t="inlineStr">
        <is>
          <t>5400/650</t>
        </is>
      </c>
      <c r="E4809" s="3" t="inlineStr">
        <is>
          <t>Loan - Noble Shield</t>
        </is>
      </c>
      <c r="F4809" s="3" t="n">
        <v>-96800</v>
      </c>
      <c r="G4809" s="3" t="n">
        <v>-201989.44</v>
      </c>
    </row>
    <row r="4810">
      <c r="A4810" s="3" t="inlineStr">
        <is>
          <t>Cape Projects Construction (Pty) Ltd</t>
        </is>
      </c>
      <c r="B4810" s="4" t="n">
        <v>45260</v>
      </c>
      <c r="C4810" s="3" t="inlineStr">
        <is>
          <t>Assets</t>
        </is>
      </c>
      <c r="D4810" s="3" t="inlineStr">
        <is>
          <t>5400/750</t>
        </is>
      </c>
      <c r="E4810" s="3" t="inlineStr">
        <is>
          <t>Loan - Endulini</t>
        </is>
      </c>
      <c r="F4810" s="3" t="n">
        <v>1270500</v>
      </c>
      <c r="G4810" s="3" t="n">
        <v>26672687.4</v>
      </c>
    </row>
    <row r="4811">
      <c r="A4811" s="3" t="inlineStr">
        <is>
          <t>Cape Projects Construction (Pty) Ltd</t>
        </is>
      </c>
      <c r="B4811" s="4" t="n">
        <v>45260</v>
      </c>
      <c r="C4811" s="3" t="inlineStr">
        <is>
          <t>Assets</t>
        </is>
      </c>
      <c r="D4811" s="3" t="inlineStr">
        <is>
          <t>5400/800</t>
        </is>
      </c>
      <c r="E4811" s="3" t="inlineStr">
        <is>
          <t>Loan - Opportunity Management Holdings</t>
        </is>
      </c>
      <c r="F4811" s="3" t="n">
        <v>-40000</v>
      </c>
      <c r="G4811" s="3" t="n">
        <v>37399</v>
      </c>
    </row>
    <row r="4812">
      <c r="A4812" s="3" t="inlineStr">
        <is>
          <t>Heron View (Pty) Ltd</t>
        </is>
      </c>
      <c r="B4812" s="4" t="n">
        <v>45260</v>
      </c>
      <c r="C4812" s="3" t="inlineStr">
        <is>
          <t>Liabilities</t>
        </is>
      </c>
      <c r="D4812" s="3" t="inlineStr">
        <is>
          <t>5500/001</t>
        </is>
      </c>
      <c r="E4812" s="3" t="inlineStr">
        <is>
          <t>Loan - Heron Fields</t>
        </is>
      </c>
      <c r="F4812" s="3" t="n">
        <v>-7854363.6</v>
      </c>
      <c r="G4812" s="3" t="n">
        <v>-51286984.4</v>
      </c>
    </row>
    <row r="4813">
      <c r="A4813" s="3" t="inlineStr">
        <is>
          <t>Heron Fields (Pty) Ltd</t>
        </is>
      </c>
      <c r="B4813" s="4" t="n">
        <v>45260</v>
      </c>
      <c r="C4813" s="3" t="inlineStr">
        <is>
          <t>Liabilities</t>
        </is>
      </c>
      <c r="D4813" s="3" t="inlineStr">
        <is>
          <t>5500/020</t>
        </is>
      </c>
      <c r="E4813" s="3" t="inlineStr">
        <is>
          <t>Loan - Cape Projects Construction</t>
        </is>
      </c>
      <c r="F4813" s="3" t="n">
        <v>-255202</v>
      </c>
      <c r="G4813" s="3" t="n">
        <v>18309738.42</v>
      </c>
    </row>
    <row r="4814">
      <c r="A4814" s="3" t="inlineStr">
        <is>
          <t>Heron Fields (Pty) Ltd</t>
        </is>
      </c>
      <c r="B4814" s="4" t="n">
        <v>45260</v>
      </c>
      <c r="C4814" s="3" t="inlineStr">
        <is>
          <t>Liabilities</t>
        </is>
      </c>
      <c r="D4814" s="3" t="inlineStr">
        <is>
          <t>5500/030</t>
        </is>
      </c>
      <c r="E4814" s="3" t="inlineStr">
        <is>
          <t>Loan - Opportunity Global Investments</t>
        </is>
      </c>
      <c r="F4814" s="3" t="n">
        <v>50000</v>
      </c>
      <c r="G4814" s="3" t="n">
        <v>4094275</v>
      </c>
    </row>
    <row r="4815">
      <c r="A4815" s="3" t="inlineStr">
        <is>
          <t>Heron Fields (Pty) Ltd</t>
        </is>
      </c>
      <c r="B4815" s="4" t="n">
        <v>45260</v>
      </c>
      <c r="C4815" s="3" t="inlineStr">
        <is>
          <t>Liabilities</t>
        </is>
      </c>
      <c r="D4815" s="3" t="inlineStr">
        <is>
          <t>5500/050</t>
        </is>
      </c>
      <c r="E4815" s="3" t="inlineStr">
        <is>
          <t>Loan - Heron View</t>
        </is>
      </c>
      <c r="F4815" s="3" t="n">
        <v>7853163.6</v>
      </c>
      <c r="G4815" s="3" t="n">
        <v>51285784.4</v>
      </c>
    </row>
    <row r="4816">
      <c r="A4816" s="3" t="inlineStr">
        <is>
          <t>Heron Fields (Pty) Ltd</t>
        </is>
      </c>
      <c r="B4816" s="4" t="n">
        <v>45260</v>
      </c>
      <c r="C4816" s="3" t="inlineStr">
        <is>
          <t>Liabilities</t>
        </is>
      </c>
      <c r="D4816" s="3" t="inlineStr">
        <is>
          <t>5500/060</t>
        </is>
      </c>
      <c r="E4816" s="3" t="inlineStr">
        <is>
          <t>Loan - Opportunity Management Holdings</t>
        </is>
      </c>
      <c r="F4816" s="3" t="n">
        <v>0</v>
      </c>
      <c r="G4816" s="3" t="n">
        <v>42100</v>
      </c>
    </row>
    <row r="4817">
      <c r="A4817" s="3" t="inlineStr">
        <is>
          <t>Heron Fields (Pty) Ltd</t>
        </is>
      </c>
      <c r="B4817" s="4" t="n">
        <v>45260</v>
      </c>
      <c r="C4817" s="3" t="inlineStr">
        <is>
          <t>Liabilities</t>
        </is>
      </c>
      <c r="D4817" s="3" t="inlineStr">
        <is>
          <t>5500/070</t>
        </is>
      </c>
      <c r="E4817" s="3" t="inlineStr">
        <is>
          <t>Loan - Noble Shield</t>
        </is>
      </c>
      <c r="F4817" s="3" t="n">
        <v>20370.22</v>
      </c>
      <c r="G4817" s="3" t="n">
        <v>0</v>
      </c>
    </row>
    <row r="4818">
      <c r="A4818" s="3" t="inlineStr">
        <is>
          <t>Heron Fields (Pty) Ltd</t>
        </is>
      </c>
      <c r="B4818" s="4" t="n">
        <v>45260</v>
      </c>
      <c r="C4818" s="3" t="inlineStr">
        <is>
          <t>Liabilities</t>
        </is>
      </c>
      <c r="D4818" s="3" t="inlineStr">
        <is>
          <t>5500/080</t>
        </is>
      </c>
      <c r="E4818" s="3" t="inlineStr">
        <is>
          <t>Loan - NSST2 Trust</t>
        </is>
      </c>
      <c r="F4818" s="3" t="n">
        <v>500</v>
      </c>
      <c r="G4818" s="3" t="n">
        <v>500</v>
      </c>
    </row>
    <row r="4819">
      <c r="A4819" s="3" t="inlineStr">
        <is>
          <t>Heron Fields (Pty) Ltd</t>
        </is>
      </c>
      <c r="B4819" s="4" t="n">
        <v>45260</v>
      </c>
      <c r="C4819" s="3" t="inlineStr">
        <is>
          <t>Assets</t>
        </is>
      </c>
      <c r="D4819" s="3" t="inlineStr">
        <is>
          <t>6150/050</t>
        </is>
      </c>
      <c r="E4819" s="3" t="inlineStr">
        <is>
          <t>Endulini - C301</t>
        </is>
      </c>
      <c r="F4819" s="3" t="n">
        <v>1304260.87</v>
      </c>
      <c r="G4819" s="3" t="n">
        <v>1304260.87</v>
      </c>
    </row>
    <row r="4820">
      <c r="A4820" s="3" t="inlineStr">
        <is>
          <t>Cape Projects Construction (Pty) Ltd</t>
        </is>
      </c>
      <c r="B4820" s="4" t="n">
        <v>45260</v>
      </c>
      <c r="C4820" s="3" t="inlineStr">
        <is>
          <t>Assets</t>
        </is>
      </c>
      <c r="D4820" s="3" t="inlineStr">
        <is>
          <t>6200/010</t>
        </is>
      </c>
      <c r="E4820" s="3" t="inlineStr">
        <is>
          <t>Motor Vehicles - @ Cost</t>
        </is>
      </c>
      <c r="F4820" s="3" t="n">
        <v>0</v>
      </c>
      <c r="G4820" s="3" t="n">
        <v>216064.1</v>
      </c>
    </row>
    <row r="4821">
      <c r="A4821" s="3" t="inlineStr">
        <is>
          <t>Cape Projects Construction (Pty) Ltd</t>
        </is>
      </c>
      <c r="B4821" s="4" t="n">
        <v>45260</v>
      </c>
      <c r="C4821" s="3" t="inlineStr">
        <is>
          <t>Assets</t>
        </is>
      </c>
      <c r="D4821" s="3" t="inlineStr">
        <is>
          <t>6200/020</t>
        </is>
      </c>
      <c r="E4821" s="3" t="inlineStr">
        <is>
          <t>Motor Vehicles - Accum Depre</t>
        </is>
      </c>
      <c r="F4821" s="3" t="n">
        <v>0</v>
      </c>
      <c r="G4821" s="3" t="n">
        <v>-216063.1</v>
      </c>
    </row>
    <row r="4822">
      <c r="A4822" s="3" t="inlineStr">
        <is>
          <t>Cape Projects Construction (Pty) Ltd</t>
        </is>
      </c>
      <c r="B4822" s="4" t="n">
        <v>45260</v>
      </c>
      <c r="C4822" s="3" t="inlineStr">
        <is>
          <t>Assets</t>
        </is>
      </c>
      <c r="D4822" s="3" t="inlineStr">
        <is>
          <t>6250/010</t>
        </is>
      </c>
      <c r="E4822" s="3" t="inlineStr">
        <is>
          <t>Computer Equipment - @ Cost</t>
        </is>
      </c>
      <c r="F4822" s="3" t="n">
        <v>0</v>
      </c>
      <c r="G4822" s="3" t="n">
        <v>178152.48</v>
      </c>
    </row>
    <row r="4823">
      <c r="A4823" s="3" t="inlineStr">
        <is>
          <t>Cape Projects Construction (Pty) Ltd</t>
        </is>
      </c>
      <c r="B4823" s="4" t="n">
        <v>45260</v>
      </c>
      <c r="C4823" s="3" t="inlineStr">
        <is>
          <t>Assets</t>
        </is>
      </c>
      <c r="D4823" s="3" t="inlineStr">
        <is>
          <t>6250/020</t>
        </is>
      </c>
      <c r="E4823" s="3" t="inlineStr">
        <is>
          <t>Computer Equipment - Accum Depre</t>
        </is>
      </c>
      <c r="F4823" s="3" t="n">
        <v>-4549.49</v>
      </c>
      <c r="G4823" s="3" t="n">
        <v>-75610</v>
      </c>
    </row>
    <row r="4824">
      <c r="A4824" s="3" t="inlineStr">
        <is>
          <t>Cape Projects Construction (Pty) Ltd</t>
        </is>
      </c>
      <c r="B4824" s="4" t="n">
        <v>45260</v>
      </c>
      <c r="C4824" s="3" t="inlineStr">
        <is>
          <t>Assets</t>
        </is>
      </c>
      <c r="D4824" s="3" t="inlineStr">
        <is>
          <t>6350/010</t>
        </is>
      </c>
      <c r="E4824" s="3" t="inlineStr">
        <is>
          <t>Furniture _AND_ Fittings - @ Cost</t>
        </is>
      </c>
      <c r="F4824" s="3" t="n">
        <v>0</v>
      </c>
      <c r="G4824" s="3" t="n">
        <v>37955.3</v>
      </c>
    </row>
    <row r="4825">
      <c r="A4825" s="3" t="inlineStr">
        <is>
          <t>Cape Projects Construction (Pty) Ltd</t>
        </is>
      </c>
      <c r="B4825" s="4" t="n">
        <v>45260</v>
      </c>
      <c r="C4825" s="3" t="inlineStr">
        <is>
          <t>Assets</t>
        </is>
      </c>
      <c r="D4825" s="3" t="inlineStr">
        <is>
          <t>6350/020</t>
        </is>
      </c>
      <c r="E4825" s="3" t="inlineStr">
        <is>
          <t>Furniture _AND_ Fittings - Accum Depre</t>
        </is>
      </c>
      <c r="F4825" s="3" t="n">
        <v>-547.67</v>
      </c>
      <c r="G4825" s="3" t="n">
        <v>-10823.64</v>
      </c>
    </row>
    <row r="4826">
      <c r="A4826" s="3" t="inlineStr">
        <is>
          <t>Cape Projects Construction (Pty) Ltd</t>
        </is>
      </c>
      <c r="B4826" s="4" t="n">
        <v>45260</v>
      </c>
      <c r="C4826" s="3" t="inlineStr">
        <is>
          <t>Assets</t>
        </is>
      </c>
      <c r="D4826" s="3" t="inlineStr">
        <is>
          <t>6600/010</t>
        </is>
      </c>
      <c r="E4826" s="3" t="inlineStr">
        <is>
          <t>Generator Fixed Asset - @ Cost</t>
        </is>
      </c>
      <c r="F4826" s="3" t="n">
        <v>0</v>
      </c>
      <c r="G4826" s="3" t="n">
        <v>71322</v>
      </c>
    </row>
    <row r="4827">
      <c r="A4827" s="3" t="inlineStr">
        <is>
          <t>Cape Projects Construction (Pty) Ltd</t>
        </is>
      </c>
      <c r="B4827" s="4" t="n">
        <v>45260</v>
      </c>
      <c r="C4827" s="3" t="inlineStr">
        <is>
          <t>Assets</t>
        </is>
      </c>
      <c r="D4827" s="3" t="inlineStr">
        <is>
          <t>6600/020</t>
        </is>
      </c>
      <c r="E4827" s="3" t="inlineStr">
        <is>
          <t>Generator Fixed Asset - Accum Depre</t>
        </is>
      </c>
      <c r="F4827" s="3" t="n">
        <v>-1188.7</v>
      </c>
      <c r="G4827" s="3" t="n">
        <v>-11833.13</v>
      </c>
    </row>
    <row r="4828">
      <c r="A4828" s="3" t="inlineStr">
        <is>
          <t>Heron Fields (Pty) Ltd</t>
        </is>
      </c>
      <c r="B4828" s="4" t="n">
        <v>45260</v>
      </c>
      <c r="C4828" s="3" t="inlineStr">
        <is>
          <t>Assets</t>
        </is>
      </c>
      <c r="D4828" s="3" t="inlineStr">
        <is>
          <t>7610/395</t>
        </is>
      </c>
      <c r="E4828" s="3" t="inlineStr">
        <is>
          <t>HF CIP NHBRC</t>
        </is>
      </c>
      <c r="F4828" s="3" t="n">
        <v>0</v>
      </c>
      <c r="G4828" s="3" t="n">
        <v>874505.75</v>
      </c>
    </row>
    <row r="4829">
      <c r="A4829" s="3" t="inlineStr">
        <is>
          <t>Heron View (Pty) Ltd</t>
        </is>
      </c>
      <c r="B4829" s="4" t="n">
        <v>45260</v>
      </c>
      <c r="C4829" s="3" t="inlineStr">
        <is>
          <t>Assets</t>
        </is>
      </c>
      <c r="D4829" s="3" t="inlineStr">
        <is>
          <t>7610/395</t>
        </is>
      </c>
      <c r="E4829" s="3" t="inlineStr">
        <is>
          <t>Heron CIP NHBRC</t>
        </is>
      </c>
      <c r="F4829" s="3" t="n">
        <v>321335</v>
      </c>
      <c r="G4829" s="3" t="n">
        <v>2459685.86</v>
      </c>
    </row>
    <row r="4830">
      <c r="A4830" s="3" t="inlineStr">
        <is>
          <t>Heron Fields (Pty) Ltd</t>
        </is>
      </c>
      <c r="B4830" s="4" t="n">
        <v>45260</v>
      </c>
      <c r="C4830" s="3" t="inlineStr">
        <is>
          <t>Assets</t>
        </is>
      </c>
      <c r="D4830" s="3" t="inlineStr">
        <is>
          <t>7620/100</t>
        </is>
      </c>
      <c r="E4830" s="3" t="inlineStr">
        <is>
          <t>Heron View Land</t>
        </is>
      </c>
      <c r="F4830" s="3" t="n">
        <v>0</v>
      </c>
      <c r="G4830" s="3" t="n">
        <v>26200000</v>
      </c>
    </row>
    <row r="4831">
      <c r="A4831" s="3" t="inlineStr">
        <is>
          <t>Heron Fields (Pty) Ltd</t>
        </is>
      </c>
      <c r="B4831" s="4" t="n">
        <v>45260</v>
      </c>
      <c r="C4831" s="3" t="inlineStr">
        <is>
          <t>Assets</t>
        </is>
      </c>
      <c r="D4831" s="3" t="inlineStr">
        <is>
          <t>7620/101</t>
        </is>
      </c>
      <c r="E4831" s="3" t="inlineStr">
        <is>
          <t>HF CIP Bond Registration Fee</t>
        </is>
      </c>
      <c r="F4831" s="3" t="n">
        <v>0</v>
      </c>
      <c r="G4831" s="3" t="n">
        <v>68427</v>
      </c>
    </row>
    <row r="4832">
      <c r="A4832" s="3" t="inlineStr">
        <is>
          <t>Heron Fields (Pty) Ltd</t>
        </is>
      </c>
      <c r="B4832" s="4" t="n">
        <v>45260</v>
      </c>
      <c r="C4832" s="3" t="inlineStr">
        <is>
          <t>Assets</t>
        </is>
      </c>
      <c r="D4832" s="3" t="inlineStr">
        <is>
          <t>7620/102</t>
        </is>
      </c>
      <c r="E4832" s="3" t="inlineStr">
        <is>
          <t>HF CIP Transfer Fee</t>
        </is>
      </c>
      <c r="F4832" s="3" t="n">
        <v>0</v>
      </c>
      <c r="G4832" s="3" t="n">
        <v>103812</v>
      </c>
    </row>
    <row r="4833">
      <c r="A4833" s="3" t="inlineStr">
        <is>
          <t>Heron Fields (Pty) Ltd</t>
        </is>
      </c>
      <c r="B4833" s="4" t="n">
        <v>45260</v>
      </c>
      <c r="C4833" s="3" t="inlineStr">
        <is>
          <t>Assets</t>
        </is>
      </c>
      <c r="D4833" s="3" t="inlineStr">
        <is>
          <t>7620/220</t>
        </is>
      </c>
      <c r="E4833" s="3" t="inlineStr">
        <is>
          <t>HF CIP Architectural Designs</t>
        </is>
      </c>
      <c r="F4833" s="3" t="n">
        <v>0</v>
      </c>
      <c r="G4833" s="3" t="n">
        <v>314087</v>
      </c>
    </row>
    <row r="4834">
      <c r="A4834" s="3" t="inlineStr">
        <is>
          <t>Heron View (Pty) Ltd</t>
        </is>
      </c>
      <c r="B4834" s="4" t="n">
        <v>45260</v>
      </c>
      <c r="C4834" s="3" t="inlineStr">
        <is>
          <t>Assets</t>
        </is>
      </c>
      <c r="D4834" s="3" t="inlineStr">
        <is>
          <t>7620/220</t>
        </is>
      </c>
      <c r="E4834" s="3" t="inlineStr">
        <is>
          <t>Heron View CIP Architectural Designs</t>
        </is>
      </c>
      <c r="F4834" s="3" t="n">
        <v>0</v>
      </c>
      <c r="G4834" s="3" t="n">
        <v>765978.5</v>
      </c>
    </row>
    <row r="4835">
      <c r="A4835" s="3" t="inlineStr">
        <is>
          <t>Heron Fields (Pty) Ltd</t>
        </is>
      </c>
      <c r="B4835" s="4" t="n">
        <v>45260</v>
      </c>
      <c r="C4835" s="3" t="inlineStr">
        <is>
          <t>Assets</t>
        </is>
      </c>
      <c r="D4835" s="3" t="inlineStr">
        <is>
          <t>7620/230</t>
        </is>
      </c>
      <c r="E4835" s="3" t="inlineStr">
        <is>
          <t>HF CIP Construction Management</t>
        </is>
      </c>
      <c r="F4835" s="3" t="n">
        <v>0</v>
      </c>
      <c r="G4835" s="3" t="n">
        <v>139500</v>
      </c>
    </row>
    <row r="4836">
      <c r="A4836" s="3" t="inlineStr">
        <is>
          <t>Heron Fields (Pty) Ltd</t>
        </is>
      </c>
      <c r="B4836" s="4" t="n">
        <v>45260</v>
      </c>
      <c r="C4836" s="3" t="inlineStr">
        <is>
          <t>Assets</t>
        </is>
      </c>
      <c r="D4836" s="3" t="inlineStr">
        <is>
          <t>7620/240</t>
        </is>
      </c>
      <c r="E4836" s="3" t="inlineStr">
        <is>
          <t>HF CIP Civil Engineering</t>
        </is>
      </c>
      <c r="F4836" s="3" t="n">
        <v>0</v>
      </c>
      <c r="G4836" s="3" t="n">
        <v>8557641.800000001</v>
      </c>
    </row>
    <row r="4837">
      <c r="A4837" s="3" t="inlineStr">
        <is>
          <t>Heron Fields (Pty) Ltd</t>
        </is>
      </c>
      <c r="B4837" s="4" t="n">
        <v>45260</v>
      </c>
      <c r="C4837" s="3" t="inlineStr">
        <is>
          <t>Assets</t>
        </is>
      </c>
      <c r="D4837" s="3" t="inlineStr">
        <is>
          <t>7620/245</t>
        </is>
      </c>
      <c r="E4837" s="3" t="inlineStr">
        <is>
          <t>HF CIP Development fee</t>
        </is>
      </c>
      <c r="F4837" s="3" t="n">
        <v>0</v>
      </c>
      <c r="G4837" s="3" t="n">
        <v>13807.78</v>
      </c>
    </row>
    <row r="4838">
      <c r="A4838" s="3" t="inlineStr">
        <is>
          <t>Heron Fields (Pty) Ltd</t>
        </is>
      </c>
      <c r="B4838" s="4" t="n">
        <v>45260</v>
      </c>
      <c r="C4838" s="3" t="inlineStr">
        <is>
          <t>Assets</t>
        </is>
      </c>
      <c r="D4838" s="3" t="inlineStr">
        <is>
          <t>7620/250</t>
        </is>
      </c>
      <c r="E4838" s="3" t="inlineStr">
        <is>
          <t>HF CIP Land Surveyor</t>
        </is>
      </c>
      <c r="F4838" s="3" t="n">
        <v>0</v>
      </c>
      <c r="G4838" s="3" t="n">
        <v>197060.09</v>
      </c>
    </row>
    <row r="4839">
      <c r="A4839" s="3" t="inlineStr">
        <is>
          <t>Heron View (Pty) Ltd</t>
        </is>
      </c>
      <c r="B4839" s="4" t="n">
        <v>45260</v>
      </c>
      <c r="C4839" s="3" t="inlineStr">
        <is>
          <t>Assets</t>
        </is>
      </c>
      <c r="D4839" s="3" t="inlineStr">
        <is>
          <t>7620/250</t>
        </is>
      </c>
      <c r="E4839" s="3" t="inlineStr">
        <is>
          <t>Heron View CIP Land Surveyor</t>
        </is>
      </c>
      <c r="F4839" s="3" t="n">
        <v>71191</v>
      </c>
      <c r="G4839" s="3" t="n">
        <v>321942.47</v>
      </c>
    </row>
    <row r="4840">
      <c r="A4840" s="3" t="inlineStr">
        <is>
          <t>Heron Fields (Pty) Ltd</t>
        </is>
      </c>
      <c r="B4840" s="4" t="n">
        <v>45260</v>
      </c>
      <c r="C4840" s="3" t="inlineStr">
        <is>
          <t>Assets</t>
        </is>
      </c>
      <c r="D4840" s="3" t="inlineStr">
        <is>
          <t>7620/255</t>
        </is>
      </c>
      <c r="E4840" s="3" t="inlineStr">
        <is>
          <t>HF CIP Landscaping</t>
        </is>
      </c>
      <c r="F4840" s="3" t="n">
        <v>0</v>
      </c>
      <c r="G4840" s="3" t="n">
        <v>7500</v>
      </c>
    </row>
    <row r="4841">
      <c r="A4841" s="3" t="inlineStr">
        <is>
          <t>Heron View (Pty) Ltd</t>
        </is>
      </c>
      <c r="B4841" s="4" t="n">
        <v>45260</v>
      </c>
      <c r="C4841" s="3" t="inlineStr">
        <is>
          <t>Assets</t>
        </is>
      </c>
      <c r="D4841" s="3" t="inlineStr">
        <is>
          <t>7620/255</t>
        </is>
      </c>
      <c r="E4841" s="3" t="inlineStr">
        <is>
          <t>Heron View CIP Landscaping</t>
        </is>
      </c>
      <c r="F4841" s="3" t="n">
        <v>0</v>
      </c>
      <c r="G4841" s="3" t="n">
        <v>114370.5</v>
      </c>
    </row>
    <row r="4842">
      <c r="A4842" s="3" t="inlineStr">
        <is>
          <t>Heron Fields (Pty) Ltd</t>
        </is>
      </c>
      <c r="B4842" s="4" t="n">
        <v>45260</v>
      </c>
      <c r="C4842" s="3" t="inlineStr">
        <is>
          <t>Assets</t>
        </is>
      </c>
      <c r="D4842" s="3" t="inlineStr">
        <is>
          <t>7620/260</t>
        </is>
      </c>
      <c r="E4842" s="3" t="inlineStr">
        <is>
          <t>HF CIP Mechanical Engineers</t>
        </is>
      </c>
      <c r="F4842" s="3" t="n">
        <v>0</v>
      </c>
      <c r="G4842" s="3" t="n">
        <v>146256.38</v>
      </c>
    </row>
    <row r="4843">
      <c r="A4843" s="3" t="inlineStr">
        <is>
          <t>Heron Fields (Pty) Ltd</t>
        </is>
      </c>
      <c r="B4843" s="4" t="n">
        <v>45260</v>
      </c>
      <c r="C4843" s="3" t="inlineStr">
        <is>
          <t>Assets</t>
        </is>
      </c>
      <c r="D4843" s="3" t="inlineStr">
        <is>
          <t>7620/265</t>
        </is>
      </c>
      <c r="E4843" s="3" t="inlineStr">
        <is>
          <t>HF CIP Health &amp; Safety</t>
        </is>
      </c>
      <c r="F4843" s="3" t="n">
        <v>0</v>
      </c>
      <c r="G4843" s="3" t="n">
        <v>20600</v>
      </c>
    </row>
    <row r="4844">
      <c r="A4844" s="3" t="inlineStr">
        <is>
          <t>Heron Fields (Pty) Ltd</t>
        </is>
      </c>
      <c r="B4844" s="4" t="n">
        <v>45260</v>
      </c>
      <c r="C4844" s="3" t="inlineStr">
        <is>
          <t>Assets</t>
        </is>
      </c>
      <c r="D4844" s="3" t="inlineStr">
        <is>
          <t>7620/270</t>
        </is>
      </c>
      <c r="E4844" s="3" t="inlineStr">
        <is>
          <t>HF CIP Geotechnical</t>
        </is>
      </c>
      <c r="F4844" s="3" t="n">
        <v>0</v>
      </c>
      <c r="G4844" s="3" t="n">
        <v>15175</v>
      </c>
    </row>
    <row r="4845">
      <c r="A4845" s="3" t="inlineStr">
        <is>
          <t>Heron Fields (Pty) Ltd</t>
        </is>
      </c>
      <c r="B4845" s="4" t="n">
        <v>45260</v>
      </c>
      <c r="C4845" s="3" t="inlineStr">
        <is>
          <t>Assets</t>
        </is>
      </c>
      <c r="D4845" s="3" t="inlineStr">
        <is>
          <t>7620/275</t>
        </is>
      </c>
      <c r="E4845" s="3" t="inlineStr">
        <is>
          <t>HF CIP Retaining Wall</t>
        </is>
      </c>
      <c r="F4845" s="3" t="n">
        <v>0</v>
      </c>
      <c r="G4845" s="3" t="n">
        <v>570856.08</v>
      </c>
    </row>
    <row r="4846">
      <c r="A4846" s="3" t="inlineStr">
        <is>
          <t>Heron Fields (Pty) Ltd</t>
        </is>
      </c>
      <c r="B4846" s="4" t="n">
        <v>45260</v>
      </c>
      <c r="C4846" s="3" t="inlineStr">
        <is>
          <t>Assets</t>
        </is>
      </c>
      <c r="D4846" s="3" t="inlineStr">
        <is>
          <t>7620/280</t>
        </is>
      </c>
      <c r="E4846" s="3" t="inlineStr">
        <is>
          <t>HF CIP Site Establishment</t>
        </is>
      </c>
      <c r="F4846" s="3" t="n">
        <v>0</v>
      </c>
      <c r="G4846" s="3" t="n">
        <v>47748851.51</v>
      </c>
    </row>
    <row r="4847">
      <c r="A4847" s="3" t="inlineStr">
        <is>
          <t>Heron View (Pty) Ltd</t>
        </is>
      </c>
      <c r="B4847" s="4" t="n">
        <v>45260</v>
      </c>
      <c r="C4847" s="3" t="inlineStr">
        <is>
          <t>Assets</t>
        </is>
      </c>
      <c r="D4847" s="3" t="inlineStr">
        <is>
          <t>7620/280</t>
        </is>
      </c>
      <c r="E4847" s="3" t="inlineStr">
        <is>
          <t>Heron View CIP Site Establishment</t>
        </is>
      </c>
      <c r="F4847" s="3" t="n">
        <v>11562012.71</v>
      </c>
      <c r="G4847" s="3" t="n">
        <v>31135708.78</v>
      </c>
    </row>
    <row r="4848">
      <c r="A4848" s="3" t="inlineStr">
        <is>
          <t>Heron Fields (Pty) Ltd</t>
        </is>
      </c>
      <c r="B4848" s="4" t="n">
        <v>45260</v>
      </c>
      <c r="C4848" s="3" t="inlineStr">
        <is>
          <t>Assets</t>
        </is>
      </c>
      <c r="D4848" s="3" t="inlineStr">
        <is>
          <t>7620/285</t>
        </is>
      </c>
      <c r="E4848" s="3" t="inlineStr">
        <is>
          <t>HF CIP Structuring Fee - Invest</t>
        </is>
      </c>
      <c r="F4848" s="3" t="n">
        <v>0</v>
      </c>
      <c r="G4848" s="3" t="n">
        <v>3850818.04</v>
      </c>
    </row>
    <row r="4849">
      <c r="A4849" s="3" t="inlineStr">
        <is>
          <t>Heron View (Pty) Ltd</t>
        </is>
      </c>
      <c r="B4849" s="4" t="n">
        <v>45260</v>
      </c>
      <c r="C4849" s="3" t="inlineStr">
        <is>
          <t>Assets</t>
        </is>
      </c>
      <c r="D4849" s="3" t="inlineStr">
        <is>
          <t>7620/285</t>
        </is>
      </c>
      <c r="E4849" s="3" t="inlineStr">
        <is>
          <t>Heron View CIP Structuring Fee - Invest</t>
        </is>
      </c>
      <c r="F4849" s="3" t="n">
        <v>0</v>
      </c>
      <c r="G4849" s="3" t="n">
        <v>1826086.96</v>
      </c>
    </row>
    <row r="4850">
      <c r="A4850" s="3" t="inlineStr">
        <is>
          <t>Heron Fields (Pty) Ltd</t>
        </is>
      </c>
      <c r="B4850" s="4" t="n">
        <v>45260</v>
      </c>
      <c r="C4850" s="3" t="inlineStr">
        <is>
          <t>Assets</t>
        </is>
      </c>
      <c r="D4850" s="3" t="inlineStr">
        <is>
          <t>7620/287</t>
        </is>
      </c>
      <c r="E4850" s="3" t="inlineStr">
        <is>
          <t>HF CIP Structuring Fee - Development</t>
        </is>
      </c>
      <c r="F4850" s="3" t="n">
        <v>0</v>
      </c>
      <c r="G4850" s="3" t="n">
        <v>782608.0699999999</v>
      </c>
    </row>
    <row r="4851">
      <c r="A4851" s="3" t="inlineStr">
        <is>
          <t>Heron View (Pty) Ltd</t>
        </is>
      </c>
      <c r="B4851" s="4" t="n">
        <v>45260</v>
      </c>
      <c r="C4851" s="3" t="inlineStr">
        <is>
          <t>Assets</t>
        </is>
      </c>
      <c r="D4851" s="3" t="inlineStr">
        <is>
          <t>7620/287</t>
        </is>
      </c>
      <c r="E4851" s="3" t="inlineStr">
        <is>
          <t>Heron View CIP Structuring Fee - Development</t>
        </is>
      </c>
      <c r="F4851" s="3" t="n">
        <v>0</v>
      </c>
      <c r="G4851" s="3" t="n">
        <v>217391.3</v>
      </c>
    </row>
    <row r="4852">
      <c r="A4852" s="3" t="inlineStr">
        <is>
          <t>Heron Fields (Pty) Ltd</t>
        </is>
      </c>
      <c r="B4852" s="4" t="n">
        <v>45260</v>
      </c>
      <c r="C4852" s="3" t="inlineStr">
        <is>
          <t>Assets</t>
        </is>
      </c>
      <c r="D4852" s="3" t="inlineStr">
        <is>
          <t>7620/290</t>
        </is>
      </c>
      <c r="E4852" s="3" t="inlineStr">
        <is>
          <t>HF CIP Town Planning</t>
        </is>
      </c>
      <c r="F4852" s="3" t="n">
        <v>0</v>
      </c>
      <c r="G4852" s="3" t="n">
        <v>166550</v>
      </c>
    </row>
    <row r="4853">
      <c r="A4853" s="3" t="inlineStr">
        <is>
          <t>Heron View (Pty) Ltd</t>
        </is>
      </c>
      <c r="B4853" s="4" t="n">
        <v>45260</v>
      </c>
      <c r="C4853" s="3" t="inlineStr">
        <is>
          <t>Assets</t>
        </is>
      </c>
      <c r="D4853" s="3" t="inlineStr">
        <is>
          <t>7620/290</t>
        </is>
      </c>
      <c r="E4853" s="3" t="inlineStr">
        <is>
          <t>Heron View CIP Town Planning</t>
        </is>
      </c>
      <c r="F4853" s="3" t="n">
        <v>0</v>
      </c>
      <c r="G4853" s="3" t="n">
        <v>2834.7</v>
      </c>
    </row>
    <row r="4854">
      <c r="A4854" s="3" t="inlineStr">
        <is>
          <t>Heron Fields (Pty) Ltd</t>
        </is>
      </c>
      <c r="B4854" s="4" t="n">
        <v>45260</v>
      </c>
      <c r="C4854" s="3" t="inlineStr">
        <is>
          <t>Assets</t>
        </is>
      </c>
      <c r="D4854" s="3" t="inlineStr">
        <is>
          <t>7620/295</t>
        </is>
      </c>
      <c r="E4854" s="3" t="inlineStr">
        <is>
          <t>HF CIP Traffic Planning</t>
        </is>
      </c>
      <c r="F4854" s="3" t="n">
        <v>0</v>
      </c>
      <c r="G4854" s="3" t="n">
        <v>45000</v>
      </c>
    </row>
    <row r="4855">
      <c r="A4855" s="3" t="inlineStr">
        <is>
          <t>Heron Fields (Pty) Ltd</t>
        </is>
      </c>
      <c r="B4855" s="4" t="n">
        <v>45260</v>
      </c>
      <c r="C4855" s="3" t="inlineStr">
        <is>
          <t>Assets</t>
        </is>
      </c>
      <c r="D4855" s="3" t="inlineStr">
        <is>
          <t>7620/600</t>
        </is>
      </c>
      <c r="E4855" s="3" t="inlineStr">
        <is>
          <t>HF CIP Eco work</t>
        </is>
      </c>
      <c r="F4855" s="3" t="n">
        <v>6000</v>
      </c>
      <c r="G4855" s="3" t="n">
        <v>185000</v>
      </c>
    </row>
    <row r="4856">
      <c r="A4856" s="3" t="inlineStr">
        <is>
          <t>Heron View (Pty) Ltd</t>
        </is>
      </c>
      <c r="B4856" s="4" t="n">
        <v>45260</v>
      </c>
      <c r="C4856" s="3" t="inlineStr">
        <is>
          <t>Assets</t>
        </is>
      </c>
      <c r="D4856" s="3" t="inlineStr">
        <is>
          <t>7620/605</t>
        </is>
      </c>
      <c r="E4856" s="3" t="inlineStr">
        <is>
          <t>Heron View CIP Structural Engineers</t>
        </is>
      </c>
      <c r="F4856" s="3" t="n">
        <v>17500</v>
      </c>
      <c r="G4856" s="3" t="n">
        <v>666877.14</v>
      </c>
    </row>
    <row r="4857">
      <c r="A4857" s="3" t="inlineStr">
        <is>
          <t>Heron View (Pty) Ltd</t>
        </is>
      </c>
      <c r="B4857" s="4" t="n">
        <v>45260</v>
      </c>
      <c r="C4857" s="3" t="inlineStr">
        <is>
          <t>Assets</t>
        </is>
      </c>
      <c r="D4857" s="3" t="inlineStr">
        <is>
          <t>7620/610</t>
        </is>
      </c>
      <c r="E4857" s="3" t="inlineStr">
        <is>
          <t>HV CIP Retaining wall</t>
        </is>
      </c>
      <c r="F4857" s="3" t="n">
        <v>0</v>
      </c>
      <c r="G4857" s="3" t="n">
        <v>66190.11</v>
      </c>
    </row>
    <row r="4858">
      <c r="A4858" s="3" t="inlineStr">
        <is>
          <t>Heron Fields (Pty) Ltd</t>
        </is>
      </c>
      <c r="B4858" s="4" t="n">
        <v>45260</v>
      </c>
      <c r="C4858" s="3" t="inlineStr">
        <is>
          <t>Assets</t>
        </is>
      </c>
      <c r="D4858" s="3" t="inlineStr">
        <is>
          <t>7620/630</t>
        </is>
      </c>
      <c r="E4858" s="3" t="inlineStr">
        <is>
          <t>HF CIP CoCT development contribution</t>
        </is>
      </c>
      <c r="F4858" s="3" t="n">
        <v>0</v>
      </c>
      <c r="G4858" s="3" t="n">
        <v>3252759.95</v>
      </c>
    </row>
    <row r="4859">
      <c r="A4859" s="3" t="inlineStr">
        <is>
          <t>Heron View (Pty) Ltd</t>
        </is>
      </c>
      <c r="B4859" s="4" t="n">
        <v>45260</v>
      </c>
      <c r="C4859" s="3" t="inlineStr">
        <is>
          <t>Assets</t>
        </is>
      </c>
      <c r="D4859" s="3" t="inlineStr">
        <is>
          <t>7620/630</t>
        </is>
      </c>
      <c r="E4859" s="3" t="inlineStr">
        <is>
          <t>Heron CIP - CoCT development contribution</t>
        </is>
      </c>
      <c r="F4859" s="3" t="n">
        <v>530.35</v>
      </c>
      <c r="G4859" s="3" t="n">
        <v>1673231.19</v>
      </c>
    </row>
    <row r="4860">
      <c r="A4860" s="3" t="inlineStr">
        <is>
          <t>Heron Fields (Pty) Ltd</t>
        </is>
      </c>
      <c r="B4860" s="4" t="n">
        <v>45260</v>
      </c>
      <c r="C4860" s="3" t="inlineStr">
        <is>
          <t>Assets</t>
        </is>
      </c>
      <c r="D4860" s="3" t="inlineStr">
        <is>
          <t>7620/640</t>
        </is>
      </c>
      <c r="E4860" s="3" t="inlineStr">
        <is>
          <t>HF CIP Project costs</t>
        </is>
      </c>
      <c r="F4860" s="3" t="n">
        <v>0</v>
      </c>
      <c r="G4860" s="3" t="n">
        <v>622274.51</v>
      </c>
    </row>
    <row r="4861">
      <c r="A4861" s="3" t="inlineStr">
        <is>
          <t>Heron View (Pty) Ltd</t>
        </is>
      </c>
      <c r="B4861" s="4" t="n">
        <v>45260</v>
      </c>
      <c r="C4861" s="3" t="inlineStr">
        <is>
          <t>Assets</t>
        </is>
      </c>
      <c r="D4861" s="3" t="inlineStr">
        <is>
          <t>7620/650</t>
        </is>
      </c>
      <c r="E4861" s="3" t="inlineStr">
        <is>
          <t>CIP - Construction Management</t>
        </is>
      </c>
      <c r="F4861" s="3" t="n">
        <v>0</v>
      </c>
      <c r="G4861" s="3" t="n">
        <v>76530</v>
      </c>
    </row>
    <row r="4862">
      <c r="A4862" s="3" t="inlineStr">
        <is>
          <t>Heron Fields (Pty) Ltd</t>
        </is>
      </c>
      <c r="B4862" s="4" t="n">
        <v>45260</v>
      </c>
      <c r="C4862" s="3" t="inlineStr">
        <is>
          <t>Assets</t>
        </is>
      </c>
      <c r="D4862" s="3" t="inlineStr">
        <is>
          <t>7620/650</t>
        </is>
      </c>
      <c r="E4862" s="3" t="inlineStr">
        <is>
          <t>HF CIP Electrical</t>
        </is>
      </c>
      <c r="F4862" s="3" t="n">
        <v>0</v>
      </c>
      <c r="G4862" s="3" t="n">
        <v>985049.6800000001</v>
      </c>
    </row>
    <row r="4863">
      <c r="A4863" s="3" t="inlineStr">
        <is>
          <t>Heron View (Pty) Ltd</t>
        </is>
      </c>
      <c r="B4863" s="4" t="n">
        <v>45260</v>
      </c>
      <c r="C4863" s="3" t="inlineStr">
        <is>
          <t>Assets</t>
        </is>
      </c>
      <c r="D4863" s="3" t="inlineStr">
        <is>
          <t>7620/660</t>
        </is>
      </c>
      <c r="E4863" s="3" t="inlineStr">
        <is>
          <t>HV CIP Health &amp; Safety</t>
        </is>
      </c>
      <c r="F4863" s="3" t="n">
        <v>1400</v>
      </c>
      <c r="G4863" s="3" t="n">
        <v>27200</v>
      </c>
    </row>
    <row r="4864">
      <c r="A4864" s="3" t="inlineStr">
        <is>
          <t>Heron View (Pty) Ltd</t>
        </is>
      </c>
      <c r="B4864" s="4" t="n">
        <v>45260</v>
      </c>
      <c r="C4864" s="3" t="inlineStr">
        <is>
          <t>Assets</t>
        </is>
      </c>
      <c r="D4864" s="3" t="inlineStr">
        <is>
          <t>7620/670</t>
        </is>
      </c>
      <c r="E4864" s="3" t="inlineStr">
        <is>
          <t>HV CIP - Project costs CPSD</t>
        </is>
      </c>
      <c r="F4864" s="3" t="n">
        <v>334782.61</v>
      </c>
      <c r="G4864" s="3" t="n">
        <v>1689130.43</v>
      </c>
    </row>
    <row r="4865">
      <c r="A4865" s="3" t="inlineStr">
        <is>
          <t>Heron View (Pty) Ltd</t>
        </is>
      </c>
      <c r="B4865" s="4" t="n">
        <v>45260</v>
      </c>
      <c r="C4865" s="3" t="inlineStr">
        <is>
          <t>Assets</t>
        </is>
      </c>
      <c r="D4865" s="3" t="inlineStr">
        <is>
          <t>7620/680</t>
        </is>
      </c>
      <c r="E4865" s="3" t="inlineStr">
        <is>
          <t>HV CIP Elextrical</t>
        </is>
      </c>
      <c r="F4865" s="3" t="n">
        <v>0</v>
      </c>
      <c r="G4865" s="3" t="n">
        <v>1540502.11</v>
      </c>
    </row>
    <row r="4866">
      <c r="A4866" s="3" t="inlineStr">
        <is>
          <t>Heron View (Pty) Ltd</t>
        </is>
      </c>
      <c r="B4866" s="4" t="n">
        <v>45260</v>
      </c>
      <c r="C4866" s="3" t="inlineStr">
        <is>
          <t>Assets</t>
        </is>
      </c>
      <c r="D4866" s="3" t="inlineStr">
        <is>
          <t>7620/690</t>
        </is>
      </c>
      <c r="E4866" s="3" t="inlineStr">
        <is>
          <t>HV CIP Site Establishment</t>
        </is>
      </c>
      <c r="F4866" s="3" t="n">
        <v>0</v>
      </c>
      <c r="G4866" s="3" t="n">
        <v>20707183.05</v>
      </c>
    </row>
    <row r="4867">
      <c r="A4867" s="3" t="inlineStr">
        <is>
          <t>Heron Fields (Pty) Ltd</t>
        </is>
      </c>
      <c r="B4867" s="4" t="n">
        <v>45260</v>
      </c>
      <c r="C4867" s="3" t="inlineStr">
        <is>
          <t>Assets</t>
        </is>
      </c>
      <c r="D4867" s="3" t="inlineStr">
        <is>
          <t>7620/750</t>
        </is>
      </c>
      <c r="E4867" s="3" t="inlineStr">
        <is>
          <t>HF CIP Project costs CPSD</t>
        </is>
      </c>
      <c r="F4867" s="3" t="n">
        <v>0</v>
      </c>
      <c r="G4867" s="3" t="n">
        <v>2148883.15</v>
      </c>
    </row>
    <row r="4868">
      <c r="A4868" s="3" t="inlineStr">
        <is>
          <t>Heron Fields (Pty) Ltd</t>
        </is>
      </c>
      <c r="B4868" s="4" t="n">
        <v>45260</v>
      </c>
      <c r="C4868" s="3" t="inlineStr">
        <is>
          <t>Assets</t>
        </is>
      </c>
      <c r="D4868" s="3" t="inlineStr">
        <is>
          <t>7620/800</t>
        </is>
      </c>
      <c r="E4868" s="3" t="inlineStr">
        <is>
          <t>HF CIP GL Conradie</t>
        </is>
      </c>
      <c r="F4868" s="3" t="n">
        <v>0</v>
      </c>
      <c r="G4868" s="3" t="n">
        <v>1068455</v>
      </c>
    </row>
    <row r="4869">
      <c r="A4869" s="3" t="inlineStr">
        <is>
          <t>Heron View (Pty) Ltd</t>
        </is>
      </c>
      <c r="B4869" s="4" t="n">
        <v>45260</v>
      </c>
      <c r="C4869" s="3" t="inlineStr">
        <is>
          <t>Assets</t>
        </is>
      </c>
      <c r="D4869" s="3" t="inlineStr">
        <is>
          <t>7620/800</t>
        </is>
      </c>
      <c r="E4869" s="3" t="inlineStr">
        <is>
          <t>HV CIP GL Conradie</t>
        </is>
      </c>
      <c r="F4869" s="3" t="n">
        <v>0</v>
      </c>
      <c r="G4869" s="3" t="n">
        <v>2188325.96</v>
      </c>
    </row>
    <row r="4870">
      <c r="A4870" s="3" t="inlineStr">
        <is>
          <t>Heron Fields (Pty) Ltd</t>
        </is>
      </c>
      <c r="B4870" s="4" t="n">
        <v>45260</v>
      </c>
      <c r="C4870" s="3" t="inlineStr">
        <is>
          <t>Assets</t>
        </is>
      </c>
      <c r="D4870" s="3" t="inlineStr">
        <is>
          <t>7700/010</t>
        </is>
      </c>
      <c r="E4870" s="3" t="inlineStr">
        <is>
          <t>Construction 28 Feb 23 HF</t>
        </is>
      </c>
      <c r="F4870" s="3" t="n">
        <v>0</v>
      </c>
      <c r="G4870" s="3" t="n">
        <v>-24427668.44</v>
      </c>
    </row>
    <row r="4871">
      <c r="A4871" s="3" t="inlineStr">
        <is>
          <t>Cape Projects Construction (Pty) Ltd</t>
        </is>
      </c>
      <c r="B4871" s="4" t="n">
        <v>45260</v>
      </c>
      <c r="C4871" s="3" t="inlineStr">
        <is>
          <t>Assets</t>
        </is>
      </c>
      <c r="D4871" s="3" t="inlineStr">
        <is>
          <t>7800/000</t>
        </is>
      </c>
      <c r="E4871" s="3" t="inlineStr">
        <is>
          <t>Deposits paid</t>
        </is>
      </c>
      <c r="F4871" s="3" t="n">
        <v>0</v>
      </c>
      <c r="G4871" s="3" t="n">
        <v>29600</v>
      </c>
    </row>
    <row r="4872">
      <c r="A4872" s="3" t="inlineStr">
        <is>
          <t>Cape Projects Construction (Pty) Ltd</t>
        </is>
      </c>
      <c r="B4872" s="4" t="n">
        <v>45260</v>
      </c>
      <c r="C4872" s="3" t="inlineStr">
        <is>
          <t>Assets</t>
        </is>
      </c>
      <c r="D4872" s="3" t="inlineStr">
        <is>
          <t>8000/000</t>
        </is>
      </c>
      <c r="E4872" s="3" t="inlineStr">
        <is>
          <t>Customer Control Account</t>
        </is>
      </c>
      <c r="F4872" s="3" t="n">
        <v>5182814.62</v>
      </c>
      <c r="G4872" s="3" t="n">
        <v>3020533.29</v>
      </c>
    </row>
    <row r="4873">
      <c r="A4873" s="3" t="inlineStr">
        <is>
          <t>Heron Fields (Pty) Ltd</t>
        </is>
      </c>
      <c r="B4873" s="4" t="n">
        <v>45260</v>
      </c>
      <c r="C4873" s="3" t="inlineStr">
        <is>
          <t>Assets</t>
        </is>
      </c>
      <c r="D4873" s="3" t="inlineStr">
        <is>
          <t>8000/000</t>
        </is>
      </c>
      <c r="E4873" s="3" t="inlineStr">
        <is>
          <t>Customer Control Account</t>
        </is>
      </c>
      <c r="F4873" s="3" t="n">
        <v>2040.87</v>
      </c>
      <c r="G4873" s="3" t="n">
        <v>368275.04</v>
      </c>
    </row>
    <row r="4874">
      <c r="A4874" s="3" t="inlineStr">
        <is>
          <t>Cape Projects Construction (Pty) Ltd</t>
        </is>
      </c>
      <c r="B4874" s="4" t="n">
        <v>45260</v>
      </c>
      <c r="C4874" s="3" t="inlineStr">
        <is>
          <t>Assets</t>
        </is>
      </c>
      <c r="D4874" s="3" t="inlineStr">
        <is>
          <t>8200/020</t>
        </is>
      </c>
      <c r="E4874" s="3" t="inlineStr">
        <is>
          <t>Staff Loans</t>
        </is>
      </c>
      <c r="F4874" s="3" t="n">
        <v>-5704.85</v>
      </c>
      <c r="G4874" s="3" t="n">
        <v>0</v>
      </c>
    </row>
    <row r="4875">
      <c r="A4875" s="3" t="inlineStr">
        <is>
          <t>Cape Projects Construction (Pty) Ltd</t>
        </is>
      </c>
      <c r="B4875" s="4" t="n">
        <v>45260</v>
      </c>
      <c r="C4875" s="3" t="inlineStr">
        <is>
          <t>Assets</t>
        </is>
      </c>
      <c r="D4875" s="3" t="inlineStr">
        <is>
          <t>8200/030</t>
        </is>
      </c>
      <c r="E4875" s="3" t="inlineStr">
        <is>
          <t>Staff Loan - Ntuthuka</t>
        </is>
      </c>
      <c r="F4875" s="3" t="n">
        <v>-1755.17</v>
      </c>
      <c r="G4875" s="3" t="n">
        <v>-1755.17</v>
      </c>
    </row>
    <row r="4876">
      <c r="A4876" s="3" t="inlineStr">
        <is>
          <t>Heron Fields (Pty) Ltd</t>
        </is>
      </c>
      <c r="B4876" s="4" t="n">
        <v>45260</v>
      </c>
      <c r="C4876" s="3" t="inlineStr">
        <is>
          <t>Assets</t>
        </is>
      </c>
      <c r="D4876" s="3" t="inlineStr">
        <is>
          <t>8400/000</t>
        </is>
      </c>
      <c r="E4876" s="3" t="inlineStr">
        <is>
          <t>RMB - 62882379087</t>
        </is>
      </c>
      <c r="F4876" s="3" t="n">
        <v>-2267027.42</v>
      </c>
      <c r="G4876" s="3" t="n">
        <v>58972.41</v>
      </c>
    </row>
    <row r="4877">
      <c r="A4877" s="3" t="inlineStr">
        <is>
          <t>Cape Projects Construction (Pty) Ltd</t>
        </is>
      </c>
      <c r="B4877" s="4" t="n">
        <v>45260</v>
      </c>
      <c r="C4877" s="3" t="inlineStr">
        <is>
          <t>Assets</t>
        </is>
      </c>
      <c r="D4877" s="3" t="inlineStr">
        <is>
          <t>8400/000</t>
        </is>
      </c>
      <c r="E4877" s="3" t="inlineStr">
        <is>
          <t>RMB 62275138470</t>
        </is>
      </c>
      <c r="F4877" s="3" t="n">
        <v>501579.28</v>
      </c>
      <c r="G4877" s="3" t="n">
        <v>674999.29</v>
      </c>
    </row>
    <row r="4878">
      <c r="A4878" s="3" t="inlineStr">
        <is>
          <t>Cape Projects Construction (Pty) Ltd</t>
        </is>
      </c>
      <c r="B4878" s="4" t="n">
        <v>45260</v>
      </c>
      <c r="C4878" s="3" t="inlineStr">
        <is>
          <t>Assets</t>
        </is>
      </c>
      <c r="D4878" s="3" t="inlineStr">
        <is>
          <t>8410/000</t>
        </is>
      </c>
      <c r="E4878" s="3" t="inlineStr">
        <is>
          <t>Petty Cash</t>
        </is>
      </c>
      <c r="F4878" s="3" t="n">
        <v>0</v>
      </c>
      <c r="G4878" s="3" t="n">
        <v>-1188</v>
      </c>
    </row>
    <row r="4879">
      <c r="A4879" s="3" t="inlineStr">
        <is>
          <t>Cape Projects Construction (Pty) Ltd</t>
        </is>
      </c>
      <c r="B4879" s="4" t="n">
        <v>45260</v>
      </c>
      <c r="C4879" s="3" t="inlineStr">
        <is>
          <t>Assets</t>
        </is>
      </c>
      <c r="D4879" s="3" t="inlineStr">
        <is>
          <t>8420/000</t>
        </is>
      </c>
      <c r="E4879" s="3" t="inlineStr">
        <is>
          <t>Momentum Priv Acc RU502230981</t>
        </is>
      </c>
      <c r="F4879" s="3" t="n">
        <v>0</v>
      </c>
      <c r="G4879" s="3" t="n">
        <v>571.55</v>
      </c>
    </row>
    <row r="4880">
      <c r="A4880" s="3" t="inlineStr">
        <is>
          <t>Heron Fields (Pty) Ltd</t>
        </is>
      </c>
      <c r="B4880" s="4" t="n">
        <v>45260</v>
      </c>
      <c r="C4880" s="3" t="inlineStr">
        <is>
          <t>Assets</t>
        </is>
      </c>
      <c r="D4880" s="3" t="inlineStr">
        <is>
          <t>8420/000</t>
        </is>
      </c>
      <c r="E4880" s="3" t="inlineStr">
        <is>
          <t>Petty Cash</t>
        </is>
      </c>
      <c r="F4880" s="3" t="n">
        <v>0</v>
      </c>
      <c r="G4880" s="3" t="n">
        <v>8620</v>
      </c>
    </row>
    <row r="4881">
      <c r="A4881" s="3" t="inlineStr">
        <is>
          <t>Heron Fields (Pty) Ltd</t>
        </is>
      </c>
      <c r="B4881" s="4" t="n">
        <v>45260</v>
      </c>
      <c r="C4881" s="3" t="inlineStr">
        <is>
          <t>Assets</t>
        </is>
      </c>
      <c r="D4881" s="3" t="inlineStr">
        <is>
          <t>8430/000</t>
        </is>
      </c>
      <c r="E4881" s="3" t="inlineStr">
        <is>
          <t>Momentum Private Account RU502230151</t>
        </is>
      </c>
      <c r="F4881" s="3" t="n">
        <v>0</v>
      </c>
      <c r="G4881" s="3" t="n">
        <v>871.91</v>
      </c>
    </row>
    <row r="4882">
      <c r="A4882" s="3" t="inlineStr">
        <is>
          <t>Heron Fields (Pty) Ltd</t>
        </is>
      </c>
      <c r="B4882" s="4" t="n">
        <v>45260</v>
      </c>
      <c r="C4882" s="3" t="inlineStr">
        <is>
          <t>Assets</t>
        </is>
      </c>
      <c r="D4882" s="3" t="inlineStr">
        <is>
          <t>8440/000</t>
        </is>
      </c>
      <c r="E4882" s="3" t="inlineStr">
        <is>
          <t>Momentum Investors Account RU502229930</t>
        </is>
      </c>
      <c r="F4882" s="3" t="n">
        <v>-5406628.48</v>
      </c>
      <c r="G4882" s="3" t="n">
        <v>36229574.13</v>
      </c>
    </row>
    <row r="4883">
      <c r="A4883" s="3" t="inlineStr">
        <is>
          <t>Heron Fields (Pty) Ltd</t>
        </is>
      </c>
      <c r="B4883" s="4" t="n">
        <v>45260</v>
      </c>
      <c r="C4883" s="3" t="inlineStr">
        <is>
          <t>Assets</t>
        </is>
      </c>
      <c r="D4883" s="3" t="inlineStr">
        <is>
          <t>8450/000</t>
        </is>
      </c>
      <c r="E4883" s="3" t="inlineStr">
        <is>
          <t>ABSA Current Acc : 4109071013</t>
        </is>
      </c>
      <c r="F4883" s="3" t="n">
        <v>0</v>
      </c>
      <c r="G4883" s="3" t="n">
        <v>500</v>
      </c>
    </row>
    <row r="4884">
      <c r="A4884" s="3" t="inlineStr">
        <is>
          <t>Cape Projects Construction (Pty) Ltd</t>
        </is>
      </c>
      <c r="B4884" s="4" t="n">
        <v>45260</v>
      </c>
      <c r="C4884" s="3" t="inlineStr">
        <is>
          <t>Liabilities</t>
        </is>
      </c>
      <c r="D4884" s="3" t="inlineStr">
        <is>
          <t>860</t>
        </is>
      </c>
      <c r="E4884" s="3" t="inlineStr">
        <is>
          <t>Rounding</t>
        </is>
      </c>
      <c r="F4884" s="3" t="n">
        <v>-0.66</v>
      </c>
      <c r="G4884" s="3" t="n">
        <v>-30.41</v>
      </c>
    </row>
    <row r="4885">
      <c r="A4885" s="3" t="inlineStr">
        <is>
          <t>Heron Fields (Pty) Ltd</t>
        </is>
      </c>
      <c r="B4885" s="4" t="n">
        <v>45260</v>
      </c>
      <c r="C4885" s="3" t="inlineStr">
        <is>
          <t>Liabilities</t>
        </is>
      </c>
      <c r="D4885" s="3" t="inlineStr">
        <is>
          <t>860</t>
        </is>
      </c>
      <c r="E4885" s="3" t="inlineStr">
        <is>
          <t>Rounding</t>
        </is>
      </c>
      <c r="F4885" s="3" t="n">
        <v>0</v>
      </c>
      <c r="G4885" s="3" t="n">
        <v>0.14</v>
      </c>
    </row>
    <row r="4886">
      <c r="A4886" s="3" t="inlineStr">
        <is>
          <t>Heron View (Pty) Ltd</t>
        </is>
      </c>
      <c r="B4886" s="4" t="n">
        <v>45260</v>
      </c>
      <c r="C4886" s="3" t="inlineStr">
        <is>
          <t>Liabilities</t>
        </is>
      </c>
      <c r="D4886" s="3" t="inlineStr">
        <is>
          <t>860</t>
        </is>
      </c>
      <c r="E4886" s="3" t="inlineStr">
        <is>
          <t>Rounding</t>
        </is>
      </c>
      <c r="F4886" s="3" t="n">
        <v>0</v>
      </c>
      <c r="G4886" s="3" t="n">
        <v>-0.06</v>
      </c>
    </row>
    <row r="4887">
      <c r="A4887" s="3" t="inlineStr">
        <is>
          <t>Cape Projects Construction (Pty) Ltd</t>
        </is>
      </c>
      <c r="B4887" s="4" t="n">
        <v>45260</v>
      </c>
      <c r="C4887" s="3" t="inlineStr">
        <is>
          <t>Liabilities</t>
        </is>
      </c>
      <c r="D4887" s="3" t="inlineStr">
        <is>
          <t>9000/000</t>
        </is>
      </c>
      <c r="E4887" s="3" t="inlineStr">
        <is>
          <t>Supplier Control Account</t>
        </is>
      </c>
      <c r="F4887" s="3" t="n">
        <v>-4541213.81</v>
      </c>
      <c r="G4887" s="3" t="n">
        <v>-7238018.1</v>
      </c>
    </row>
    <row r="4888">
      <c r="A4888" s="3" t="inlineStr">
        <is>
          <t>Heron Fields (Pty) Ltd</t>
        </is>
      </c>
      <c r="B4888" s="4" t="n">
        <v>45260</v>
      </c>
      <c r="C4888" s="3" t="inlineStr">
        <is>
          <t>Liabilities</t>
        </is>
      </c>
      <c r="D4888" s="3" t="inlineStr">
        <is>
          <t>9000/000</t>
        </is>
      </c>
      <c r="E4888" s="3" t="inlineStr">
        <is>
          <t>Supplier Control Account</t>
        </is>
      </c>
      <c r="F4888" s="3" t="n">
        <v>-3423878.32</v>
      </c>
      <c r="G4888" s="3" t="n">
        <v>-164244993.18</v>
      </c>
    </row>
    <row r="4889">
      <c r="A4889" s="3" t="inlineStr">
        <is>
          <t>Heron View (Pty) Ltd</t>
        </is>
      </c>
      <c r="B4889" s="4" t="n">
        <v>45260</v>
      </c>
      <c r="C4889" s="3" t="inlineStr">
        <is>
          <t>Liabilities</t>
        </is>
      </c>
      <c r="D4889" s="3" t="inlineStr">
        <is>
          <t>9000/000</t>
        </is>
      </c>
      <c r="E4889" s="3" t="inlineStr">
        <is>
          <t>Supplier Control Account</t>
        </is>
      </c>
      <c r="F4889" s="3" t="n">
        <v>-4876492.29</v>
      </c>
      <c r="G4889" s="3" t="n">
        <v>-4059487.42</v>
      </c>
    </row>
    <row r="4890">
      <c r="A4890" s="3" t="inlineStr">
        <is>
          <t>Cape Projects Construction (Pty) Ltd</t>
        </is>
      </c>
      <c r="B4890" s="4" t="n">
        <v>45260</v>
      </c>
      <c r="C4890" s="3" t="inlineStr">
        <is>
          <t>Liabilities</t>
        </is>
      </c>
      <c r="D4890" s="3" t="inlineStr">
        <is>
          <t>9200/000</t>
        </is>
      </c>
      <c r="E4890" s="3" t="inlineStr">
        <is>
          <t>Sundry Suppliers</t>
        </is>
      </c>
      <c r="F4890" s="3" t="n">
        <v>0</v>
      </c>
      <c r="G4890" s="3" t="n">
        <v>1309</v>
      </c>
    </row>
    <row r="4891">
      <c r="A4891" s="3" t="inlineStr">
        <is>
          <t>Cape Projects Construction (Pty) Ltd</t>
        </is>
      </c>
      <c r="B4891" s="4" t="n">
        <v>45260</v>
      </c>
      <c r="C4891" s="3" t="inlineStr">
        <is>
          <t>Liabilities</t>
        </is>
      </c>
      <c r="D4891" s="3" t="inlineStr">
        <is>
          <t>9250/010</t>
        </is>
      </c>
      <c r="E4891" s="3" t="inlineStr">
        <is>
          <t>SALARY CONTROL</t>
        </is>
      </c>
      <c r="F4891" s="3" t="n">
        <v>1755.17</v>
      </c>
      <c r="G4891" s="3" t="n">
        <v>1755.17</v>
      </c>
    </row>
    <row r="4892">
      <c r="A4892" s="3" t="inlineStr">
        <is>
          <t>Cape Projects Construction (Pty) Ltd</t>
        </is>
      </c>
      <c r="B4892" s="4" t="n">
        <v>45260</v>
      </c>
      <c r="C4892" s="3" t="inlineStr">
        <is>
          <t>Liabilities</t>
        </is>
      </c>
      <c r="D4892" s="3" t="inlineStr">
        <is>
          <t>9250/020</t>
        </is>
      </c>
      <c r="E4892" s="3" t="inlineStr">
        <is>
          <t>PAYE, UIF AND SDL CONTROL</t>
        </is>
      </c>
      <c r="F4892" s="3" t="n">
        <v>-9672.17</v>
      </c>
      <c r="G4892" s="3" t="n">
        <v>-109931.86</v>
      </c>
    </row>
    <row r="4893">
      <c r="A4893" s="3" t="inlineStr">
        <is>
          <t>Cape Projects Construction (Pty) Ltd</t>
        </is>
      </c>
      <c r="B4893" s="4" t="n">
        <v>45260</v>
      </c>
      <c r="C4893" s="3" t="inlineStr">
        <is>
          <t>Liabilities</t>
        </is>
      </c>
      <c r="D4893" s="3" t="inlineStr">
        <is>
          <t>9250/030</t>
        </is>
      </c>
      <c r="E4893" s="3" t="inlineStr">
        <is>
          <t>BIBC CONTROL</t>
        </is>
      </c>
      <c r="F4893" s="3" t="n">
        <v>0</v>
      </c>
      <c r="G4893" s="3" t="n">
        <v>-49413.95</v>
      </c>
    </row>
    <row r="4894">
      <c r="A4894" s="3" t="inlineStr">
        <is>
          <t>Cape Projects Construction (Pty) Ltd</t>
        </is>
      </c>
      <c r="B4894" s="4" t="n">
        <v>45260</v>
      </c>
      <c r="C4894" s="3" t="inlineStr">
        <is>
          <t>Liabilities</t>
        </is>
      </c>
      <c r="D4894" s="3" t="inlineStr">
        <is>
          <t>9350/000</t>
        </is>
      </c>
      <c r="E4894" s="3" t="inlineStr">
        <is>
          <t>Dividends Payable</t>
        </is>
      </c>
      <c r="F4894" s="3" t="n">
        <v>0</v>
      </c>
      <c r="G4894" s="3" t="n">
        <v>130000</v>
      </c>
    </row>
    <row r="4895">
      <c r="A4895" s="3" t="inlineStr">
        <is>
          <t>Cape Projects Construction (Pty) Ltd</t>
        </is>
      </c>
      <c r="B4895" s="4" t="n">
        <v>45260</v>
      </c>
      <c r="C4895" s="3" t="inlineStr">
        <is>
          <t>Liabilities</t>
        </is>
      </c>
      <c r="D4895" s="3" t="inlineStr">
        <is>
          <t>9500/000</t>
        </is>
      </c>
      <c r="E4895" s="3" t="inlineStr">
        <is>
          <t>VAT Control Account</t>
        </is>
      </c>
      <c r="F4895" s="3" t="n">
        <v>-159518.98</v>
      </c>
      <c r="G4895" s="3" t="n">
        <v>-274210.04</v>
      </c>
    </row>
    <row r="4896">
      <c r="A4896" s="3" t="inlineStr">
        <is>
          <t>Heron Fields (Pty) Ltd</t>
        </is>
      </c>
      <c r="B4896" s="4" t="n">
        <v>45260</v>
      </c>
      <c r="C4896" s="3" t="inlineStr">
        <is>
          <t>Liabilities</t>
        </is>
      </c>
      <c r="D4896" s="3" t="inlineStr">
        <is>
          <t>9500/000</t>
        </is>
      </c>
      <c r="E4896" s="3" t="inlineStr">
        <is>
          <t>Vat / Tax Control Account</t>
        </is>
      </c>
      <c r="F4896" s="3" t="n">
        <v>252979.02</v>
      </c>
      <c r="G4896" s="3" t="n">
        <v>-4231311.46</v>
      </c>
    </row>
    <row r="4897">
      <c r="A4897" s="3" t="inlineStr">
        <is>
          <t>Heron View (Pty) Ltd</t>
        </is>
      </c>
      <c r="B4897" s="4" t="n">
        <v>45260</v>
      </c>
      <c r="C4897" s="3" t="inlineStr">
        <is>
          <t>Liabilities</t>
        </is>
      </c>
      <c r="D4897" s="3" t="inlineStr">
        <is>
          <t>9500/000</t>
        </is>
      </c>
      <c r="E4897" s="3" t="inlineStr">
        <is>
          <t>Vat / Tax Control Account</t>
        </is>
      </c>
      <c r="F4897" s="3" t="n">
        <v>1586027.25</v>
      </c>
      <c r="G4897" s="3" t="n">
        <v>6202488.95</v>
      </c>
    </row>
    <row r="4898">
      <c r="A4898" s="3" t="inlineStr">
        <is>
          <t>Cape Projects Construction (Pty) Ltd</t>
        </is>
      </c>
      <c r="B4898" s="4" t="n">
        <v>45260</v>
      </c>
      <c r="C4898" s="3" t="inlineStr">
        <is>
          <t>Liabilities</t>
        </is>
      </c>
      <c r="D4898" s="3" t="inlineStr">
        <is>
          <t>9510/000</t>
        </is>
      </c>
      <c r="E4898" s="3" t="inlineStr">
        <is>
          <t>Tax Provision Account</t>
        </is>
      </c>
      <c r="F4898" s="3" t="n">
        <v>0</v>
      </c>
      <c r="G4898" s="3" t="n">
        <v>-1869.8</v>
      </c>
    </row>
    <row r="4899">
      <c r="A4899" s="3" t="inlineStr">
        <is>
          <t>Heron Fields (Pty) Ltd</t>
        </is>
      </c>
      <c r="B4899" s="4" t="n">
        <v>45260</v>
      </c>
      <c r="C4899" s="3" t="inlineStr">
        <is>
          <t>Liabilities</t>
        </is>
      </c>
      <c r="D4899" s="3" t="inlineStr">
        <is>
          <t>9520/000</t>
        </is>
      </c>
      <c r="E4899" s="3" t="inlineStr">
        <is>
          <t>Income Tax Payable</t>
        </is>
      </c>
      <c r="F4899" s="3" t="n">
        <v>0</v>
      </c>
      <c r="G4899" s="3" t="n">
        <v>59039.93</v>
      </c>
    </row>
    <row r="4900">
      <c r="A4900" s="3" t="inlineStr">
        <is>
          <t>Heron View (Pty) Ltd</t>
        </is>
      </c>
      <c r="B4900" s="4" t="n">
        <v>45260</v>
      </c>
      <c r="C4900" s="3" t="inlineStr">
        <is>
          <t>Liabilities</t>
        </is>
      </c>
      <c r="D4900" s="3" t="inlineStr">
        <is>
          <t>9899/C102</t>
        </is>
      </c>
      <c r="E4900" s="3" t="inlineStr">
        <is>
          <t>Sales - Unit Reg Control C102</t>
        </is>
      </c>
      <c r="F4900" s="3" t="n">
        <v>0</v>
      </c>
      <c r="G4900" s="3" t="n">
        <v>-0.4</v>
      </c>
    </row>
    <row r="4901">
      <c r="A4901" s="3" t="inlineStr">
        <is>
          <t>Cape Projects Construction (Pty) Ltd</t>
        </is>
      </c>
      <c r="B4901" s="4" t="n">
        <v>45260</v>
      </c>
      <c r="C4901" s="3" t="inlineStr">
        <is>
          <t>Liabilities</t>
        </is>
      </c>
      <c r="D4901" s="3" t="inlineStr">
        <is>
          <t>B/S</t>
        </is>
      </c>
      <c r="E4901" s="3" t="inlineStr">
        <is>
          <t>Taxation Payable</t>
        </is>
      </c>
      <c r="F4901" s="3" t="n">
        <v>0</v>
      </c>
      <c r="G4901" s="3" t="n">
        <v>1869.8</v>
      </c>
    </row>
    <row r="4902">
      <c r="A4902" s="3" t="inlineStr">
        <is>
          <t>Cape Projects Construction (Pty) Ltd</t>
        </is>
      </c>
      <c r="B4902" s="4" t="n">
        <v>45260</v>
      </c>
      <c r="C4902" s="3" t="inlineStr">
        <is>
          <t>Liabilities</t>
        </is>
      </c>
      <c r="D4902" s="3" t="inlineStr">
        <is>
          <t>TEMP/ACC</t>
        </is>
      </c>
      <c r="E4902" s="3" t="inlineStr">
        <is>
          <t>Conversion Account</t>
        </is>
      </c>
      <c r="F4902" s="3" t="n">
        <v>0</v>
      </c>
      <c r="G4902" s="3" t="n">
        <v>-254.99</v>
      </c>
    </row>
    <row r="4903">
      <c r="A4903" s="3" t="inlineStr">
        <is>
          <t>Heron Fields (Pty) Ltd</t>
        </is>
      </c>
      <c r="B4903" s="4" t="n">
        <v>45291</v>
      </c>
      <c r="C4903" s="3" t="inlineStr">
        <is>
          <t>Revenue</t>
        </is>
      </c>
      <c r="D4903" s="3" t="inlineStr">
        <is>
          <t>1000/100</t>
        </is>
      </c>
      <c r="E4903" s="3" t="inlineStr">
        <is>
          <t>Sales - Heron Fields</t>
        </is>
      </c>
      <c r="F4903" s="3" t="n">
        <v>0</v>
      </c>
      <c r="G4903" s="3" t="n">
        <v>-28096347.83</v>
      </c>
    </row>
    <row r="4904">
      <c r="A4904" s="3" t="inlineStr">
        <is>
          <t>Heron View (Pty) Ltd</t>
        </is>
      </c>
      <c r="B4904" s="4" t="n">
        <v>45291</v>
      </c>
      <c r="C4904" s="3" t="inlineStr">
        <is>
          <t>Revenue</t>
        </is>
      </c>
      <c r="D4904" s="3" t="inlineStr">
        <is>
          <t>1000/100</t>
        </is>
      </c>
      <c r="E4904" s="3" t="inlineStr">
        <is>
          <t>Sales - Heron View Sales</t>
        </is>
      </c>
      <c r="F4904" s="3" t="n">
        <v>-1552086.96</v>
      </c>
      <c r="G4904" s="3" t="n">
        <v>-22902956.55</v>
      </c>
    </row>
    <row r="4905">
      <c r="A4905" s="3" t="inlineStr">
        <is>
          <t>Heron Fields (Pty) Ltd</t>
        </is>
      </c>
      <c r="B4905" s="4" t="n">
        <v>45291</v>
      </c>
      <c r="C4905" s="3" t="inlineStr">
        <is>
          <t>Revenue</t>
        </is>
      </c>
      <c r="D4905" s="3" t="inlineStr">
        <is>
          <t>1000/101</t>
        </is>
      </c>
      <c r="E4905" s="3" t="inlineStr">
        <is>
          <t>Sales - Heron Fields occupational rent</t>
        </is>
      </c>
      <c r="F4905" s="3" t="n">
        <v>0</v>
      </c>
      <c r="G4905" s="3" t="n">
        <v>-102388.85</v>
      </c>
    </row>
    <row r="4906">
      <c r="A4906" s="3" t="inlineStr">
        <is>
          <t>Heron View (Pty) Ltd</t>
        </is>
      </c>
      <c r="B4906" s="4" t="n">
        <v>45291</v>
      </c>
      <c r="C4906" s="3" t="inlineStr">
        <is>
          <t>Revenue</t>
        </is>
      </c>
      <c r="D4906" s="3" t="inlineStr">
        <is>
          <t>1000/101</t>
        </is>
      </c>
      <c r="E4906" s="3" t="inlineStr">
        <is>
          <t>Sales - Heron View Occupational Rent</t>
        </is>
      </c>
      <c r="F4906" s="3" t="n">
        <v>-5070.96</v>
      </c>
      <c r="G4906" s="3" t="n">
        <v>-83896.75999999999</v>
      </c>
    </row>
    <row r="4907">
      <c r="A4907" s="3" t="inlineStr">
        <is>
          <t>Cape Projects Construction (Pty) Ltd</t>
        </is>
      </c>
      <c r="B4907" s="4" t="n">
        <v>45291</v>
      </c>
      <c r="C4907" s="3" t="inlineStr">
        <is>
          <t>Revenue</t>
        </is>
      </c>
      <c r="D4907" s="3" t="inlineStr">
        <is>
          <t>1040/100</t>
        </is>
      </c>
      <c r="E4907" s="3" t="inlineStr">
        <is>
          <t>Fees - Construction - Heron</t>
        </is>
      </c>
      <c r="F4907" s="3" t="n">
        <v>-4126090.71</v>
      </c>
      <c r="G4907" s="3" t="n">
        <v>-50825340.56</v>
      </c>
    </row>
    <row r="4908">
      <c r="A4908" s="3" t="inlineStr">
        <is>
          <t>Cape Projects Construction (Pty) Ltd</t>
        </is>
      </c>
      <c r="B4908" s="4" t="n">
        <v>45291</v>
      </c>
      <c r="C4908" s="3" t="inlineStr">
        <is>
          <t>Revenue</t>
        </is>
      </c>
      <c r="D4908" s="3" t="inlineStr">
        <is>
          <t>1070/000</t>
        </is>
      </c>
      <c r="E4908" s="3" t="inlineStr">
        <is>
          <t>Rent - CT Office</t>
        </is>
      </c>
      <c r="F4908" s="3" t="n">
        <v>0</v>
      </c>
      <c r="G4908" s="3" t="n">
        <v>3490.94</v>
      </c>
    </row>
    <row r="4909">
      <c r="A4909" s="3" t="inlineStr">
        <is>
          <t>Heron Fields (Pty) Ltd</t>
        </is>
      </c>
      <c r="B4909" s="4" t="n">
        <v>45291</v>
      </c>
      <c r="C4909" s="3" t="inlineStr">
        <is>
          <t>Revenue</t>
        </is>
      </c>
      <c r="D4909" s="3" t="inlineStr">
        <is>
          <t>1500/002</t>
        </is>
      </c>
      <c r="E4909" s="3" t="inlineStr">
        <is>
          <t>Rental Income</t>
        </is>
      </c>
      <c r="F4909" s="3" t="n">
        <v>-43104.84</v>
      </c>
      <c r="G4909" s="3" t="n">
        <v>-192234.91</v>
      </c>
    </row>
    <row r="4910">
      <c r="A4910" s="3" t="inlineStr">
        <is>
          <t>Heron View (Pty) Ltd</t>
        </is>
      </c>
      <c r="B4910" s="4" t="n">
        <v>45291</v>
      </c>
      <c r="C4910" s="3" t="inlineStr">
        <is>
          <t>Revenue</t>
        </is>
      </c>
      <c r="D4910" s="3" t="inlineStr">
        <is>
          <t>1500/002</t>
        </is>
      </c>
      <c r="E4910" s="3" t="inlineStr">
        <is>
          <t>Rental Income</t>
        </is>
      </c>
      <c r="F4910" s="3" t="n">
        <v>0</v>
      </c>
      <c r="G4910" s="3" t="n">
        <v>-13883</v>
      </c>
    </row>
    <row r="4911">
      <c r="A4911" s="3" t="inlineStr">
        <is>
          <t>Heron Fields (Pty) Ltd</t>
        </is>
      </c>
      <c r="B4911" s="4" t="n">
        <v>45291</v>
      </c>
      <c r="C4911" s="3" t="inlineStr">
        <is>
          <t>Expenses</t>
        </is>
      </c>
      <c r="D4911" s="3" t="inlineStr">
        <is>
          <t>2000/011</t>
        </is>
      </c>
      <c r="E4911" s="3" t="inlineStr">
        <is>
          <t>COS - Heron View Showhouse</t>
        </is>
      </c>
      <c r="F4911" s="3" t="n">
        <v>0</v>
      </c>
      <c r="G4911" s="3" t="n">
        <v>45300.43</v>
      </c>
    </row>
    <row r="4912">
      <c r="A4912" s="3" t="inlineStr">
        <is>
          <t>Heron View (Pty) Ltd</t>
        </is>
      </c>
      <c r="B4912" s="4" t="n">
        <v>45291</v>
      </c>
      <c r="C4912" s="3" t="inlineStr">
        <is>
          <t>Expenses</t>
        </is>
      </c>
      <c r="D4912" s="3" t="inlineStr">
        <is>
          <t>2000/030</t>
        </is>
      </c>
      <c r="E4912" s="3" t="inlineStr">
        <is>
          <t>COS - HV COCT Rates clearance</t>
        </is>
      </c>
      <c r="F4912" s="3" t="n">
        <v>0</v>
      </c>
      <c r="G4912" s="3" t="n">
        <v>237142.94</v>
      </c>
    </row>
    <row r="4913">
      <c r="A4913" s="3" t="inlineStr">
        <is>
          <t>Heron Fields (Pty) Ltd</t>
        </is>
      </c>
      <c r="B4913" s="4" t="n">
        <v>45291</v>
      </c>
      <c r="C4913" s="3" t="inlineStr">
        <is>
          <t>Expenses</t>
        </is>
      </c>
      <c r="D4913" s="3" t="inlineStr">
        <is>
          <t>2000/040</t>
        </is>
      </c>
      <c r="E4913" s="3" t="inlineStr">
        <is>
          <t>COS - Legal Fees</t>
        </is>
      </c>
      <c r="F4913" s="3" t="n">
        <v>0</v>
      </c>
      <c r="G4913" s="3" t="n">
        <v>685713.49</v>
      </c>
    </row>
    <row r="4914">
      <c r="A4914" s="3" t="inlineStr">
        <is>
          <t>Heron View (Pty) Ltd</t>
        </is>
      </c>
      <c r="B4914" s="4" t="n">
        <v>45291</v>
      </c>
      <c r="C4914" s="3" t="inlineStr">
        <is>
          <t>Expenses</t>
        </is>
      </c>
      <c r="D4914" s="3" t="inlineStr">
        <is>
          <t>2000/040</t>
        </is>
      </c>
      <c r="E4914" s="3" t="inlineStr">
        <is>
          <t>COS - Legal Fees</t>
        </is>
      </c>
      <c r="F4914" s="3" t="n">
        <v>39833.63</v>
      </c>
      <c r="G4914" s="3" t="n">
        <v>514947.93</v>
      </c>
    </row>
    <row r="4915">
      <c r="A4915" s="3" t="inlineStr">
        <is>
          <t>Heron View (Pty) Ltd</t>
        </is>
      </c>
      <c r="B4915" s="4" t="n">
        <v>45291</v>
      </c>
      <c r="C4915" s="3" t="inlineStr">
        <is>
          <t>Expenses</t>
        </is>
      </c>
      <c r="D4915" s="3" t="inlineStr">
        <is>
          <t>2000/041</t>
        </is>
      </c>
      <c r="E4915" s="3" t="inlineStr">
        <is>
          <t>COS - Legal Fees Opening of Sec Title Fees</t>
        </is>
      </c>
      <c r="F4915" s="3" t="n">
        <v>0</v>
      </c>
      <c r="G4915" s="3" t="n">
        <v>79174.94</v>
      </c>
    </row>
    <row r="4916">
      <c r="A4916" s="3" t="inlineStr">
        <is>
          <t>Heron Fields (Pty) Ltd</t>
        </is>
      </c>
      <c r="B4916" s="4" t="n">
        <v>45291</v>
      </c>
      <c r="C4916" s="3" t="inlineStr">
        <is>
          <t>Expenses</t>
        </is>
      </c>
      <c r="D4916" s="3" t="inlineStr">
        <is>
          <t>2000/041</t>
        </is>
      </c>
      <c r="E4916" s="3" t="inlineStr">
        <is>
          <t>COS - Legal Fees Opening of Sec Title Scheme</t>
        </is>
      </c>
      <c r="F4916" s="3" t="n">
        <v>0</v>
      </c>
      <c r="G4916" s="3" t="n">
        <v>10540</v>
      </c>
    </row>
    <row r="4917">
      <c r="A4917" s="3" t="inlineStr">
        <is>
          <t>Heron Fields (Pty) Ltd</t>
        </is>
      </c>
      <c r="B4917" s="4" t="n">
        <v>45291</v>
      </c>
      <c r="C4917" s="3" t="inlineStr">
        <is>
          <t>Expenses</t>
        </is>
      </c>
      <c r="D4917" s="3" t="inlineStr">
        <is>
          <t>2000/050</t>
        </is>
      </c>
      <c r="E4917" s="3" t="inlineStr">
        <is>
          <t>COS - Rates clearance</t>
        </is>
      </c>
      <c r="F4917" s="3" t="n">
        <v>0</v>
      </c>
      <c r="G4917" s="3" t="n">
        <v>44864.59</v>
      </c>
    </row>
    <row r="4918">
      <c r="A4918" s="3" t="inlineStr">
        <is>
          <t>Heron Fields (Pty) Ltd</t>
        </is>
      </c>
      <c r="B4918" s="4" t="n">
        <v>45291</v>
      </c>
      <c r="C4918" s="3" t="inlineStr">
        <is>
          <t>Expenses</t>
        </is>
      </c>
      <c r="D4918" s="3" t="inlineStr">
        <is>
          <t>2000/060</t>
        </is>
      </c>
      <c r="E4918" s="3" t="inlineStr">
        <is>
          <t>COS - Levies</t>
        </is>
      </c>
      <c r="F4918" s="3" t="n">
        <v>0</v>
      </c>
      <c r="G4918" s="3" t="n">
        <v>381069.48</v>
      </c>
    </row>
    <row r="4919">
      <c r="A4919" s="3" t="inlineStr">
        <is>
          <t>Heron Fields (Pty) Ltd</t>
        </is>
      </c>
      <c r="B4919" s="4" t="n">
        <v>45291</v>
      </c>
      <c r="C4919" s="3" t="inlineStr">
        <is>
          <t>Expenses</t>
        </is>
      </c>
      <c r="D4919" s="3" t="inlineStr">
        <is>
          <t>2000/070</t>
        </is>
      </c>
      <c r="E4919" s="3" t="inlineStr">
        <is>
          <t>COS - Commission HF Units</t>
        </is>
      </c>
      <c r="F4919" s="3" t="n">
        <v>0</v>
      </c>
      <c r="G4919" s="3" t="n">
        <v>1405686.97</v>
      </c>
    </row>
    <row r="4920">
      <c r="A4920" s="3" t="inlineStr">
        <is>
          <t>Heron View (Pty) Ltd</t>
        </is>
      </c>
      <c r="B4920" s="4" t="n">
        <v>45291</v>
      </c>
      <c r="C4920" s="3" t="inlineStr">
        <is>
          <t>Expenses</t>
        </is>
      </c>
      <c r="D4920" s="3" t="inlineStr">
        <is>
          <t>2000/070</t>
        </is>
      </c>
      <c r="E4920" s="3" t="inlineStr">
        <is>
          <t>COS - Commission HV Units</t>
        </is>
      </c>
      <c r="F4920" s="3" t="n">
        <v>77386.96000000001</v>
      </c>
      <c r="G4920" s="3" t="n">
        <v>1146017.36</v>
      </c>
    </row>
    <row r="4921">
      <c r="A4921" s="3" t="inlineStr">
        <is>
          <t>Heron Fields (Pty) Ltd</t>
        </is>
      </c>
      <c r="B4921" s="4" t="n">
        <v>45291</v>
      </c>
      <c r="C4921" s="3" t="inlineStr">
        <is>
          <t>Expenses</t>
        </is>
      </c>
      <c r="D4921" s="3" t="inlineStr">
        <is>
          <t>2000/080</t>
        </is>
      </c>
      <c r="E4921" s="3" t="inlineStr">
        <is>
          <t>COS - Showhouse - HF</t>
        </is>
      </c>
      <c r="F4921" s="3" t="n">
        <v>0</v>
      </c>
      <c r="G4921" s="3" t="n">
        <v>1005.47</v>
      </c>
    </row>
    <row r="4922">
      <c r="A4922" s="3" t="inlineStr">
        <is>
          <t>Heron View (Pty) Ltd</t>
        </is>
      </c>
      <c r="B4922" s="4" t="n">
        <v>45291</v>
      </c>
      <c r="C4922" s="3" t="inlineStr">
        <is>
          <t>Expenses</t>
        </is>
      </c>
      <c r="D4922" s="3" t="inlineStr">
        <is>
          <t>2000/080</t>
        </is>
      </c>
      <c r="E4922" s="3" t="inlineStr">
        <is>
          <t>COS - Showhouse - HV</t>
        </is>
      </c>
      <c r="F4922" s="3" t="n">
        <v>0</v>
      </c>
      <c r="G4922" s="3" t="n">
        <v>6212.85</v>
      </c>
    </row>
    <row r="4923">
      <c r="A4923" s="3" t="inlineStr">
        <is>
          <t>Heron Fields (Pty) Ltd</t>
        </is>
      </c>
      <c r="B4923" s="4" t="n">
        <v>45291</v>
      </c>
      <c r="C4923" s="3" t="inlineStr">
        <is>
          <t>Expenses</t>
        </is>
      </c>
      <c r="D4923" s="3" t="inlineStr">
        <is>
          <t>2000/090</t>
        </is>
      </c>
      <c r="E4923" s="3" t="inlineStr">
        <is>
          <t>COS - Electricity</t>
        </is>
      </c>
      <c r="F4923" s="3" t="n">
        <v>0</v>
      </c>
      <c r="G4923" s="3" t="n">
        <v>250</v>
      </c>
    </row>
    <row r="4924">
      <c r="A4924" s="3" t="inlineStr">
        <is>
          <t>Heron View (Pty) Ltd</t>
        </is>
      </c>
      <c r="B4924" s="4" t="n">
        <v>45291</v>
      </c>
      <c r="C4924" s="3" t="inlineStr">
        <is>
          <t>Expenses</t>
        </is>
      </c>
      <c r="D4924" s="3" t="inlineStr">
        <is>
          <t>2000/090</t>
        </is>
      </c>
      <c r="E4924" s="3" t="inlineStr">
        <is>
          <t>COS - Electricity</t>
        </is>
      </c>
      <c r="F4924" s="3" t="n">
        <v>200</v>
      </c>
      <c r="G4924" s="3" t="n">
        <v>473.92</v>
      </c>
    </row>
    <row r="4925">
      <c r="A4925" s="3" t="inlineStr">
        <is>
          <t>Heron Fields (Pty) Ltd</t>
        </is>
      </c>
      <c r="B4925" s="4" t="n">
        <v>45291</v>
      </c>
      <c r="C4925" s="3" t="inlineStr">
        <is>
          <t>Expenses</t>
        </is>
      </c>
      <c r="D4925" s="3" t="inlineStr">
        <is>
          <t>2000/100</t>
        </is>
      </c>
      <c r="E4925" s="3" t="inlineStr">
        <is>
          <t>COS - Inverters</t>
        </is>
      </c>
      <c r="F4925" s="3" t="n">
        <v>0</v>
      </c>
      <c r="G4925" s="3" t="n">
        <v>31600</v>
      </c>
    </row>
    <row r="4926">
      <c r="A4926" s="3" t="inlineStr">
        <is>
          <t>Cape Projects Construction (Pty) Ltd</t>
        </is>
      </c>
      <c r="B4926" s="4" t="n">
        <v>45291</v>
      </c>
      <c r="C4926" s="3" t="inlineStr">
        <is>
          <t>Expenses</t>
        </is>
      </c>
      <c r="D4926" s="3" t="inlineStr">
        <is>
          <t>2000/500</t>
        </is>
      </c>
      <c r="E4926" s="3" t="inlineStr">
        <is>
          <t>COS - Electricity Cost Endulini</t>
        </is>
      </c>
      <c r="F4926" s="3" t="n">
        <v>0</v>
      </c>
      <c r="G4926" s="3" t="n">
        <v>286.96</v>
      </c>
    </row>
    <row r="4927">
      <c r="A4927" s="3" t="inlineStr">
        <is>
          <t>Cape Projects Construction (Pty) Ltd</t>
        </is>
      </c>
      <c r="B4927" s="4" t="n">
        <v>45291</v>
      </c>
      <c r="C4927" s="3" t="inlineStr">
        <is>
          <t>Expenses</t>
        </is>
      </c>
      <c r="D4927" s="3" t="inlineStr">
        <is>
          <t>2000/501</t>
        </is>
      </c>
      <c r="E4927" s="3" t="inlineStr">
        <is>
          <t>COS - Electricity Cost Heron Field</t>
        </is>
      </c>
      <c r="F4927" s="3" t="n">
        <v>0</v>
      </c>
      <c r="G4927" s="3" t="n">
        <v>86.95999999999999</v>
      </c>
    </row>
    <row r="4928">
      <c r="A4928" s="3" t="inlineStr">
        <is>
          <t>Cape Projects Construction (Pty) Ltd</t>
        </is>
      </c>
      <c r="B4928" s="4" t="n">
        <v>45291</v>
      </c>
      <c r="C4928" s="3" t="inlineStr">
        <is>
          <t>Expenses</t>
        </is>
      </c>
      <c r="D4928" s="3" t="inlineStr">
        <is>
          <t>2001/000</t>
        </is>
      </c>
      <c r="E4928" s="3" t="inlineStr">
        <is>
          <t>Cost of Sales - SouthWark Project</t>
        </is>
      </c>
      <c r="F4928" s="3" t="n">
        <v>0</v>
      </c>
      <c r="G4928" s="3" t="n">
        <v>30620.97</v>
      </c>
    </row>
    <row r="4929">
      <c r="A4929" s="3" t="inlineStr">
        <is>
          <t>Cape Projects Construction (Pty) Ltd</t>
        </is>
      </c>
      <c r="B4929" s="4" t="n">
        <v>45291</v>
      </c>
      <c r="C4929" s="3" t="inlineStr">
        <is>
          <t>Expenses</t>
        </is>
      </c>
      <c r="D4929" s="3" t="inlineStr">
        <is>
          <t>2002/109</t>
        </is>
      </c>
      <c r="E4929" s="3" t="inlineStr">
        <is>
          <t>COS - SoHo External SITE LABOUR</t>
        </is>
      </c>
      <c r="F4929" s="3" t="n">
        <v>0</v>
      </c>
      <c r="G4929" s="3" t="n">
        <v>7408.46</v>
      </c>
    </row>
    <row r="4930">
      <c r="A4930" s="3" t="inlineStr">
        <is>
          <t>Cape Projects Construction (Pty) Ltd</t>
        </is>
      </c>
      <c r="B4930" s="4" t="n">
        <v>45291</v>
      </c>
      <c r="C4930" s="3" t="inlineStr">
        <is>
          <t>Expenses</t>
        </is>
      </c>
      <c r="D4930" s="3" t="inlineStr">
        <is>
          <t>2002/250</t>
        </is>
      </c>
      <c r="E4930" s="3" t="inlineStr">
        <is>
          <t>COS - Security</t>
        </is>
      </c>
      <c r="F4930" s="3" t="n">
        <v>0</v>
      </c>
      <c r="G4930" s="3" t="n">
        <v>10516.44</v>
      </c>
    </row>
    <row r="4931">
      <c r="A4931" s="3" t="inlineStr">
        <is>
          <t>Cape Projects Construction (Pty) Ltd</t>
        </is>
      </c>
      <c r="B4931" s="4" t="n">
        <v>45291</v>
      </c>
      <c r="C4931" s="3" t="inlineStr">
        <is>
          <t>Expenses</t>
        </is>
      </c>
      <c r="D4931" s="3" t="inlineStr">
        <is>
          <t>2002/252</t>
        </is>
      </c>
      <c r="E4931" s="3" t="inlineStr">
        <is>
          <t>COS - Security - Guarding</t>
        </is>
      </c>
      <c r="F4931" s="3" t="n">
        <v>8250</v>
      </c>
      <c r="G4931" s="3" t="n">
        <v>97870.91</v>
      </c>
    </row>
    <row r="4932">
      <c r="A4932" s="3" t="inlineStr">
        <is>
          <t>Cape Projects Construction (Pty) Ltd</t>
        </is>
      </c>
      <c r="B4932" s="4" t="n">
        <v>45291</v>
      </c>
      <c r="C4932" s="3" t="inlineStr">
        <is>
          <t>Expenses</t>
        </is>
      </c>
      <c r="D4932" s="3" t="inlineStr">
        <is>
          <t>2006/000</t>
        </is>
      </c>
      <c r="E4932" s="3" t="inlineStr">
        <is>
          <t>COS - Endulini Construction</t>
        </is>
      </c>
      <c r="F4932" s="3" t="n">
        <v>11600</v>
      </c>
      <c r="G4932" s="3" t="n">
        <v>352147.74</v>
      </c>
    </row>
    <row r="4933">
      <c r="A4933" s="3" t="inlineStr">
        <is>
          <t>Cape Projects Construction (Pty) Ltd</t>
        </is>
      </c>
      <c r="B4933" s="4" t="n">
        <v>45291</v>
      </c>
      <c r="C4933" s="3" t="inlineStr">
        <is>
          <t>Expenses</t>
        </is>
      </c>
      <c r="D4933" s="3" t="inlineStr">
        <is>
          <t>2006/100</t>
        </is>
      </c>
      <c r="E4933" s="3" t="inlineStr">
        <is>
          <t>COS - Endulini P and G</t>
        </is>
      </c>
      <c r="F4933" s="3" t="n">
        <v>0</v>
      </c>
      <c r="G4933" s="3" t="n">
        <v>160161.36</v>
      </c>
    </row>
    <row r="4934">
      <c r="A4934" s="3" t="inlineStr">
        <is>
          <t>Cape Projects Construction (Pty) Ltd</t>
        </is>
      </c>
      <c r="B4934" s="4" t="n">
        <v>45291</v>
      </c>
      <c r="C4934" s="3" t="inlineStr">
        <is>
          <t>Expenses</t>
        </is>
      </c>
      <c r="D4934" s="3" t="inlineStr">
        <is>
          <t>2006/200</t>
        </is>
      </c>
      <c r="E4934" s="3" t="inlineStr">
        <is>
          <t>COS - Insurance</t>
        </is>
      </c>
      <c r="F4934" s="3" t="n">
        <v>0</v>
      </c>
      <c r="G4934" s="3" t="n">
        <v>19969.43</v>
      </c>
    </row>
    <row r="4935">
      <c r="A4935" s="3" t="inlineStr">
        <is>
          <t>Cape Projects Construction (Pty) Ltd</t>
        </is>
      </c>
      <c r="B4935" s="4" t="n">
        <v>45291</v>
      </c>
      <c r="C4935" s="3" t="inlineStr">
        <is>
          <t>Expenses</t>
        </is>
      </c>
      <c r="D4935" s="3" t="inlineStr">
        <is>
          <t>2006/450</t>
        </is>
      </c>
      <c r="E4935" s="3" t="inlineStr">
        <is>
          <t>COS - Endulini - Computer expenses</t>
        </is>
      </c>
      <c r="F4935" s="3" t="n">
        <v>0</v>
      </c>
      <c r="G4935" s="3" t="n">
        <v>26340.75</v>
      </c>
    </row>
    <row r="4936">
      <c r="A4936" s="3" t="inlineStr">
        <is>
          <t>Cape Projects Construction (Pty) Ltd</t>
        </is>
      </c>
      <c r="B4936" s="4" t="n">
        <v>45291</v>
      </c>
      <c r="C4936" s="3" t="inlineStr">
        <is>
          <t>Expenses</t>
        </is>
      </c>
      <c r="D4936" s="3" t="inlineStr">
        <is>
          <t>2006/800</t>
        </is>
      </c>
      <c r="E4936" s="3" t="inlineStr">
        <is>
          <t>COS - Endulini - Telephone &amp; Internet</t>
        </is>
      </c>
      <c r="F4936" s="3" t="n">
        <v>0</v>
      </c>
      <c r="G4936" s="3" t="n">
        <v>760.87</v>
      </c>
    </row>
    <row r="4937">
      <c r="A4937" s="3" t="inlineStr">
        <is>
          <t>Cape Projects Construction (Pty) Ltd</t>
        </is>
      </c>
      <c r="B4937" s="4" t="n">
        <v>45291</v>
      </c>
      <c r="C4937" s="3" t="inlineStr">
        <is>
          <t>Expenses</t>
        </is>
      </c>
      <c r="D4937" s="3" t="inlineStr">
        <is>
          <t>2007/000</t>
        </is>
      </c>
      <c r="E4937" s="3" t="inlineStr">
        <is>
          <t>COS - Repairs &amp; Maintenance - SW Southwark</t>
        </is>
      </c>
      <c r="F4937" s="3" t="n">
        <v>0</v>
      </c>
      <c r="G4937" s="3" t="n">
        <v>27752.22</v>
      </c>
    </row>
    <row r="4938">
      <c r="A4938" s="3" t="inlineStr">
        <is>
          <t>Cape Projects Construction (Pty) Ltd</t>
        </is>
      </c>
      <c r="B4938" s="4" t="n">
        <v>45291</v>
      </c>
      <c r="C4938" s="3" t="inlineStr">
        <is>
          <t>Expenses</t>
        </is>
      </c>
      <c r="D4938" s="3" t="inlineStr">
        <is>
          <t>2008/000</t>
        </is>
      </c>
      <c r="E4938" s="3" t="inlineStr">
        <is>
          <t>COS - Repairs &amp; Maintenance - SH Soho</t>
        </is>
      </c>
      <c r="F4938" s="3" t="n">
        <v>0</v>
      </c>
      <c r="G4938" s="3" t="n">
        <v>7565.57</v>
      </c>
    </row>
    <row r="4939">
      <c r="A4939" s="3" t="inlineStr">
        <is>
          <t>Cape Projects Construction (Pty) Ltd</t>
        </is>
      </c>
      <c r="B4939" s="4" t="n">
        <v>45291</v>
      </c>
      <c r="C4939" s="3" t="inlineStr">
        <is>
          <t>Expenses</t>
        </is>
      </c>
      <c r="D4939" s="3" t="inlineStr">
        <is>
          <t>2011/100</t>
        </is>
      </c>
      <c r="E4939" s="3" t="inlineStr">
        <is>
          <t>COS - Heron Fields - Garden Services</t>
        </is>
      </c>
      <c r="F4939" s="3" t="n">
        <v>680</v>
      </c>
      <c r="G4939" s="3" t="n">
        <v>680</v>
      </c>
    </row>
    <row r="4940">
      <c r="A4940" s="3" t="inlineStr">
        <is>
          <t>Cape Projects Construction (Pty) Ltd</t>
        </is>
      </c>
      <c r="B4940" s="4" t="n">
        <v>45291</v>
      </c>
      <c r="C4940" s="3" t="inlineStr">
        <is>
          <t>Expenses</t>
        </is>
      </c>
      <c r="D4940" s="3" t="inlineStr">
        <is>
          <t>2011/300</t>
        </is>
      </c>
      <c r="E4940" s="3" t="inlineStr">
        <is>
          <t>COS - Heron Fields - Printing &amp; Stationary</t>
        </is>
      </c>
      <c r="F4940" s="3" t="n">
        <v>0</v>
      </c>
      <c r="G4940" s="3" t="n">
        <v>1129.57</v>
      </c>
    </row>
    <row r="4941">
      <c r="A4941" s="3" t="inlineStr">
        <is>
          <t>Cape Projects Construction (Pty) Ltd</t>
        </is>
      </c>
      <c r="B4941" s="4" t="n">
        <v>45291</v>
      </c>
      <c r="C4941" s="3" t="inlineStr">
        <is>
          <t>Expenses</t>
        </is>
      </c>
      <c r="D4941" s="3" t="inlineStr">
        <is>
          <t>2011/500</t>
        </is>
      </c>
      <c r="E4941" s="3" t="inlineStr">
        <is>
          <t>COS - Heron Fields - Construction</t>
        </is>
      </c>
      <c r="F4941" s="3" t="n">
        <v>5715</v>
      </c>
      <c r="G4941" s="3" t="n">
        <v>1638939.08</v>
      </c>
    </row>
    <row r="4942">
      <c r="A4942" s="3" t="inlineStr">
        <is>
          <t>Cape Projects Construction (Pty) Ltd</t>
        </is>
      </c>
      <c r="B4942" s="4" t="n">
        <v>45291</v>
      </c>
      <c r="C4942" s="3" t="inlineStr">
        <is>
          <t>Expenses</t>
        </is>
      </c>
      <c r="D4942" s="3" t="inlineStr">
        <is>
          <t>2011/600</t>
        </is>
      </c>
      <c r="E4942" s="3" t="inlineStr">
        <is>
          <t>COS - Heron Fields - P &amp; G</t>
        </is>
      </c>
      <c r="F4942" s="3" t="n">
        <v>4313.09</v>
      </c>
      <c r="G4942" s="3" t="n">
        <v>340031.95</v>
      </c>
    </row>
    <row r="4943">
      <c r="A4943" s="3" t="inlineStr">
        <is>
          <t>Cape Projects Construction (Pty) Ltd</t>
        </is>
      </c>
      <c r="B4943" s="4" t="n">
        <v>45291</v>
      </c>
      <c r="C4943" s="3" t="inlineStr">
        <is>
          <t>Expenses</t>
        </is>
      </c>
      <c r="D4943" s="3" t="inlineStr">
        <is>
          <t>2011/700</t>
        </is>
      </c>
      <c r="E4943" s="3" t="inlineStr">
        <is>
          <t>COS - Heron Fields - Health &amp; Safety</t>
        </is>
      </c>
      <c r="F4943" s="3" t="n">
        <v>0</v>
      </c>
      <c r="G4943" s="3" t="n">
        <v>694.78</v>
      </c>
    </row>
    <row r="4944">
      <c r="A4944" s="3" t="inlineStr">
        <is>
          <t>Cape Projects Construction (Pty) Ltd</t>
        </is>
      </c>
      <c r="B4944" s="4" t="n">
        <v>45291</v>
      </c>
      <c r="C4944" s="3" t="inlineStr">
        <is>
          <t>Expenses</t>
        </is>
      </c>
      <c r="D4944" s="3" t="inlineStr">
        <is>
          <t>2011/900</t>
        </is>
      </c>
      <c r="E4944" s="3" t="inlineStr">
        <is>
          <t>COS - Heron - Internet</t>
        </is>
      </c>
      <c r="F4944" s="3" t="n">
        <v>1797.39</v>
      </c>
      <c r="G4944" s="3" t="n">
        <v>15479.67</v>
      </c>
    </row>
    <row r="4945">
      <c r="A4945" s="3" t="inlineStr">
        <is>
          <t>Cape Projects Construction (Pty) Ltd</t>
        </is>
      </c>
      <c r="B4945" s="4" t="n">
        <v>45291</v>
      </c>
      <c r="C4945" s="3" t="inlineStr">
        <is>
          <t>Expenses</t>
        </is>
      </c>
      <c r="D4945" s="3" t="inlineStr">
        <is>
          <t>2012/001</t>
        </is>
      </c>
      <c r="E4945" s="3" t="inlineStr">
        <is>
          <t>COS - Heron View - Printing &amp; Stationary</t>
        </is>
      </c>
      <c r="F4945" s="3" t="n">
        <v>2242.61</v>
      </c>
      <c r="G4945" s="3" t="n">
        <v>30496.25</v>
      </c>
    </row>
    <row r="4946">
      <c r="A4946" s="3" t="inlineStr">
        <is>
          <t>Cape Projects Construction (Pty) Ltd</t>
        </is>
      </c>
      <c r="B4946" s="4" t="n">
        <v>45291</v>
      </c>
      <c r="C4946" s="3" t="inlineStr">
        <is>
          <t>Expenses</t>
        </is>
      </c>
      <c r="D4946" s="3" t="inlineStr">
        <is>
          <t>2012/002</t>
        </is>
      </c>
      <c r="E4946" s="3" t="inlineStr">
        <is>
          <t>COS - Heron View - Construction</t>
        </is>
      </c>
      <c r="F4946" s="3" t="n">
        <v>3086415.9</v>
      </c>
      <c r="G4946" s="3" t="n">
        <v>40404469.79</v>
      </c>
    </row>
    <row r="4947">
      <c r="A4947" s="3" t="inlineStr">
        <is>
          <t>Cape Projects Construction (Pty) Ltd</t>
        </is>
      </c>
      <c r="B4947" s="4" t="n">
        <v>45291</v>
      </c>
      <c r="C4947" s="3" t="inlineStr">
        <is>
          <t>Expenses</t>
        </is>
      </c>
      <c r="D4947" s="3" t="inlineStr">
        <is>
          <t>2012/003</t>
        </is>
      </c>
      <c r="E4947" s="3" t="inlineStr">
        <is>
          <t>COS - Heron View - P&amp;G</t>
        </is>
      </c>
      <c r="F4947" s="3" t="n">
        <v>1443.35</v>
      </c>
      <c r="G4947" s="3" t="n">
        <v>548678.49</v>
      </c>
    </row>
    <row r="4948">
      <c r="A4948" s="3" t="inlineStr">
        <is>
          <t>Cape Projects Construction (Pty) Ltd</t>
        </is>
      </c>
      <c r="B4948" s="4" t="n">
        <v>45291</v>
      </c>
      <c r="C4948" s="3" t="inlineStr">
        <is>
          <t>Expenses</t>
        </is>
      </c>
      <c r="D4948" s="3" t="inlineStr">
        <is>
          <t>2013/000</t>
        </is>
      </c>
      <c r="E4948" s="3" t="inlineStr">
        <is>
          <t>COS - Bakhoven</t>
        </is>
      </c>
      <c r="F4948" s="3" t="n">
        <v>0</v>
      </c>
      <c r="G4948" s="3" t="n">
        <v>17292.48</v>
      </c>
    </row>
    <row r="4949">
      <c r="A4949" s="3" t="inlineStr">
        <is>
          <t>Cape Projects Construction (Pty) Ltd</t>
        </is>
      </c>
      <c r="B4949" s="4" t="n">
        <v>45291</v>
      </c>
      <c r="C4949" s="3" t="inlineStr">
        <is>
          <t>Revenue</t>
        </is>
      </c>
      <c r="D4949" s="3" t="inlineStr">
        <is>
          <t>2750/000</t>
        </is>
      </c>
      <c r="E4949" s="3" t="inlineStr">
        <is>
          <t>Interest Received - FNB</t>
        </is>
      </c>
      <c r="F4949" s="3" t="n">
        <v>-813</v>
      </c>
      <c r="G4949" s="3" t="n">
        <v>-2303.02</v>
      </c>
    </row>
    <row r="4950">
      <c r="A4950" s="3" t="inlineStr">
        <is>
          <t>Cape Projects Construction (Pty) Ltd</t>
        </is>
      </c>
      <c r="B4950" s="4" t="n">
        <v>45291</v>
      </c>
      <c r="C4950" s="3" t="inlineStr">
        <is>
          <t>Revenue</t>
        </is>
      </c>
      <c r="D4950" s="3" t="inlineStr">
        <is>
          <t>2751/001</t>
        </is>
      </c>
      <c r="E4950" s="3" t="inlineStr">
        <is>
          <t>Interest received - Momentum</t>
        </is>
      </c>
      <c r="F4950" s="3" t="n">
        <v>0</v>
      </c>
      <c r="G4950" s="3" t="n">
        <v>-34.23</v>
      </c>
    </row>
    <row r="4951">
      <c r="A4951" s="3" t="inlineStr">
        <is>
          <t>Heron Fields (Pty) Ltd</t>
        </is>
      </c>
      <c r="B4951" s="4" t="n">
        <v>45291</v>
      </c>
      <c r="C4951" s="3" t="inlineStr">
        <is>
          <t>Revenue</t>
        </is>
      </c>
      <c r="D4951" s="3" t="inlineStr">
        <is>
          <t>2753/000</t>
        </is>
      </c>
      <c r="E4951" s="3" t="inlineStr">
        <is>
          <t>Interest Received - Deposits</t>
        </is>
      </c>
      <c r="F4951" s="3" t="n">
        <v>-4254.98</v>
      </c>
      <c r="G4951" s="3" t="n">
        <v>-4254.98</v>
      </c>
    </row>
    <row r="4952">
      <c r="A4952" s="3" t="inlineStr">
        <is>
          <t>Heron Fields (Pty) Ltd</t>
        </is>
      </c>
      <c r="B4952" s="4" t="n">
        <v>45291</v>
      </c>
      <c r="C4952" s="3" t="inlineStr">
        <is>
          <t>Revenue</t>
        </is>
      </c>
      <c r="D4952" s="3" t="inlineStr">
        <is>
          <t>2755/001</t>
        </is>
      </c>
      <c r="E4952" s="3" t="inlineStr">
        <is>
          <t>Interest Received - Momentum</t>
        </is>
      </c>
      <c r="F4952" s="3" t="n">
        <v>-158795.4</v>
      </c>
      <c r="G4952" s="3" t="n">
        <v>-2529456.33</v>
      </c>
    </row>
    <row r="4953">
      <c r="A4953" s="3" t="inlineStr">
        <is>
          <t>Heron Fields (Pty) Ltd</t>
        </is>
      </c>
      <c r="B4953" s="4" t="n">
        <v>45291</v>
      </c>
      <c r="C4953" s="3" t="inlineStr">
        <is>
          <t>Expenses</t>
        </is>
      </c>
      <c r="D4953" s="3" t="inlineStr">
        <is>
          <t>3000/000</t>
        </is>
      </c>
      <c r="E4953" s="3" t="inlineStr">
        <is>
          <t>Accounting Fees</t>
        </is>
      </c>
      <c r="F4953" s="3" t="n">
        <v>0</v>
      </c>
      <c r="G4953" s="3" t="n">
        <v>15024.96</v>
      </c>
    </row>
    <row r="4954">
      <c r="A4954" s="3" t="inlineStr">
        <is>
          <t>Heron Fields (Pty) Ltd</t>
        </is>
      </c>
      <c r="B4954" s="4" t="n">
        <v>45291</v>
      </c>
      <c r="C4954" s="3" t="inlineStr">
        <is>
          <t>Expenses</t>
        </is>
      </c>
      <c r="D4954" s="3" t="inlineStr">
        <is>
          <t>3000/100</t>
        </is>
      </c>
      <c r="E4954" s="3" t="inlineStr">
        <is>
          <t>Accounting - CIPC</t>
        </is>
      </c>
      <c r="F4954" s="3" t="n">
        <v>0</v>
      </c>
      <c r="G4954" s="3" t="n">
        <v>3050</v>
      </c>
    </row>
    <row r="4955">
      <c r="A4955" s="3" t="inlineStr">
        <is>
          <t>Cape Projects Construction (Pty) Ltd</t>
        </is>
      </c>
      <c r="B4955" s="4" t="n">
        <v>45291</v>
      </c>
      <c r="C4955" s="3" t="inlineStr">
        <is>
          <t>Expenses</t>
        </is>
      </c>
      <c r="D4955" s="3" t="inlineStr">
        <is>
          <t>3001/000</t>
        </is>
      </c>
      <c r="E4955" s="3" t="inlineStr">
        <is>
          <t>Accounting Fees - Other</t>
        </is>
      </c>
      <c r="F4955" s="3" t="n">
        <v>0</v>
      </c>
      <c r="G4955" s="3" t="n">
        <v>1280</v>
      </c>
    </row>
    <row r="4956">
      <c r="A4956" s="3" t="inlineStr">
        <is>
          <t>Cape Projects Construction (Pty) Ltd</t>
        </is>
      </c>
      <c r="B4956" s="4" t="n">
        <v>45291</v>
      </c>
      <c r="C4956" s="3" t="inlineStr">
        <is>
          <t>Expenses</t>
        </is>
      </c>
      <c r="D4956" s="3" t="inlineStr">
        <is>
          <t>3002/000</t>
        </is>
      </c>
      <c r="E4956" s="3" t="inlineStr">
        <is>
          <t>Accounting Fees - Audit</t>
        </is>
      </c>
      <c r="F4956" s="3" t="n">
        <v>0</v>
      </c>
      <c r="G4956" s="3" t="n">
        <v>11170</v>
      </c>
    </row>
    <row r="4957">
      <c r="A4957" s="3" t="inlineStr">
        <is>
          <t>Cape Projects Construction (Pty) Ltd</t>
        </is>
      </c>
      <c r="B4957" s="4" t="n">
        <v>45291</v>
      </c>
      <c r="C4957" s="3" t="inlineStr">
        <is>
          <t>Expenses</t>
        </is>
      </c>
      <c r="D4957" s="3" t="inlineStr">
        <is>
          <t>3050/000</t>
        </is>
      </c>
      <c r="E4957" s="3" t="inlineStr">
        <is>
          <t>Advertising _AND_ Promotions</t>
        </is>
      </c>
      <c r="F4957" s="3" t="n">
        <v>0</v>
      </c>
      <c r="G4957" s="3" t="n">
        <v>10975</v>
      </c>
    </row>
    <row r="4958">
      <c r="A4958" s="3" t="inlineStr">
        <is>
          <t>Heron Fields (Pty) Ltd</t>
        </is>
      </c>
      <c r="B4958" s="4" t="n">
        <v>45291</v>
      </c>
      <c r="C4958" s="3" t="inlineStr">
        <is>
          <t>Expenses</t>
        </is>
      </c>
      <c r="D4958" s="3" t="inlineStr">
        <is>
          <t>3050/000</t>
        </is>
      </c>
      <c r="E4958" s="3" t="inlineStr">
        <is>
          <t>Advertising _AND_ Promotions</t>
        </is>
      </c>
      <c r="F4958" s="3" t="n">
        <v>931.25</v>
      </c>
      <c r="G4958" s="3" t="n">
        <v>178914.34</v>
      </c>
    </row>
    <row r="4959">
      <c r="A4959" s="3" t="inlineStr">
        <is>
          <t>Heron View (Pty) Ltd</t>
        </is>
      </c>
      <c r="B4959" s="4" t="n">
        <v>45291</v>
      </c>
      <c r="C4959" s="3" t="inlineStr">
        <is>
          <t>Expenses</t>
        </is>
      </c>
      <c r="D4959" s="3" t="inlineStr">
        <is>
          <t>3050/000</t>
        </is>
      </c>
      <c r="E4959" s="3" t="inlineStr">
        <is>
          <t>Advertising _AND_ Promotions</t>
        </is>
      </c>
      <c r="F4959" s="3" t="n">
        <v>431.25</v>
      </c>
      <c r="G4959" s="3" t="n">
        <v>52857.72</v>
      </c>
    </row>
    <row r="4960">
      <c r="A4960" s="3" t="inlineStr">
        <is>
          <t>Heron Fields (Pty) Ltd</t>
        </is>
      </c>
      <c r="B4960" s="4" t="n">
        <v>45291</v>
      </c>
      <c r="C4960" s="3" t="inlineStr">
        <is>
          <t>Expenses</t>
        </is>
      </c>
      <c r="D4960" s="3" t="inlineStr">
        <is>
          <t>3050/100</t>
        </is>
      </c>
      <c r="E4960" s="3" t="inlineStr">
        <is>
          <t>Advertising - Property24</t>
        </is>
      </c>
      <c r="F4960" s="3" t="n">
        <v>0</v>
      </c>
      <c r="G4960" s="3" t="n">
        <v>12480</v>
      </c>
    </row>
    <row r="4961">
      <c r="A4961" s="3" t="inlineStr">
        <is>
          <t>Cape Projects Construction (Pty) Ltd</t>
        </is>
      </c>
      <c r="B4961" s="4" t="n">
        <v>45291</v>
      </c>
      <c r="C4961" s="3" t="inlineStr">
        <is>
          <t>Expenses</t>
        </is>
      </c>
      <c r="D4961" s="3" t="inlineStr">
        <is>
          <t>3050/150</t>
        </is>
      </c>
      <c r="E4961" s="3" t="inlineStr">
        <is>
          <t>Advertising - Design Fees</t>
        </is>
      </c>
      <c r="F4961" s="3" t="n">
        <v>0</v>
      </c>
      <c r="G4961" s="3" t="n">
        <v>295</v>
      </c>
    </row>
    <row r="4962">
      <c r="A4962" s="3" t="inlineStr">
        <is>
          <t>Heron Fields (Pty) Ltd</t>
        </is>
      </c>
      <c r="B4962" s="4" t="n">
        <v>45291</v>
      </c>
      <c r="C4962" s="3" t="inlineStr">
        <is>
          <t>Expenses</t>
        </is>
      </c>
      <c r="D4962" s="3" t="inlineStr">
        <is>
          <t>3050/300</t>
        </is>
      </c>
      <c r="E4962" s="3" t="inlineStr">
        <is>
          <t>Advertising - Real Marketing</t>
        </is>
      </c>
      <c r="F4962" s="3" t="n">
        <v>0</v>
      </c>
      <c r="G4962" s="3" t="n">
        <v>10250</v>
      </c>
    </row>
    <row r="4963">
      <c r="A4963" s="3" t="inlineStr">
        <is>
          <t>Heron View (Pty) Ltd</t>
        </is>
      </c>
      <c r="B4963" s="4" t="n">
        <v>45291</v>
      </c>
      <c r="C4963" s="3" t="inlineStr">
        <is>
          <t>Expenses</t>
        </is>
      </c>
      <c r="D4963" s="3" t="inlineStr">
        <is>
          <t>3050/300</t>
        </is>
      </c>
      <c r="E4963" s="3" t="inlineStr">
        <is>
          <t>Advertising - Thinkink</t>
        </is>
      </c>
      <c r="F4963" s="3" t="n">
        <v>0</v>
      </c>
      <c r="G4963" s="3" t="n">
        <v>17855</v>
      </c>
    </row>
    <row r="4964">
      <c r="A4964" s="3" t="inlineStr">
        <is>
          <t>Heron View (Pty) Ltd</t>
        </is>
      </c>
      <c r="B4964" s="4" t="n">
        <v>45291</v>
      </c>
      <c r="C4964" s="3" t="inlineStr">
        <is>
          <t>Expenses</t>
        </is>
      </c>
      <c r="D4964" s="3" t="inlineStr">
        <is>
          <t>3050/400</t>
        </is>
      </c>
      <c r="E4964" s="3" t="inlineStr">
        <is>
          <t>Advertising - Pure Brand Activation</t>
        </is>
      </c>
      <c r="F4964" s="3" t="n">
        <v>0</v>
      </c>
      <c r="G4964" s="3" t="n">
        <v>14569.1</v>
      </c>
    </row>
    <row r="4965">
      <c r="A4965" s="3" t="inlineStr">
        <is>
          <t>Cape Projects Construction (Pty) Ltd</t>
        </is>
      </c>
      <c r="B4965" s="4" t="n">
        <v>45291</v>
      </c>
      <c r="C4965" s="3" t="inlineStr">
        <is>
          <t>Expenses</t>
        </is>
      </c>
      <c r="D4965" s="3" t="inlineStr">
        <is>
          <t>3050/450</t>
        </is>
      </c>
      <c r="E4965" s="3" t="inlineStr">
        <is>
          <t>Advertising - Other</t>
        </is>
      </c>
      <c r="F4965" s="3" t="n">
        <v>0</v>
      </c>
      <c r="G4965" s="3" t="n">
        <v>1597</v>
      </c>
    </row>
    <row r="4966">
      <c r="A4966" s="3" t="inlineStr">
        <is>
          <t>Heron View (Pty) Ltd</t>
        </is>
      </c>
      <c r="B4966" s="4" t="n">
        <v>45291</v>
      </c>
      <c r="C4966" s="3" t="inlineStr">
        <is>
          <t>Expenses</t>
        </is>
      </c>
      <c r="D4966" s="3" t="inlineStr">
        <is>
          <t>3050/500</t>
        </is>
      </c>
      <c r="E4966" s="3" t="inlineStr">
        <is>
          <t>Advertising - Real Marketing</t>
        </is>
      </c>
      <c r="F4966" s="3" t="n">
        <v>0</v>
      </c>
      <c r="G4966" s="3" t="n">
        <v>18500</v>
      </c>
    </row>
    <row r="4967">
      <c r="A4967" s="3" t="inlineStr">
        <is>
          <t>Cape Projects Construction (Pty) Ltd</t>
        </is>
      </c>
      <c r="B4967" s="4" t="n">
        <v>45291</v>
      </c>
      <c r="C4967" s="3" t="inlineStr">
        <is>
          <t>Expenses</t>
        </is>
      </c>
      <c r="D4967" s="3" t="inlineStr">
        <is>
          <t>3200/000</t>
        </is>
      </c>
      <c r="E4967" s="3" t="inlineStr">
        <is>
          <t>Bank Charges</t>
        </is>
      </c>
      <c r="F4967" s="3" t="n">
        <v>1798.31</v>
      </c>
      <c r="G4967" s="3" t="n">
        <v>17924.29</v>
      </c>
    </row>
    <row r="4968">
      <c r="A4968" s="3" t="inlineStr">
        <is>
          <t>Heron Fields (Pty) Ltd</t>
        </is>
      </c>
      <c r="B4968" s="4" t="n">
        <v>45291</v>
      </c>
      <c r="C4968" s="3" t="inlineStr">
        <is>
          <t>Expenses</t>
        </is>
      </c>
      <c r="D4968" s="3" t="inlineStr">
        <is>
          <t>3200/000</t>
        </is>
      </c>
      <c r="E4968" s="3" t="inlineStr">
        <is>
          <t>Bank Charges</t>
        </is>
      </c>
      <c r="F4968" s="3" t="n">
        <v>369.23</v>
      </c>
      <c r="G4968" s="3" t="n">
        <v>4350.92</v>
      </c>
    </row>
    <row r="4969">
      <c r="A4969" s="3" t="inlineStr">
        <is>
          <t>Cape Projects Construction (Pty) Ltd</t>
        </is>
      </c>
      <c r="B4969" s="4" t="n">
        <v>45291</v>
      </c>
      <c r="C4969" s="3" t="inlineStr">
        <is>
          <t>Expenses</t>
        </is>
      </c>
      <c r="D4969" s="3" t="inlineStr">
        <is>
          <t>3250/000</t>
        </is>
      </c>
      <c r="E4969" s="3" t="inlineStr">
        <is>
          <t>Cleaning</t>
        </is>
      </c>
      <c r="F4969" s="3" t="n">
        <v>0</v>
      </c>
      <c r="G4969" s="3" t="n">
        <v>728.37</v>
      </c>
    </row>
    <row r="4970">
      <c r="A4970" s="3" t="inlineStr">
        <is>
          <t>Cape Projects Construction (Pty) Ltd</t>
        </is>
      </c>
      <c r="B4970" s="4" t="n">
        <v>45291</v>
      </c>
      <c r="C4970" s="3" t="inlineStr">
        <is>
          <t>Expenses</t>
        </is>
      </c>
      <c r="D4970" s="3" t="inlineStr">
        <is>
          <t>3255/000</t>
        </is>
      </c>
      <c r="E4970" s="3" t="inlineStr">
        <is>
          <t>Cell Phone - CT Office</t>
        </is>
      </c>
      <c r="F4970" s="3" t="n">
        <v>0</v>
      </c>
      <c r="G4970" s="3" t="n">
        <v>4123</v>
      </c>
    </row>
    <row r="4971">
      <c r="A4971" s="3" t="inlineStr">
        <is>
          <t>Cape Projects Construction (Pty) Ltd</t>
        </is>
      </c>
      <c r="B4971" s="4" t="n">
        <v>45291</v>
      </c>
      <c r="C4971" s="3" t="inlineStr">
        <is>
          <t>Expenses</t>
        </is>
      </c>
      <c r="D4971" s="3" t="inlineStr">
        <is>
          <t>3256/000</t>
        </is>
      </c>
      <c r="E4971" s="3" t="inlineStr">
        <is>
          <t>Cell Phone - Nick Morgan</t>
        </is>
      </c>
      <c r="F4971" s="3" t="n">
        <v>0</v>
      </c>
      <c r="G4971" s="3" t="n">
        <v>26779.67</v>
      </c>
    </row>
    <row r="4972">
      <c r="A4972" s="3" t="inlineStr">
        <is>
          <t>Cape Projects Construction (Pty) Ltd</t>
        </is>
      </c>
      <c r="B4972" s="4" t="n">
        <v>45291</v>
      </c>
      <c r="C4972" s="3" t="inlineStr">
        <is>
          <t>Expenses</t>
        </is>
      </c>
      <c r="D4972" s="3" t="inlineStr">
        <is>
          <t>3300/000</t>
        </is>
      </c>
      <c r="E4972" s="3" t="inlineStr">
        <is>
          <t>Computer Expenses</t>
        </is>
      </c>
      <c r="F4972" s="3" t="n">
        <v>0</v>
      </c>
      <c r="G4972" s="3" t="n">
        <v>6402.65</v>
      </c>
    </row>
    <row r="4973">
      <c r="A4973" s="3" t="inlineStr">
        <is>
          <t>Cape Projects Construction (Pty) Ltd</t>
        </is>
      </c>
      <c r="B4973" s="4" t="n">
        <v>45291</v>
      </c>
      <c r="C4973" s="3" t="inlineStr">
        <is>
          <t>Expenses</t>
        </is>
      </c>
      <c r="D4973" s="3" t="inlineStr">
        <is>
          <t>3300/100</t>
        </is>
      </c>
      <c r="E4973" s="3" t="inlineStr">
        <is>
          <t>Computer Exp - IT, Internet/Hosting Fee</t>
        </is>
      </c>
      <c r="F4973" s="3" t="n">
        <v>3230</v>
      </c>
      <c r="G4973" s="3" t="n">
        <v>39099</v>
      </c>
    </row>
    <row r="4974">
      <c r="A4974" s="3" t="inlineStr">
        <is>
          <t>Heron Fields (Pty) Ltd</t>
        </is>
      </c>
      <c r="B4974" s="4" t="n">
        <v>45291</v>
      </c>
      <c r="C4974" s="3" t="inlineStr">
        <is>
          <t>Expenses</t>
        </is>
      </c>
      <c r="D4974" s="3" t="inlineStr">
        <is>
          <t>3350/100</t>
        </is>
      </c>
      <c r="E4974" s="3" t="inlineStr">
        <is>
          <t>Consulting Fees - Admin and Finance</t>
        </is>
      </c>
      <c r="F4974" s="3" t="n">
        <v>116233</v>
      </c>
      <c r="G4974" s="3" t="n">
        <v>1170315.57</v>
      </c>
    </row>
    <row r="4975">
      <c r="A4975" s="3" t="inlineStr">
        <is>
          <t>Cape Projects Construction (Pty) Ltd</t>
        </is>
      </c>
      <c r="B4975" s="4" t="n">
        <v>45291</v>
      </c>
      <c r="C4975" s="3" t="inlineStr">
        <is>
          <t>Expenses</t>
        </is>
      </c>
      <c r="D4975" s="3" t="inlineStr">
        <is>
          <t>3350/300</t>
        </is>
      </c>
      <c r="E4975" s="3" t="inlineStr">
        <is>
          <t>Consulting Fees - Admin and Finance</t>
        </is>
      </c>
      <c r="F4975" s="3" t="n">
        <v>125097.01</v>
      </c>
      <c r="G4975" s="3" t="n">
        <v>1232134.71</v>
      </c>
    </row>
    <row r="4976">
      <c r="A4976" s="3" t="inlineStr">
        <is>
          <t>Heron Fields (Pty) Ltd</t>
        </is>
      </c>
      <c r="B4976" s="4" t="n">
        <v>45291</v>
      </c>
      <c r="C4976" s="3" t="inlineStr">
        <is>
          <t>Expenses</t>
        </is>
      </c>
      <c r="D4976" s="3" t="inlineStr">
        <is>
          <t>3351/000</t>
        </is>
      </c>
      <c r="E4976" s="3" t="inlineStr">
        <is>
          <t>Consulting fees - Trustee</t>
        </is>
      </c>
      <c r="F4976" s="3" t="n">
        <v>0</v>
      </c>
      <c r="G4976" s="3" t="n">
        <v>22100</v>
      </c>
    </row>
    <row r="4977">
      <c r="A4977" s="3" t="inlineStr">
        <is>
          <t>Heron View (Pty) Ltd</t>
        </is>
      </c>
      <c r="B4977" s="4" t="n">
        <v>45291</v>
      </c>
      <c r="C4977" s="3" t="inlineStr">
        <is>
          <t>Expenses</t>
        </is>
      </c>
      <c r="D4977" s="3" t="inlineStr">
        <is>
          <t>3351/000</t>
        </is>
      </c>
      <c r="E4977" s="3" t="inlineStr">
        <is>
          <t>Consulting fees - Trustee</t>
        </is>
      </c>
      <c r="F4977" s="3" t="n">
        <v>14250</v>
      </c>
      <c r="G4977" s="3" t="n">
        <v>66250</v>
      </c>
    </row>
    <row r="4978">
      <c r="A4978" s="3" t="inlineStr">
        <is>
          <t>Cape Projects Construction (Pty) Ltd</t>
        </is>
      </c>
      <c r="B4978" s="4" t="n">
        <v>45291</v>
      </c>
      <c r="C4978" s="3" t="inlineStr">
        <is>
          <t>Expenses</t>
        </is>
      </c>
      <c r="D4978" s="3" t="inlineStr">
        <is>
          <t>3400/000</t>
        </is>
      </c>
      <c r="E4978" s="3" t="inlineStr">
        <is>
          <t>Courier _AND_ Postage</t>
        </is>
      </c>
      <c r="F4978" s="3" t="n">
        <v>0</v>
      </c>
      <c r="G4978" s="3" t="n">
        <v>331.09</v>
      </c>
    </row>
    <row r="4979">
      <c r="A4979" s="3" t="inlineStr">
        <is>
          <t>Cape Projects Construction (Pty) Ltd</t>
        </is>
      </c>
      <c r="B4979" s="4" t="n">
        <v>45291</v>
      </c>
      <c r="C4979" s="3" t="inlineStr">
        <is>
          <t>Expenses</t>
        </is>
      </c>
      <c r="D4979" s="3" t="inlineStr">
        <is>
          <t>3450/001</t>
        </is>
      </c>
      <c r="E4979" s="3" t="inlineStr">
        <is>
          <t>Depreciation - Computer Equipment</t>
        </is>
      </c>
      <c r="F4979" s="3" t="n">
        <v>4562.87</v>
      </c>
      <c r="G4979" s="3" t="n">
        <v>37249.88</v>
      </c>
    </row>
    <row r="4980">
      <c r="A4980" s="3" t="inlineStr">
        <is>
          <t>Cape Projects Construction (Pty) Ltd</t>
        </is>
      </c>
      <c r="B4980" s="4" t="n">
        <v>45291</v>
      </c>
      <c r="C4980" s="3" t="inlineStr">
        <is>
          <t>Expenses</t>
        </is>
      </c>
      <c r="D4980" s="3" t="inlineStr">
        <is>
          <t>3450/002</t>
        </is>
      </c>
      <c r="E4980" s="3" t="inlineStr">
        <is>
          <t>Depreciation - Generator Fixed Asset</t>
        </is>
      </c>
      <c r="F4980" s="3" t="n">
        <v>1188.69</v>
      </c>
      <c r="G4980" s="3" t="n">
        <v>9896.26</v>
      </c>
    </row>
    <row r="4981">
      <c r="A4981" s="3" t="inlineStr">
        <is>
          <t>Cape Projects Construction (Pty) Ltd</t>
        </is>
      </c>
      <c r="B4981" s="4" t="n">
        <v>45291</v>
      </c>
      <c r="C4981" s="3" t="inlineStr">
        <is>
          <t>Expenses</t>
        </is>
      </c>
      <c r="D4981" s="3" t="inlineStr">
        <is>
          <t>3450/030</t>
        </is>
      </c>
      <c r="E4981" s="3" t="inlineStr">
        <is>
          <t>Depreciation - Furniture and Fittings</t>
        </is>
      </c>
      <c r="F4981" s="3" t="n">
        <v>547.6799999999999</v>
      </c>
      <c r="G4981" s="3" t="n">
        <v>5476.77</v>
      </c>
    </row>
    <row r="4982">
      <c r="A4982" s="3" t="inlineStr">
        <is>
          <t>Heron Fields (Pty) Ltd</t>
        </is>
      </c>
      <c r="B4982" s="4" t="n">
        <v>45291</v>
      </c>
      <c r="C4982" s="3" t="inlineStr">
        <is>
          <t>Expenses</t>
        </is>
      </c>
      <c r="D4982" s="3" t="inlineStr">
        <is>
          <t>3650/000</t>
        </is>
      </c>
      <c r="E4982" s="3" t="inlineStr">
        <is>
          <t>CoCT - Electricity</t>
        </is>
      </c>
      <c r="F4982" s="3" t="n">
        <v>-971.22</v>
      </c>
      <c r="G4982" s="3" t="n">
        <v>223791.32</v>
      </c>
    </row>
    <row r="4983">
      <c r="A4983" s="3" t="inlineStr">
        <is>
          <t>Cape Projects Construction (Pty) Ltd</t>
        </is>
      </c>
      <c r="B4983" s="4" t="n">
        <v>45291</v>
      </c>
      <c r="C4983" s="3" t="inlineStr">
        <is>
          <t>Expenses</t>
        </is>
      </c>
      <c r="D4983" s="3" t="inlineStr">
        <is>
          <t>3650/000</t>
        </is>
      </c>
      <c r="E4983" s="3" t="inlineStr">
        <is>
          <t>Electricity _AND_ Water</t>
        </is>
      </c>
      <c r="F4983" s="3" t="n">
        <v>0</v>
      </c>
      <c r="G4983" s="3" t="n">
        <v>60974.72</v>
      </c>
    </row>
    <row r="4984">
      <c r="A4984" s="3" t="inlineStr">
        <is>
          <t>Heron Fields (Pty) Ltd</t>
        </is>
      </c>
      <c r="B4984" s="4" t="n">
        <v>45291</v>
      </c>
      <c r="C4984" s="3" t="inlineStr">
        <is>
          <t>Expenses</t>
        </is>
      </c>
      <c r="D4984" s="3" t="inlineStr">
        <is>
          <t>3660/000</t>
        </is>
      </c>
      <c r="E4984" s="3" t="inlineStr">
        <is>
          <t>CoCT - Water</t>
        </is>
      </c>
      <c r="F4984" s="3" t="n">
        <v>971.22</v>
      </c>
      <c r="G4984" s="3" t="n">
        <v>94159.82000000001</v>
      </c>
    </row>
    <row r="4985">
      <c r="A4985" s="3" t="inlineStr">
        <is>
          <t>Heron View (Pty) Ltd</t>
        </is>
      </c>
      <c r="B4985" s="4" t="n">
        <v>45291</v>
      </c>
      <c r="C4985" s="3" t="inlineStr">
        <is>
          <t>Expenses</t>
        </is>
      </c>
      <c r="D4985" s="3" t="inlineStr">
        <is>
          <t>3660/000</t>
        </is>
      </c>
      <c r="E4985" s="3" t="inlineStr">
        <is>
          <t>Water</t>
        </is>
      </c>
      <c r="F4985" s="3" t="n">
        <v>19.64</v>
      </c>
      <c r="G4985" s="3" t="n">
        <v>19.64</v>
      </c>
    </row>
    <row r="4986">
      <c r="A4986" s="3" t="inlineStr">
        <is>
          <t>Heron Fields (Pty) Ltd</t>
        </is>
      </c>
      <c r="B4986" s="4" t="n">
        <v>45291</v>
      </c>
      <c r="C4986" s="3" t="inlineStr">
        <is>
          <t>Expenses</t>
        </is>
      </c>
      <c r="D4986" s="3" t="inlineStr">
        <is>
          <t>3670/000</t>
        </is>
      </c>
      <c r="E4986" s="3" t="inlineStr">
        <is>
          <t>CoCT - Refuse</t>
        </is>
      </c>
      <c r="F4986" s="3" t="n">
        <v>0</v>
      </c>
      <c r="G4986" s="3" t="n">
        <v>46978.37</v>
      </c>
    </row>
    <row r="4987">
      <c r="A4987" s="3" t="inlineStr">
        <is>
          <t>Heron Fields (Pty) Ltd</t>
        </is>
      </c>
      <c r="B4987" s="4" t="n">
        <v>45291</v>
      </c>
      <c r="C4987" s="3" t="inlineStr">
        <is>
          <t>Expenses</t>
        </is>
      </c>
      <c r="D4987" s="3" t="inlineStr">
        <is>
          <t>3700/000</t>
        </is>
      </c>
      <c r="E4987" s="3" t="inlineStr">
        <is>
          <t>Entertainment Expenses</t>
        </is>
      </c>
      <c r="F4987" s="3" t="n">
        <v>0</v>
      </c>
      <c r="G4987" s="3" t="n">
        <v>39.47</v>
      </c>
    </row>
    <row r="4988">
      <c r="A4988" s="3" t="inlineStr">
        <is>
          <t>Heron Fields (Pty) Ltd</t>
        </is>
      </c>
      <c r="B4988" s="4" t="n">
        <v>45291</v>
      </c>
      <c r="C4988" s="3" t="inlineStr">
        <is>
          <t>Expenses</t>
        </is>
      </c>
      <c r="D4988" s="3" t="inlineStr">
        <is>
          <t>3800/000</t>
        </is>
      </c>
      <c r="E4988" s="3" t="inlineStr">
        <is>
          <t>General Expenses</t>
        </is>
      </c>
      <c r="F4988" s="3" t="n">
        <v>2956.52</v>
      </c>
      <c r="G4988" s="3" t="n">
        <v>3156.51</v>
      </c>
    </row>
    <row r="4989">
      <c r="A4989" s="3" t="inlineStr">
        <is>
          <t>Heron Fields (Pty) Ltd</t>
        </is>
      </c>
      <c r="B4989" s="4" t="n">
        <v>45291</v>
      </c>
      <c r="C4989" s="3" t="inlineStr">
        <is>
          <t>Expenses</t>
        </is>
      </c>
      <c r="D4989" s="3" t="inlineStr">
        <is>
          <t>3850/000</t>
        </is>
      </c>
      <c r="E4989" s="3" t="inlineStr">
        <is>
          <t>Insurance</t>
        </is>
      </c>
      <c r="F4989" s="3" t="n">
        <v>17021.08</v>
      </c>
      <c r="G4989" s="3" t="n">
        <v>102403.24</v>
      </c>
    </row>
    <row r="4990">
      <c r="A4990" s="3" t="inlineStr">
        <is>
          <t>Cape Projects Construction (Pty) Ltd</t>
        </is>
      </c>
      <c r="B4990" s="4" t="n">
        <v>45291</v>
      </c>
      <c r="C4990" s="3" t="inlineStr">
        <is>
          <t>Expenses</t>
        </is>
      </c>
      <c r="D4990" s="3" t="inlineStr">
        <is>
          <t>3850/001</t>
        </is>
      </c>
      <c r="E4990" s="3" t="inlineStr">
        <is>
          <t>Insurance - Santam</t>
        </is>
      </c>
      <c r="F4990" s="3" t="n">
        <v>6204.53</v>
      </c>
      <c r="G4990" s="3" t="n">
        <v>24779.49</v>
      </c>
    </row>
    <row r="4991">
      <c r="A4991" s="3" t="inlineStr">
        <is>
          <t>Cape Projects Construction (Pty) Ltd</t>
        </is>
      </c>
      <c r="B4991" s="4" t="n">
        <v>45291</v>
      </c>
      <c r="C4991" s="3" t="inlineStr">
        <is>
          <t>Expenses</t>
        </is>
      </c>
      <c r="D4991" s="3" t="inlineStr">
        <is>
          <t>3850/004</t>
        </is>
      </c>
      <c r="E4991" s="3" t="inlineStr">
        <is>
          <t>Insurance - A_AND_G</t>
        </is>
      </c>
      <c r="F4991" s="3" t="n">
        <v>0</v>
      </c>
      <c r="G4991" s="3" t="n">
        <v>24242.76</v>
      </c>
    </row>
    <row r="4992">
      <c r="A4992" s="3" t="inlineStr">
        <is>
          <t>Heron Fields (Pty) Ltd</t>
        </is>
      </c>
      <c r="B4992" s="4" t="n">
        <v>45291</v>
      </c>
      <c r="C4992" s="3" t="inlineStr">
        <is>
          <t>Expenses</t>
        </is>
      </c>
      <c r="D4992" s="3" t="inlineStr">
        <is>
          <t>3900/000</t>
        </is>
      </c>
      <c r="E4992" s="3" t="inlineStr">
        <is>
          <t>Interest Paid</t>
        </is>
      </c>
      <c r="F4992" s="3" t="n">
        <v>0</v>
      </c>
      <c r="G4992" s="3" t="n">
        <v>-533.8</v>
      </c>
    </row>
    <row r="4993">
      <c r="A4993" s="3" t="inlineStr">
        <is>
          <t>Heron Fields (Pty) Ltd</t>
        </is>
      </c>
      <c r="B4993" s="4" t="n">
        <v>45291</v>
      </c>
      <c r="C4993" s="3" t="inlineStr">
        <is>
          <t>Expenses</t>
        </is>
      </c>
      <c r="D4993" s="3" t="inlineStr">
        <is>
          <t>3900/111</t>
        </is>
      </c>
      <c r="E4993" s="3" t="inlineStr">
        <is>
          <t>Interest Paid - Investors @ 6.25%</t>
        </is>
      </c>
      <c r="F4993" s="3" t="n">
        <v>0</v>
      </c>
      <c r="G4993" s="3" t="n">
        <v>167246.17</v>
      </c>
    </row>
    <row r="4994">
      <c r="A4994" s="3" t="inlineStr">
        <is>
          <t>Heron Fields (Pty) Ltd</t>
        </is>
      </c>
      <c r="B4994" s="4" t="n">
        <v>45291</v>
      </c>
      <c r="C4994" s="3" t="inlineStr">
        <is>
          <t>Expenses</t>
        </is>
      </c>
      <c r="D4994" s="3" t="inlineStr">
        <is>
          <t>3900/115</t>
        </is>
      </c>
      <c r="E4994" s="3" t="inlineStr">
        <is>
          <t>Interest Paid - Investors @ 6.5%</t>
        </is>
      </c>
      <c r="F4994" s="3" t="n">
        <v>0</v>
      </c>
      <c r="G4994" s="3" t="n">
        <v>72942.48</v>
      </c>
    </row>
    <row r="4995">
      <c r="A4995" s="3" t="inlineStr">
        <is>
          <t>Heron Fields (Pty) Ltd</t>
        </is>
      </c>
      <c r="B4995" s="4" t="n">
        <v>45291</v>
      </c>
      <c r="C4995" s="3" t="inlineStr">
        <is>
          <t>Expenses</t>
        </is>
      </c>
      <c r="D4995" s="3" t="inlineStr">
        <is>
          <t>3900/117</t>
        </is>
      </c>
      <c r="E4995" s="3" t="inlineStr">
        <is>
          <t>Interest Paid - Investors @ 6.75%</t>
        </is>
      </c>
      <c r="F4995" s="3" t="n">
        <v>0</v>
      </c>
      <c r="G4995" s="3" t="n">
        <v>44124.67</v>
      </c>
    </row>
    <row r="4996">
      <c r="A4996" s="3" t="inlineStr">
        <is>
          <t>Heron Fields (Pty) Ltd</t>
        </is>
      </c>
      <c r="B4996" s="4" t="n">
        <v>45291</v>
      </c>
      <c r="C4996" s="3" t="inlineStr">
        <is>
          <t>Expenses</t>
        </is>
      </c>
      <c r="D4996" s="3" t="inlineStr">
        <is>
          <t>3900/120</t>
        </is>
      </c>
      <c r="E4996" s="3" t="inlineStr">
        <is>
          <t>Interest Paid - Investors @ 7%</t>
        </is>
      </c>
      <c r="F4996" s="3" t="n">
        <v>0</v>
      </c>
      <c r="G4996" s="3" t="n">
        <v>11678.33</v>
      </c>
    </row>
    <row r="4997">
      <c r="A4997" s="3" t="inlineStr">
        <is>
          <t>Heron View (Pty) Ltd</t>
        </is>
      </c>
      <c r="B4997" s="4" t="n">
        <v>45291</v>
      </c>
      <c r="C4997" s="3" t="inlineStr">
        <is>
          <t>Expenses</t>
        </is>
      </c>
      <c r="D4997" s="3" t="inlineStr">
        <is>
          <t>3900/120</t>
        </is>
      </c>
      <c r="E4997" s="3" t="inlineStr">
        <is>
          <t>Interest Paid - Investors @ 7%</t>
        </is>
      </c>
      <c r="F4997" s="3" t="n">
        <v>0</v>
      </c>
      <c r="G4997" s="3" t="n">
        <v>1607.78</v>
      </c>
    </row>
    <row r="4998">
      <c r="A4998" s="3" t="inlineStr">
        <is>
          <t>Heron Fields (Pty) Ltd</t>
        </is>
      </c>
      <c r="B4998" s="4" t="n">
        <v>45291</v>
      </c>
      <c r="C4998" s="3" t="inlineStr">
        <is>
          <t>Expenses</t>
        </is>
      </c>
      <c r="D4998" s="3" t="inlineStr">
        <is>
          <t>3900/126</t>
        </is>
      </c>
      <c r="E4998" s="3" t="inlineStr">
        <is>
          <t>Interest Paid - Investors @ 7.5%</t>
        </is>
      </c>
      <c r="F4998" s="3" t="n">
        <v>0</v>
      </c>
      <c r="G4998" s="3" t="n">
        <v>1252.24</v>
      </c>
    </row>
    <row r="4999">
      <c r="A4999" s="3" t="inlineStr">
        <is>
          <t>Heron View (Pty) Ltd</t>
        </is>
      </c>
      <c r="B4999" s="4" t="n">
        <v>45291</v>
      </c>
      <c r="C4999" s="3" t="inlineStr">
        <is>
          <t>Expenses</t>
        </is>
      </c>
      <c r="D4999" s="3" t="inlineStr">
        <is>
          <t>3900/126</t>
        </is>
      </c>
      <c r="E4999" s="3" t="inlineStr">
        <is>
          <t>Interest Paid - Investors @ 7.5%</t>
        </is>
      </c>
      <c r="F4999" s="3" t="n">
        <v>0</v>
      </c>
      <c r="G4999" s="3" t="n">
        <v>1507.16</v>
      </c>
    </row>
    <row r="5000">
      <c r="A5000" s="3" t="inlineStr">
        <is>
          <t>Heron Fields (Pty) Ltd</t>
        </is>
      </c>
      <c r="B5000" s="4" t="n">
        <v>45291</v>
      </c>
      <c r="C5000" s="3" t="inlineStr">
        <is>
          <t>Expenses</t>
        </is>
      </c>
      <c r="D5000" s="3" t="inlineStr">
        <is>
          <t>3900/133</t>
        </is>
      </c>
      <c r="E5000" s="3" t="inlineStr">
        <is>
          <t>Interest Paid - Investors @ 8.25%</t>
        </is>
      </c>
      <c r="F5000" s="3" t="n">
        <v>0</v>
      </c>
      <c r="G5000" s="3" t="n">
        <v>5515.07</v>
      </c>
    </row>
    <row r="5001">
      <c r="A5001" s="3" t="inlineStr">
        <is>
          <t>Heron View (Pty) Ltd</t>
        </is>
      </c>
      <c r="B5001" s="4" t="n">
        <v>45291</v>
      </c>
      <c r="C5001" s="3" t="inlineStr">
        <is>
          <t>Expenses</t>
        </is>
      </c>
      <c r="D5001" s="3" t="inlineStr">
        <is>
          <t>3900/133</t>
        </is>
      </c>
      <c r="E5001" s="3" t="inlineStr">
        <is>
          <t>Interest Paid - Investors @ 8.25%</t>
        </is>
      </c>
      <c r="F5001" s="3" t="n">
        <v>2034.25</v>
      </c>
      <c r="G5001" s="3" t="n">
        <v>33113.04</v>
      </c>
    </row>
    <row r="5002">
      <c r="A5002" s="3" t="inlineStr">
        <is>
          <t>Heron Fields (Pty) Ltd</t>
        </is>
      </c>
      <c r="B5002" s="4" t="n">
        <v>45291</v>
      </c>
      <c r="C5002" s="3" t="inlineStr">
        <is>
          <t>Expenses</t>
        </is>
      </c>
      <c r="D5002" s="3" t="inlineStr">
        <is>
          <t>3900/140</t>
        </is>
      </c>
      <c r="E5002" s="3" t="inlineStr">
        <is>
          <t>Interest Paid - Investors @ 9%</t>
        </is>
      </c>
      <c r="F5002" s="3" t="n">
        <v>0</v>
      </c>
      <c r="G5002" s="3" t="n">
        <v>591.78</v>
      </c>
    </row>
    <row r="5003">
      <c r="A5003" s="3" t="inlineStr">
        <is>
          <t>Heron View (Pty) Ltd</t>
        </is>
      </c>
      <c r="B5003" s="4" t="n">
        <v>45291</v>
      </c>
      <c r="C5003" s="3" t="inlineStr">
        <is>
          <t>Expenses</t>
        </is>
      </c>
      <c r="D5003" s="3" t="inlineStr">
        <is>
          <t>3900/140</t>
        </is>
      </c>
      <c r="E5003" s="3" t="inlineStr">
        <is>
          <t>Interest Paid - Investors @ 9%</t>
        </is>
      </c>
      <c r="F5003" s="3" t="n">
        <v>6322.22</v>
      </c>
      <c r="G5003" s="3" t="n">
        <v>69137.8</v>
      </c>
    </row>
    <row r="5004">
      <c r="A5004" s="3" t="inlineStr">
        <is>
          <t>Heron View (Pty) Ltd</t>
        </is>
      </c>
      <c r="B5004" s="4" t="n">
        <v>45291</v>
      </c>
      <c r="C5004" s="3" t="inlineStr">
        <is>
          <t>Expenses</t>
        </is>
      </c>
      <c r="D5004" s="3" t="inlineStr">
        <is>
          <t>3900/147</t>
        </is>
      </c>
      <c r="E5004" s="3" t="inlineStr">
        <is>
          <t>Interest Paid - Investors @ 9.75%</t>
        </is>
      </c>
      <c r="F5004" s="3" t="n">
        <v>0</v>
      </c>
      <c r="G5004" s="3" t="n">
        <v>2537.9</v>
      </c>
    </row>
    <row r="5005">
      <c r="A5005" s="3" t="inlineStr">
        <is>
          <t>Heron View (Pty) Ltd</t>
        </is>
      </c>
      <c r="B5005" s="4" t="n">
        <v>45291</v>
      </c>
      <c r="C5005" s="3" t="inlineStr">
        <is>
          <t>Expenses</t>
        </is>
      </c>
      <c r="D5005" s="3" t="inlineStr">
        <is>
          <t>3900/150</t>
        </is>
      </c>
      <c r="E5005" s="3" t="inlineStr">
        <is>
          <t>Interest Paid - Investors @ 10%</t>
        </is>
      </c>
      <c r="F5005" s="3" t="n">
        <v>0</v>
      </c>
      <c r="G5005" s="3" t="n">
        <v>5709.59</v>
      </c>
    </row>
    <row r="5006">
      <c r="A5006" s="3" t="inlineStr">
        <is>
          <t>Heron View (Pty) Ltd</t>
        </is>
      </c>
      <c r="B5006" s="4" t="n">
        <v>45291</v>
      </c>
      <c r="C5006" s="3" t="inlineStr">
        <is>
          <t>Expenses</t>
        </is>
      </c>
      <c r="D5006" s="3" t="inlineStr">
        <is>
          <t>3900/155</t>
        </is>
      </c>
      <c r="E5006" s="3" t="inlineStr">
        <is>
          <t>Interest Paid - Investors @ 10.5%</t>
        </is>
      </c>
      <c r="F5006" s="3" t="n">
        <v>0</v>
      </c>
      <c r="G5006" s="3" t="n">
        <v>19334.38</v>
      </c>
    </row>
    <row r="5007">
      <c r="A5007" s="3" t="inlineStr">
        <is>
          <t>Heron View (Pty) Ltd</t>
        </is>
      </c>
      <c r="B5007" s="4" t="n">
        <v>45291</v>
      </c>
      <c r="C5007" s="3" t="inlineStr">
        <is>
          <t>Expenses</t>
        </is>
      </c>
      <c r="D5007" s="3" t="inlineStr">
        <is>
          <t>3900/160</t>
        </is>
      </c>
      <c r="E5007" s="3" t="inlineStr">
        <is>
          <t>Interest Paid - Investors @ 11%</t>
        </is>
      </c>
      <c r="F5007" s="3" t="n">
        <v>0</v>
      </c>
      <c r="G5007" s="3" t="n">
        <v>9131.51</v>
      </c>
    </row>
    <row r="5008">
      <c r="A5008" s="3" t="inlineStr">
        <is>
          <t>Heron Fields (Pty) Ltd</t>
        </is>
      </c>
      <c r="B5008" s="4" t="n">
        <v>45291</v>
      </c>
      <c r="C5008" s="3" t="inlineStr">
        <is>
          <t>Expenses</t>
        </is>
      </c>
      <c r="D5008" s="3" t="inlineStr">
        <is>
          <t>3900/190</t>
        </is>
      </c>
      <c r="E5008" s="3" t="inlineStr">
        <is>
          <t>Interest Paid - Investors @ 14%</t>
        </is>
      </c>
      <c r="F5008" s="3" t="n">
        <v>0</v>
      </c>
      <c r="G5008" s="3" t="n">
        <v>400367.2</v>
      </c>
    </row>
    <row r="5009">
      <c r="A5009" s="3" t="inlineStr">
        <is>
          <t>Heron View (Pty) Ltd</t>
        </is>
      </c>
      <c r="B5009" s="4" t="n">
        <v>45291</v>
      </c>
      <c r="C5009" s="3" t="inlineStr">
        <is>
          <t>Expenses</t>
        </is>
      </c>
      <c r="D5009" s="3" t="inlineStr">
        <is>
          <t>3900/190</t>
        </is>
      </c>
      <c r="E5009" s="3" t="inlineStr">
        <is>
          <t>Interest Paid - Investors @ 14%</t>
        </is>
      </c>
      <c r="F5009" s="3" t="n">
        <v>0</v>
      </c>
      <c r="G5009" s="3" t="n">
        <v>605212.3</v>
      </c>
    </row>
    <row r="5010">
      <c r="A5010" s="3" t="inlineStr">
        <is>
          <t>Heron Fields (Pty) Ltd</t>
        </is>
      </c>
      <c r="B5010" s="4" t="n">
        <v>45291</v>
      </c>
      <c r="C5010" s="3" t="inlineStr">
        <is>
          <t>Expenses</t>
        </is>
      </c>
      <c r="D5010" s="3" t="inlineStr">
        <is>
          <t>3900/200</t>
        </is>
      </c>
      <c r="E5010" s="3" t="inlineStr">
        <is>
          <t>Interest Paid - Investors @ 15%</t>
        </is>
      </c>
      <c r="F5010" s="3" t="n">
        <v>0</v>
      </c>
      <c r="G5010" s="3" t="n">
        <v>333349.31</v>
      </c>
    </row>
    <row r="5011">
      <c r="A5011" s="3" t="inlineStr">
        <is>
          <t>Heron Fields (Pty) Ltd</t>
        </is>
      </c>
      <c r="B5011" s="4" t="n">
        <v>45291</v>
      </c>
      <c r="C5011" s="3" t="inlineStr">
        <is>
          <t>Expenses</t>
        </is>
      </c>
      <c r="D5011" s="3" t="inlineStr">
        <is>
          <t>3900/210</t>
        </is>
      </c>
      <c r="E5011" s="3" t="inlineStr">
        <is>
          <t>Interest Paid - Investors @ 16%</t>
        </is>
      </c>
      <c r="F5011" s="3" t="n">
        <v>0</v>
      </c>
      <c r="G5011" s="3" t="n">
        <v>47473.98</v>
      </c>
    </row>
    <row r="5012">
      <c r="A5012" s="3" t="inlineStr">
        <is>
          <t>Heron View (Pty) Ltd</t>
        </is>
      </c>
      <c r="B5012" s="4" t="n">
        <v>45291</v>
      </c>
      <c r="C5012" s="3" t="inlineStr">
        <is>
          <t>Expenses</t>
        </is>
      </c>
      <c r="D5012" s="3" t="inlineStr">
        <is>
          <t>3900/210</t>
        </is>
      </c>
      <c r="E5012" s="3" t="inlineStr">
        <is>
          <t>Interest Paid - Investors @ 16%</t>
        </is>
      </c>
      <c r="F5012" s="3" t="n">
        <v>92712.32000000001</v>
      </c>
      <c r="G5012" s="3" t="n">
        <v>221027.94</v>
      </c>
    </row>
    <row r="5013">
      <c r="A5013" s="3" t="inlineStr">
        <is>
          <t>Heron Fields (Pty) Ltd</t>
        </is>
      </c>
      <c r="B5013" s="4" t="n">
        <v>45291</v>
      </c>
      <c r="C5013" s="3" t="inlineStr">
        <is>
          <t>Expenses</t>
        </is>
      </c>
      <c r="D5013" s="3" t="inlineStr">
        <is>
          <t>3900/230</t>
        </is>
      </c>
      <c r="E5013" s="3" t="inlineStr">
        <is>
          <t>Interest Paid - Investors @ 18%</t>
        </is>
      </c>
      <c r="F5013" s="3" t="n">
        <v>0</v>
      </c>
      <c r="G5013" s="3" t="n">
        <v>3197167.68</v>
      </c>
    </row>
    <row r="5014">
      <c r="A5014" s="3" t="inlineStr">
        <is>
          <t>Heron View (Pty) Ltd</t>
        </is>
      </c>
      <c r="B5014" s="4" t="n">
        <v>45291</v>
      </c>
      <c r="C5014" s="3" t="inlineStr">
        <is>
          <t>Expenses</t>
        </is>
      </c>
      <c r="D5014" s="3" t="inlineStr">
        <is>
          <t>3900/230</t>
        </is>
      </c>
      <c r="E5014" s="3" t="inlineStr">
        <is>
          <t>Interest Paid - Investors @ 18%</t>
        </is>
      </c>
      <c r="F5014" s="3" t="n">
        <v>105583.63</v>
      </c>
      <c r="G5014" s="3" t="n">
        <v>1738149.71</v>
      </c>
    </row>
    <row r="5015">
      <c r="A5015" s="3" t="inlineStr">
        <is>
          <t>Cape Projects Construction (Pty) Ltd</t>
        </is>
      </c>
      <c r="B5015" s="4" t="n">
        <v>45291</v>
      </c>
      <c r="C5015" s="3" t="inlineStr">
        <is>
          <t>Expenses</t>
        </is>
      </c>
      <c r="D5015" s="3" t="inlineStr">
        <is>
          <t>4000/000</t>
        </is>
      </c>
      <c r="E5015" s="3" t="inlineStr">
        <is>
          <t>Legal Fees</t>
        </is>
      </c>
      <c r="F5015" s="3" t="n">
        <v>0</v>
      </c>
      <c r="G5015" s="3" t="n">
        <v>5202.88</v>
      </c>
    </row>
    <row r="5016">
      <c r="A5016" s="3" t="inlineStr">
        <is>
          <t>Heron View (Pty) Ltd</t>
        </is>
      </c>
      <c r="B5016" s="4" t="n">
        <v>45291</v>
      </c>
      <c r="C5016" s="3" t="inlineStr">
        <is>
          <t>Expenses</t>
        </is>
      </c>
      <c r="D5016" s="3" t="inlineStr">
        <is>
          <t>4040/000</t>
        </is>
      </c>
      <c r="E5016" s="3" t="inlineStr">
        <is>
          <t>Levies - Special Levies</t>
        </is>
      </c>
      <c r="F5016" s="3" t="n">
        <v>66011.50999999999</v>
      </c>
      <c r="G5016" s="3" t="n">
        <v>66011.50999999999</v>
      </c>
    </row>
    <row r="5017">
      <c r="A5017" s="3" t="inlineStr">
        <is>
          <t>Heron View (Pty) Ltd</t>
        </is>
      </c>
      <c r="B5017" s="4" t="n">
        <v>45291</v>
      </c>
      <c r="C5017" s="3" t="inlineStr">
        <is>
          <t>Expenses</t>
        </is>
      </c>
      <c r="D5017" s="3" t="inlineStr">
        <is>
          <t>4050/000</t>
        </is>
      </c>
      <c r="E5017" s="3" t="inlineStr">
        <is>
          <t>Levies</t>
        </is>
      </c>
      <c r="F5017" s="3" t="n">
        <v>-92227.34</v>
      </c>
      <c r="G5017" s="3" t="n">
        <v>3087.1</v>
      </c>
    </row>
    <row r="5018">
      <c r="A5018" s="3" t="inlineStr">
        <is>
          <t>Heron Fields (Pty) Ltd</t>
        </is>
      </c>
      <c r="B5018" s="4" t="n">
        <v>45291</v>
      </c>
      <c r="C5018" s="3" t="inlineStr">
        <is>
          <t>Expenses</t>
        </is>
      </c>
      <c r="D5018" s="3" t="inlineStr">
        <is>
          <t>4050/100</t>
        </is>
      </c>
      <c r="E5018" s="3" t="inlineStr">
        <is>
          <t>Developers Levies</t>
        </is>
      </c>
      <c r="F5018" s="3" t="n">
        <v>0</v>
      </c>
      <c r="G5018" s="3" t="n">
        <v>76865.83</v>
      </c>
    </row>
    <row r="5019">
      <c r="A5019" s="3" t="inlineStr">
        <is>
          <t>Heron Fields (Pty) Ltd</t>
        </is>
      </c>
      <c r="B5019" s="4" t="n">
        <v>45291</v>
      </c>
      <c r="C5019" s="3" t="inlineStr">
        <is>
          <t>Expenses</t>
        </is>
      </c>
      <c r="D5019" s="3" t="inlineStr">
        <is>
          <t>4050/200</t>
        </is>
      </c>
      <c r="E5019" s="3" t="inlineStr">
        <is>
          <t>Levies - Amari</t>
        </is>
      </c>
      <c r="F5019" s="3" t="n">
        <v>5105.18</v>
      </c>
      <c r="G5019" s="3" t="n">
        <v>24780.75</v>
      </c>
    </row>
    <row r="5020">
      <c r="A5020" s="3" t="inlineStr">
        <is>
          <t>Heron View (Pty) Ltd</t>
        </is>
      </c>
      <c r="B5020" s="4" t="n">
        <v>45291</v>
      </c>
      <c r="C5020" s="3" t="inlineStr">
        <is>
          <t>Expenses</t>
        </is>
      </c>
      <c r="D5020" s="3" t="inlineStr">
        <is>
          <t>4060/000</t>
        </is>
      </c>
      <c r="E5020" s="3" t="inlineStr">
        <is>
          <t>Levies - Developer</t>
        </is>
      </c>
      <c r="F5020" s="3" t="n">
        <v>11879.1</v>
      </c>
      <c r="G5020" s="3" t="n">
        <v>11879.1</v>
      </c>
    </row>
    <row r="5021">
      <c r="A5021" s="3" t="inlineStr">
        <is>
          <t>Heron View (Pty) Ltd</t>
        </is>
      </c>
      <c r="B5021" s="4" t="n">
        <v>45291</v>
      </c>
      <c r="C5021" s="3" t="inlineStr">
        <is>
          <t>Expenses</t>
        </is>
      </c>
      <c r="D5021" s="3" t="inlineStr">
        <is>
          <t>4070/000</t>
        </is>
      </c>
      <c r="E5021" s="3" t="inlineStr">
        <is>
          <t>Management fees - OMH</t>
        </is>
      </c>
      <c r="F5021" s="3" t="n">
        <v>0</v>
      </c>
      <c r="G5021" s="3" t="n">
        <v>400000</v>
      </c>
    </row>
    <row r="5022">
      <c r="A5022" s="3" t="inlineStr">
        <is>
          <t>Heron Fields (Pty) Ltd</t>
        </is>
      </c>
      <c r="B5022" s="4" t="n">
        <v>45291</v>
      </c>
      <c r="C5022" s="3" t="inlineStr">
        <is>
          <t>Expenses</t>
        </is>
      </c>
      <c r="D5022" s="3" t="inlineStr">
        <is>
          <t>4100/001</t>
        </is>
      </c>
      <c r="E5022" s="3" t="inlineStr">
        <is>
          <t>Momentum Admin Fee</t>
        </is>
      </c>
      <c r="F5022" s="3" t="n">
        <v>11793.8</v>
      </c>
      <c r="G5022" s="3" t="n">
        <v>121463.92</v>
      </c>
    </row>
    <row r="5023">
      <c r="A5023" s="3" t="inlineStr">
        <is>
          <t>Cape Projects Construction (Pty) Ltd</t>
        </is>
      </c>
      <c r="B5023" s="4" t="n">
        <v>45291</v>
      </c>
      <c r="C5023" s="3" t="inlineStr">
        <is>
          <t>Expenses</t>
        </is>
      </c>
      <c r="D5023" s="3" t="inlineStr">
        <is>
          <t>4150/000</t>
        </is>
      </c>
      <c r="E5023" s="3" t="inlineStr">
        <is>
          <t>Motor Vehicle Expenses</t>
        </is>
      </c>
      <c r="F5023" s="3" t="n">
        <v>0</v>
      </c>
      <c r="G5023" s="3" t="n">
        <v>362</v>
      </c>
    </row>
    <row r="5024">
      <c r="A5024" s="3" t="inlineStr">
        <is>
          <t>Heron Fields (Pty) Ltd</t>
        </is>
      </c>
      <c r="B5024" s="4" t="n">
        <v>45291</v>
      </c>
      <c r="C5024" s="3" t="inlineStr">
        <is>
          <t>Expenses</t>
        </is>
      </c>
      <c r="D5024" s="3" t="inlineStr">
        <is>
          <t>4150/000</t>
        </is>
      </c>
      <c r="E5024" s="3" t="inlineStr">
        <is>
          <t>Motor Vehicle Expenses</t>
        </is>
      </c>
      <c r="F5024" s="3" t="n">
        <v>0</v>
      </c>
      <c r="G5024" s="3" t="n">
        <v>20</v>
      </c>
    </row>
    <row r="5025">
      <c r="A5025" s="3" t="inlineStr">
        <is>
          <t>Cape Projects Construction (Pty) Ltd</t>
        </is>
      </c>
      <c r="B5025" s="4" t="n">
        <v>45291</v>
      </c>
      <c r="C5025" s="3" t="inlineStr">
        <is>
          <t>Expenses</t>
        </is>
      </c>
      <c r="D5025" s="3" t="inlineStr">
        <is>
          <t>4150/010</t>
        </is>
      </c>
      <c r="E5025" s="3" t="inlineStr">
        <is>
          <t>Motor Vehicle - Petrol _AND_ Oil</t>
        </is>
      </c>
      <c r="F5025" s="3" t="n">
        <v>3281.84</v>
      </c>
      <c r="G5025" s="3" t="n">
        <v>39032.15</v>
      </c>
    </row>
    <row r="5026">
      <c r="A5026" s="3" t="inlineStr">
        <is>
          <t>Cape Projects Construction (Pty) Ltd</t>
        </is>
      </c>
      <c r="B5026" s="4" t="n">
        <v>45291</v>
      </c>
      <c r="C5026" s="3" t="inlineStr">
        <is>
          <t>Expenses</t>
        </is>
      </c>
      <c r="D5026" s="3" t="inlineStr">
        <is>
          <t>4150/020</t>
        </is>
      </c>
      <c r="E5026" s="3" t="inlineStr">
        <is>
          <t>Motor Vehicle - Repairs _AND_ Maint.</t>
        </is>
      </c>
      <c r="F5026" s="3" t="n">
        <v>0</v>
      </c>
      <c r="G5026" s="3" t="n">
        <v>3668.3</v>
      </c>
    </row>
    <row r="5027">
      <c r="A5027" s="3" t="inlineStr">
        <is>
          <t>Cape Projects Construction (Pty) Ltd</t>
        </is>
      </c>
      <c r="B5027" s="4" t="n">
        <v>45291</v>
      </c>
      <c r="C5027" s="3" t="inlineStr">
        <is>
          <t>Expenses</t>
        </is>
      </c>
      <c r="D5027" s="3" t="inlineStr">
        <is>
          <t>4150/030</t>
        </is>
      </c>
      <c r="E5027" s="3" t="inlineStr">
        <is>
          <t>Motor Vehicle - Insurance _AND_ Licence</t>
        </is>
      </c>
      <c r="F5027" s="3" t="n">
        <v>0</v>
      </c>
      <c r="G5027" s="3" t="n">
        <v>1069</v>
      </c>
    </row>
    <row r="5028">
      <c r="A5028" s="3" t="inlineStr">
        <is>
          <t>Cape Projects Construction (Pty) Ltd</t>
        </is>
      </c>
      <c r="B5028" s="4" t="n">
        <v>45291</v>
      </c>
      <c r="C5028" s="3" t="inlineStr">
        <is>
          <t>Expenses</t>
        </is>
      </c>
      <c r="D5028" s="3" t="inlineStr">
        <is>
          <t>4200/000</t>
        </is>
      </c>
      <c r="E5028" s="3" t="inlineStr">
        <is>
          <t>Printing _AND_ Stationery</t>
        </is>
      </c>
      <c r="F5028" s="3" t="n">
        <v>4891.29</v>
      </c>
      <c r="G5028" s="3" t="n">
        <v>38516.39</v>
      </c>
    </row>
    <row r="5029">
      <c r="A5029" s="3" t="inlineStr">
        <is>
          <t>Cape Projects Construction (Pty) Ltd</t>
        </is>
      </c>
      <c r="B5029" s="4" t="n">
        <v>45291</v>
      </c>
      <c r="C5029" s="3" t="inlineStr">
        <is>
          <t>Expenses</t>
        </is>
      </c>
      <c r="D5029" s="3" t="inlineStr">
        <is>
          <t>4201/000</t>
        </is>
      </c>
      <c r="E5029" s="3" t="inlineStr">
        <is>
          <t>Printing - Printer rental</t>
        </is>
      </c>
      <c r="F5029" s="3" t="n">
        <v>2401.59</v>
      </c>
      <c r="G5029" s="3" t="n">
        <v>21456.21</v>
      </c>
    </row>
    <row r="5030">
      <c r="A5030" s="3" t="inlineStr">
        <is>
          <t>Cape Projects Construction (Pty) Ltd</t>
        </is>
      </c>
      <c r="B5030" s="4" t="n">
        <v>45291</v>
      </c>
      <c r="C5030" s="3" t="inlineStr">
        <is>
          <t>Expenses</t>
        </is>
      </c>
      <c r="D5030" s="3" t="inlineStr">
        <is>
          <t>4300/000</t>
        </is>
      </c>
      <c r="E5030" s="3" t="inlineStr">
        <is>
          <t>Rent Paid</t>
        </is>
      </c>
      <c r="F5030" s="3" t="n">
        <v>31820</v>
      </c>
      <c r="G5030" s="3" t="n">
        <v>300440</v>
      </c>
    </row>
    <row r="5031">
      <c r="A5031" s="3" t="inlineStr">
        <is>
          <t>Cape Projects Construction (Pty) Ltd</t>
        </is>
      </c>
      <c r="B5031" s="4" t="n">
        <v>45291</v>
      </c>
      <c r="C5031" s="3" t="inlineStr">
        <is>
          <t>Expenses</t>
        </is>
      </c>
      <c r="D5031" s="3" t="inlineStr">
        <is>
          <t>4310/000</t>
        </is>
      </c>
      <c r="E5031" s="3" t="inlineStr">
        <is>
          <t>Rates</t>
        </is>
      </c>
      <c r="F5031" s="3" t="n">
        <v>9027.469999999999</v>
      </c>
      <c r="G5031" s="3" t="n">
        <v>19085.76</v>
      </c>
    </row>
    <row r="5032">
      <c r="A5032" s="3" t="inlineStr">
        <is>
          <t>Heron Fields (Pty) Ltd</t>
        </is>
      </c>
      <c r="B5032" s="4" t="n">
        <v>45291</v>
      </c>
      <c r="C5032" s="3" t="inlineStr">
        <is>
          <t>Expenses</t>
        </is>
      </c>
      <c r="D5032" s="3" t="inlineStr">
        <is>
          <t>4310/000</t>
        </is>
      </c>
      <c r="E5032" s="3" t="inlineStr">
        <is>
          <t>Rates - Heron</t>
        </is>
      </c>
      <c r="F5032" s="3" t="n">
        <v>0</v>
      </c>
      <c r="G5032" s="3" t="n">
        <v>211633.66</v>
      </c>
    </row>
    <row r="5033">
      <c r="A5033" s="3" t="inlineStr">
        <is>
          <t>Cape Projects Construction (Pty) Ltd</t>
        </is>
      </c>
      <c r="B5033" s="4" t="n">
        <v>45291</v>
      </c>
      <c r="C5033" s="3" t="inlineStr">
        <is>
          <t>Expenses</t>
        </is>
      </c>
      <c r="D5033" s="3" t="inlineStr">
        <is>
          <t>4350/000</t>
        </is>
      </c>
      <c r="E5033" s="3" t="inlineStr">
        <is>
          <t>Repairs _AND_ Maintenance</t>
        </is>
      </c>
      <c r="F5033" s="3" t="n">
        <v>0</v>
      </c>
      <c r="G5033" s="3" t="n">
        <v>16125.02</v>
      </c>
    </row>
    <row r="5034">
      <c r="A5034" s="3" t="inlineStr">
        <is>
          <t>Heron Fields (Pty) Ltd</t>
        </is>
      </c>
      <c r="B5034" s="4" t="n">
        <v>45291</v>
      </c>
      <c r="C5034" s="3" t="inlineStr">
        <is>
          <t>Expenses</t>
        </is>
      </c>
      <c r="D5034" s="3" t="inlineStr">
        <is>
          <t>4350/000</t>
        </is>
      </c>
      <c r="E5034" s="3" t="inlineStr">
        <is>
          <t>Repairs _AND_ Maintenance</t>
        </is>
      </c>
      <c r="F5034" s="3" t="n">
        <v>0</v>
      </c>
      <c r="G5034" s="3" t="n">
        <v>34547.28</v>
      </c>
    </row>
    <row r="5035">
      <c r="A5035" s="3" t="inlineStr">
        <is>
          <t>Heron View (Pty) Ltd</t>
        </is>
      </c>
      <c r="B5035" s="4" t="n">
        <v>45291</v>
      </c>
      <c r="C5035" s="3" t="inlineStr">
        <is>
          <t>Expenses</t>
        </is>
      </c>
      <c r="D5035" s="3" t="inlineStr">
        <is>
          <t>4350/000</t>
        </is>
      </c>
      <c r="E5035" s="3" t="inlineStr">
        <is>
          <t>Repairs _AND_ Maintenance</t>
        </is>
      </c>
      <c r="F5035" s="3" t="n">
        <v>0</v>
      </c>
      <c r="G5035" s="3" t="n">
        <v>15563.49</v>
      </c>
    </row>
    <row r="5036">
      <c r="A5036" s="3" t="inlineStr">
        <is>
          <t>Cape Projects Construction (Pty) Ltd</t>
        </is>
      </c>
      <c r="B5036" s="4" t="n">
        <v>45291</v>
      </c>
      <c r="C5036" s="3" t="inlineStr">
        <is>
          <t>Expenses</t>
        </is>
      </c>
      <c r="D5036" s="3" t="inlineStr">
        <is>
          <t>4400/000</t>
        </is>
      </c>
      <c r="E5036" s="3" t="inlineStr">
        <is>
          <t>Salaries _AND_ Wages</t>
        </is>
      </c>
      <c r="F5036" s="3" t="n">
        <v>463088.48</v>
      </c>
      <c r="G5036" s="3" t="n">
        <v>3795507.61</v>
      </c>
    </row>
    <row r="5037">
      <c r="A5037" s="3" t="inlineStr">
        <is>
          <t>Cape Projects Construction (Pty) Ltd</t>
        </is>
      </c>
      <c r="B5037" s="4" t="n">
        <v>45291</v>
      </c>
      <c r="C5037" s="3" t="inlineStr">
        <is>
          <t>Expenses</t>
        </is>
      </c>
      <c r="D5037" s="3" t="inlineStr">
        <is>
          <t>4402</t>
        </is>
      </c>
      <c r="E5037" s="3" t="inlineStr">
        <is>
          <t>Salaries &amp; Wages - WCA</t>
        </is>
      </c>
      <c r="F5037" s="3" t="n">
        <v>0</v>
      </c>
      <c r="G5037" s="3" t="n">
        <v>5192.13</v>
      </c>
    </row>
    <row r="5038">
      <c r="A5038" s="3" t="inlineStr">
        <is>
          <t>Cape Projects Construction (Pty) Ltd</t>
        </is>
      </c>
      <c r="B5038" s="4" t="n">
        <v>45291</v>
      </c>
      <c r="C5038" s="3" t="inlineStr">
        <is>
          <t>Expenses</t>
        </is>
      </c>
      <c r="D5038" s="3" t="inlineStr">
        <is>
          <t>4403/000</t>
        </is>
      </c>
      <c r="E5038" s="3" t="inlineStr">
        <is>
          <t>Security</t>
        </is>
      </c>
      <c r="F5038" s="3" t="n">
        <v>191.17</v>
      </c>
      <c r="G5038" s="3" t="n">
        <v>1814.82</v>
      </c>
    </row>
    <row r="5039">
      <c r="A5039" s="3" t="inlineStr">
        <is>
          <t>Heron Fields (Pty) Ltd</t>
        </is>
      </c>
      <c r="B5039" s="4" t="n">
        <v>45291</v>
      </c>
      <c r="C5039" s="3" t="inlineStr">
        <is>
          <t>Expenses</t>
        </is>
      </c>
      <c r="D5039" s="3" t="inlineStr">
        <is>
          <t>4420/000</t>
        </is>
      </c>
      <c r="E5039" s="3" t="inlineStr">
        <is>
          <t>Security</t>
        </is>
      </c>
      <c r="F5039" s="3" t="n">
        <v>0</v>
      </c>
      <c r="G5039" s="3" t="n">
        <v>7198.71</v>
      </c>
    </row>
    <row r="5040">
      <c r="A5040" s="3" t="inlineStr">
        <is>
          <t>Cape Projects Construction (Pty) Ltd</t>
        </is>
      </c>
      <c r="B5040" s="4" t="n">
        <v>45291</v>
      </c>
      <c r="C5040" s="3" t="inlineStr">
        <is>
          <t>Expenses</t>
        </is>
      </c>
      <c r="D5040" s="3" t="inlineStr">
        <is>
          <t>4420/000</t>
        </is>
      </c>
      <c r="E5040" s="3" t="inlineStr">
        <is>
          <t>Small Assets</t>
        </is>
      </c>
      <c r="F5040" s="3" t="n">
        <v>0</v>
      </c>
      <c r="G5040" s="3" t="n">
        <v>31010.74</v>
      </c>
    </row>
    <row r="5041">
      <c r="A5041" s="3" t="inlineStr">
        <is>
          <t>Heron Fields (Pty) Ltd</t>
        </is>
      </c>
      <c r="B5041" s="4" t="n">
        <v>45291</v>
      </c>
      <c r="C5041" s="3" t="inlineStr">
        <is>
          <t>Expenses</t>
        </is>
      </c>
      <c r="D5041" s="3" t="inlineStr">
        <is>
          <t>4420/001</t>
        </is>
      </c>
      <c r="E5041" s="3" t="inlineStr">
        <is>
          <t>Security - ADT</t>
        </is>
      </c>
      <c r="F5041" s="3" t="n">
        <v>1119.77</v>
      </c>
      <c r="G5041" s="3" t="n">
        <v>4301.75</v>
      </c>
    </row>
    <row r="5042">
      <c r="A5042" s="3" t="inlineStr">
        <is>
          <t>Cape Projects Construction (Pty) Ltd</t>
        </is>
      </c>
      <c r="B5042" s="4" t="n">
        <v>45291</v>
      </c>
      <c r="C5042" s="3" t="inlineStr">
        <is>
          <t>Expenses</t>
        </is>
      </c>
      <c r="D5042" s="3" t="inlineStr">
        <is>
          <t>4450/000</t>
        </is>
      </c>
      <c r="E5042" s="3" t="inlineStr">
        <is>
          <t>Staff Training</t>
        </is>
      </c>
      <c r="F5042" s="3" t="n">
        <v>0</v>
      </c>
      <c r="G5042" s="3" t="n">
        <v>3452.7</v>
      </c>
    </row>
    <row r="5043">
      <c r="A5043" s="3" t="inlineStr">
        <is>
          <t>Cape Projects Construction (Pty) Ltd</t>
        </is>
      </c>
      <c r="B5043" s="4" t="n">
        <v>45291</v>
      </c>
      <c r="C5043" s="3" t="inlineStr">
        <is>
          <t>Expenses</t>
        </is>
      </c>
      <c r="D5043" s="3" t="inlineStr">
        <is>
          <t>4500/000</t>
        </is>
      </c>
      <c r="E5043" s="3" t="inlineStr">
        <is>
          <t>Staff Welfare _AND_ Refreshmts</t>
        </is>
      </c>
      <c r="F5043" s="3" t="n">
        <v>1639.02</v>
      </c>
      <c r="G5043" s="3" t="n">
        <v>34472.56</v>
      </c>
    </row>
    <row r="5044">
      <c r="A5044" s="3" t="inlineStr">
        <is>
          <t>Cape Projects Construction (Pty) Ltd</t>
        </is>
      </c>
      <c r="B5044" s="4" t="n">
        <v>45291</v>
      </c>
      <c r="C5044" s="3" t="inlineStr">
        <is>
          <t>Expenses</t>
        </is>
      </c>
      <c r="D5044" s="3" t="inlineStr">
        <is>
          <t>4550/000</t>
        </is>
      </c>
      <c r="E5044" s="3" t="inlineStr">
        <is>
          <t>Subscriptions / Licenses</t>
        </is>
      </c>
      <c r="F5044" s="3" t="n">
        <v>0</v>
      </c>
      <c r="G5044" s="3" t="n">
        <v>13527.97</v>
      </c>
    </row>
    <row r="5045">
      <c r="A5045" s="3" t="inlineStr">
        <is>
          <t>Cape Projects Construction (Pty) Ltd</t>
        </is>
      </c>
      <c r="B5045" s="4" t="n">
        <v>45291</v>
      </c>
      <c r="C5045" s="3" t="inlineStr">
        <is>
          <t>Expenses</t>
        </is>
      </c>
      <c r="D5045" s="3" t="inlineStr">
        <is>
          <t>4550/001</t>
        </is>
      </c>
      <c r="E5045" s="3" t="inlineStr">
        <is>
          <t>Subscriptions &amp; Licenses - Sage payroll</t>
        </is>
      </c>
      <c r="F5045" s="3" t="n">
        <v>747</v>
      </c>
      <c r="G5045" s="3" t="n">
        <v>7470</v>
      </c>
    </row>
    <row r="5046">
      <c r="A5046" s="3" t="inlineStr">
        <is>
          <t>Cape Projects Construction (Pty) Ltd</t>
        </is>
      </c>
      <c r="B5046" s="4" t="n">
        <v>45291</v>
      </c>
      <c r="C5046" s="3" t="inlineStr">
        <is>
          <t>Expenses</t>
        </is>
      </c>
      <c r="D5046" s="3" t="inlineStr">
        <is>
          <t>4550/002</t>
        </is>
      </c>
      <c r="E5046" s="3" t="inlineStr">
        <is>
          <t>Subscriptions &amp; Licenses - Caseware</t>
        </is>
      </c>
      <c r="F5046" s="3" t="n">
        <v>0</v>
      </c>
      <c r="G5046" s="3" t="n">
        <v>10825.49</v>
      </c>
    </row>
    <row r="5047">
      <c r="A5047" s="3" t="inlineStr">
        <is>
          <t>Cape Projects Construction (Pty) Ltd</t>
        </is>
      </c>
      <c r="B5047" s="4" t="n">
        <v>45291</v>
      </c>
      <c r="C5047" s="3" t="inlineStr">
        <is>
          <t>Expenses</t>
        </is>
      </c>
      <c r="D5047" s="3" t="inlineStr">
        <is>
          <t>4550/003</t>
        </is>
      </c>
      <c r="E5047" s="3" t="inlineStr">
        <is>
          <t>Subscriptions &amp; Licenses - Xero</t>
        </is>
      </c>
      <c r="F5047" s="3" t="n">
        <v>600</v>
      </c>
      <c r="G5047" s="3" t="n">
        <v>6000</v>
      </c>
    </row>
    <row r="5048">
      <c r="A5048" s="3" t="inlineStr">
        <is>
          <t>Cape Projects Construction (Pty) Ltd</t>
        </is>
      </c>
      <c r="B5048" s="4" t="n">
        <v>45291</v>
      </c>
      <c r="C5048" s="3" t="inlineStr">
        <is>
          <t>Expenses</t>
        </is>
      </c>
      <c r="D5048" s="3" t="inlineStr">
        <is>
          <t>4550/004</t>
        </is>
      </c>
      <c r="E5048" s="3" t="inlineStr">
        <is>
          <t>Subscriptions - Smartsheet</t>
        </is>
      </c>
      <c r="F5048" s="3" t="n">
        <v>1089</v>
      </c>
      <c r="G5048" s="3" t="n">
        <v>8885.41</v>
      </c>
    </row>
    <row r="5049">
      <c r="A5049" s="3" t="inlineStr">
        <is>
          <t>Cape Projects Construction (Pty) Ltd</t>
        </is>
      </c>
      <c r="B5049" s="4" t="n">
        <v>45291</v>
      </c>
      <c r="C5049" s="3" t="inlineStr">
        <is>
          <t>Expenses</t>
        </is>
      </c>
      <c r="D5049" s="3" t="inlineStr">
        <is>
          <t>4550/007</t>
        </is>
      </c>
      <c r="E5049" s="3" t="inlineStr">
        <is>
          <t>Subscription &amp; Licenses - ERS Bio</t>
        </is>
      </c>
      <c r="F5049" s="3" t="n">
        <v>718.9299999999999</v>
      </c>
      <c r="G5049" s="3" t="n">
        <v>2156.79</v>
      </c>
    </row>
    <row r="5050">
      <c r="A5050" s="3" t="inlineStr">
        <is>
          <t>Cape Projects Construction (Pty) Ltd</t>
        </is>
      </c>
      <c r="B5050" s="4" t="n">
        <v>45291</v>
      </c>
      <c r="C5050" s="3" t="inlineStr">
        <is>
          <t>Expenses</t>
        </is>
      </c>
      <c r="D5050" s="3" t="inlineStr">
        <is>
          <t>4550/008</t>
        </is>
      </c>
      <c r="E5050" s="3" t="inlineStr">
        <is>
          <t>Subscriptions  - Adobe</t>
        </is>
      </c>
      <c r="F5050" s="3" t="n">
        <v>0</v>
      </c>
      <c r="G5050" s="3" t="n">
        <v>4498.72</v>
      </c>
    </row>
    <row r="5051">
      <c r="A5051" s="3" t="inlineStr">
        <is>
          <t>Heron Fields (Pty) Ltd</t>
        </is>
      </c>
      <c r="B5051" s="4" t="n">
        <v>45291</v>
      </c>
      <c r="C5051" s="3" t="inlineStr">
        <is>
          <t>Expenses</t>
        </is>
      </c>
      <c r="D5051" s="3" t="inlineStr">
        <is>
          <t>4550/100</t>
        </is>
      </c>
      <c r="E5051" s="3" t="inlineStr">
        <is>
          <t>Subscriptions - Xero</t>
        </is>
      </c>
      <c r="F5051" s="3" t="n">
        <v>600</v>
      </c>
      <c r="G5051" s="3" t="n">
        <v>6000</v>
      </c>
    </row>
    <row r="5052">
      <c r="A5052" s="3" t="inlineStr">
        <is>
          <t>Heron View (Pty) Ltd</t>
        </is>
      </c>
      <c r="B5052" s="4" t="n">
        <v>45291</v>
      </c>
      <c r="C5052" s="3" t="inlineStr">
        <is>
          <t>Expenses</t>
        </is>
      </c>
      <c r="D5052" s="3" t="inlineStr">
        <is>
          <t>4550/100</t>
        </is>
      </c>
      <c r="E5052" s="3" t="inlineStr">
        <is>
          <t>Subscriptions - Xero</t>
        </is>
      </c>
      <c r="F5052" s="3" t="n">
        <v>600</v>
      </c>
      <c r="G5052" s="3" t="n">
        <v>6000</v>
      </c>
    </row>
    <row r="5053">
      <c r="A5053" s="3" t="inlineStr">
        <is>
          <t>Heron Fields (Pty) Ltd</t>
        </is>
      </c>
      <c r="B5053" s="4" t="n">
        <v>45291</v>
      </c>
      <c r="C5053" s="3" t="inlineStr">
        <is>
          <t>Expenses</t>
        </is>
      </c>
      <c r="D5053" s="3" t="inlineStr">
        <is>
          <t>4550/200</t>
        </is>
      </c>
      <c r="E5053" s="3" t="inlineStr">
        <is>
          <t>Subscription - NHBRC</t>
        </is>
      </c>
      <c r="F5053" s="3" t="n">
        <v>0</v>
      </c>
      <c r="G5053" s="3" t="n">
        <v>526.3200000000001</v>
      </c>
    </row>
    <row r="5054">
      <c r="A5054" s="3" t="inlineStr">
        <is>
          <t>Cape Projects Construction (Pty) Ltd</t>
        </is>
      </c>
      <c r="B5054" s="4" t="n">
        <v>45291</v>
      </c>
      <c r="C5054" s="3" t="inlineStr">
        <is>
          <t>Expenses</t>
        </is>
      </c>
      <c r="D5054" s="3" t="inlineStr">
        <is>
          <t>4560</t>
        </is>
      </c>
      <c r="E5054" s="3" t="inlineStr">
        <is>
          <t>Secretarial fees - CIPC</t>
        </is>
      </c>
      <c r="F5054" s="3" t="n">
        <v>0</v>
      </c>
      <c r="G5054" s="3" t="n">
        <v>4000</v>
      </c>
    </row>
    <row r="5055">
      <c r="A5055" s="3" t="inlineStr">
        <is>
          <t>Cape Projects Construction (Pty) Ltd</t>
        </is>
      </c>
      <c r="B5055" s="4" t="n">
        <v>45291</v>
      </c>
      <c r="C5055" s="3" t="inlineStr">
        <is>
          <t>Expenses</t>
        </is>
      </c>
      <c r="D5055" s="3" t="inlineStr">
        <is>
          <t>4600/000</t>
        </is>
      </c>
      <c r="E5055" s="3" t="inlineStr">
        <is>
          <t>Telephone _AND_ Fax</t>
        </is>
      </c>
      <c r="F5055" s="3" t="n">
        <v>0</v>
      </c>
      <c r="G5055" s="3" t="n">
        <v>11566.33</v>
      </c>
    </row>
    <row r="5056">
      <c r="A5056" s="3" t="inlineStr">
        <is>
          <t>Cape Projects Construction (Pty) Ltd</t>
        </is>
      </c>
      <c r="B5056" s="4" t="n">
        <v>45291</v>
      </c>
      <c r="C5056" s="3" t="inlineStr">
        <is>
          <t>Expenses</t>
        </is>
      </c>
      <c r="D5056" s="3" t="inlineStr">
        <is>
          <t>4700/000</t>
        </is>
      </c>
      <c r="E5056" s="3" t="inlineStr">
        <is>
          <t>PAYE Contributions</t>
        </is>
      </c>
      <c r="F5056" s="3" t="n">
        <v>101779.19</v>
      </c>
      <c r="G5056" s="3" t="n">
        <v>848311.76</v>
      </c>
    </row>
    <row r="5057">
      <c r="A5057" s="3" t="inlineStr">
        <is>
          <t>Cape Projects Construction (Pty) Ltd</t>
        </is>
      </c>
      <c r="B5057" s="4" t="n">
        <v>45291</v>
      </c>
      <c r="C5057" s="3" t="inlineStr">
        <is>
          <t>Expenses</t>
        </is>
      </c>
      <c r="D5057" s="3" t="inlineStr">
        <is>
          <t>4720/000</t>
        </is>
      </c>
      <c r="E5057" s="3" t="inlineStr">
        <is>
          <t>SDL Contributions</t>
        </is>
      </c>
      <c r="F5057" s="3" t="n">
        <v>5533.95</v>
      </c>
      <c r="G5057" s="3" t="n">
        <v>45231.14</v>
      </c>
    </row>
    <row r="5058">
      <c r="A5058" s="3" t="inlineStr">
        <is>
          <t>Cape Projects Construction (Pty) Ltd</t>
        </is>
      </c>
      <c r="B5058" s="4" t="n">
        <v>45291</v>
      </c>
      <c r="C5058" s="3" t="inlineStr">
        <is>
          <t>Expenses</t>
        </is>
      </c>
      <c r="D5058" s="3" t="inlineStr">
        <is>
          <t>4730/000</t>
        </is>
      </c>
      <c r="E5058" s="3" t="inlineStr">
        <is>
          <t>UIF Company Contributions</t>
        </is>
      </c>
      <c r="F5058" s="3" t="n">
        <v>3179.47</v>
      </c>
      <c r="G5058" s="3" t="n">
        <v>25003.15</v>
      </c>
    </row>
    <row r="5059">
      <c r="A5059" s="3" t="inlineStr">
        <is>
          <t>Cape Projects Construction (Pty) Ltd</t>
        </is>
      </c>
      <c r="B5059" s="4" t="n">
        <v>45291</v>
      </c>
      <c r="C5059" s="3" t="inlineStr">
        <is>
          <t>Expenses</t>
        </is>
      </c>
      <c r="D5059" s="3" t="inlineStr">
        <is>
          <t>4731/000</t>
        </is>
      </c>
      <c r="E5059" s="3" t="inlineStr">
        <is>
          <t>UIF Employee Contribution</t>
        </is>
      </c>
      <c r="F5059" s="3" t="n">
        <v>3179.47</v>
      </c>
      <c r="G5059" s="3" t="n">
        <v>25003.15</v>
      </c>
    </row>
    <row r="5060">
      <c r="A5060" s="3" t="inlineStr">
        <is>
          <t>Cape Projects Construction (Pty) Ltd</t>
        </is>
      </c>
      <c r="B5060" s="4" t="n">
        <v>45291</v>
      </c>
      <c r="C5060" s="3" t="inlineStr">
        <is>
          <t>Expenses</t>
        </is>
      </c>
      <c r="D5060" s="3" t="inlineStr">
        <is>
          <t>4740/000</t>
        </is>
      </c>
      <c r="E5060" s="3" t="inlineStr">
        <is>
          <t>BIBC Company Contribution</t>
        </is>
      </c>
      <c r="F5060" s="3" t="n">
        <v>0</v>
      </c>
      <c r="G5060" s="3" t="n">
        <v>15075.35</v>
      </c>
    </row>
    <row r="5061">
      <c r="A5061" s="3" t="inlineStr">
        <is>
          <t>Cape Projects Construction (Pty) Ltd</t>
        </is>
      </c>
      <c r="B5061" s="4" t="n">
        <v>45291</v>
      </c>
      <c r="C5061" s="3" t="inlineStr">
        <is>
          <t>Expenses</t>
        </is>
      </c>
      <c r="D5061" s="3" t="inlineStr">
        <is>
          <t>4741/000</t>
        </is>
      </c>
      <c r="E5061" s="3" t="inlineStr">
        <is>
          <t>BIBC Employee Contribution</t>
        </is>
      </c>
      <c r="F5061" s="3" t="n">
        <v>0</v>
      </c>
      <c r="G5061" s="3" t="n">
        <v>4562.1</v>
      </c>
    </row>
    <row r="5062">
      <c r="A5062" s="3" t="inlineStr">
        <is>
          <t>Heron Fields (Pty) Ltd</t>
        </is>
      </c>
      <c r="B5062" s="4" t="n">
        <v>45291</v>
      </c>
      <c r="C5062" s="3" t="inlineStr">
        <is>
          <t>Equity</t>
        </is>
      </c>
      <c r="D5062" s="3" t="inlineStr">
        <is>
          <t>5100-000</t>
        </is>
      </c>
      <c r="E5062" s="3" t="inlineStr">
        <is>
          <t>Share Capital</t>
        </is>
      </c>
      <c r="F5062" s="3" t="n">
        <v>0</v>
      </c>
      <c r="G5062" s="3" t="n">
        <v>-100</v>
      </c>
    </row>
    <row r="5063">
      <c r="A5063" s="3" t="inlineStr">
        <is>
          <t>Cape Projects Construction (Pty) Ltd</t>
        </is>
      </c>
      <c r="B5063" s="4" t="n">
        <v>45291</v>
      </c>
      <c r="C5063" s="3" t="inlineStr">
        <is>
          <t>Equity</t>
        </is>
      </c>
      <c r="D5063" s="3" t="inlineStr">
        <is>
          <t>5100/000</t>
        </is>
      </c>
      <c r="E5063" s="3" t="inlineStr">
        <is>
          <t>Share Capital / Members Contribution</t>
        </is>
      </c>
      <c r="F5063" s="3" t="n">
        <v>0</v>
      </c>
      <c r="G5063" s="3" t="n">
        <v>-120</v>
      </c>
    </row>
    <row r="5064">
      <c r="A5064" s="3" t="inlineStr">
        <is>
          <t>Cape Projects Construction (Pty) Ltd</t>
        </is>
      </c>
      <c r="B5064" s="4" t="n">
        <v>45291</v>
      </c>
      <c r="C5064" s="3" t="inlineStr">
        <is>
          <t>Equity</t>
        </is>
      </c>
      <c r="D5064" s="3" t="inlineStr">
        <is>
          <t>5200/000</t>
        </is>
      </c>
      <c r="E5064" s="3" t="inlineStr">
        <is>
          <t>Retained Earnings / Loss</t>
        </is>
      </c>
      <c r="F5064" s="3" t="n">
        <v>0</v>
      </c>
      <c r="G5064" s="3" t="n">
        <v>-296075.58</v>
      </c>
    </row>
    <row r="5065">
      <c r="A5065" s="3" t="inlineStr">
        <is>
          <t>Heron Fields (Pty) Ltd</t>
        </is>
      </c>
      <c r="B5065" s="4" t="n">
        <v>45291</v>
      </c>
      <c r="C5065" s="3" t="inlineStr">
        <is>
          <t>Equity</t>
        </is>
      </c>
      <c r="D5065" s="3" t="inlineStr">
        <is>
          <t>5200/000</t>
        </is>
      </c>
      <c r="E5065" s="3" t="inlineStr">
        <is>
          <t>Retained Earnings / Loss</t>
        </is>
      </c>
      <c r="F5065" s="3" t="n">
        <v>0</v>
      </c>
      <c r="G5065" s="3" t="n">
        <v>-17843179.58</v>
      </c>
    </row>
    <row r="5066">
      <c r="A5066" s="3" t="inlineStr">
        <is>
          <t>Heron View (Pty) Ltd</t>
        </is>
      </c>
      <c r="B5066" s="4" t="n">
        <v>45291</v>
      </c>
      <c r="C5066" s="3" t="inlineStr">
        <is>
          <t>Equity</t>
        </is>
      </c>
      <c r="D5066" s="3" t="inlineStr">
        <is>
          <t>5200/000</t>
        </is>
      </c>
      <c r="E5066" s="3" t="inlineStr">
        <is>
          <t>Retained Earnings / Loss</t>
        </is>
      </c>
      <c r="F5066" s="3" t="n">
        <v>0</v>
      </c>
      <c r="G5066" s="3" t="n">
        <v>70398.12</v>
      </c>
    </row>
    <row r="5067">
      <c r="A5067" s="3" t="inlineStr">
        <is>
          <t>Heron Fields (Pty) Ltd</t>
        </is>
      </c>
      <c r="B5067" s="4" t="n">
        <v>45291</v>
      </c>
      <c r="C5067" s="3" t="inlineStr">
        <is>
          <t>Assets</t>
        </is>
      </c>
      <c r="D5067" s="3" t="inlineStr">
        <is>
          <t>5300/001</t>
        </is>
      </c>
      <c r="E5067" s="3" t="inlineStr">
        <is>
          <t>Revaluation of Land stock</t>
        </is>
      </c>
      <c r="F5067" s="3" t="n">
        <v>0</v>
      </c>
      <c r="G5067" s="3" t="n">
        <v>17562360.85</v>
      </c>
    </row>
    <row r="5068">
      <c r="A5068" s="3" t="inlineStr">
        <is>
          <t>Heron Fields (Pty) Ltd</t>
        </is>
      </c>
      <c r="B5068" s="4" t="n">
        <v>45291</v>
      </c>
      <c r="C5068" s="3" t="inlineStr">
        <is>
          <t>Assets</t>
        </is>
      </c>
      <c r="D5068" s="3" t="inlineStr">
        <is>
          <t>5400/000</t>
        </is>
      </c>
      <c r="E5068" s="3" t="inlineStr">
        <is>
          <t>Deposit: Ruiterwacht development</t>
        </is>
      </c>
      <c r="F5068" s="3" t="n">
        <v>8507359</v>
      </c>
      <c r="G5068" s="3" t="n">
        <v>13457359</v>
      </c>
    </row>
    <row r="5069">
      <c r="A5069" s="3" t="inlineStr">
        <is>
          <t>Cape Projects Construction (Pty) Ltd</t>
        </is>
      </c>
      <c r="B5069" s="4" t="n">
        <v>45291</v>
      </c>
      <c r="C5069" s="3" t="inlineStr">
        <is>
          <t>Assets</t>
        </is>
      </c>
      <c r="D5069" s="3" t="inlineStr">
        <is>
          <t>5400/150</t>
        </is>
      </c>
      <c r="E5069" s="3" t="inlineStr">
        <is>
          <t>Loan - Quinate</t>
        </is>
      </c>
      <c r="F5069" s="3" t="n">
        <v>-2800000</v>
      </c>
      <c r="G5069" s="3" t="n">
        <v>-5067423.63</v>
      </c>
    </row>
    <row r="5070">
      <c r="A5070" s="3" t="inlineStr">
        <is>
          <t>Cape Projects Construction (Pty) Ltd</t>
        </is>
      </c>
      <c r="B5070" s="4" t="n">
        <v>45291</v>
      </c>
      <c r="C5070" s="3" t="inlineStr">
        <is>
          <t>Assets</t>
        </is>
      </c>
      <c r="D5070" s="3" t="inlineStr">
        <is>
          <t>5400/220</t>
        </is>
      </c>
      <c r="E5070" s="3" t="inlineStr">
        <is>
          <t>Members Loan - WH</t>
        </is>
      </c>
      <c r="F5070" s="3" t="n">
        <v>0</v>
      </c>
      <c r="G5070" s="3" t="n">
        <v>-4342.5</v>
      </c>
    </row>
    <row r="5071">
      <c r="A5071" s="3" t="inlineStr">
        <is>
          <t>Cape Projects Construction (Pty) Ltd</t>
        </is>
      </c>
      <c r="B5071" s="4" t="n">
        <v>45291</v>
      </c>
      <c r="C5071" s="3" t="inlineStr">
        <is>
          <t>Assets</t>
        </is>
      </c>
      <c r="D5071" s="3" t="inlineStr">
        <is>
          <t>5400/300</t>
        </is>
      </c>
      <c r="E5071" s="3" t="inlineStr">
        <is>
          <t>Loan - Opportunity ResidentialCUST ACC</t>
        </is>
      </c>
      <c r="F5071" s="3" t="n">
        <v>0</v>
      </c>
      <c r="G5071" s="3" t="n">
        <v>4702.35</v>
      </c>
    </row>
    <row r="5072">
      <c r="A5072" s="3" t="inlineStr">
        <is>
          <t>Cape Projects Construction (Pty) Ltd</t>
        </is>
      </c>
      <c r="B5072" s="4" t="n">
        <v>45291</v>
      </c>
      <c r="C5072" s="3" t="inlineStr">
        <is>
          <t>Assets</t>
        </is>
      </c>
      <c r="D5072" s="3" t="inlineStr">
        <is>
          <t>5400/450</t>
        </is>
      </c>
      <c r="E5072" s="3" t="inlineStr">
        <is>
          <t>Loan - Opportunity Investment</t>
        </is>
      </c>
      <c r="F5072" s="3" t="n">
        <v>430000</v>
      </c>
      <c r="G5072" s="3" t="n">
        <v>-1571000</v>
      </c>
    </row>
    <row r="5073">
      <c r="A5073" s="3" t="inlineStr">
        <is>
          <t>Cape Projects Construction (Pty) Ltd</t>
        </is>
      </c>
      <c r="B5073" s="4" t="n">
        <v>45291</v>
      </c>
      <c r="C5073" s="3" t="inlineStr">
        <is>
          <t>Assets</t>
        </is>
      </c>
      <c r="D5073" s="3" t="inlineStr">
        <is>
          <t>5400/500</t>
        </is>
      </c>
      <c r="E5073" s="3" t="inlineStr">
        <is>
          <t>Loan - Blou Mamba Trust</t>
        </is>
      </c>
      <c r="F5073" s="3" t="n">
        <v>0</v>
      </c>
      <c r="G5073" s="3" t="n">
        <v>4342.5</v>
      </c>
    </row>
    <row r="5074">
      <c r="A5074" s="3" t="inlineStr">
        <is>
          <t>Cape Projects Construction (Pty) Ltd</t>
        </is>
      </c>
      <c r="B5074" s="4" t="n">
        <v>45291</v>
      </c>
      <c r="C5074" s="3" t="inlineStr">
        <is>
          <t>Assets</t>
        </is>
      </c>
      <c r="D5074" s="3" t="inlineStr">
        <is>
          <t>5400/550</t>
        </is>
      </c>
      <c r="E5074" s="3" t="inlineStr">
        <is>
          <t>Loan - Trademark</t>
        </is>
      </c>
      <c r="F5074" s="3" t="n">
        <v>600</v>
      </c>
      <c r="G5074" s="3" t="n">
        <v>-18800</v>
      </c>
    </row>
    <row r="5075">
      <c r="A5075" s="3" t="inlineStr">
        <is>
          <t>Cape Projects Construction (Pty) Ltd</t>
        </is>
      </c>
      <c r="B5075" s="4" t="n">
        <v>45291</v>
      </c>
      <c r="C5075" s="3" t="inlineStr">
        <is>
          <t>Assets</t>
        </is>
      </c>
      <c r="D5075" s="3" t="inlineStr">
        <is>
          <t>5400/600</t>
        </is>
      </c>
      <c r="E5075" s="3" t="inlineStr">
        <is>
          <t>Loan - Heron Projects</t>
        </is>
      </c>
      <c r="F5075" s="3" t="n">
        <v>-3665000</v>
      </c>
      <c r="G5075" s="3" t="n">
        <v>-21974738.42</v>
      </c>
    </row>
    <row r="5076">
      <c r="A5076" s="3" t="inlineStr">
        <is>
          <t>Cape Projects Construction (Pty) Ltd</t>
        </is>
      </c>
      <c r="B5076" s="4" t="n">
        <v>45291</v>
      </c>
      <c r="C5076" s="3" t="inlineStr">
        <is>
          <t>Assets</t>
        </is>
      </c>
      <c r="D5076" s="3" t="inlineStr">
        <is>
          <t>5400/650</t>
        </is>
      </c>
      <c r="E5076" s="3" t="inlineStr">
        <is>
          <t>Loan - Noble Shield</t>
        </is>
      </c>
      <c r="F5076" s="3" t="n">
        <v>600</v>
      </c>
      <c r="G5076" s="3" t="n">
        <v>-201389.44</v>
      </c>
    </row>
    <row r="5077">
      <c r="A5077" s="3" t="inlineStr">
        <is>
          <t>Cape Projects Construction (Pty) Ltd</t>
        </is>
      </c>
      <c r="B5077" s="4" t="n">
        <v>45291</v>
      </c>
      <c r="C5077" s="3" t="inlineStr">
        <is>
          <t>Assets</t>
        </is>
      </c>
      <c r="D5077" s="3" t="inlineStr">
        <is>
          <t>5400/750</t>
        </is>
      </c>
      <c r="E5077" s="3" t="inlineStr">
        <is>
          <t>Loan - Endulini</t>
        </is>
      </c>
      <c r="F5077" s="3" t="n">
        <v>-280000</v>
      </c>
      <c r="G5077" s="3" t="n">
        <v>26392687.4</v>
      </c>
    </row>
    <row r="5078">
      <c r="A5078" s="3" t="inlineStr">
        <is>
          <t>Cape Projects Construction (Pty) Ltd</t>
        </is>
      </c>
      <c r="B5078" s="4" t="n">
        <v>45291</v>
      </c>
      <c r="C5078" s="3" t="inlineStr">
        <is>
          <t>Assets</t>
        </is>
      </c>
      <c r="D5078" s="3" t="inlineStr">
        <is>
          <t>5400/800</t>
        </is>
      </c>
      <c r="E5078" s="3" t="inlineStr">
        <is>
          <t>Loan - Opportunity Management Holdings</t>
        </is>
      </c>
      <c r="F5078" s="3" t="n">
        <v>100000</v>
      </c>
      <c r="G5078" s="3" t="n">
        <v>137399</v>
      </c>
    </row>
    <row r="5079">
      <c r="A5079" s="3" t="inlineStr">
        <is>
          <t>Heron View (Pty) Ltd</t>
        </is>
      </c>
      <c r="B5079" s="4" t="n">
        <v>45291</v>
      </c>
      <c r="C5079" s="3" t="inlineStr">
        <is>
          <t>Liabilities</t>
        </is>
      </c>
      <c r="D5079" s="3" t="inlineStr">
        <is>
          <t>5500/001</t>
        </is>
      </c>
      <c r="E5079" s="3" t="inlineStr">
        <is>
          <t>Loan - Heron Fields</t>
        </is>
      </c>
      <c r="F5079" s="3" t="n">
        <v>-8863256.539999999</v>
      </c>
      <c r="G5079" s="3" t="n">
        <v>-60150240.94</v>
      </c>
    </row>
    <row r="5080">
      <c r="A5080" s="3" t="inlineStr">
        <is>
          <t>Heron Fields (Pty) Ltd</t>
        </is>
      </c>
      <c r="B5080" s="4" t="n">
        <v>45291</v>
      </c>
      <c r="C5080" s="3" t="inlineStr">
        <is>
          <t>Liabilities</t>
        </is>
      </c>
      <c r="D5080" s="3" t="inlineStr">
        <is>
          <t>5500/020</t>
        </is>
      </c>
      <c r="E5080" s="3" t="inlineStr">
        <is>
          <t>Loan - Cape Projects Construction</t>
        </is>
      </c>
      <c r="F5080" s="3" t="n">
        <v>3665000</v>
      </c>
      <c r="G5080" s="3" t="n">
        <v>21974738.42</v>
      </c>
    </row>
    <row r="5081">
      <c r="A5081" s="3" t="inlineStr">
        <is>
          <t>Heron Fields (Pty) Ltd</t>
        </is>
      </c>
      <c r="B5081" s="4" t="n">
        <v>45291</v>
      </c>
      <c r="C5081" s="3" t="inlineStr">
        <is>
          <t>Liabilities</t>
        </is>
      </c>
      <c r="D5081" s="3" t="inlineStr">
        <is>
          <t>5500/030</t>
        </is>
      </c>
      <c r="E5081" s="3" t="inlineStr">
        <is>
          <t>Loan - Opportunity Global Investments</t>
        </is>
      </c>
      <c r="F5081" s="3" t="n">
        <v>0</v>
      </c>
      <c r="G5081" s="3" t="n">
        <v>4094275</v>
      </c>
    </row>
    <row r="5082">
      <c r="A5082" s="3" t="inlineStr">
        <is>
          <t>Heron Fields (Pty) Ltd</t>
        </is>
      </c>
      <c r="B5082" s="4" t="n">
        <v>45291</v>
      </c>
      <c r="C5082" s="3" t="inlineStr">
        <is>
          <t>Liabilities</t>
        </is>
      </c>
      <c r="D5082" s="3" t="inlineStr">
        <is>
          <t>5500/050</t>
        </is>
      </c>
      <c r="E5082" s="3" t="inlineStr">
        <is>
          <t>Loan - Heron View</t>
        </is>
      </c>
      <c r="F5082" s="3" t="n">
        <v>8863256.539999999</v>
      </c>
      <c r="G5082" s="3" t="n">
        <v>60149040.94</v>
      </c>
    </row>
    <row r="5083">
      <c r="A5083" s="3" t="inlineStr">
        <is>
          <t>Heron Fields (Pty) Ltd</t>
        </is>
      </c>
      <c r="B5083" s="4" t="n">
        <v>45291</v>
      </c>
      <c r="C5083" s="3" t="inlineStr">
        <is>
          <t>Liabilities</t>
        </is>
      </c>
      <c r="D5083" s="3" t="inlineStr">
        <is>
          <t>5500/060</t>
        </is>
      </c>
      <c r="E5083" s="3" t="inlineStr">
        <is>
          <t>Loan - Opportunity Management Holdings</t>
        </is>
      </c>
      <c r="F5083" s="3" t="n">
        <v>0</v>
      </c>
      <c r="G5083" s="3" t="n">
        <v>42100</v>
      </c>
    </row>
    <row r="5084">
      <c r="A5084" s="3" t="inlineStr">
        <is>
          <t>Heron Fields (Pty) Ltd</t>
        </is>
      </c>
      <c r="B5084" s="4" t="n">
        <v>45291</v>
      </c>
      <c r="C5084" s="3" t="inlineStr">
        <is>
          <t>Liabilities</t>
        </is>
      </c>
      <c r="D5084" s="3" t="inlineStr">
        <is>
          <t>5500/080</t>
        </is>
      </c>
      <c r="E5084" s="3" t="inlineStr">
        <is>
          <t>Loan - NSST2 Trust</t>
        </is>
      </c>
      <c r="F5084" s="3" t="n">
        <v>0</v>
      </c>
      <c r="G5084" s="3" t="n">
        <v>500</v>
      </c>
    </row>
    <row r="5085">
      <c r="A5085" s="3" t="inlineStr">
        <is>
          <t>Heron Fields (Pty) Ltd</t>
        </is>
      </c>
      <c r="B5085" s="4" t="n">
        <v>45291</v>
      </c>
      <c r="C5085" s="3" t="inlineStr">
        <is>
          <t>Assets</t>
        </is>
      </c>
      <c r="D5085" s="3" t="inlineStr">
        <is>
          <t>6150/010</t>
        </is>
      </c>
      <c r="E5085" s="3" t="inlineStr">
        <is>
          <t>Endulini -  A204</t>
        </is>
      </c>
      <c r="F5085" s="3" t="n">
        <v>1304260.87</v>
      </c>
      <c r="G5085" s="3" t="n">
        <v>1304260.87</v>
      </c>
    </row>
    <row r="5086">
      <c r="A5086" s="3" t="inlineStr">
        <is>
          <t>Heron Fields (Pty) Ltd</t>
        </is>
      </c>
      <c r="B5086" s="4" t="n">
        <v>45291</v>
      </c>
      <c r="C5086" s="3" t="inlineStr">
        <is>
          <t>Assets</t>
        </is>
      </c>
      <c r="D5086" s="3" t="inlineStr">
        <is>
          <t>6150/020</t>
        </is>
      </c>
      <c r="E5086" s="3" t="inlineStr">
        <is>
          <t>Endulini - A304</t>
        </is>
      </c>
      <c r="F5086" s="3" t="n">
        <v>1356434.78</v>
      </c>
      <c r="G5086" s="3" t="n">
        <v>1356434.78</v>
      </c>
    </row>
    <row r="5087">
      <c r="A5087" s="3" t="inlineStr">
        <is>
          <t>Heron Fields (Pty) Ltd</t>
        </is>
      </c>
      <c r="B5087" s="4" t="n">
        <v>45291</v>
      </c>
      <c r="C5087" s="3" t="inlineStr">
        <is>
          <t>Assets</t>
        </is>
      </c>
      <c r="D5087" s="3" t="inlineStr">
        <is>
          <t>6150/030</t>
        </is>
      </c>
      <c r="E5087" s="3" t="inlineStr">
        <is>
          <t>Endulini - B101</t>
        </is>
      </c>
      <c r="F5087" s="3" t="n">
        <v>1373826.09</v>
      </c>
      <c r="G5087" s="3" t="n">
        <v>1373826.09</v>
      </c>
    </row>
    <row r="5088">
      <c r="A5088" s="3" t="inlineStr">
        <is>
          <t>Heron Fields (Pty) Ltd</t>
        </is>
      </c>
      <c r="B5088" s="4" t="n">
        <v>45291</v>
      </c>
      <c r="C5088" s="3" t="inlineStr">
        <is>
          <t>Assets</t>
        </is>
      </c>
      <c r="D5088" s="3" t="inlineStr">
        <is>
          <t>6150/040</t>
        </is>
      </c>
      <c r="E5088" s="3" t="inlineStr">
        <is>
          <t>Endulini - A306</t>
        </is>
      </c>
      <c r="F5088" s="3" t="n">
        <v>1391217.39</v>
      </c>
      <c r="G5088" s="3" t="n">
        <v>1391217.39</v>
      </c>
    </row>
    <row r="5089">
      <c r="A5089" s="3" t="inlineStr">
        <is>
          <t>Heron Fields (Pty) Ltd</t>
        </is>
      </c>
      <c r="B5089" s="4" t="n">
        <v>45291</v>
      </c>
      <c r="C5089" s="3" t="inlineStr">
        <is>
          <t>Assets</t>
        </is>
      </c>
      <c r="D5089" s="3" t="inlineStr">
        <is>
          <t>6150/050</t>
        </is>
      </c>
      <c r="E5089" s="3" t="inlineStr">
        <is>
          <t>Endulini - C301</t>
        </is>
      </c>
      <c r="F5089" s="3" t="n">
        <v>0</v>
      </c>
      <c r="G5089" s="3" t="n">
        <v>1304260.87</v>
      </c>
    </row>
    <row r="5090">
      <c r="A5090" s="3" t="inlineStr">
        <is>
          <t>Cape Projects Construction (Pty) Ltd</t>
        </is>
      </c>
      <c r="B5090" s="4" t="n">
        <v>45291</v>
      </c>
      <c r="C5090" s="3" t="inlineStr">
        <is>
          <t>Assets</t>
        </is>
      </c>
      <c r="D5090" s="3" t="inlineStr">
        <is>
          <t>6200/010</t>
        </is>
      </c>
      <c r="E5090" s="3" t="inlineStr">
        <is>
          <t>Motor Vehicles - @ Cost</t>
        </is>
      </c>
      <c r="F5090" s="3" t="n">
        <v>0</v>
      </c>
      <c r="G5090" s="3" t="n">
        <v>216064.1</v>
      </c>
    </row>
    <row r="5091">
      <c r="A5091" s="3" t="inlineStr">
        <is>
          <t>Cape Projects Construction (Pty) Ltd</t>
        </is>
      </c>
      <c r="B5091" s="4" t="n">
        <v>45291</v>
      </c>
      <c r="C5091" s="3" t="inlineStr">
        <is>
          <t>Assets</t>
        </is>
      </c>
      <c r="D5091" s="3" t="inlineStr">
        <is>
          <t>6200/020</t>
        </is>
      </c>
      <c r="E5091" s="3" t="inlineStr">
        <is>
          <t>Motor Vehicles - Accum Depre</t>
        </is>
      </c>
      <c r="F5091" s="3" t="n">
        <v>0</v>
      </c>
      <c r="G5091" s="3" t="n">
        <v>-216063.1</v>
      </c>
    </row>
    <row r="5092">
      <c r="A5092" s="3" t="inlineStr">
        <is>
          <t>Cape Projects Construction (Pty) Ltd</t>
        </is>
      </c>
      <c r="B5092" s="4" t="n">
        <v>45291</v>
      </c>
      <c r="C5092" s="3" t="inlineStr">
        <is>
          <t>Assets</t>
        </is>
      </c>
      <c r="D5092" s="3" t="inlineStr">
        <is>
          <t>6250/010</t>
        </is>
      </c>
      <c r="E5092" s="3" t="inlineStr">
        <is>
          <t>Computer Equipment - @ Cost</t>
        </is>
      </c>
      <c r="F5092" s="3" t="n">
        <v>0</v>
      </c>
      <c r="G5092" s="3" t="n">
        <v>178152.48</v>
      </c>
    </row>
    <row r="5093">
      <c r="A5093" s="3" t="inlineStr">
        <is>
          <t>Cape Projects Construction (Pty) Ltd</t>
        </is>
      </c>
      <c r="B5093" s="4" t="n">
        <v>45291</v>
      </c>
      <c r="C5093" s="3" t="inlineStr">
        <is>
          <t>Assets</t>
        </is>
      </c>
      <c r="D5093" s="3" t="inlineStr">
        <is>
          <t>6250/020</t>
        </is>
      </c>
      <c r="E5093" s="3" t="inlineStr">
        <is>
          <t>Computer Equipment - Accum Depre</t>
        </is>
      </c>
      <c r="F5093" s="3" t="n">
        <v>-4562.87</v>
      </c>
      <c r="G5093" s="3" t="n">
        <v>-80172.87</v>
      </c>
    </row>
    <row r="5094">
      <c r="A5094" s="3" t="inlineStr">
        <is>
          <t>Cape Projects Construction (Pty) Ltd</t>
        </is>
      </c>
      <c r="B5094" s="4" t="n">
        <v>45291</v>
      </c>
      <c r="C5094" s="3" t="inlineStr">
        <is>
          <t>Assets</t>
        </is>
      </c>
      <c r="D5094" s="3" t="inlineStr">
        <is>
          <t>6350/010</t>
        </is>
      </c>
      <c r="E5094" s="3" t="inlineStr">
        <is>
          <t>Furniture _AND_ Fittings - @ Cost</t>
        </is>
      </c>
      <c r="F5094" s="3" t="n">
        <v>0</v>
      </c>
      <c r="G5094" s="3" t="n">
        <v>37955.3</v>
      </c>
    </row>
    <row r="5095">
      <c r="A5095" s="3" t="inlineStr">
        <is>
          <t>Cape Projects Construction (Pty) Ltd</t>
        </is>
      </c>
      <c r="B5095" s="4" t="n">
        <v>45291</v>
      </c>
      <c r="C5095" s="3" t="inlineStr">
        <is>
          <t>Assets</t>
        </is>
      </c>
      <c r="D5095" s="3" t="inlineStr">
        <is>
          <t>6350/020</t>
        </is>
      </c>
      <c r="E5095" s="3" t="inlineStr">
        <is>
          <t>Furniture _AND_ Fittings - Accum Depre</t>
        </is>
      </c>
      <c r="F5095" s="3" t="n">
        <v>-547.6799999999999</v>
      </c>
      <c r="G5095" s="3" t="n">
        <v>-11371.32</v>
      </c>
    </row>
    <row r="5096">
      <c r="A5096" s="3" t="inlineStr">
        <is>
          <t>Cape Projects Construction (Pty) Ltd</t>
        </is>
      </c>
      <c r="B5096" s="4" t="n">
        <v>45291</v>
      </c>
      <c r="C5096" s="3" t="inlineStr">
        <is>
          <t>Assets</t>
        </is>
      </c>
      <c r="D5096" s="3" t="inlineStr">
        <is>
          <t>6600/010</t>
        </is>
      </c>
      <c r="E5096" s="3" t="inlineStr">
        <is>
          <t>Generator Fixed Asset - @ Cost</t>
        </is>
      </c>
      <c r="F5096" s="3" t="n">
        <v>0</v>
      </c>
      <c r="G5096" s="3" t="n">
        <v>71322</v>
      </c>
    </row>
    <row r="5097">
      <c r="A5097" s="3" t="inlineStr">
        <is>
          <t>Cape Projects Construction (Pty) Ltd</t>
        </is>
      </c>
      <c r="B5097" s="4" t="n">
        <v>45291</v>
      </c>
      <c r="C5097" s="3" t="inlineStr">
        <is>
          <t>Assets</t>
        </is>
      </c>
      <c r="D5097" s="3" t="inlineStr">
        <is>
          <t>6600/020</t>
        </is>
      </c>
      <c r="E5097" s="3" t="inlineStr">
        <is>
          <t>Generator Fixed Asset - Accum Depre</t>
        </is>
      </c>
      <c r="F5097" s="3" t="n">
        <v>-1188.69</v>
      </c>
      <c r="G5097" s="3" t="n">
        <v>-13021.82</v>
      </c>
    </row>
    <row r="5098">
      <c r="A5098" s="3" t="inlineStr">
        <is>
          <t>Heron Fields (Pty) Ltd</t>
        </is>
      </c>
      <c r="B5098" s="4" t="n">
        <v>45291</v>
      </c>
      <c r="C5098" s="3" t="inlineStr">
        <is>
          <t>Assets</t>
        </is>
      </c>
      <c r="D5098" s="3" t="inlineStr">
        <is>
          <t>7610/395</t>
        </is>
      </c>
      <c r="E5098" s="3" t="inlineStr">
        <is>
          <t>HF CIP NHBRC</t>
        </is>
      </c>
      <c r="F5098" s="3" t="n">
        <v>0</v>
      </c>
      <c r="G5098" s="3" t="n">
        <v>874505.75</v>
      </c>
    </row>
    <row r="5099">
      <c r="A5099" s="3" t="inlineStr">
        <is>
          <t>Heron View (Pty) Ltd</t>
        </is>
      </c>
      <c r="B5099" s="4" t="n">
        <v>45291</v>
      </c>
      <c r="C5099" s="3" t="inlineStr">
        <is>
          <t>Assets</t>
        </is>
      </c>
      <c r="D5099" s="3" t="inlineStr">
        <is>
          <t>7610/395</t>
        </is>
      </c>
      <c r="E5099" s="3" t="inlineStr">
        <is>
          <t>Heron CIP NHBRC</t>
        </is>
      </c>
      <c r="F5099" s="3" t="n">
        <v>12815.22</v>
      </c>
      <c r="G5099" s="3" t="n">
        <v>2472501.08</v>
      </c>
    </row>
    <row r="5100">
      <c r="A5100" s="3" t="inlineStr">
        <is>
          <t>Heron Fields (Pty) Ltd</t>
        </is>
      </c>
      <c r="B5100" s="4" t="n">
        <v>45291</v>
      </c>
      <c r="C5100" s="3" t="inlineStr">
        <is>
          <t>Assets</t>
        </is>
      </c>
      <c r="D5100" s="3" t="inlineStr">
        <is>
          <t>7620/100</t>
        </is>
      </c>
      <c r="E5100" s="3" t="inlineStr">
        <is>
          <t>Heron View Land</t>
        </is>
      </c>
      <c r="F5100" s="3" t="n">
        <v>0</v>
      </c>
      <c r="G5100" s="3" t="n">
        <v>26200000</v>
      </c>
    </row>
    <row r="5101">
      <c r="A5101" s="3" t="inlineStr">
        <is>
          <t>Heron Fields (Pty) Ltd</t>
        </is>
      </c>
      <c r="B5101" s="4" t="n">
        <v>45291</v>
      </c>
      <c r="C5101" s="3" t="inlineStr">
        <is>
          <t>Assets</t>
        </is>
      </c>
      <c r="D5101" s="3" t="inlineStr">
        <is>
          <t>7620/101</t>
        </is>
      </c>
      <c r="E5101" s="3" t="inlineStr">
        <is>
          <t>HF CIP Bond Registration Fee</t>
        </is>
      </c>
      <c r="F5101" s="3" t="n">
        <v>0</v>
      </c>
      <c r="G5101" s="3" t="n">
        <v>68427</v>
      </c>
    </row>
    <row r="5102">
      <c r="A5102" s="3" t="inlineStr">
        <is>
          <t>Heron Fields (Pty) Ltd</t>
        </is>
      </c>
      <c r="B5102" s="4" t="n">
        <v>45291</v>
      </c>
      <c r="C5102" s="3" t="inlineStr">
        <is>
          <t>Assets</t>
        </is>
      </c>
      <c r="D5102" s="3" t="inlineStr">
        <is>
          <t>7620/102</t>
        </is>
      </c>
      <c r="E5102" s="3" t="inlineStr">
        <is>
          <t>HF CIP Transfer Fee</t>
        </is>
      </c>
      <c r="F5102" s="3" t="n">
        <v>0</v>
      </c>
      <c r="G5102" s="3" t="n">
        <v>103812</v>
      </c>
    </row>
    <row r="5103">
      <c r="A5103" s="3" t="inlineStr">
        <is>
          <t>Heron Fields (Pty) Ltd</t>
        </is>
      </c>
      <c r="B5103" s="4" t="n">
        <v>45291</v>
      </c>
      <c r="C5103" s="3" t="inlineStr">
        <is>
          <t>Assets</t>
        </is>
      </c>
      <c r="D5103" s="3" t="inlineStr">
        <is>
          <t>7620/220</t>
        </is>
      </c>
      <c r="E5103" s="3" t="inlineStr">
        <is>
          <t>HF CIP Architectural Designs</t>
        </is>
      </c>
      <c r="F5103" s="3" t="n">
        <v>0</v>
      </c>
      <c r="G5103" s="3" t="n">
        <v>314087</v>
      </c>
    </row>
    <row r="5104">
      <c r="A5104" s="3" t="inlineStr">
        <is>
          <t>Heron View (Pty) Ltd</t>
        </is>
      </c>
      <c r="B5104" s="4" t="n">
        <v>45291</v>
      </c>
      <c r="C5104" s="3" t="inlineStr">
        <is>
          <t>Assets</t>
        </is>
      </c>
      <c r="D5104" s="3" t="inlineStr">
        <is>
          <t>7620/220</t>
        </is>
      </c>
      <c r="E5104" s="3" t="inlineStr">
        <is>
          <t>Heron View CIP Architectural Designs</t>
        </is>
      </c>
      <c r="F5104" s="3" t="n">
        <v>6300</v>
      </c>
      <c r="G5104" s="3" t="n">
        <v>772278.5</v>
      </c>
    </row>
    <row r="5105">
      <c r="A5105" s="3" t="inlineStr">
        <is>
          <t>Heron Fields (Pty) Ltd</t>
        </is>
      </c>
      <c r="B5105" s="4" t="n">
        <v>45291</v>
      </c>
      <c r="C5105" s="3" t="inlineStr">
        <is>
          <t>Assets</t>
        </is>
      </c>
      <c r="D5105" s="3" t="inlineStr">
        <is>
          <t>7620/230</t>
        </is>
      </c>
      <c r="E5105" s="3" t="inlineStr">
        <is>
          <t>HF CIP Construction Management</t>
        </is>
      </c>
      <c r="F5105" s="3" t="n">
        <v>0</v>
      </c>
      <c r="G5105" s="3" t="n">
        <v>139500</v>
      </c>
    </row>
    <row r="5106">
      <c r="A5106" s="3" t="inlineStr">
        <is>
          <t>Heron Fields (Pty) Ltd</t>
        </is>
      </c>
      <c r="B5106" s="4" t="n">
        <v>45291</v>
      </c>
      <c r="C5106" s="3" t="inlineStr">
        <is>
          <t>Assets</t>
        </is>
      </c>
      <c r="D5106" s="3" t="inlineStr">
        <is>
          <t>7620/240</t>
        </is>
      </c>
      <c r="E5106" s="3" t="inlineStr">
        <is>
          <t>HF CIP Civil Engineering</t>
        </is>
      </c>
      <c r="F5106" s="3" t="n">
        <v>0</v>
      </c>
      <c r="G5106" s="3" t="n">
        <v>8557641.800000001</v>
      </c>
    </row>
    <row r="5107">
      <c r="A5107" s="3" t="inlineStr">
        <is>
          <t>Heron Fields (Pty) Ltd</t>
        </is>
      </c>
      <c r="B5107" s="4" t="n">
        <v>45291</v>
      </c>
      <c r="C5107" s="3" t="inlineStr">
        <is>
          <t>Assets</t>
        </is>
      </c>
      <c r="D5107" s="3" t="inlineStr">
        <is>
          <t>7620/245</t>
        </is>
      </c>
      <c r="E5107" s="3" t="inlineStr">
        <is>
          <t>HF CIP Development fee</t>
        </is>
      </c>
      <c r="F5107" s="3" t="n">
        <v>0</v>
      </c>
      <c r="G5107" s="3" t="n">
        <v>13807.78</v>
      </c>
    </row>
    <row r="5108">
      <c r="A5108" s="3" t="inlineStr">
        <is>
          <t>Heron Fields (Pty) Ltd</t>
        </is>
      </c>
      <c r="B5108" s="4" t="n">
        <v>45291</v>
      </c>
      <c r="C5108" s="3" t="inlineStr">
        <is>
          <t>Assets</t>
        </is>
      </c>
      <c r="D5108" s="3" t="inlineStr">
        <is>
          <t>7620/250</t>
        </is>
      </c>
      <c r="E5108" s="3" t="inlineStr">
        <is>
          <t>HF CIP Land Surveyor</t>
        </is>
      </c>
      <c r="F5108" s="3" t="n">
        <v>0</v>
      </c>
      <c r="G5108" s="3" t="n">
        <v>197060.09</v>
      </c>
    </row>
    <row r="5109">
      <c r="A5109" s="3" t="inlineStr">
        <is>
          <t>Heron View (Pty) Ltd</t>
        </is>
      </c>
      <c r="B5109" s="4" t="n">
        <v>45291</v>
      </c>
      <c r="C5109" s="3" t="inlineStr">
        <is>
          <t>Assets</t>
        </is>
      </c>
      <c r="D5109" s="3" t="inlineStr">
        <is>
          <t>7620/250</t>
        </is>
      </c>
      <c r="E5109" s="3" t="inlineStr">
        <is>
          <t>Heron View CIP Land Surveyor</t>
        </is>
      </c>
      <c r="F5109" s="3" t="n">
        <v>0</v>
      </c>
      <c r="G5109" s="3" t="n">
        <v>321942.47</v>
      </c>
    </row>
    <row r="5110">
      <c r="A5110" s="3" t="inlineStr">
        <is>
          <t>Heron Fields (Pty) Ltd</t>
        </is>
      </c>
      <c r="B5110" s="4" t="n">
        <v>45291</v>
      </c>
      <c r="C5110" s="3" t="inlineStr">
        <is>
          <t>Assets</t>
        </is>
      </c>
      <c r="D5110" s="3" t="inlineStr">
        <is>
          <t>7620/255</t>
        </is>
      </c>
      <c r="E5110" s="3" t="inlineStr">
        <is>
          <t>HF CIP Landscaping</t>
        </is>
      </c>
      <c r="F5110" s="3" t="n">
        <v>0</v>
      </c>
      <c r="G5110" s="3" t="n">
        <v>7500</v>
      </c>
    </row>
    <row r="5111">
      <c r="A5111" s="3" t="inlineStr">
        <is>
          <t>Heron View (Pty) Ltd</t>
        </is>
      </c>
      <c r="B5111" s="4" t="n">
        <v>45291</v>
      </c>
      <c r="C5111" s="3" t="inlineStr">
        <is>
          <t>Assets</t>
        </is>
      </c>
      <c r="D5111" s="3" t="inlineStr">
        <is>
          <t>7620/255</t>
        </is>
      </c>
      <c r="E5111" s="3" t="inlineStr">
        <is>
          <t>Heron View CIP Landscaping</t>
        </is>
      </c>
      <c r="F5111" s="3" t="n">
        <v>0</v>
      </c>
      <c r="G5111" s="3" t="n">
        <v>114370.5</v>
      </c>
    </row>
    <row r="5112">
      <c r="A5112" s="3" t="inlineStr">
        <is>
          <t>Heron Fields (Pty) Ltd</t>
        </is>
      </c>
      <c r="B5112" s="4" t="n">
        <v>45291</v>
      </c>
      <c r="C5112" s="3" t="inlineStr">
        <is>
          <t>Assets</t>
        </is>
      </c>
      <c r="D5112" s="3" t="inlineStr">
        <is>
          <t>7620/260</t>
        </is>
      </c>
      <c r="E5112" s="3" t="inlineStr">
        <is>
          <t>HF CIP Mechanical Engineers</t>
        </is>
      </c>
      <c r="F5112" s="3" t="n">
        <v>0</v>
      </c>
      <c r="G5112" s="3" t="n">
        <v>146256.38</v>
      </c>
    </row>
    <row r="5113">
      <c r="A5113" s="3" t="inlineStr">
        <is>
          <t>Heron Fields (Pty) Ltd</t>
        </is>
      </c>
      <c r="B5113" s="4" t="n">
        <v>45291</v>
      </c>
      <c r="C5113" s="3" t="inlineStr">
        <is>
          <t>Assets</t>
        </is>
      </c>
      <c r="D5113" s="3" t="inlineStr">
        <is>
          <t>7620/265</t>
        </is>
      </c>
      <c r="E5113" s="3" t="inlineStr">
        <is>
          <t>HF CIP Health &amp; Safety</t>
        </is>
      </c>
      <c r="F5113" s="3" t="n">
        <v>0</v>
      </c>
      <c r="G5113" s="3" t="n">
        <v>20600</v>
      </c>
    </row>
    <row r="5114">
      <c r="A5114" s="3" t="inlineStr">
        <is>
          <t>Heron Fields (Pty) Ltd</t>
        </is>
      </c>
      <c r="B5114" s="4" t="n">
        <v>45291</v>
      </c>
      <c r="C5114" s="3" t="inlineStr">
        <is>
          <t>Assets</t>
        </is>
      </c>
      <c r="D5114" s="3" t="inlineStr">
        <is>
          <t>7620/270</t>
        </is>
      </c>
      <c r="E5114" s="3" t="inlineStr">
        <is>
          <t>HF CIP Geotechnical</t>
        </is>
      </c>
      <c r="F5114" s="3" t="n">
        <v>0</v>
      </c>
      <c r="G5114" s="3" t="n">
        <v>15175</v>
      </c>
    </row>
    <row r="5115">
      <c r="A5115" s="3" t="inlineStr">
        <is>
          <t>Heron Fields (Pty) Ltd</t>
        </is>
      </c>
      <c r="B5115" s="4" t="n">
        <v>45291</v>
      </c>
      <c r="C5115" s="3" t="inlineStr">
        <is>
          <t>Assets</t>
        </is>
      </c>
      <c r="D5115" s="3" t="inlineStr">
        <is>
          <t>7620/275</t>
        </is>
      </c>
      <c r="E5115" s="3" t="inlineStr">
        <is>
          <t>HF CIP Retaining Wall</t>
        </is>
      </c>
      <c r="F5115" s="3" t="n">
        <v>0</v>
      </c>
      <c r="G5115" s="3" t="n">
        <v>570856.08</v>
      </c>
    </row>
    <row r="5116">
      <c r="A5116" s="3" t="inlineStr">
        <is>
          <t>Heron Fields (Pty) Ltd</t>
        </is>
      </c>
      <c r="B5116" s="4" t="n">
        <v>45291</v>
      </c>
      <c r="C5116" s="3" t="inlineStr">
        <is>
          <t>Assets</t>
        </is>
      </c>
      <c r="D5116" s="3" t="inlineStr">
        <is>
          <t>7620/280</t>
        </is>
      </c>
      <c r="E5116" s="3" t="inlineStr">
        <is>
          <t>HF CIP Site Establishment</t>
        </is>
      </c>
      <c r="F5116" s="3" t="n">
        <v>0</v>
      </c>
      <c r="G5116" s="3" t="n">
        <v>47748851.51</v>
      </c>
    </row>
    <row r="5117">
      <c r="A5117" s="3" t="inlineStr">
        <is>
          <t>Heron View (Pty) Ltd</t>
        </is>
      </c>
      <c r="B5117" s="4" t="n">
        <v>45291</v>
      </c>
      <c r="C5117" s="3" t="inlineStr">
        <is>
          <t>Assets</t>
        </is>
      </c>
      <c r="D5117" s="3" t="inlineStr">
        <is>
          <t>7620/280</t>
        </is>
      </c>
      <c r="E5117" s="3" t="inlineStr">
        <is>
          <t>Heron View CIP Site Establishment</t>
        </is>
      </c>
      <c r="F5117" s="3" t="n">
        <v>8526090.710000001</v>
      </c>
      <c r="G5117" s="3" t="n">
        <v>39661799.49</v>
      </c>
    </row>
    <row r="5118">
      <c r="A5118" s="3" t="inlineStr">
        <is>
          <t>Heron Fields (Pty) Ltd</t>
        </is>
      </c>
      <c r="B5118" s="4" t="n">
        <v>45291</v>
      </c>
      <c r="C5118" s="3" t="inlineStr">
        <is>
          <t>Assets</t>
        </is>
      </c>
      <c r="D5118" s="3" t="inlineStr">
        <is>
          <t>7620/285</t>
        </is>
      </c>
      <c r="E5118" s="3" t="inlineStr">
        <is>
          <t>HF CIP Structuring Fee - Invest</t>
        </is>
      </c>
      <c r="F5118" s="3" t="n">
        <v>0</v>
      </c>
      <c r="G5118" s="3" t="n">
        <v>3850818.04</v>
      </c>
    </row>
    <row r="5119">
      <c r="A5119" s="3" t="inlineStr">
        <is>
          <t>Heron View (Pty) Ltd</t>
        </is>
      </c>
      <c r="B5119" s="4" t="n">
        <v>45291</v>
      </c>
      <c r="C5119" s="3" t="inlineStr">
        <is>
          <t>Assets</t>
        </is>
      </c>
      <c r="D5119" s="3" t="inlineStr">
        <is>
          <t>7620/285</t>
        </is>
      </c>
      <c r="E5119" s="3" t="inlineStr">
        <is>
          <t>Heron View CIP Structuring Fee - Invest</t>
        </is>
      </c>
      <c r="F5119" s="3" t="n">
        <v>0</v>
      </c>
      <c r="G5119" s="3" t="n">
        <v>1826086.96</v>
      </c>
    </row>
    <row r="5120">
      <c r="A5120" s="3" t="inlineStr">
        <is>
          <t>Heron Fields (Pty) Ltd</t>
        </is>
      </c>
      <c r="B5120" s="4" t="n">
        <v>45291</v>
      </c>
      <c r="C5120" s="3" t="inlineStr">
        <is>
          <t>Assets</t>
        </is>
      </c>
      <c r="D5120" s="3" t="inlineStr">
        <is>
          <t>7620/287</t>
        </is>
      </c>
      <c r="E5120" s="3" t="inlineStr">
        <is>
          <t>HF CIP Structuring Fee - Development</t>
        </is>
      </c>
      <c r="F5120" s="3" t="n">
        <v>0</v>
      </c>
      <c r="G5120" s="3" t="n">
        <v>782608.0699999999</v>
      </c>
    </row>
    <row r="5121">
      <c r="A5121" s="3" t="inlineStr">
        <is>
          <t>Heron View (Pty) Ltd</t>
        </is>
      </c>
      <c r="B5121" s="4" t="n">
        <v>45291</v>
      </c>
      <c r="C5121" s="3" t="inlineStr">
        <is>
          <t>Assets</t>
        </is>
      </c>
      <c r="D5121" s="3" t="inlineStr">
        <is>
          <t>7620/287</t>
        </is>
      </c>
      <c r="E5121" s="3" t="inlineStr">
        <is>
          <t>Heron View CIP Structuring Fee - Development</t>
        </is>
      </c>
      <c r="F5121" s="3" t="n">
        <v>0</v>
      </c>
      <c r="G5121" s="3" t="n">
        <v>217391.3</v>
      </c>
    </row>
    <row r="5122">
      <c r="A5122" s="3" t="inlineStr">
        <is>
          <t>Heron Fields (Pty) Ltd</t>
        </is>
      </c>
      <c r="B5122" s="4" t="n">
        <v>45291</v>
      </c>
      <c r="C5122" s="3" t="inlineStr">
        <is>
          <t>Assets</t>
        </is>
      </c>
      <c r="D5122" s="3" t="inlineStr">
        <is>
          <t>7620/290</t>
        </is>
      </c>
      <c r="E5122" s="3" t="inlineStr">
        <is>
          <t>HF CIP Town Planning</t>
        </is>
      </c>
      <c r="F5122" s="3" t="n">
        <v>0</v>
      </c>
      <c r="G5122" s="3" t="n">
        <v>166550</v>
      </c>
    </row>
    <row r="5123">
      <c r="A5123" s="3" t="inlineStr">
        <is>
          <t>Heron View (Pty) Ltd</t>
        </is>
      </c>
      <c r="B5123" s="4" t="n">
        <v>45291</v>
      </c>
      <c r="C5123" s="3" t="inlineStr">
        <is>
          <t>Assets</t>
        </is>
      </c>
      <c r="D5123" s="3" t="inlineStr">
        <is>
          <t>7620/290</t>
        </is>
      </c>
      <c r="E5123" s="3" t="inlineStr">
        <is>
          <t>Heron View CIP Town Planning</t>
        </is>
      </c>
      <c r="F5123" s="3" t="n">
        <v>0</v>
      </c>
      <c r="G5123" s="3" t="n">
        <v>2834.7</v>
      </c>
    </row>
    <row r="5124">
      <c r="A5124" s="3" t="inlineStr">
        <is>
          <t>Heron Fields (Pty) Ltd</t>
        </is>
      </c>
      <c r="B5124" s="4" t="n">
        <v>45291</v>
      </c>
      <c r="C5124" s="3" t="inlineStr">
        <is>
          <t>Assets</t>
        </is>
      </c>
      <c r="D5124" s="3" t="inlineStr">
        <is>
          <t>7620/295</t>
        </is>
      </c>
      <c r="E5124" s="3" t="inlineStr">
        <is>
          <t>HF CIP Traffic Planning</t>
        </is>
      </c>
      <c r="F5124" s="3" t="n">
        <v>0</v>
      </c>
      <c r="G5124" s="3" t="n">
        <v>45000</v>
      </c>
    </row>
    <row r="5125">
      <c r="A5125" s="3" t="inlineStr">
        <is>
          <t>Heron Fields (Pty) Ltd</t>
        </is>
      </c>
      <c r="B5125" s="4" t="n">
        <v>45291</v>
      </c>
      <c r="C5125" s="3" t="inlineStr">
        <is>
          <t>Assets</t>
        </is>
      </c>
      <c r="D5125" s="3" t="inlineStr">
        <is>
          <t>7620/600</t>
        </is>
      </c>
      <c r="E5125" s="3" t="inlineStr">
        <is>
          <t>HF CIP Eco work</t>
        </is>
      </c>
      <c r="F5125" s="3" t="n">
        <v>6000</v>
      </c>
      <c r="G5125" s="3" t="n">
        <v>191000</v>
      </c>
    </row>
    <row r="5126">
      <c r="A5126" s="3" t="inlineStr">
        <is>
          <t>Heron View (Pty) Ltd</t>
        </is>
      </c>
      <c r="B5126" s="4" t="n">
        <v>45291</v>
      </c>
      <c r="C5126" s="3" t="inlineStr">
        <is>
          <t>Assets</t>
        </is>
      </c>
      <c r="D5126" s="3" t="inlineStr">
        <is>
          <t>7620/605</t>
        </is>
      </c>
      <c r="E5126" s="3" t="inlineStr">
        <is>
          <t>Heron View CIP Structural Engineers</t>
        </is>
      </c>
      <c r="F5126" s="3" t="n">
        <v>0</v>
      </c>
      <c r="G5126" s="3" t="n">
        <v>666877.14</v>
      </c>
    </row>
    <row r="5127">
      <c r="A5127" s="3" t="inlineStr">
        <is>
          <t>Heron View (Pty) Ltd</t>
        </is>
      </c>
      <c r="B5127" s="4" t="n">
        <v>45291</v>
      </c>
      <c r="C5127" s="3" t="inlineStr">
        <is>
          <t>Assets</t>
        </is>
      </c>
      <c r="D5127" s="3" t="inlineStr">
        <is>
          <t>7620/610</t>
        </is>
      </c>
      <c r="E5127" s="3" t="inlineStr">
        <is>
          <t>HV CIP Retaining wall</t>
        </is>
      </c>
      <c r="F5127" s="3" t="n">
        <v>0</v>
      </c>
      <c r="G5127" s="3" t="n">
        <v>66190.11</v>
      </c>
    </row>
    <row r="5128">
      <c r="A5128" s="3" t="inlineStr">
        <is>
          <t>Heron Fields (Pty) Ltd</t>
        </is>
      </c>
      <c r="B5128" s="4" t="n">
        <v>45291</v>
      </c>
      <c r="C5128" s="3" t="inlineStr">
        <is>
          <t>Assets</t>
        </is>
      </c>
      <c r="D5128" s="3" t="inlineStr">
        <is>
          <t>7620/630</t>
        </is>
      </c>
      <c r="E5128" s="3" t="inlineStr">
        <is>
          <t>HF CIP CoCT development contribution</t>
        </is>
      </c>
      <c r="F5128" s="3" t="n">
        <v>0</v>
      </c>
      <c r="G5128" s="3" t="n">
        <v>3252759.95</v>
      </c>
    </row>
    <row r="5129">
      <c r="A5129" s="3" t="inlineStr">
        <is>
          <t>Heron View (Pty) Ltd</t>
        </is>
      </c>
      <c r="B5129" s="4" t="n">
        <v>45291</v>
      </c>
      <c r="C5129" s="3" t="inlineStr">
        <is>
          <t>Assets</t>
        </is>
      </c>
      <c r="D5129" s="3" t="inlineStr">
        <is>
          <t>7620/630</t>
        </is>
      </c>
      <c r="E5129" s="3" t="inlineStr">
        <is>
          <t>Heron CIP - CoCT development contribution</t>
        </is>
      </c>
      <c r="F5129" s="3" t="n">
        <v>0</v>
      </c>
      <c r="G5129" s="3" t="n">
        <v>1673231.19</v>
      </c>
    </row>
    <row r="5130">
      <c r="A5130" s="3" t="inlineStr">
        <is>
          <t>Heron Fields (Pty) Ltd</t>
        </is>
      </c>
      <c r="B5130" s="4" t="n">
        <v>45291</v>
      </c>
      <c r="C5130" s="3" t="inlineStr">
        <is>
          <t>Assets</t>
        </is>
      </c>
      <c r="D5130" s="3" t="inlineStr">
        <is>
          <t>7620/640</t>
        </is>
      </c>
      <c r="E5130" s="3" t="inlineStr">
        <is>
          <t>HF CIP Project costs</t>
        </is>
      </c>
      <c r="F5130" s="3" t="n">
        <v>0</v>
      </c>
      <c r="G5130" s="3" t="n">
        <v>622274.51</v>
      </c>
    </row>
    <row r="5131">
      <c r="A5131" s="3" t="inlineStr">
        <is>
          <t>Heron View (Pty) Ltd</t>
        </is>
      </c>
      <c r="B5131" s="4" t="n">
        <v>45291</v>
      </c>
      <c r="C5131" s="3" t="inlineStr">
        <is>
          <t>Assets</t>
        </is>
      </c>
      <c r="D5131" s="3" t="inlineStr">
        <is>
          <t>7620/650</t>
        </is>
      </c>
      <c r="E5131" s="3" t="inlineStr">
        <is>
          <t>CIP - Construction Management</t>
        </is>
      </c>
      <c r="F5131" s="3" t="n">
        <v>0</v>
      </c>
      <c r="G5131" s="3" t="n">
        <v>76530</v>
      </c>
    </row>
    <row r="5132">
      <c r="A5132" s="3" t="inlineStr">
        <is>
          <t>Heron Fields (Pty) Ltd</t>
        </is>
      </c>
      <c r="B5132" s="4" t="n">
        <v>45291</v>
      </c>
      <c r="C5132" s="3" t="inlineStr">
        <is>
          <t>Assets</t>
        </is>
      </c>
      <c r="D5132" s="3" t="inlineStr">
        <is>
          <t>7620/650</t>
        </is>
      </c>
      <c r="E5132" s="3" t="inlineStr">
        <is>
          <t>HF CIP Electrical</t>
        </is>
      </c>
      <c r="F5132" s="3" t="n">
        <v>0</v>
      </c>
      <c r="G5132" s="3" t="n">
        <v>985049.6800000001</v>
      </c>
    </row>
    <row r="5133">
      <c r="A5133" s="3" t="inlineStr">
        <is>
          <t>Heron View (Pty) Ltd</t>
        </is>
      </c>
      <c r="B5133" s="4" t="n">
        <v>45291</v>
      </c>
      <c r="C5133" s="3" t="inlineStr">
        <is>
          <t>Assets</t>
        </is>
      </c>
      <c r="D5133" s="3" t="inlineStr">
        <is>
          <t>7620/660</t>
        </is>
      </c>
      <c r="E5133" s="3" t="inlineStr">
        <is>
          <t>HV CIP Health &amp; Safety</t>
        </is>
      </c>
      <c r="F5133" s="3" t="n">
        <v>0</v>
      </c>
      <c r="G5133" s="3" t="n">
        <v>27200</v>
      </c>
    </row>
    <row r="5134">
      <c r="A5134" s="3" t="inlineStr">
        <is>
          <t>Heron View (Pty) Ltd</t>
        </is>
      </c>
      <c r="B5134" s="4" t="n">
        <v>45291</v>
      </c>
      <c r="C5134" s="3" t="inlineStr">
        <is>
          <t>Assets</t>
        </is>
      </c>
      <c r="D5134" s="3" t="inlineStr">
        <is>
          <t>7620/670</t>
        </is>
      </c>
      <c r="E5134" s="3" t="inlineStr">
        <is>
          <t>HV CIP - Project costs CPSD</t>
        </is>
      </c>
      <c r="F5134" s="3" t="n">
        <v>465217.39</v>
      </c>
      <c r="G5134" s="3" t="n">
        <v>2154347.82</v>
      </c>
    </row>
    <row r="5135">
      <c r="A5135" s="3" t="inlineStr">
        <is>
          <t>Heron View (Pty) Ltd</t>
        </is>
      </c>
      <c r="B5135" s="4" t="n">
        <v>45291</v>
      </c>
      <c r="C5135" s="3" t="inlineStr">
        <is>
          <t>Assets</t>
        </is>
      </c>
      <c r="D5135" s="3" t="inlineStr">
        <is>
          <t>7620/680</t>
        </is>
      </c>
      <c r="E5135" s="3" t="inlineStr">
        <is>
          <t>HV CIP Elextrical</t>
        </is>
      </c>
      <c r="F5135" s="3" t="n">
        <v>0</v>
      </c>
      <c r="G5135" s="3" t="n">
        <v>1540502.11</v>
      </c>
    </row>
    <row r="5136">
      <c r="A5136" s="3" t="inlineStr">
        <is>
          <t>Heron View (Pty) Ltd</t>
        </is>
      </c>
      <c r="B5136" s="4" t="n">
        <v>45291</v>
      </c>
      <c r="C5136" s="3" t="inlineStr">
        <is>
          <t>Assets</t>
        </is>
      </c>
      <c r="D5136" s="3" t="inlineStr">
        <is>
          <t>7620/690</t>
        </is>
      </c>
      <c r="E5136" s="3" t="inlineStr">
        <is>
          <t>HV CIP Site Establishment</t>
        </is>
      </c>
      <c r="F5136" s="3" t="n">
        <v>-4400000</v>
      </c>
      <c r="G5136" s="3" t="n">
        <v>16307183.05</v>
      </c>
    </row>
    <row r="5137">
      <c r="A5137" s="3" t="inlineStr">
        <is>
          <t>Heron Fields (Pty) Ltd</t>
        </is>
      </c>
      <c r="B5137" s="4" t="n">
        <v>45291</v>
      </c>
      <c r="C5137" s="3" t="inlineStr">
        <is>
          <t>Assets</t>
        </is>
      </c>
      <c r="D5137" s="3" t="inlineStr">
        <is>
          <t>7620/750</t>
        </is>
      </c>
      <c r="E5137" s="3" t="inlineStr">
        <is>
          <t>HF CIP Project costs CPSD</t>
        </is>
      </c>
      <c r="F5137" s="3" t="n">
        <v>0</v>
      </c>
      <c r="G5137" s="3" t="n">
        <v>2148883.15</v>
      </c>
    </row>
    <row r="5138">
      <c r="A5138" s="3" t="inlineStr">
        <is>
          <t>Heron Fields (Pty) Ltd</t>
        </is>
      </c>
      <c r="B5138" s="4" t="n">
        <v>45291</v>
      </c>
      <c r="C5138" s="3" t="inlineStr">
        <is>
          <t>Assets</t>
        </is>
      </c>
      <c r="D5138" s="3" t="inlineStr">
        <is>
          <t>7620/800</t>
        </is>
      </c>
      <c r="E5138" s="3" t="inlineStr">
        <is>
          <t>HF CIP GL Conradie</t>
        </is>
      </c>
      <c r="F5138" s="3" t="n">
        <v>0</v>
      </c>
      <c r="G5138" s="3" t="n">
        <v>1068455</v>
      </c>
    </row>
    <row r="5139">
      <c r="A5139" s="3" t="inlineStr">
        <is>
          <t>Heron View (Pty) Ltd</t>
        </is>
      </c>
      <c r="B5139" s="4" t="n">
        <v>45291</v>
      </c>
      <c r="C5139" s="3" t="inlineStr">
        <is>
          <t>Assets</t>
        </is>
      </c>
      <c r="D5139" s="3" t="inlineStr">
        <is>
          <t>7620/800</t>
        </is>
      </c>
      <c r="E5139" s="3" t="inlineStr">
        <is>
          <t>HV CIP GL Conradie</t>
        </is>
      </c>
      <c r="F5139" s="3" t="n">
        <v>0</v>
      </c>
      <c r="G5139" s="3" t="n">
        <v>2188325.96</v>
      </c>
    </row>
    <row r="5140">
      <c r="A5140" s="3" t="inlineStr">
        <is>
          <t>Heron Fields (Pty) Ltd</t>
        </is>
      </c>
      <c r="B5140" s="4" t="n">
        <v>45291</v>
      </c>
      <c r="C5140" s="3" t="inlineStr">
        <is>
          <t>Assets</t>
        </is>
      </c>
      <c r="D5140" s="3" t="inlineStr">
        <is>
          <t>7700/010</t>
        </is>
      </c>
      <c r="E5140" s="3" t="inlineStr">
        <is>
          <t>Construction 28 Feb 23 HF</t>
        </is>
      </c>
      <c r="F5140" s="3" t="n">
        <v>0</v>
      </c>
      <c r="G5140" s="3" t="n">
        <v>-24427668.44</v>
      </c>
    </row>
    <row r="5141">
      <c r="A5141" s="3" t="inlineStr">
        <is>
          <t>Cape Projects Construction (Pty) Ltd</t>
        </is>
      </c>
      <c r="B5141" s="4" t="n">
        <v>45291</v>
      </c>
      <c r="C5141" s="3" t="inlineStr">
        <is>
          <t>Assets</t>
        </is>
      </c>
      <c r="D5141" s="3" t="inlineStr">
        <is>
          <t>7800/000</t>
        </is>
      </c>
      <c r="E5141" s="3" t="inlineStr">
        <is>
          <t>Deposits paid</t>
        </is>
      </c>
      <c r="F5141" s="3" t="n">
        <v>0</v>
      </c>
      <c r="G5141" s="3" t="n">
        <v>29600</v>
      </c>
    </row>
    <row r="5142">
      <c r="A5142" s="3" t="inlineStr">
        <is>
          <t>Cape Projects Construction (Pty) Ltd</t>
        </is>
      </c>
      <c r="B5142" s="4" t="n">
        <v>45291</v>
      </c>
      <c r="C5142" s="3" t="inlineStr">
        <is>
          <t>Assets</t>
        </is>
      </c>
      <c r="D5142" s="3" t="inlineStr">
        <is>
          <t>8000/000</t>
        </is>
      </c>
      <c r="E5142" s="3" t="inlineStr">
        <is>
          <t>Customer Control Account</t>
        </is>
      </c>
      <c r="F5142" s="3" t="n">
        <v>95004.32000000001</v>
      </c>
      <c r="G5142" s="3" t="n">
        <v>3115537.61</v>
      </c>
    </row>
    <row r="5143">
      <c r="A5143" s="3" t="inlineStr">
        <is>
          <t>Heron Fields (Pty) Ltd</t>
        </is>
      </c>
      <c r="B5143" s="4" t="n">
        <v>45291</v>
      </c>
      <c r="C5143" s="3" t="inlineStr">
        <is>
          <t>Assets</t>
        </is>
      </c>
      <c r="D5143" s="3" t="inlineStr">
        <is>
          <t>8000/000</t>
        </is>
      </c>
      <c r="E5143" s="3" t="inlineStr">
        <is>
          <t>Customer Control Account</t>
        </is>
      </c>
      <c r="F5143" s="3" t="n">
        <v>1054.98</v>
      </c>
      <c r="G5143" s="3" t="n">
        <v>369330.02</v>
      </c>
    </row>
    <row r="5144">
      <c r="A5144" s="3" t="inlineStr">
        <is>
          <t>Heron View (Pty) Ltd</t>
        </is>
      </c>
      <c r="B5144" s="4" t="n">
        <v>45291</v>
      </c>
      <c r="C5144" s="3" t="inlineStr">
        <is>
          <t>Assets</t>
        </is>
      </c>
      <c r="D5144" s="3" t="inlineStr">
        <is>
          <t>8000/000</t>
        </is>
      </c>
      <c r="E5144" s="3" t="inlineStr">
        <is>
          <t>Customer Control Account</t>
        </is>
      </c>
      <c r="F5144" s="3" t="n">
        <v>232.69</v>
      </c>
      <c r="G5144" s="3" t="n">
        <v>232.69</v>
      </c>
    </row>
    <row r="5145">
      <c r="A5145" s="3" t="inlineStr">
        <is>
          <t>Cape Projects Construction (Pty) Ltd</t>
        </is>
      </c>
      <c r="B5145" s="4" t="n">
        <v>45291</v>
      </c>
      <c r="C5145" s="3" t="inlineStr">
        <is>
          <t>Assets</t>
        </is>
      </c>
      <c r="D5145" s="3" t="inlineStr">
        <is>
          <t>8200/030</t>
        </is>
      </c>
      <c r="E5145" s="3" t="inlineStr">
        <is>
          <t>Staff Loan - Ntuthuka</t>
        </is>
      </c>
      <c r="F5145" s="3" t="n">
        <v>0</v>
      </c>
      <c r="G5145" s="3" t="n">
        <v>-1755.17</v>
      </c>
    </row>
    <row r="5146">
      <c r="A5146" s="3" t="inlineStr">
        <is>
          <t>Heron Fields (Pty) Ltd</t>
        </is>
      </c>
      <c r="B5146" s="4" t="n">
        <v>45291</v>
      </c>
      <c r="C5146" s="3" t="inlineStr">
        <is>
          <t>Assets</t>
        </is>
      </c>
      <c r="D5146" s="3" t="inlineStr">
        <is>
          <t>8400/000</t>
        </is>
      </c>
      <c r="E5146" s="3" t="inlineStr">
        <is>
          <t>RMB - 62882379087</t>
        </is>
      </c>
      <c r="F5146" s="3" t="n">
        <v>34422.97</v>
      </c>
      <c r="G5146" s="3" t="n">
        <v>93395.38</v>
      </c>
    </row>
    <row r="5147">
      <c r="A5147" s="3" t="inlineStr">
        <is>
          <t>Cape Projects Construction (Pty) Ltd</t>
        </is>
      </c>
      <c r="B5147" s="4" t="n">
        <v>45291</v>
      </c>
      <c r="C5147" s="3" t="inlineStr">
        <is>
          <t>Assets</t>
        </is>
      </c>
      <c r="D5147" s="3" t="inlineStr">
        <is>
          <t>8400/000</t>
        </is>
      </c>
      <c r="E5147" s="3" t="inlineStr">
        <is>
          <t>RMB 62275138470</t>
        </is>
      </c>
      <c r="F5147" s="3" t="n">
        <v>-642123.33</v>
      </c>
      <c r="G5147" s="3" t="n">
        <v>32875.96</v>
      </c>
    </row>
    <row r="5148">
      <c r="A5148" s="3" t="inlineStr">
        <is>
          <t>Cape Projects Construction (Pty) Ltd</t>
        </is>
      </c>
      <c r="B5148" s="4" t="n">
        <v>45291</v>
      </c>
      <c r="C5148" s="3" t="inlineStr">
        <is>
          <t>Assets</t>
        </is>
      </c>
      <c r="D5148" s="3" t="inlineStr">
        <is>
          <t>8410/000</t>
        </is>
      </c>
      <c r="E5148" s="3" t="inlineStr">
        <is>
          <t>Petty Cash</t>
        </is>
      </c>
      <c r="F5148" s="3" t="n">
        <v>0</v>
      </c>
      <c r="G5148" s="3" t="n">
        <v>-1188</v>
      </c>
    </row>
    <row r="5149">
      <c r="A5149" s="3" t="inlineStr">
        <is>
          <t>Cape Projects Construction (Pty) Ltd</t>
        </is>
      </c>
      <c r="B5149" s="4" t="n">
        <v>45291</v>
      </c>
      <c r="C5149" s="3" t="inlineStr">
        <is>
          <t>Assets</t>
        </is>
      </c>
      <c r="D5149" s="3" t="inlineStr">
        <is>
          <t>8420/000</t>
        </is>
      </c>
      <c r="E5149" s="3" t="inlineStr">
        <is>
          <t>Momentum Priv Acc RU502230981</t>
        </is>
      </c>
      <c r="F5149" s="3" t="n">
        <v>0</v>
      </c>
      <c r="G5149" s="3" t="n">
        <v>571.55</v>
      </c>
    </row>
    <row r="5150">
      <c r="A5150" s="3" t="inlineStr">
        <is>
          <t>Heron Fields (Pty) Ltd</t>
        </is>
      </c>
      <c r="B5150" s="4" t="n">
        <v>45291</v>
      </c>
      <c r="C5150" s="3" t="inlineStr">
        <is>
          <t>Assets</t>
        </is>
      </c>
      <c r="D5150" s="3" t="inlineStr">
        <is>
          <t>8420/000</t>
        </is>
      </c>
      <c r="E5150" s="3" t="inlineStr">
        <is>
          <t>Petty Cash</t>
        </is>
      </c>
      <c r="F5150" s="3" t="n">
        <v>0</v>
      </c>
      <c r="G5150" s="3" t="n">
        <v>8620</v>
      </c>
    </row>
    <row r="5151">
      <c r="A5151" s="3" t="inlineStr">
        <is>
          <t>Heron Fields (Pty) Ltd</t>
        </is>
      </c>
      <c r="B5151" s="4" t="n">
        <v>45291</v>
      </c>
      <c r="C5151" s="3" t="inlineStr">
        <is>
          <t>Assets</t>
        </is>
      </c>
      <c r="D5151" s="3" t="inlineStr">
        <is>
          <t>8430/000</t>
        </is>
      </c>
      <c r="E5151" s="3" t="inlineStr">
        <is>
          <t>Momentum Private Account RU502230151</t>
        </is>
      </c>
      <c r="F5151" s="3" t="n">
        <v>0</v>
      </c>
      <c r="G5151" s="3" t="n">
        <v>871.91</v>
      </c>
    </row>
    <row r="5152">
      <c r="A5152" s="3" t="inlineStr">
        <is>
          <t>Heron Fields (Pty) Ltd</t>
        </is>
      </c>
      <c r="B5152" s="4" t="n">
        <v>45291</v>
      </c>
      <c r="C5152" s="3" t="inlineStr">
        <is>
          <t>Assets</t>
        </is>
      </c>
      <c r="D5152" s="3" t="inlineStr">
        <is>
          <t>8440/000</t>
        </is>
      </c>
      <c r="E5152" s="3" t="inlineStr">
        <is>
          <t>Momentum Investors Account RU502229930</t>
        </is>
      </c>
      <c r="F5152" s="3" t="n">
        <v>-18481711.17</v>
      </c>
      <c r="G5152" s="3" t="n">
        <v>17747862.96</v>
      </c>
    </row>
    <row r="5153">
      <c r="A5153" s="3" t="inlineStr">
        <is>
          <t>Heron Fields (Pty) Ltd</t>
        </is>
      </c>
      <c r="B5153" s="4" t="n">
        <v>45291</v>
      </c>
      <c r="C5153" s="3" t="inlineStr">
        <is>
          <t>Assets</t>
        </is>
      </c>
      <c r="D5153" s="3" t="inlineStr">
        <is>
          <t>8450/000</t>
        </is>
      </c>
      <c r="E5153" s="3" t="inlineStr">
        <is>
          <t>ABSA Current Acc : 4109071013</t>
        </is>
      </c>
      <c r="F5153" s="3" t="n">
        <v>0</v>
      </c>
      <c r="G5153" s="3" t="n">
        <v>500</v>
      </c>
    </row>
    <row r="5154">
      <c r="A5154" s="3" t="inlineStr">
        <is>
          <t>Cape Projects Construction (Pty) Ltd</t>
        </is>
      </c>
      <c r="B5154" s="4" t="n">
        <v>45291</v>
      </c>
      <c r="C5154" s="3" t="inlineStr">
        <is>
          <t>Liabilities</t>
        </is>
      </c>
      <c r="D5154" s="3" t="inlineStr">
        <is>
          <t>860</t>
        </is>
      </c>
      <c r="E5154" s="3" t="inlineStr">
        <is>
          <t>Rounding</t>
        </is>
      </c>
      <c r="F5154" s="3" t="n">
        <v>29.59</v>
      </c>
      <c r="G5154" s="3" t="n">
        <v>-0.82</v>
      </c>
    </row>
    <row r="5155">
      <c r="A5155" s="3" t="inlineStr">
        <is>
          <t>Heron Fields (Pty) Ltd</t>
        </is>
      </c>
      <c r="B5155" s="4" t="n">
        <v>45291</v>
      </c>
      <c r="C5155" s="3" t="inlineStr">
        <is>
          <t>Liabilities</t>
        </is>
      </c>
      <c r="D5155" s="3" t="inlineStr">
        <is>
          <t>860</t>
        </is>
      </c>
      <c r="E5155" s="3" t="inlineStr">
        <is>
          <t>Rounding</t>
        </is>
      </c>
      <c r="F5155" s="3" t="n">
        <v>0</v>
      </c>
      <c r="G5155" s="3" t="n">
        <v>0.14</v>
      </c>
    </row>
    <row r="5156">
      <c r="A5156" s="3" t="inlineStr">
        <is>
          <t>Heron View (Pty) Ltd</t>
        </is>
      </c>
      <c r="B5156" s="4" t="n">
        <v>45291</v>
      </c>
      <c r="C5156" s="3" t="inlineStr">
        <is>
          <t>Liabilities</t>
        </is>
      </c>
      <c r="D5156" s="3" t="inlineStr">
        <is>
          <t>860</t>
        </is>
      </c>
      <c r="E5156" s="3" t="inlineStr">
        <is>
          <t>Rounding</t>
        </is>
      </c>
      <c r="F5156" s="3" t="n">
        <v>0.03</v>
      </c>
      <c r="G5156" s="3" t="n">
        <v>-0.03</v>
      </c>
    </row>
    <row r="5157">
      <c r="A5157" s="3" t="inlineStr">
        <is>
          <t>Cape Projects Construction (Pty) Ltd</t>
        </is>
      </c>
      <c r="B5157" s="4" t="n">
        <v>45291</v>
      </c>
      <c r="C5157" s="3" t="inlineStr">
        <is>
          <t>Liabilities</t>
        </is>
      </c>
      <c r="D5157" s="3" t="inlineStr">
        <is>
          <t>9000/000</t>
        </is>
      </c>
      <c r="E5157" s="3" t="inlineStr">
        <is>
          <t>Supplier Control Account</t>
        </is>
      </c>
      <c r="F5157" s="3" t="n">
        <v>6767146.17</v>
      </c>
      <c r="G5157" s="3" t="n">
        <v>-470871.93</v>
      </c>
    </row>
    <row r="5158">
      <c r="A5158" s="3" t="inlineStr">
        <is>
          <t>Heron Fields (Pty) Ltd</t>
        </is>
      </c>
      <c r="B5158" s="4" t="n">
        <v>45291</v>
      </c>
      <c r="C5158" s="3" t="inlineStr">
        <is>
          <t>Liabilities</t>
        </is>
      </c>
      <c r="D5158" s="3" t="inlineStr">
        <is>
          <t>9000/000</t>
        </is>
      </c>
      <c r="E5158" s="3" t="inlineStr">
        <is>
          <t>Supplier Control Account</t>
        </is>
      </c>
      <c r="F5158" s="3" t="n">
        <v>-8808460.949999999</v>
      </c>
      <c r="G5158" s="3" t="n">
        <v>-173053454.13</v>
      </c>
    </row>
    <row r="5159">
      <c r="A5159" s="3" t="inlineStr">
        <is>
          <t>Heron View (Pty) Ltd</t>
        </is>
      </c>
      <c r="B5159" s="4" t="n">
        <v>45291</v>
      </c>
      <c r="C5159" s="3" t="inlineStr">
        <is>
          <t>Liabilities</t>
        </is>
      </c>
      <c r="D5159" s="3" t="inlineStr">
        <is>
          <t>9000/000</t>
        </is>
      </c>
      <c r="E5159" s="3" t="inlineStr">
        <is>
          <t>Supplier Control Account</t>
        </is>
      </c>
      <c r="F5159" s="3" t="n">
        <v>5012006.46</v>
      </c>
      <c r="G5159" s="3" t="n">
        <v>952519.04</v>
      </c>
    </row>
    <row r="5160">
      <c r="A5160" s="3" t="inlineStr">
        <is>
          <t>Cape Projects Construction (Pty) Ltd</t>
        </is>
      </c>
      <c r="B5160" s="4" t="n">
        <v>45291</v>
      </c>
      <c r="C5160" s="3" t="inlineStr">
        <is>
          <t>Liabilities</t>
        </is>
      </c>
      <c r="D5160" s="3" t="inlineStr">
        <is>
          <t>9200/000</t>
        </is>
      </c>
      <c r="E5160" s="3" t="inlineStr">
        <is>
          <t>Sundry Suppliers</t>
        </is>
      </c>
      <c r="F5160" s="3" t="n">
        <v>0</v>
      </c>
      <c r="G5160" s="3" t="n">
        <v>1309</v>
      </c>
    </row>
    <row r="5161">
      <c r="A5161" s="3" t="inlineStr">
        <is>
          <t>Cape Projects Construction (Pty) Ltd</t>
        </is>
      </c>
      <c r="B5161" s="4" t="n">
        <v>45291</v>
      </c>
      <c r="C5161" s="3" t="inlineStr">
        <is>
          <t>Liabilities</t>
        </is>
      </c>
      <c r="D5161" s="3" t="inlineStr">
        <is>
          <t>9250/010</t>
        </is>
      </c>
      <c r="E5161" s="3" t="inlineStr">
        <is>
          <t>SALARY CONTROL</t>
        </is>
      </c>
      <c r="F5161" s="3" t="n">
        <v>0</v>
      </c>
      <c r="G5161" s="3" t="n">
        <v>1755.17</v>
      </c>
    </row>
    <row r="5162">
      <c r="A5162" s="3" t="inlineStr">
        <is>
          <t>Cape Projects Construction (Pty) Ltd</t>
        </is>
      </c>
      <c r="B5162" s="4" t="n">
        <v>45291</v>
      </c>
      <c r="C5162" s="3" t="inlineStr">
        <is>
          <t>Liabilities</t>
        </is>
      </c>
      <c r="D5162" s="3" t="inlineStr">
        <is>
          <t>9250/020</t>
        </is>
      </c>
      <c r="E5162" s="3" t="inlineStr">
        <is>
          <t>PAYE, UIF AND SDL CONTROL</t>
        </is>
      </c>
      <c r="F5162" s="3" t="n">
        <v>-3740.22</v>
      </c>
      <c r="G5162" s="3" t="n">
        <v>-113672.08</v>
      </c>
    </row>
    <row r="5163">
      <c r="A5163" s="3" t="inlineStr">
        <is>
          <t>Cape Projects Construction (Pty) Ltd</t>
        </is>
      </c>
      <c r="B5163" s="4" t="n">
        <v>45291</v>
      </c>
      <c r="C5163" s="3" t="inlineStr">
        <is>
          <t>Liabilities</t>
        </is>
      </c>
      <c r="D5163" s="3" t="inlineStr">
        <is>
          <t>9250/030</t>
        </is>
      </c>
      <c r="E5163" s="3" t="inlineStr">
        <is>
          <t>BIBC CONTROL</t>
        </is>
      </c>
      <c r="F5163" s="3" t="n">
        <v>0</v>
      </c>
      <c r="G5163" s="3" t="n">
        <v>-49413.95</v>
      </c>
    </row>
    <row r="5164">
      <c r="A5164" s="3" t="inlineStr">
        <is>
          <t>Cape Projects Construction (Pty) Ltd</t>
        </is>
      </c>
      <c r="B5164" s="4" t="n">
        <v>45291</v>
      </c>
      <c r="C5164" s="3" t="inlineStr">
        <is>
          <t>Liabilities</t>
        </is>
      </c>
      <c r="D5164" s="3" t="inlineStr">
        <is>
          <t>9350/000</t>
        </is>
      </c>
      <c r="E5164" s="3" t="inlineStr">
        <is>
          <t>Dividends Payable</t>
        </is>
      </c>
      <c r="F5164" s="3" t="n">
        <v>0</v>
      </c>
      <c r="G5164" s="3" t="n">
        <v>130000</v>
      </c>
    </row>
    <row r="5165">
      <c r="A5165" s="3" t="inlineStr">
        <is>
          <t>Cape Projects Construction (Pty) Ltd</t>
        </is>
      </c>
      <c r="B5165" s="4" t="n">
        <v>45291</v>
      </c>
      <c r="C5165" s="3" t="inlineStr">
        <is>
          <t>Liabilities</t>
        </is>
      </c>
      <c r="D5165" s="3" t="inlineStr">
        <is>
          <t>9500/000</t>
        </is>
      </c>
      <c r="E5165" s="3" t="inlineStr">
        <is>
          <t>VAT Control Account</t>
        </is>
      </c>
      <c r="F5165" s="3" t="n">
        <v>232432.12</v>
      </c>
      <c r="G5165" s="3" t="n">
        <v>-41777.92</v>
      </c>
    </row>
    <row r="5166">
      <c r="A5166" s="3" t="inlineStr">
        <is>
          <t>Heron Fields (Pty) Ltd</t>
        </is>
      </c>
      <c r="B5166" s="4" t="n">
        <v>45291</v>
      </c>
      <c r="C5166" s="3" t="inlineStr">
        <is>
          <t>Liabilities</t>
        </is>
      </c>
      <c r="D5166" s="3" t="inlineStr">
        <is>
          <t>9500/000</t>
        </is>
      </c>
      <c r="E5166" s="3" t="inlineStr">
        <is>
          <t>Vat / Tax Control Account</t>
        </is>
      </c>
      <c r="F5166" s="3" t="n">
        <v>837364.89</v>
      </c>
      <c r="G5166" s="3" t="n">
        <v>-3393946.57</v>
      </c>
    </row>
    <row r="5167">
      <c r="A5167" s="3" t="inlineStr">
        <is>
          <t>Heron View (Pty) Ltd</t>
        </is>
      </c>
      <c r="B5167" s="4" t="n">
        <v>45291</v>
      </c>
      <c r="C5167" s="3" t="inlineStr">
        <is>
          <t>Liabilities</t>
        </is>
      </c>
      <c r="D5167" s="3" t="inlineStr">
        <is>
          <t>9500/000</t>
        </is>
      </c>
      <c r="E5167" s="3" t="inlineStr">
        <is>
          <t>Vat / Tax Control Account</t>
        </is>
      </c>
      <c r="F5167" s="3" t="n">
        <v>472714.79</v>
      </c>
      <c r="G5167" s="3" t="n">
        <v>6675203.74</v>
      </c>
    </row>
    <row r="5168">
      <c r="A5168" s="3" t="inlineStr">
        <is>
          <t>Cape Projects Construction (Pty) Ltd</t>
        </is>
      </c>
      <c r="B5168" s="4" t="n">
        <v>45291</v>
      </c>
      <c r="C5168" s="3" t="inlineStr">
        <is>
          <t>Liabilities</t>
        </is>
      </c>
      <c r="D5168" s="3" t="inlineStr">
        <is>
          <t>9510/000</t>
        </is>
      </c>
      <c r="E5168" s="3" t="inlineStr">
        <is>
          <t>Tax Provision Account</t>
        </is>
      </c>
      <c r="F5168" s="3" t="n">
        <v>0</v>
      </c>
      <c r="G5168" s="3" t="n">
        <v>-1869.8</v>
      </c>
    </row>
    <row r="5169">
      <c r="A5169" s="3" t="inlineStr">
        <is>
          <t>Heron Fields (Pty) Ltd</t>
        </is>
      </c>
      <c r="B5169" s="4" t="n">
        <v>45291</v>
      </c>
      <c r="C5169" s="3" t="inlineStr">
        <is>
          <t>Liabilities</t>
        </is>
      </c>
      <c r="D5169" s="3" t="inlineStr">
        <is>
          <t>9520/000</t>
        </is>
      </c>
      <c r="E5169" s="3" t="inlineStr">
        <is>
          <t>Income Tax Payable</t>
        </is>
      </c>
      <c r="F5169" s="3" t="n">
        <v>0</v>
      </c>
      <c r="G5169" s="3" t="n">
        <v>59039.93</v>
      </c>
    </row>
    <row r="5170">
      <c r="A5170" s="3" t="inlineStr">
        <is>
          <t>Heron View (Pty) Ltd</t>
        </is>
      </c>
      <c r="B5170" s="4" t="n">
        <v>45291</v>
      </c>
      <c r="C5170" s="3" t="inlineStr">
        <is>
          <t>Liabilities</t>
        </is>
      </c>
      <c r="D5170" s="3" t="inlineStr">
        <is>
          <t>9899/C102</t>
        </is>
      </c>
      <c r="E5170" s="3" t="inlineStr">
        <is>
          <t>Sales - Unit Reg Control C102</t>
        </is>
      </c>
      <c r="F5170" s="3" t="n">
        <v>0</v>
      </c>
      <c r="G5170" s="3" t="n">
        <v>-0.4</v>
      </c>
    </row>
    <row r="5171">
      <c r="A5171" s="3" t="inlineStr">
        <is>
          <t>Cape Projects Construction (Pty) Ltd</t>
        </is>
      </c>
      <c r="B5171" s="4" t="n">
        <v>45291</v>
      </c>
      <c r="C5171" s="3" t="inlineStr">
        <is>
          <t>Liabilities</t>
        </is>
      </c>
      <c r="D5171" s="3" t="inlineStr">
        <is>
          <t>B/S</t>
        </is>
      </c>
      <c r="E5171" s="3" t="inlineStr">
        <is>
          <t>Taxation Payable</t>
        </is>
      </c>
      <c r="F5171" s="3" t="n">
        <v>0</v>
      </c>
      <c r="G5171" s="3" t="n">
        <v>1869.8</v>
      </c>
    </row>
    <row r="5172">
      <c r="A5172" s="3" t="inlineStr">
        <is>
          <t>Cape Projects Construction (Pty) Ltd</t>
        </is>
      </c>
      <c r="B5172" s="4" t="n">
        <v>45291</v>
      </c>
      <c r="C5172" s="3" t="inlineStr">
        <is>
          <t>Liabilities</t>
        </is>
      </c>
      <c r="D5172" s="3" t="inlineStr">
        <is>
          <t>TEMP/ACC</t>
        </is>
      </c>
      <c r="E5172" s="3" t="inlineStr">
        <is>
          <t>Conversion Account</t>
        </is>
      </c>
      <c r="F5172" s="3" t="n">
        <v>0</v>
      </c>
      <c r="G5172" s="3" t="n">
        <v>-254.99</v>
      </c>
    </row>
    <row r="5173">
      <c r="A5173" s="3" t="inlineStr">
        <is>
          <t>Heron Fields (Pty) Ltd</t>
        </is>
      </c>
      <c r="B5173" s="4" t="n">
        <v>45322</v>
      </c>
      <c r="C5173" s="3" t="inlineStr">
        <is>
          <t>Revenue</t>
        </is>
      </c>
      <c r="D5173" s="3" t="inlineStr">
        <is>
          <t>1000/100</t>
        </is>
      </c>
      <c r="E5173" s="3" t="inlineStr">
        <is>
          <t>Sales - Heron Fields</t>
        </is>
      </c>
      <c r="F5173" s="3" t="n">
        <v>0</v>
      </c>
      <c r="G5173" s="3" t="n">
        <v>-28096347.83</v>
      </c>
    </row>
    <row r="5174">
      <c r="A5174" s="3" t="inlineStr">
        <is>
          <t>Heron View (Pty) Ltd</t>
        </is>
      </c>
      <c r="B5174" s="4" t="n">
        <v>45322</v>
      </c>
      <c r="C5174" s="3" t="inlineStr">
        <is>
          <t>Revenue</t>
        </is>
      </c>
      <c r="D5174" s="3" t="inlineStr">
        <is>
          <t>1000/100</t>
        </is>
      </c>
      <c r="E5174" s="3" t="inlineStr">
        <is>
          <t>Sales - Heron View Sales</t>
        </is>
      </c>
      <c r="F5174" s="3" t="n">
        <v>-6969130.45</v>
      </c>
      <c r="G5174" s="3" t="n">
        <v>-29872087</v>
      </c>
    </row>
    <row r="5175">
      <c r="A5175" s="3" t="inlineStr">
        <is>
          <t>Heron Fields (Pty) Ltd</t>
        </is>
      </c>
      <c r="B5175" s="4" t="n">
        <v>45322</v>
      </c>
      <c r="C5175" s="3" t="inlineStr">
        <is>
          <t>Revenue</t>
        </is>
      </c>
      <c r="D5175" s="3" t="inlineStr">
        <is>
          <t>1000/101</t>
        </is>
      </c>
      <c r="E5175" s="3" t="inlineStr">
        <is>
          <t>Sales - Heron Fields occupational rent</t>
        </is>
      </c>
      <c r="F5175" s="3" t="n">
        <v>0</v>
      </c>
      <c r="G5175" s="3" t="n">
        <v>-102388.85</v>
      </c>
    </row>
    <row r="5176">
      <c r="A5176" s="3" t="inlineStr">
        <is>
          <t>Heron View (Pty) Ltd</t>
        </is>
      </c>
      <c r="B5176" s="4" t="n">
        <v>45322</v>
      </c>
      <c r="C5176" s="3" t="inlineStr">
        <is>
          <t>Revenue</t>
        </is>
      </c>
      <c r="D5176" s="3" t="inlineStr">
        <is>
          <t>1000/101</t>
        </is>
      </c>
      <c r="E5176" s="3" t="inlineStr">
        <is>
          <t>Sales - Heron View Occupational Rent</t>
        </is>
      </c>
      <c r="F5176" s="3" t="n">
        <v>-4800</v>
      </c>
      <c r="G5176" s="3" t="n">
        <v>-88696.75999999999</v>
      </c>
    </row>
    <row r="5177">
      <c r="A5177" s="3" t="inlineStr">
        <is>
          <t>Cape Projects Construction (Pty) Ltd</t>
        </is>
      </c>
      <c r="B5177" s="4" t="n">
        <v>45322</v>
      </c>
      <c r="C5177" s="3" t="inlineStr">
        <is>
          <t>Revenue</t>
        </is>
      </c>
      <c r="D5177" s="3" t="inlineStr">
        <is>
          <t>1040/100</t>
        </is>
      </c>
      <c r="E5177" s="3" t="inlineStr">
        <is>
          <t>Fees - Construction - Heron</t>
        </is>
      </c>
      <c r="F5177" s="3" t="n">
        <v>-4442252.29</v>
      </c>
      <c r="G5177" s="3" t="n">
        <v>-55267592.85</v>
      </c>
    </row>
    <row r="5178">
      <c r="A5178" s="3" t="inlineStr">
        <is>
          <t>Cape Projects Construction (Pty) Ltd</t>
        </is>
      </c>
      <c r="B5178" s="4" t="n">
        <v>45322</v>
      </c>
      <c r="C5178" s="3" t="inlineStr">
        <is>
          <t>Revenue</t>
        </is>
      </c>
      <c r="D5178" s="3" t="inlineStr">
        <is>
          <t>1070/000</t>
        </is>
      </c>
      <c r="E5178" s="3" t="inlineStr">
        <is>
          <t>Rent - CT Office</t>
        </is>
      </c>
      <c r="F5178" s="3" t="n">
        <v>0</v>
      </c>
      <c r="G5178" s="3" t="n">
        <v>3490.94</v>
      </c>
    </row>
    <row r="5179">
      <c r="A5179" s="3" t="inlineStr">
        <is>
          <t>Heron Fields (Pty) Ltd</t>
        </is>
      </c>
      <c r="B5179" s="4" t="n">
        <v>45322</v>
      </c>
      <c r="C5179" s="3" t="inlineStr">
        <is>
          <t>Revenue</t>
        </is>
      </c>
      <c r="D5179" s="3" t="inlineStr">
        <is>
          <t>1500/002</t>
        </is>
      </c>
      <c r="E5179" s="3" t="inlineStr">
        <is>
          <t>Rental Income</t>
        </is>
      </c>
      <c r="F5179" s="3" t="n">
        <v>-142177.41</v>
      </c>
      <c r="G5179" s="3" t="n">
        <v>-334412.32</v>
      </c>
    </row>
    <row r="5180">
      <c r="A5180" s="3" t="inlineStr">
        <is>
          <t>Heron View (Pty) Ltd</t>
        </is>
      </c>
      <c r="B5180" s="4" t="n">
        <v>45322</v>
      </c>
      <c r="C5180" s="3" t="inlineStr">
        <is>
          <t>Revenue</t>
        </is>
      </c>
      <c r="D5180" s="3" t="inlineStr">
        <is>
          <t>1500/002</t>
        </is>
      </c>
      <c r="E5180" s="3" t="inlineStr">
        <is>
          <t>Rental Income</t>
        </is>
      </c>
      <c r="F5180" s="3" t="n">
        <v>0</v>
      </c>
      <c r="G5180" s="3" t="n">
        <v>-13883</v>
      </c>
    </row>
    <row r="5181">
      <c r="A5181" s="3" t="inlineStr">
        <is>
          <t>Heron Fields (Pty) Ltd</t>
        </is>
      </c>
      <c r="B5181" s="4" t="n">
        <v>45322</v>
      </c>
      <c r="C5181" s="3" t="inlineStr">
        <is>
          <t>Expenses</t>
        </is>
      </c>
      <c r="D5181" s="3" t="inlineStr">
        <is>
          <t>2000/011</t>
        </is>
      </c>
      <c r="E5181" s="3" t="inlineStr">
        <is>
          <t>COS - Heron View Showhouse</t>
        </is>
      </c>
      <c r="F5181" s="3" t="n">
        <v>0</v>
      </c>
      <c r="G5181" s="3" t="n">
        <v>45300.43</v>
      </c>
    </row>
    <row r="5182">
      <c r="A5182" s="3" t="inlineStr">
        <is>
          <t>Heron View (Pty) Ltd</t>
        </is>
      </c>
      <c r="B5182" s="4" t="n">
        <v>45322</v>
      </c>
      <c r="C5182" s="3" t="inlineStr">
        <is>
          <t>Expenses</t>
        </is>
      </c>
      <c r="D5182" s="3" t="inlineStr">
        <is>
          <t>2000/030</t>
        </is>
      </c>
      <c r="E5182" s="3" t="inlineStr">
        <is>
          <t>COS - HV COCT Rates clearance</t>
        </is>
      </c>
      <c r="F5182" s="3" t="n">
        <v>0</v>
      </c>
      <c r="G5182" s="3" t="n">
        <v>237142.94</v>
      </c>
    </row>
    <row r="5183">
      <c r="A5183" s="3" t="inlineStr">
        <is>
          <t>Heron Fields (Pty) Ltd</t>
        </is>
      </c>
      <c r="B5183" s="4" t="n">
        <v>45322</v>
      </c>
      <c r="C5183" s="3" t="inlineStr">
        <is>
          <t>Expenses</t>
        </is>
      </c>
      <c r="D5183" s="3" t="inlineStr">
        <is>
          <t>2000/040</t>
        </is>
      </c>
      <c r="E5183" s="3" t="inlineStr">
        <is>
          <t>COS - Legal Fees</t>
        </is>
      </c>
      <c r="F5183" s="3" t="n">
        <v>0</v>
      </c>
      <c r="G5183" s="3" t="n">
        <v>685713.49</v>
      </c>
    </row>
    <row r="5184">
      <c r="A5184" s="3" t="inlineStr">
        <is>
          <t>Heron View (Pty) Ltd</t>
        </is>
      </c>
      <c r="B5184" s="4" t="n">
        <v>45322</v>
      </c>
      <c r="C5184" s="3" t="inlineStr">
        <is>
          <t>Expenses</t>
        </is>
      </c>
      <c r="D5184" s="3" t="inlineStr">
        <is>
          <t>2000/040</t>
        </is>
      </c>
      <c r="E5184" s="3" t="inlineStr">
        <is>
          <t>COS - Legal Fees</t>
        </is>
      </c>
      <c r="F5184" s="3" t="n">
        <v>155834.92</v>
      </c>
      <c r="G5184" s="3" t="n">
        <v>670782.85</v>
      </c>
    </row>
    <row r="5185">
      <c r="A5185" s="3" t="inlineStr">
        <is>
          <t>Heron View (Pty) Ltd</t>
        </is>
      </c>
      <c r="B5185" s="4" t="n">
        <v>45322</v>
      </c>
      <c r="C5185" s="3" t="inlineStr">
        <is>
          <t>Expenses</t>
        </is>
      </c>
      <c r="D5185" s="3" t="inlineStr">
        <is>
          <t>2000/041</t>
        </is>
      </c>
      <c r="E5185" s="3" t="inlineStr">
        <is>
          <t>COS - Legal Fees Opening of Sec Title Fees</t>
        </is>
      </c>
      <c r="F5185" s="3" t="n">
        <v>0</v>
      </c>
      <c r="G5185" s="3" t="n">
        <v>79174.94</v>
      </c>
    </row>
    <row r="5186">
      <c r="A5186" s="3" t="inlineStr">
        <is>
          <t>Heron Fields (Pty) Ltd</t>
        </is>
      </c>
      <c r="B5186" s="4" t="n">
        <v>45322</v>
      </c>
      <c r="C5186" s="3" t="inlineStr">
        <is>
          <t>Expenses</t>
        </is>
      </c>
      <c r="D5186" s="3" t="inlineStr">
        <is>
          <t>2000/041</t>
        </is>
      </c>
      <c r="E5186" s="3" t="inlineStr">
        <is>
          <t>COS - Legal Fees Opening of Sec Title Scheme</t>
        </is>
      </c>
      <c r="F5186" s="3" t="n">
        <v>0</v>
      </c>
      <c r="G5186" s="3" t="n">
        <v>10540</v>
      </c>
    </row>
    <row r="5187">
      <c r="A5187" s="3" t="inlineStr">
        <is>
          <t>Heron Fields (Pty) Ltd</t>
        </is>
      </c>
      <c r="B5187" s="4" t="n">
        <v>45322</v>
      </c>
      <c r="C5187" s="3" t="inlineStr">
        <is>
          <t>Expenses</t>
        </is>
      </c>
      <c r="D5187" s="3" t="inlineStr">
        <is>
          <t>2000/050</t>
        </is>
      </c>
      <c r="E5187" s="3" t="inlineStr">
        <is>
          <t>COS - Rates clearance</t>
        </is>
      </c>
      <c r="F5187" s="3" t="n">
        <v>0</v>
      </c>
      <c r="G5187" s="3" t="n">
        <v>44864.59</v>
      </c>
    </row>
    <row r="5188">
      <c r="A5188" s="3" t="inlineStr">
        <is>
          <t>Heron Fields (Pty) Ltd</t>
        </is>
      </c>
      <c r="B5188" s="4" t="n">
        <v>45322</v>
      </c>
      <c r="C5188" s="3" t="inlineStr">
        <is>
          <t>Expenses</t>
        </is>
      </c>
      <c r="D5188" s="3" t="inlineStr">
        <is>
          <t>2000/060</t>
        </is>
      </c>
      <c r="E5188" s="3" t="inlineStr">
        <is>
          <t>COS - Levies</t>
        </is>
      </c>
      <c r="F5188" s="3" t="n">
        <v>0</v>
      </c>
      <c r="G5188" s="3" t="n">
        <v>381069.48</v>
      </c>
    </row>
    <row r="5189">
      <c r="A5189" s="3" t="inlineStr">
        <is>
          <t>Heron Fields (Pty) Ltd</t>
        </is>
      </c>
      <c r="B5189" s="4" t="n">
        <v>45322</v>
      </c>
      <c r="C5189" s="3" t="inlineStr">
        <is>
          <t>Expenses</t>
        </is>
      </c>
      <c r="D5189" s="3" t="inlineStr">
        <is>
          <t>2000/070</t>
        </is>
      </c>
      <c r="E5189" s="3" t="inlineStr">
        <is>
          <t>COS - Commission HF Units</t>
        </is>
      </c>
      <c r="F5189" s="3" t="n">
        <v>0</v>
      </c>
      <c r="G5189" s="3" t="n">
        <v>1405686.97</v>
      </c>
    </row>
    <row r="5190">
      <c r="A5190" s="3" t="inlineStr">
        <is>
          <t>Heron View (Pty) Ltd</t>
        </is>
      </c>
      <c r="B5190" s="4" t="n">
        <v>45322</v>
      </c>
      <c r="C5190" s="3" t="inlineStr">
        <is>
          <t>Expenses</t>
        </is>
      </c>
      <c r="D5190" s="3" t="inlineStr">
        <is>
          <t>2000/070</t>
        </is>
      </c>
      <c r="E5190" s="3" t="inlineStr">
        <is>
          <t>COS - Commission HV Units</t>
        </is>
      </c>
      <c r="F5190" s="3" t="n">
        <v>349108.7</v>
      </c>
      <c r="G5190" s="3" t="n">
        <v>1495126.06</v>
      </c>
    </row>
    <row r="5191">
      <c r="A5191" s="3" t="inlineStr">
        <is>
          <t>Heron Fields (Pty) Ltd</t>
        </is>
      </c>
      <c r="B5191" s="4" t="n">
        <v>45322</v>
      </c>
      <c r="C5191" s="3" t="inlineStr">
        <is>
          <t>Expenses</t>
        </is>
      </c>
      <c r="D5191" s="3" t="inlineStr">
        <is>
          <t>2000/080</t>
        </is>
      </c>
      <c r="E5191" s="3" t="inlineStr">
        <is>
          <t>COS - Showhouse - HF</t>
        </is>
      </c>
      <c r="F5191" s="3" t="n">
        <v>0</v>
      </c>
      <c r="G5191" s="3" t="n">
        <v>1005.47</v>
      </c>
    </row>
    <row r="5192">
      <c r="A5192" s="3" t="inlineStr">
        <is>
          <t>Heron View (Pty) Ltd</t>
        </is>
      </c>
      <c r="B5192" s="4" t="n">
        <v>45322</v>
      </c>
      <c r="C5192" s="3" t="inlineStr">
        <is>
          <t>Expenses</t>
        </is>
      </c>
      <c r="D5192" s="3" t="inlineStr">
        <is>
          <t>2000/080</t>
        </is>
      </c>
      <c r="E5192" s="3" t="inlineStr">
        <is>
          <t>COS - Showhouse - HV</t>
        </is>
      </c>
      <c r="F5192" s="3" t="n">
        <v>0</v>
      </c>
      <c r="G5192" s="3" t="n">
        <v>6212.85</v>
      </c>
    </row>
    <row r="5193">
      <c r="A5193" s="3" t="inlineStr">
        <is>
          <t>Heron Fields (Pty) Ltd</t>
        </is>
      </c>
      <c r="B5193" s="4" t="n">
        <v>45322</v>
      </c>
      <c r="C5193" s="3" t="inlineStr">
        <is>
          <t>Expenses</t>
        </is>
      </c>
      <c r="D5193" s="3" t="inlineStr">
        <is>
          <t>2000/090</t>
        </is>
      </c>
      <c r="E5193" s="3" t="inlineStr">
        <is>
          <t>COS - Electricity</t>
        </is>
      </c>
      <c r="F5193" s="3" t="n">
        <v>0</v>
      </c>
      <c r="G5193" s="3" t="n">
        <v>250</v>
      </c>
    </row>
    <row r="5194">
      <c r="A5194" s="3" t="inlineStr">
        <is>
          <t>Heron View (Pty) Ltd</t>
        </is>
      </c>
      <c r="B5194" s="4" t="n">
        <v>45322</v>
      </c>
      <c r="C5194" s="3" t="inlineStr">
        <is>
          <t>Expenses</t>
        </is>
      </c>
      <c r="D5194" s="3" t="inlineStr">
        <is>
          <t>2000/090</t>
        </is>
      </c>
      <c r="E5194" s="3" t="inlineStr">
        <is>
          <t>COS - Electricity</t>
        </is>
      </c>
      <c r="F5194" s="3" t="n">
        <v>0</v>
      </c>
      <c r="G5194" s="3" t="n">
        <v>473.92</v>
      </c>
    </row>
    <row r="5195">
      <c r="A5195" s="3" t="inlineStr">
        <is>
          <t>Heron Fields (Pty) Ltd</t>
        </is>
      </c>
      <c r="B5195" s="4" t="n">
        <v>45322</v>
      </c>
      <c r="C5195" s="3" t="inlineStr">
        <is>
          <t>Expenses</t>
        </is>
      </c>
      <c r="D5195" s="3" t="inlineStr">
        <is>
          <t>2000/100</t>
        </is>
      </c>
      <c r="E5195" s="3" t="inlineStr">
        <is>
          <t>COS - Inverters</t>
        </is>
      </c>
      <c r="F5195" s="3" t="n">
        <v>0</v>
      </c>
      <c r="G5195" s="3" t="n">
        <v>31600</v>
      </c>
    </row>
    <row r="5196">
      <c r="A5196" s="3" t="inlineStr">
        <is>
          <t>Cape Projects Construction (Pty) Ltd</t>
        </is>
      </c>
      <c r="B5196" s="4" t="n">
        <v>45322</v>
      </c>
      <c r="C5196" s="3" t="inlineStr">
        <is>
          <t>Expenses</t>
        </is>
      </c>
      <c r="D5196" s="3" t="inlineStr">
        <is>
          <t>2000/500</t>
        </is>
      </c>
      <c r="E5196" s="3" t="inlineStr">
        <is>
          <t>COS - Electricity Cost Endulini</t>
        </is>
      </c>
      <c r="F5196" s="3" t="n">
        <v>0</v>
      </c>
      <c r="G5196" s="3" t="n">
        <v>286.96</v>
      </c>
    </row>
    <row r="5197">
      <c r="A5197" s="3" t="inlineStr">
        <is>
          <t>Cape Projects Construction (Pty) Ltd</t>
        </is>
      </c>
      <c r="B5197" s="4" t="n">
        <v>45322</v>
      </c>
      <c r="C5197" s="3" t="inlineStr">
        <is>
          <t>Expenses</t>
        </is>
      </c>
      <c r="D5197" s="3" t="inlineStr">
        <is>
          <t>2000/501</t>
        </is>
      </c>
      <c r="E5197" s="3" t="inlineStr">
        <is>
          <t>COS - Electricity Cost Heron Field</t>
        </is>
      </c>
      <c r="F5197" s="3" t="n">
        <v>0</v>
      </c>
      <c r="G5197" s="3" t="n">
        <v>86.95999999999999</v>
      </c>
    </row>
    <row r="5198">
      <c r="A5198" s="3" t="inlineStr">
        <is>
          <t>Cape Projects Construction (Pty) Ltd</t>
        </is>
      </c>
      <c r="B5198" s="4" t="n">
        <v>45322</v>
      </c>
      <c r="C5198" s="3" t="inlineStr">
        <is>
          <t>Expenses</t>
        </is>
      </c>
      <c r="D5198" s="3" t="inlineStr">
        <is>
          <t>2001/000</t>
        </is>
      </c>
      <c r="E5198" s="3" t="inlineStr">
        <is>
          <t>Cost of Sales - SouthWark Project</t>
        </is>
      </c>
      <c r="F5198" s="3" t="n">
        <v>0</v>
      </c>
      <c r="G5198" s="3" t="n">
        <v>30620.97</v>
      </c>
    </row>
    <row r="5199">
      <c r="A5199" s="3" t="inlineStr">
        <is>
          <t>Cape Projects Construction (Pty) Ltd</t>
        </is>
      </c>
      <c r="B5199" s="4" t="n">
        <v>45322</v>
      </c>
      <c r="C5199" s="3" t="inlineStr">
        <is>
          <t>Expenses</t>
        </is>
      </c>
      <c r="D5199" s="3" t="inlineStr">
        <is>
          <t>2002/109</t>
        </is>
      </c>
      <c r="E5199" s="3" t="inlineStr">
        <is>
          <t>COS - SoHo External SITE LABOUR</t>
        </is>
      </c>
      <c r="F5199" s="3" t="n">
        <v>0</v>
      </c>
      <c r="G5199" s="3" t="n">
        <v>7408.46</v>
      </c>
    </row>
    <row r="5200">
      <c r="A5200" s="3" t="inlineStr">
        <is>
          <t>Cape Projects Construction (Pty) Ltd</t>
        </is>
      </c>
      <c r="B5200" s="4" t="n">
        <v>45322</v>
      </c>
      <c r="C5200" s="3" t="inlineStr">
        <is>
          <t>Expenses</t>
        </is>
      </c>
      <c r="D5200" s="3" t="inlineStr">
        <is>
          <t>2002/250</t>
        </is>
      </c>
      <c r="E5200" s="3" t="inlineStr">
        <is>
          <t>COS - Security</t>
        </is>
      </c>
      <c r="F5200" s="3" t="n">
        <v>0</v>
      </c>
      <c r="G5200" s="3" t="n">
        <v>10516.44</v>
      </c>
    </row>
    <row r="5201">
      <c r="A5201" s="3" t="inlineStr">
        <is>
          <t>Cape Projects Construction (Pty) Ltd</t>
        </is>
      </c>
      <c r="B5201" s="4" t="n">
        <v>45322</v>
      </c>
      <c r="C5201" s="3" t="inlineStr">
        <is>
          <t>Expenses</t>
        </is>
      </c>
      <c r="D5201" s="3" t="inlineStr">
        <is>
          <t>2002/252</t>
        </is>
      </c>
      <c r="E5201" s="3" t="inlineStr">
        <is>
          <t>COS - Security - Guarding</t>
        </is>
      </c>
      <c r="F5201" s="3" t="n">
        <v>54384.77</v>
      </c>
      <c r="G5201" s="3" t="n">
        <v>152255.68</v>
      </c>
    </row>
    <row r="5202">
      <c r="A5202" s="3" t="inlineStr">
        <is>
          <t>Cape Projects Construction (Pty) Ltd</t>
        </is>
      </c>
      <c r="B5202" s="4" t="n">
        <v>45322</v>
      </c>
      <c r="C5202" s="3" t="inlineStr">
        <is>
          <t>Expenses</t>
        </is>
      </c>
      <c r="D5202" s="3" t="inlineStr">
        <is>
          <t>2006/000</t>
        </is>
      </c>
      <c r="E5202" s="3" t="inlineStr">
        <is>
          <t>COS - Endulini Construction</t>
        </is>
      </c>
      <c r="F5202" s="3" t="n">
        <v>0</v>
      </c>
      <c r="G5202" s="3" t="n">
        <v>352147.74</v>
      </c>
    </row>
    <row r="5203">
      <c r="A5203" s="3" t="inlineStr">
        <is>
          <t>Cape Projects Construction (Pty) Ltd</t>
        </is>
      </c>
      <c r="B5203" s="4" t="n">
        <v>45322</v>
      </c>
      <c r="C5203" s="3" t="inlineStr">
        <is>
          <t>Expenses</t>
        </is>
      </c>
      <c r="D5203" s="3" t="inlineStr">
        <is>
          <t>2006/100</t>
        </is>
      </c>
      <c r="E5203" s="3" t="inlineStr">
        <is>
          <t>COS - Endulini P and G</t>
        </is>
      </c>
      <c r="F5203" s="3" t="n">
        <v>344.34</v>
      </c>
      <c r="G5203" s="3" t="n">
        <v>160505.7</v>
      </c>
    </row>
    <row r="5204">
      <c r="A5204" s="3" t="inlineStr">
        <is>
          <t>Cape Projects Construction (Pty) Ltd</t>
        </is>
      </c>
      <c r="B5204" s="4" t="n">
        <v>45322</v>
      </c>
      <c r="C5204" s="3" t="inlineStr">
        <is>
          <t>Expenses</t>
        </is>
      </c>
      <c r="D5204" s="3" t="inlineStr">
        <is>
          <t>2006/200</t>
        </is>
      </c>
      <c r="E5204" s="3" t="inlineStr">
        <is>
          <t>COS - Insurance</t>
        </is>
      </c>
      <c r="F5204" s="3" t="n">
        <v>0</v>
      </c>
      <c r="G5204" s="3" t="n">
        <v>19969.43</v>
      </c>
    </row>
    <row r="5205">
      <c r="A5205" s="3" t="inlineStr">
        <is>
          <t>Cape Projects Construction (Pty) Ltd</t>
        </is>
      </c>
      <c r="B5205" s="4" t="n">
        <v>45322</v>
      </c>
      <c r="C5205" s="3" t="inlineStr">
        <is>
          <t>Expenses</t>
        </is>
      </c>
      <c r="D5205" s="3" t="inlineStr">
        <is>
          <t>2006/450</t>
        </is>
      </c>
      <c r="E5205" s="3" t="inlineStr">
        <is>
          <t>COS - Endulini - Computer expenses</t>
        </is>
      </c>
      <c r="F5205" s="3" t="n">
        <v>0</v>
      </c>
      <c r="G5205" s="3" t="n">
        <v>26340.75</v>
      </c>
    </row>
    <row r="5206">
      <c r="A5206" s="3" t="inlineStr">
        <is>
          <t>Cape Projects Construction (Pty) Ltd</t>
        </is>
      </c>
      <c r="B5206" s="4" t="n">
        <v>45322</v>
      </c>
      <c r="C5206" s="3" t="inlineStr">
        <is>
          <t>Expenses</t>
        </is>
      </c>
      <c r="D5206" s="3" t="inlineStr">
        <is>
          <t>2006/800</t>
        </is>
      </c>
      <c r="E5206" s="3" t="inlineStr">
        <is>
          <t>COS - Endulini - Telephone &amp; Internet</t>
        </is>
      </c>
      <c r="F5206" s="3" t="n">
        <v>0</v>
      </c>
      <c r="G5206" s="3" t="n">
        <v>760.87</v>
      </c>
    </row>
    <row r="5207">
      <c r="A5207" s="3" t="inlineStr">
        <is>
          <t>Cape Projects Construction (Pty) Ltd</t>
        </is>
      </c>
      <c r="B5207" s="4" t="n">
        <v>45322</v>
      </c>
      <c r="C5207" s="3" t="inlineStr">
        <is>
          <t>Expenses</t>
        </is>
      </c>
      <c r="D5207" s="3" t="inlineStr">
        <is>
          <t>2007/000</t>
        </is>
      </c>
      <c r="E5207" s="3" t="inlineStr">
        <is>
          <t>COS - Repairs &amp; Maintenance - SW Southwark</t>
        </is>
      </c>
      <c r="F5207" s="3" t="n">
        <v>0</v>
      </c>
      <c r="G5207" s="3" t="n">
        <v>27752.22</v>
      </c>
    </row>
    <row r="5208">
      <c r="A5208" s="3" t="inlineStr">
        <is>
          <t>Cape Projects Construction (Pty) Ltd</t>
        </is>
      </c>
      <c r="B5208" s="4" t="n">
        <v>45322</v>
      </c>
      <c r="C5208" s="3" t="inlineStr">
        <is>
          <t>Expenses</t>
        </is>
      </c>
      <c r="D5208" s="3" t="inlineStr">
        <is>
          <t>2008/000</t>
        </is>
      </c>
      <c r="E5208" s="3" t="inlineStr">
        <is>
          <t>COS - Repairs &amp; Maintenance - SH Soho</t>
        </is>
      </c>
      <c r="F5208" s="3" t="n">
        <v>0</v>
      </c>
      <c r="G5208" s="3" t="n">
        <v>7565.57</v>
      </c>
    </row>
    <row r="5209">
      <c r="A5209" s="3" t="inlineStr">
        <is>
          <t>Cape Projects Construction (Pty) Ltd</t>
        </is>
      </c>
      <c r="B5209" s="4" t="n">
        <v>45322</v>
      </c>
      <c r="C5209" s="3" t="inlineStr">
        <is>
          <t>Expenses</t>
        </is>
      </c>
      <c r="D5209" s="3" t="inlineStr">
        <is>
          <t>2011/100</t>
        </is>
      </c>
      <c r="E5209" s="3" t="inlineStr">
        <is>
          <t>COS - Heron Fields - Garden Services</t>
        </is>
      </c>
      <c r="F5209" s="3" t="n">
        <v>0</v>
      </c>
      <c r="G5209" s="3" t="n">
        <v>680</v>
      </c>
    </row>
    <row r="5210">
      <c r="A5210" s="3" t="inlineStr">
        <is>
          <t>Cape Projects Construction (Pty) Ltd</t>
        </is>
      </c>
      <c r="B5210" s="4" t="n">
        <v>45322</v>
      </c>
      <c r="C5210" s="3" t="inlineStr">
        <is>
          <t>Expenses</t>
        </is>
      </c>
      <c r="D5210" s="3" t="inlineStr">
        <is>
          <t>2011/300</t>
        </is>
      </c>
      <c r="E5210" s="3" t="inlineStr">
        <is>
          <t>COS - Heron Fields - Printing &amp; Stationary</t>
        </is>
      </c>
      <c r="F5210" s="3" t="n">
        <v>0</v>
      </c>
      <c r="G5210" s="3" t="n">
        <v>1129.57</v>
      </c>
    </row>
    <row r="5211">
      <c r="A5211" s="3" t="inlineStr">
        <is>
          <t>Cape Projects Construction (Pty) Ltd</t>
        </is>
      </c>
      <c r="B5211" s="4" t="n">
        <v>45322</v>
      </c>
      <c r="C5211" s="3" t="inlineStr">
        <is>
          <t>Expenses</t>
        </is>
      </c>
      <c r="D5211" s="3" t="inlineStr">
        <is>
          <t>2011/500</t>
        </is>
      </c>
      <c r="E5211" s="3" t="inlineStr">
        <is>
          <t>COS - Heron Fields - Construction</t>
        </is>
      </c>
      <c r="F5211" s="3" t="n">
        <v>900</v>
      </c>
      <c r="G5211" s="3" t="n">
        <v>1639839.08</v>
      </c>
    </row>
    <row r="5212">
      <c r="A5212" s="3" t="inlineStr">
        <is>
          <t>Cape Projects Construction (Pty) Ltd</t>
        </is>
      </c>
      <c r="B5212" s="4" t="n">
        <v>45322</v>
      </c>
      <c r="C5212" s="3" t="inlineStr">
        <is>
          <t>Expenses</t>
        </is>
      </c>
      <c r="D5212" s="3" t="inlineStr">
        <is>
          <t>2011/600</t>
        </is>
      </c>
      <c r="E5212" s="3" t="inlineStr">
        <is>
          <t>COS - Heron Fields - P &amp; G</t>
        </is>
      </c>
      <c r="F5212" s="3" t="n">
        <v>3791.59</v>
      </c>
      <c r="G5212" s="3" t="n">
        <v>343823.54</v>
      </c>
    </row>
    <row r="5213">
      <c r="A5213" s="3" t="inlineStr">
        <is>
          <t>Cape Projects Construction (Pty) Ltd</t>
        </is>
      </c>
      <c r="B5213" s="4" t="n">
        <v>45322</v>
      </c>
      <c r="C5213" s="3" t="inlineStr">
        <is>
          <t>Expenses</t>
        </is>
      </c>
      <c r="D5213" s="3" t="inlineStr">
        <is>
          <t>2011/700</t>
        </is>
      </c>
      <c r="E5213" s="3" t="inlineStr">
        <is>
          <t>COS - Heron Fields - Health &amp; Safety</t>
        </is>
      </c>
      <c r="F5213" s="3" t="n">
        <v>0</v>
      </c>
      <c r="G5213" s="3" t="n">
        <v>694.78</v>
      </c>
    </row>
    <row r="5214">
      <c r="A5214" s="3" t="inlineStr">
        <is>
          <t>Cape Projects Construction (Pty) Ltd</t>
        </is>
      </c>
      <c r="B5214" s="4" t="n">
        <v>45322</v>
      </c>
      <c r="C5214" s="3" t="inlineStr">
        <is>
          <t>Expenses</t>
        </is>
      </c>
      <c r="D5214" s="3" t="inlineStr">
        <is>
          <t>2011/900</t>
        </is>
      </c>
      <c r="E5214" s="3" t="inlineStr">
        <is>
          <t>COS - Heron - Internet</t>
        </is>
      </c>
      <c r="F5214" s="3" t="n">
        <v>1849.57</v>
      </c>
      <c r="G5214" s="3" t="n">
        <v>17329.24</v>
      </c>
    </row>
    <row r="5215">
      <c r="A5215" s="3" t="inlineStr">
        <is>
          <t>Cape Projects Construction (Pty) Ltd</t>
        </is>
      </c>
      <c r="B5215" s="4" t="n">
        <v>45322</v>
      </c>
      <c r="C5215" s="3" t="inlineStr">
        <is>
          <t>Expenses</t>
        </is>
      </c>
      <c r="D5215" s="3" t="inlineStr">
        <is>
          <t>2012/001</t>
        </is>
      </c>
      <c r="E5215" s="3" t="inlineStr">
        <is>
          <t>COS - Heron View - Printing &amp; Stationary</t>
        </is>
      </c>
      <c r="F5215" s="3" t="n">
        <v>3036.13</v>
      </c>
      <c r="G5215" s="3" t="n">
        <v>33532.38</v>
      </c>
    </row>
    <row r="5216">
      <c r="A5216" s="3" t="inlineStr">
        <is>
          <t>Cape Projects Construction (Pty) Ltd</t>
        </is>
      </c>
      <c r="B5216" s="4" t="n">
        <v>45322</v>
      </c>
      <c r="C5216" s="3" t="inlineStr">
        <is>
          <t>Expenses</t>
        </is>
      </c>
      <c r="D5216" s="3" t="inlineStr">
        <is>
          <t>2012/002</t>
        </is>
      </c>
      <c r="E5216" s="3" t="inlineStr">
        <is>
          <t>COS - Heron View - Construction</t>
        </is>
      </c>
      <c r="F5216" s="3" t="n">
        <v>2951807.99</v>
      </c>
      <c r="G5216" s="3" t="n">
        <v>43356277.78</v>
      </c>
    </row>
    <row r="5217">
      <c r="A5217" s="3" t="inlineStr">
        <is>
          <t>Cape Projects Construction (Pty) Ltd</t>
        </is>
      </c>
      <c r="B5217" s="4" t="n">
        <v>45322</v>
      </c>
      <c r="C5217" s="3" t="inlineStr">
        <is>
          <t>Expenses</t>
        </is>
      </c>
      <c r="D5217" s="3" t="inlineStr">
        <is>
          <t>2012/003</t>
        </is>
      </c>
      <c r="E5217" s="3" t="inlineStr">
        <is>
          <t>COS - Heron View - P&amp;G</t>
        </is>
      </c>
      <c r="F5217" s="3" t="n">
        <v>518.37</v>
      </c>
      <c r="G5217" s="3" t="n">
        <v>549196.86</v>
      </c>
    </row>
    <row r="5218">
      <c r="A5218" s="3" t="inlineStr">
        <is>
          <t>Cape Projects Construction (Pty) Ltd</t>
        </is>
      </c>
      <c r="B5218" s="4" t="n">
        <v>45322</v>
      </c>
      <c r="C5218" s="3" t="inlineStr">
        <is>
          <t>Expenses</t>
        </is>
      </c>
      <c r="D5218" s="3" t="inlineStr">
        <is>
          <t>2013/000</t>
        </is>
      </c>
      <c r="E5218" s="3" t="inlineStr">
        <is>
          <t>COS - Bakhoven</t>
        </is>
      </c>
      <c r="F5218" s="3" t="n">
        <v>0</v>
      </c>
      <c r="G5218" s="3" t="n">
        <v>17292.48</v>
      </c>
    </row>
    <row r="5219">
      <c r="A5219" s="3" t="inlineStr">
        <is>
          <t>Cape Projects Construction (Pty) Ltd</t>
        </is>
      </c>
      <c r="B5219" s="4" t="n">
        <v>45322</v>
      </c>
      <c r="C5219" s="3" t="inlineStr">
        <is>
          <t>Revenue</t>
        </is>
      </c>
      <c r="D5219" s="3" t="inlineStr">
        <is>
          <t>2750/000</t>
        </is>
      </c>
      <c r="E5219" s="3" t="inlineStr">
        <is>
          <t>Interest Received - FNB</t>
        </is>
      </c>
      <c r="F5219" s="3" t="n">
        <v>-296.71</v>
      </c>
      <c r="G5219" s="3" t="n">
        <v>-2599.73</v>
      </c>
    </row>
    <row r="5220">
      <c r="A5220" s="3" t="inlineStr">
        <is>
          <t>Cape Projects Construction (Pty) Ltd</t>
        </is>
      </c>
      <c r="B5220" s="4" t="n">
        <v>45322</v>
      </c>
      <c r="C5220" s="3" t="inlineStr">
        <is>
          <t>Revenue</t>
        </is>
      </c>
      <c r="D5220" s="3" t="inlineStr">
        <is>
          <t>2751/001</t>
        </is>
      </c>
      <c r="E5220" s="3" t="inlineStr">
        <is>
          <t>Interest received - Momentum</t>
        </is>
      </c>
      <c r="F5220" s="3" t="n">
        <v>0</v>
      </c>
      <c r="G5220" s="3" t="n">
        <v>-34.23</v>
      </c>
    </row>
    <row r="5221">
      <c r="A5221" s="3" t="inlineStr">
        <is>
          <t>Heron Fields (Pty) Ltd</t>
        </is>
      </c>
      <c r="B5221" s="4" t="n">
        <v>45322</v>
      </c>
      <c r="C5221" s="3" t="inlineStr">
        <is>
          <t>Revenue</t>
        </is>
      </c>
      <c r="D5221" s="3" t="inlineStr">
        <is>
          <t>2753/000</t>
        </is>
      </c>
      <c r="E5221" s="3" t="inlineStr">
        <is>
          <t>Interest Received - Deposits</t>
        </is>
      </c>
      <c r="F5221" s="3" t="n">
        <v>-1291.18</v>
      </c>
      <c r="G5221" s="3" t="n">
        <v>-5546.16</v>
      </c>
    </row>
    <row r="5222">
      <c r="A5222" s="3" t="inlineStr">
        <is>
          <t>Heron Fields (Pty) Ltd</t>
        </is>
      </c>
      <c r="B5222" s="4" t="n">
        <v>45322</v>
      </c>
      <c r="C5222" s="3" t="inlineStr">
        <is>
          <t>Revenue</t>
        </is>
      </c>
      <c r="D5222" s="3" t="inlineStr">
        <is>
          <t>2755/001</t>
        </is>
      </c>
      <c r="E5222" s="3" t="inlineStr">
        <is>
          <t>Interest Received - Momentum</t>
        </is>
      </c>
      <c r="F5222" s="3" t="n">
        <v>-125751.22</v>
      </c>
      <c r="G5222" s="3" t="n">
        <v>-2655207.55</v>
      </c>
    </row>
    <row r="5223">
      <c r="A5223" s="3" t="inlineStr">
        <is>
          <t>Heron Fields (Pty) Ltd</t>
        </is>
      </c>
      <c r="B5223" s="4" t="n">
        <v>45322</v>
      </c>
      <c r="C5223" s="3" t="inlineStr">
        <is>
          <t>Expenses</t>
        </is>
      </c>
      <c r="D5223" s="3" t="inlineStr">
        <is>
          <t>3000/000</t>
        </is>
      </c>
      <c r="E5223" s="3" t="inlineStr">
        <is>
          <t>Accounting Fees</t>
        </is>
      </c>
      <c r="F5223" s="3" t="n">
        <v>0</v>
      </c>
      <c r="G5223" s="3" t="n">
        <v>15024.96</v>
      </c>
    </row>
    <row r="5224">
      <c r="A5224" s="3" t="inlineStr">
        <is>
          <t>Heron Fields (Pty) Ltd</t>
        </is>
      </c>
      <c r="B5224" s="4" t="n">
        <v>45322</v>
      </c>
      <c r="C5224" s="3" t="inlineStr">
        <is>
          <t>Expenses</t>
        </is>
      </c>
      <c r="D5224" s="3" t="inlineStr">
        <is>
          <t>3000/100</t>
        </is>
      </c>
      <c r="E5224" s="3" t="inlineStr">
        <is>
          <t>Accounting - CIPC</t>
        </is>
      </c>
      <c r="F5224" s="3" t="n">
        <v>0</v>
      </c>
      <c r="G5224" s="3" t="n">
        <v>3050</v>
      </c>
    </row>
    <row r="5225">
      <c r="A5225" s="3" t="inlineStr">
        <is>
          <t>Cape Projects Construction (Pty) Ltd</t>
        </is>
      </c>
      <c r="B5225" s="4" t="n">
        <v>45322</v>
      </c>
      <c r="C5225" s="3" t="inlineStr">
        <is>
          <t>Expenses</t>
        </is>
      </c>
      <c r="D5225" s="3" t="inlineStr">
        <is>
          <t>3001/000</t>
        </is>
      </c>
      <c r="E5225" s="3" t="inlineStr">
        <is>
          <t>Accounting Fees - Other</t>
        </is>
      </c>
      <c r="F5225" s="3" t="n">
        <v>0</v>
      </c>
      <c r="G5225" s="3" t="n">
        <v>1280</v>
      </c>
    </row>
    <row r="5226">
      <c r="A5226" s="3" t="inlineStr">
        <is>
          <t>Cape Projects Construction (Pty) Ltd</t>
        </is>
      </c>
      <c r="B5226" s="4" t="n">
        <v>45322</v>
      </c>
      <c r="C5226" s="3" t="inlineStr">
        <is>
          <t>Expenses</t>
        </is>
      </c>
      <c r="D5226" s="3" t="inlineStr">
        <is>
          <t>3002/000</t>
        </is>
      </c>
      <c r="E5226" s="3" t="inlineStr">
        <is>
          <t>Accounting Fees - Audit</t>
        </is>
      </c>
      <c r="F5226" s="3" t="n">
        <v>0</v>
      </c>
      <c r="G5226" s="3" t="n">
        <v>11170</v>
      </c>
    </row>
    <row r="5227">
      <c r="A5227" s="3" t="inlineStr">
        <is>
          <t>Cape Projects Construction (Pty) Ltd</t>
        </is>
      </c>
      <c r="B5227" s="4" t="n">
        <v>45322</v>
      </c>
      <c r="C5227" s="3" t="inlineStr">
        <is>
          <t>Expenses</t>
        </is>
      </c>
      <c r="D5227" s="3" t="inlineStr">
        <is>
          <t>3050/000</t>
        </is>
      </c>
      <c r="E5227" s="3" t="inlineStr">
        <is>
          <t>Advertising _AND_ Promotions</t>
        </is>
      </c>
      <c r="F5227" s="3" t="n">
        <v>0</v>
      </c>
      <c r="G5227" s="3" t="n">
        <v>10975</v>
      </c>
    </row>
    <row r="5228">
      <c r="A5228" s="3" t="inlineStr">
        <is>
          <t>Heron Fields (Pty) Ltd</t>
        </is>
      </c>
      <c r="B5228" s="4" t="n">
        <v>45322</v>
      </c>
      <c r="C5228" s="3" t="inlineStr">
        <is>
          <t>Expenses</t>
        </is>
      </c>
      <c r="D5228" s="3" t="inlineStr">
        <is>
          <t>3050/000</t>
        </is>
      </c>
      <c r="E5228" s="3" t="inlineStr">
        <is>
          <t>Advertising _AND_ Promotions</t>
        </is>
      </c>
      <c r="F5228" s="3" t="n">
        <v>0</v>
      </c>
      <c r="G5228" s="3" t="n">
        <v>178914.34</v>
      </c>
    </row>
    <row r="5229">
      <c r="A5229" s="3" t="inlineStr">
        <is>
          <t>Heron View (Pty) Ltd</t>
        </is>
      </c>
      <c r="B5229" s="4" t="n">
        <v>45322</v>
      </c>
      <c r="C5229" s="3" t="inlineStr">
        <is>
          <t>Expenses</t>
        </is>
      </c>
      <c r="D5229" s="3" t="inlineStr">
        <is>
          <t>3050/000</t>
        </is>
      </c>
      <c r="E5229" s="3" t="inlineStr">
        <is>
          <t>Advertising _AND_ Promotions</t>
        </is>
      </c>
      <c r="F5229" s="3" t="n">
        <v>0</v>
      </c>
      <c r="G5229" s="3" t="n">
        <v>52857.72</v>
      </c>
    </row>
    <row r="5230">
      <c r="A5230" s="3" t="inlineStr">
        <is>
          <t>Heron Fields (Pty) Ltd</t>
        </is>
      </c>
      <c r="B5230" s="4" t="n">
        <v>45322</v>
      </c>
      <c r="C5230" s="3" t="inlineStr">
        <is>
          <t>Expenses</t>
        </is>
      </c>
      <c r="D5230" s="3" t="inlineStr">
        <is>
          <t>3050/100</t>
        </is>
      </c>
      <c r="E5230" s="3" t="inlineStr">
        <is>
          <t>Advertising - Property24</t>
        </is>
      </c>
      <c r="F5230" s="3" t="n">
        <v>0</v>
      </c>
      <c r="G5230" s="3" t="n">
        <v>12480</v>
      </c>
    </row>
    <row r="5231">
      <c r="A5231" s="3" t="inlineStr">
        <is>
          <t>Cape Projects Construction (Pty) Ltd</t>
        </is>
      </c>
      <c r="B5231" s="4" t="n">
        <v>45322</v>
      </c>
      <c r="C5231" s="3" t="inlineStr">
        <is>
          <t>Expenses</t>
        </is>
      </c>
      <c r="D5231" s="3" t="inlineStr">
        <is>
          <t>3050/150</t>
        </is>
      </c>
      <c r="E5231" s="3" t="inlineStr">
        <is>
          <t>Advertising - Design Fees</t>
        </is>
      </c>
      <c r="F5231" s="3" t="n">
        <v>0</v>
      </c>
      <c r="G5231" s="3" t="n">
        <v>295</v>
      </c>
    </row>
    <row r="5232">
      <c r="A5232" s="3" t="inlineStr">
        <is>
          <t>Heron Fields (Pty) Ltd</t>
        </is>
      </c>
      <c r="B5232" s="4" t="n">
        <v>45322</v>
      </c>
      <c r="C5232" s="3" t="inlineStr">
        <is>
          <t>Expenses</t>
        </is>
      </c>
      <c r="D5232" s="3" t="inlineStr">
        <is>
          <t>3050/300</t>
        </is>
      </c>
      <c r="E5232" s="3" t="inlineStr">
        <is>
          <t>Advertising - Real Marketing</t>
        </is>
      </c>
      <c r="F5232" s="3" t="n">
        <v>0</v>
      </c>
      <c r="G5232" s="3" t="n">
        <v>10250</v>
      </c>
    </row>
    <row r="5233">
      <c r="A5233" s="3" t="inlineStr">
        <is>
          <t>Heron View (Pty) Ltd</t>
        </is>
      </c>
      <c r="B5233" s="4" t="n">
        <v>45322</v>
      </c>
      <c r="C5233" s="3" t="inlineStr">
        <is>
          <t>Expenses</t>
        </is>
      </c>
      <c r="D5233" s="3" t="inlineStr">
        <is>
          <t>3050/300</t>
        </is>
      </c>
      <c r="E5233" s="3" t="inlineStr">
        <is>
          <t>Advertising - Thinkink</t>
        </is>
      </c>
      <c r="F5233" s="3" t="n">
        <v>0</v>
      </c>
      <c r="G5233" s="3" t="n">
        <v>17855</v>
      </c>
    </row>
    <row r="5234">
      <c r="A5234" s="3" t="inlineStr">
        <is>
          <t>Heron View (Pty) Ltd</t>
        </is>
      </c>
      <c r="B5234" s="4" t="n">
        <v>45322</v>
      </c>
      <c r="C5234" s="3" t="inlineStr">
        <is>
          <t>Expenses</t>
        </is>
      </c>
      <c r="D5234" s="3" t="inlineStr">
        <is>
          <t>3050/400</t>
        </is>
      </c>
      <c r="E5234" s="3" t="inlineStr">
        <is>
          <t>Advertising - Pure Brand Activation</t>
        </is>
      </c>
      <c r="F5234" s="3" t="n">
        <v>0</v>
      </c>
      <c r="G5234" s="3" t="n">
        <v>14569.1</v>
      </c>
    </row>
    <row r="5235">
      <c r="A5235" s="3" t="inlineStr">
        <is>
          <t>Cape Projects Construction (Pty) Ltd</t>
        </is>
      </c>
      <c r="B5235" s="4" t="n">
        <v>45322</v>
      </c>
      <c r="C5235" s="3" t="inlineStr">
        <is>
          <t>Expenses</t>
        </is>
      </c>
      <c r="D5235" s="3" t="inlineStr">
        <is>
          <t>3050/450</t>
        </is>
      </c>
      <c r="E5235" s="3" t="inlineStr">
        <is>
          <t>Advertising - Other</t>
        </is>
      </c>
      <c r="F5235" s="3" t="n">
        <v>0</v>
      </c>
      <c r="G5235" s="3" t="n">
        <v>1597</v>
      </c>
    </row>
    <row r="5236">
      <c r="A5236" s="3" t="inlineStr">
        <is>
          <t>Heron View (Pty) Ltd</t>
        </is>
      </c>
      <c r="B5236" s="4" t="n">
        <v>45322</v>
      </c>
      <c r="C5236" s="3" t="inlineStr">
        <is>
          <t>Expenses</t>
        </is>
      </c>
      <c r="D5236" s="3" t="inlineStr">
        <is>
          <t>3050/500</t>
        </is>
      </c>
      <c r="E5236" s="3" t="inlineStr">
        <is>
          <t>Advertising - Real Marketing</t>
        </is>
      </c>
      <c r="F5236" s="3" t="n">
        <v>0</v>
      </c>
      <c r="G5236" s="3" t="n">
        <v>18500</v>
      </c>
    </row>
    <row r="5237">
      <c r="A5237" s="3" t="inlineStr">
        <is>
          <t>Cape Projects Construction (Pty) Ltd</t>
        </is>
      </c>
      <c r="B5237" s="4" t="n">
        <v>45322</v>
      </c>
      <c r="C5237" s="3" t="inlineStr">
        <is>
          <t>Expenses</t>
        </is>
      </c>
      <c r="D5237" s="3" t="inlineStr">
        <is>
          <t>3200/000</t>
        </is>
      </c>
      <c r="E5237" s="3" t="inlineStr">
        <is>
          <t>Bank Charges</t>
        </is>
      </c>
      <c r="F5237" s="3" t="n">
        <v>2245.76</v>
      </c>
      <c r="G5237" s="3" t="n">
        <v>20170.05</v>
      </c>
    </row>
    <row r="5238">
      <c r="A5238" s="3" t="inlineStr">
        <is>
          <t>Heron Fields (Pty) Ltd</t>
        </is>
      </c>
      <c r="B5238" s="4" t="n">
        <v>45322</v>
      </c>
      <c r="C5238" s="3" t="inlineStr">
        <is>
          <t>Expenses</t>
        </is>
      </c>
      <c r="D5238" s="3" t="inlineStr">
        <is>
          <t>3200/000</t>
        </is>
      </c>
      <c r="E5238" s="3" t="inlineStr">
        <is>
          <t>Bank Charges</t>
        </is>
      </c>
      <c r="F5238" s="3" t="n">
        <v>399.76</v>
      </c>
      <c r="G5238" s="3" t="n">
        <v>4750.68</v>
      </c>
    </row>
    <row r="5239">
      <c r="A5239" s="3" t="inlineStr">
        <is>
          <t>Cape Projects Construction (Pty) Ltd</t>
        </is>
      </c>
      <c r="B5239" s="4" t="n">
        <v>45322</v>
      </c>
      <c r="C5239" s="3" t="inlineStr">
        <is>
          <t>Expenses</t>
        </is>
      </c>
      <c r="D5239" s="3" t="inlineStr">
        <is>
          <t>3250/000</t>
        </is>
      </c>
      <c r="E5239" s="3" t="inlineStr">
        <is>
          <t>Cleaning</t>
        </is>
      </c>
      <c r="F5239" s="3" t="n">
        <v>483.52</v>
      </c>
      <c r="G5239" s="3" t="n">
        <v>1211.89</v>
      </c>
    </row>
    <row r="5240">
      <c r="A5240" s="3" t="inlineStr">
        <is>
          <t>Cape Projects Construction (Pty) Ltd</t>
        </is>
      </c>
      <c r="B5240" s="4" t="n">
        <v>45322</v>
      </c>
      <c r="C5240" s="3" t="inlineStr">
        <is>
          <t>Expenses</t>
        </is>
      </c>
      <c r="D5240" s="3" t="inlineStr">
        <is>
          <t>3255/000</t>
        </is>
      </c>
      <c r="E5240" s="3" t="inlineStr">
        <is>
          <t>Cell Phone - CT Office</t>
        </is>
      </c>
      <c r="F5240" s="3" t="n">
        <v>0</v>
      </c>
      <c r="G5240" s="3" t="n">
        <v>4123</v>
      </c>
    </row>
    <row r="5241">
      <c r="A5241" s="3" t="inlineStr">
        <is>
          <t>Cape Projects Construction (Pty) Ltd</t>
        </is>
      </c>
      <c r="B5241" s="4" t="n">
        <v>45322</v>
      </c>
      <c r="C5241" s="3" t="inlineStr">
        <is>
          <t>Expenses</t>
        </is>
      </c>
      <c r="D5241" s="3" t="inlineStr">
        <is>
          <t>3256/000</t>
        </is>
      </c>
      <c r="E5241" s="3" t="inlineStr">
        <is>
          <t>Cell Phone - Nick Morgan</t>
        </is>
      </c>
      <c r="F5241" s="3" t="n">
        <v>0</v>
      </c>
      <c r="G5241" s="3" t="n">
        <v>26779.67</v>
      </c>
    </row>
    <row r="5242">
      <c r="A5242" s="3" t="inlineStr">
        <is>
          <t>Cape Projects Construction (Pty) Ltd</t>
        </is>
      </c>
      <c r="B5242" s="4" t="n">
        <v>45322</v>
      </c>
      <c r="C5242" s="3" t="inlineStr">
        <is>
          <t>Expenses</t>
        </is>
      </c>
      <c r="D5242" s="3" t="inlineStr">
        <is>
          <t>3300/000</t>
        </is>
      </c>
      <c r="E5242" s="3" t="inlineStr">
        <is>
          <t>Computer Expenses</t>
        </is>
      </c>
      <c r="F5242" s="3" t="n">
        <v>0</v>
      </c>
      <c r="G5242" s="3" t="n">
        <v>6402.65</v>
      </c>
    </row>
    <row r="5243">
      <c r="A5243" s="3" t="inlineStr">
        <is>
          <t>Cape Projects Construction (Pty) Ltd</t>
        </is>
      </c>
      <c r="B5243" s="4" t="n">
        <v>45322</v>
      </c>
      <c r="C5243" s="3" t="inlineStr">
        <is>
          <t>Expenses</t>
        </is>
      </c>
      <c r="D5243" s="3" t="inlineStr">
        <is>
          <t>3300/100</t>
        </is>
      </c>
      <c r="E5243" s="3" t="inlineStr">
        <is>
          <t>Computer Exp - IT, Internet/Hosting Fee</t>
        </is>
      </c>
      <c r="F5243" s="3" t="n">
        <v>3975</v>
      </c>
      <c r="G5243" s="3" t="n">
        <v>43074</v>
      </c>
    </row>
    <row r="5244">
      <c r="A5244" s="3" t="inlineStr">
        <is>
          <t>Heron Fields (Pty) Ltd</t>
        </is>
      </c>
      <c r="B5244" s="4" t="n">
        <v>45322</v>
      </c>
      <c r="C5244" s="3" t="inlineStr">
        <is>
          <t>Expenses</t>
        </is>
      </c>
      <c r="D5244" s="3" t="inlineStr">
        <is>
          <t>3350/100</t>
        </is>
      </c>
      <c r="E5244" s="3" t="inlineStr">
        <is>
          <t>Consulting Fees - Admin and Finance</t>
        </is>
      </c>
      <c r="F5244" s="3" t="n">
        <v>120475.57</v>
      </c>
      <c r="G5244" s="3" t="n">
        <v>1290791.14</v>
      </c>
    </row>
    <row r="5245">
      <c r="A5245" s="3" t="inlineStr">
        <is>
          <t>Cape Projects Construction (Pty) Ltd</t>
        </is>
      </c>
      <c r="B5245" s="4" t="n">
        <v>45322</v>
      </c>
      <c r="C5245" s="3" t="inlineStr">
        <is>
          <t>Expenses</t>
        </is>
      </c>
      <c r="D5245" s="3" t="inlineStr">
        <is>
          <t>3350/300</t>
        </is>
      </c>
      <c r="E5245" s="3" t="inlineStr">
        <is>
          <t>Consulting Fees - Admin and Finance</t>
        </is>
      </c>
      <c r="F5245" s="3" t="n">
        <v>128868.17</v>
      </c>
      <c r="G5245" s="3" t="n">
        <v>1361002.88</v>
      </c>
    </row>
    <row r="5246">
      <c r="A5246" s="3" t="inlineStr">
        <is>
          <t>Heron Fields (Pty) Ltd</t>
        </is>
      </c>
      <c r="B5246" s="4" t="n">
        <v>45322</v>
      </c>
      <c r="C5246" s="3" t="inlineStr">
        <is>
          <t>Expenses</t>
        </is>
      </c>
      <c r="D5246" s="3" t="inlineStr">
        <is>
          <t>3351/000</t>
        </is>
      </c>
      <c r="E5246" s="3" t="inlineStr">
        <is>
          <t>Consulting fees - Trustee</t>
        </is>
      </c>
      <c r="F5246" s="3" t="n">
        <v>4200</v>
      </c>
      <c r="G5246" s="3" t="n">
        <v>26300</v>
      </c>
    </row>
    <row r="5247">
      <c r="A5247" s="3" t="inlineStr">
        <is>
          <t>Heron View (Pty) Ltd</t>
        </is>
      </c>
      <c r="B5247" s="4" t="n">
        <v>45322</v>
      </c>
      <c r="C5247" s="3" t="inlineStr">
        <is>
          <t>Expenses</t>
        </is>
      </c>
      <c r="D5247" s="3" t="inlineStr">
        <is>
          <t>3351/000</t>
        </is>
      </c>
      <c r="E5247" s="3" t="inlineStr">
        <is>
          <t>Consulting fees - Trustee</t>
        </is>
      </c>
      <c r="F5247" s="3" t="n">
        <v>10500</v>
      </c>
      <c r="G5247" s="3" t="n">
        <v>76750</v>
      </c>
    </row>
    <row r="5248">
      <c r="A5248" s="3" t="inlineStr">
        <is>
          <t>Cape Projects Construction (Pty) Ltd</t>
        </is>
      </c>
      <c r="B5248" s="4" t="n">
        <v>45322</v>
      </c>
      <c r="C5248" s="3" t="inlineStr">
        <is>
          <t>Expenses</t>
        </is>
      </c>
      <c r="D5248" s="3" t="inlineStr">
        <is>
          <t>3400/000</t>
        </is>
      </c>
      <c r="E5248" s="3" t="inlineStr">
        <is>
          <t>Courier _AND_ Postage</t>
        </is>
      </c>
      <c r="F5248" s="3" t="n">
        <v>0</v>
      </c>
      <c r="G5248" s="3" t="n">
        <v>331.09</v>
      </c>
    </row>
    <row r="5249">
      <c r="A5249" s="3" t="inlineStr">
        <is>
          <t>Cape Projects Construction (Pty) Ltd</t>
        </is>
      </c>
      <c r="B5249" s="4" t="n">
        <v>45322</v>
      </c>
      <c r="C5249" s="3" t="inlineStr">
        <is>
          <t>Expenses</t>
        </is>
      </c>
      <c r="D5249" s="3" t="inlineStr">
        <is>
          <t>3450/001</t>
        </is>
      </c>
      <c r="E5249" s="3" t="inlineStr">
        <is>
          <t>Depreciation - Computer Equipment</t>
        </is>
      </c>
      <c r="F5249" s="3" t="n">
        <v>4562.87</v>
      </c>
      <c r="G5249" s="3" t="n">
        <v>41812.75</v>
      </c>
    </row>
    <row r="5250">
      <c r="A5250" s="3" t="inlineStr">
        <is>
          <t>Cape Projects Construction (Pty) Ltd</t>
        </is>
      </c>
      <c r="B5250" s="4" t="n">
        <v>45322</v>
      </c>
      <c r="C5250" s="3" t="inlineStr">
        <is>
          <t>Expenses</t>
        </is>
      </c>
      <c r="D5250" s="3" t="inlineStr">
        <is>
          <t>3450/002</t>
        </is>
      </c>
      <c r="E5250" s="3" t="inlineStr">
        <is>
          <t>Depreciation - Generator Fixed Asset</t>
        </is>
      </c>
      <c r="F5250" s="3" t="n">
        <v>1188.71</v>
      </c>
      <c r="G5250" s="3" t="n">
        <v>11084.97</v>
      </c>
    </row>
    <row r="5251">
      <c r="A5251" s="3" t="inlineStr">
        <is>
          <t>Cape Projects Construction (Pty) Ltd</t>
        </is>
      </c>
      <c r="B5251" s="4" t="n">
        <v>45322</v>
      </c>
      <c r="C5251" s="3" t="inlineStr">
        <is>
          <t>Expenses</t>
        </is>
      </c>
      <c r="D5251" s="3" t="inlineStr">
        <is>
          <t>3450/030</t>
        </is>
      </c>
      <c r="E5251" s="3" t="inlineStr">
        <is>
          <t>Depreciation - Furniture and Fittings</t>
        </is>
      </c>
      <c r="F5251" s="3" t="n">
        <v>547.6799999999999</v>
      </c>
      <c r="G5251" s="3" t="n">
        <v>6024.45</v>
      </c>
    </row>
    <row r="5252">
      <c r="A5252" s="3" t="inlineStr">
        <is>
          <t>Heron Fields (Pty) Ltd</t>
        </is>
      </c>
      <c r="B5252" s="4" t="n">
        <v>45322</v>
      </c>
      <c r="C5252" s="3" t="inlineStr">
        <is>
          <t>Expenses</t>
        </is>
      </c>
      <c r="D5252" s="3" t="inlineStr">
        <is>
          <t>3650/000</t>
        </is>
      </c>
      <c r="E5252" s="3" t="inlineStr">
        <is>
          <t>CoCT - Electricity</t>
        </is>
      </c>
      <c r="F5252" s="3" t="n">
        <v>68.37</v>
      </c>
      <c r="G5252" s="3" t="n">
        <v>223859.69</v>
      </c>
    </row>
    <row r="5253">
      <c r="A5253" s="3" t="inlineStr">
        <is>
          <t>Cape Projects Construction (Pty) Ltd</t>
        </is>
      </c>
      <c r="B5253" s="4" t="n">
        <v>45322</v>
      </c>
      <c r="C5253" s="3" t="inlineStr">
        <is>
          <t>Expenses</t>
        </is>
      </c>
      <c r="D5253" s="3" t="inlineStr">
        <is>
          <t>3650/000</t>
        </is>
      </c>
      <c r="E5253" s="3" t="inlineStr">
        <is>
          <t>Electricity _AND_ Water</t>
        </is>
      </c>
      <c r="F5253" s="3" t="n">
        <v>0</v>
      </c>
      <c r="G5253" s="3" t="n">
        <v>60974.72</v>
      </c>
    </row>
    <row r="5254">
      <c r="A5254" s="3" t="inlineStr">
        <is>
          <t>Heron Fields (Pty) Ltd</t>
        </is>
      </c>
      <c r="B5254" s="4" t="n">
        <v>45322</v>
      </c>
      <c r="C5254" s="3" t="inlineStr">
        <is>
          <t>Expenses</t>
        </is>
      </c>
      <c r="D5254" s="3" t="inlineStr">
        <is>
          <t>3660/000</t>
        </is>
      </c>
      <c r="E5254" s="3" t="inlineStr">
        <is>
          <t>CoCT - Water</t>
        </is>
      </c>
      <c r="F5254" s="3" t="n">
        <v>-147.72</v>
      </c>
      <c r="G5254" s="3" t="n">
        <v>94012.10000000001</v>
      </c>
    </row>
    <row r="5255">
      <c r="A5255" s="3" t="inlineStr">
        <is>
          <t>Heron View (Pty) Ltd</t>
        </is>
      </c>
      <c r="B5255" s="4" t="n">
        <v>45322</v>
      </c>
      <c r="C5255" s="3" t="inlineStr">
        <is>
          <t>Expenses</t>
        </is>
      </c>
      <c r="D5255" s="3" t="inlineStr">
        <is>
          <t>3660/000</t>
        </is>
      </c>
      <c r="E5255" s="3" t="inlineStr">
        <is>
          <t>Water</t>
        </is>
      </c>
      <c r="F5255" s="3" t="n">
        <v>0</v>
      </c>
      <c r="G5255" s="3" t="n">
        <v>19.64</v>
      </c>
    </row>
    <row r="5256">
      <c r="A5256" s="3" t="inlineStr">
        <is>
          <t>Heron Fields (Pty) Ltd</t>
        </is>
      </c>
      <c r="B5256" s="4" t="n">
        <v>45322</v>
      </c>
      <c r="C5256" s="3" t="inlineStr">
        <is>
          <t>Expenses</t>
        </is>
      </c>
      <c r="D5256" s="3" t="inlineStr">
        <is>
          <t>3670/000</t>
        </is>
      </c>
      <c r="E5256" s="3" t="inlineStr">
        <is>
          <t>CoCT - Refuse</t>
        </is>
      </c>
      <c r="F5256" s="3" t="n">
        <v>0</v>
      </c>
      <c r="G5256" s="3" t="n">
        <v>46978.37</v>
      </c>
    </row>
    <row r="5257">
      <c r="A5257" s="3" t="inlineStr">
        <is>
          <t>Heron Fields (Pty) Ltd</t>
        </is>
      </c>
      <c r="B5257" s="4" t="n">
        <v>45322</v>
      </c>
      <c r="C5257" s="3" t="inlineStr">
        <is>
          <t>Expenses</t>
        </is>
      </c>
      <c r="D5257" s="3" t="inlineStr">
        <is>
          <t>3700/000</t>
        </is>
      </c>
      <c r="E5257" s="3" t="inlineStr">
        <is>
          <t>Entertainment Expenses</t>
        </is>
      </c>
      <c r="F5257" s="3" t="n">
        <v>0</v>
      </c>
      <c r="G5257" s="3" t="n">
        <v>39.47</v>
      </c>
    </row>
    <row r="5258">
      <c r="A5258" s="3" t="inlineStr">
        <is>
          <t>Heron Fields (Pty) Ltd</t>
        </is>
      </c>
      <c r="B5258" s="4" t="n">
        <v>45322</v>
      </c>
      <c r="C5258" s="3" t="inlineStr">
        <is>
          <t>Expenses</t>
        </is>
      </c>
      <c r="D5258" s="3" t="inlineStr">
        <is>
          <t>3800/000</t>
        </is>
      </c>
      <c r="E5258" s="3" t="inlineStr">
        <is>
          <t>General Expenses</t>
        </is>
      </c>
      <c r="F5258" s="3" t="n">
        <v>0</v>
      </c>
      <c r="G5258" s="3" t="n">
        <v>3156.51</v>
      </c>
    </row>
    <row r="5259">
      <c r="A5259" s="3" t="inlineStr">
        <is>
          <t>Heron Fields (Pty) Ltd</t>
        </is>
      </c>
      <c r="B5259" s="4" t="n">
        <v>45322</v>
      </c>
      <c r="C5259" s="3" t="inlineStr">
        <is>
          <t>Expenses</t>
        </is>
      </c>
      <c r="D5259" s="3" t="inlineStr">
        <is>
          <t>3850/000</t>
        </is>
      </c>
      <c r="E5259" s="3" t="inlineStr">
        <is>
          <t>Insurance</t>
        </is>
      </c>
      <c r="F5259" s="3" t="n">
        <v>15043.78</v>
      </c>
      <c r="G5259" s="3" t="n">
        <v>117447.02</v>
      </c>
    </row>
    <row r="5260">
      <c r="A5260" s="3" t="inlineStr">
        <is>
          <t>Cape Projects Construction (Pty) Ltd</t>
        </is>
      </c>
      <c r="B5260" s="4" t="n">
        <v>45322</v>
      </c>
      <c r="C5260" s="3" t="inlineStr">
        <is>
          <t>Expenses</t>
        </is>
      </c>
      <c r="D5260" s="3" t="inlineStr">
        <is>
          <t>3850/001</t>
        </is>
      </c>
      <c r="E5260" s="3" t="inlineStr">
        <is>
          <t>Insurance - Santam</t>
        </is>
      </c>
      <c r="F5260" s="3" t="n">
        <v>0</v>
      </c>
      <c r="G5260" s="3" t="n">
        <v>24779.49</v>
      </c>
    </row>
    <row r="5261">
      <c r="A5261" s="3" t="inlineStr">
        <is>
          <t>Cape Projects Construction (Pty) Ltd</t>
        </is>
      </c>
      <c r="B5261" s="4" t="n">
        <v>45322</v>
      </c>
      <c r="C5261" s="3" t="inlineStr">
        <is>
          <t>Expenses</t>
        </is>
      </c>
      <c r="D5261" s="3" t="inlineStr">
        <is>
          <t>3850/004</t>
        </is>
      </c>
      <c r="E5261" s="3" t="inlineStr">
        <is>
          <t>Insurance - A_AND_G</t>
        </is>
      </c>
      <c r="F5261" s="3" t="n">
        <v>0</v>
      </c>
      <c r="G5261" s="3" t="n">
        <v>24242.76</v>
      </c>
    </row>
    <row r="5262">
      <c r="A5262" s="3" t="inlineStr">
        <is>
          <t>Heron Fields (Pty) Ltd</t>
        </is>
      </c>
      <c r="B5262" s="4" t="n">
        <v>45322</v>
      </c>
      <c r="C5262" s="3" t="inlineStr">
        <is>
          <t>Expenses</t>
        </is>
      </c>
      <c r="D5262" s="3" t="inlineStr">
        <is>
          <t>3900/000</t>
        </is>
      </c>
      <c r="E5262" s="3" t="inlineStr">
        <is>
          <t>Interest Paid</t>
        </is>
      </c>
      <c r="F5262" s="3" t="n">
        <v>0</v>
      </c>
      <c r="G5262" s="3" t="n">
        <v>-533.8</v>
      </c>
    </row>
    <row r="5263">
      <c r="A5263" s="3" t="inlineStr">
        <is>
          <t>Heron Fields (Pty) Ltd</t>
        </is>
      </c>
      <c r="B5263" s="4" t="n">
        <v>45322</v>
      </c>
      <c r="C5263" s="3" t="inlineStr">
        <is>
          <t>Expenses</t>
        </is>
      </c>
      <c r="D5263" s="3" t="inlineStr">
        <is>
          <t>3900/111</t>
        </is>
      </c>
      <c r="E5263" s="3" t="inlineStr">
        <is>
          <t>Interest Paid - Investors @ 6.25%</t>
        </is>
      </c>
      <c r="F5263" s="3" t="n">
        <v>0</v>
      </c>
      <c r="G5263" s="3" t="n">
        <v>167246.17</v>
      </c>
    </row>
    <row r="5264">
      <c r="A5264" s="3" t="inlineStr">
        <is>
          <t>Heron Fields (Pty) Ltd</t>
        </is>
      </c>
      <c r="B5264" s="4" t="n">
        <v>45322</v>
      </c>
      <c r="C5264" s="3" t="inlineStr">
        <is>
          <t>Expenses</t>
        </is>
      </c>
      <c r="D5264" s="3" t="inlineStr">
        <is>
          <t>3900/115</t>
        </is>
      </c>
      <c r="E5264" s="3" t="inlineStr">
        <is>
          <t>Interest Paid - Investors @ 6.5%</t>
        </is>
      </c>
      <c r="F5264" s="3" t="n">
        <v>0</v>
      </c>
      <c r="G5264" s="3" t="n">
        <v>72942.48</v>
      </c>
    </row>
    <row r="5265">
      <c r="A5265" s="3" t="inlineStr">
        <is>
          <t>Heron Fields (Pty) Ltd</t>
        </is>
      </c>
      <c r="B5265" s="4" t="n">
        <v>45322</v>
      </c>
      <c r="C5265" s="3" t="inlineStr">
        <is>
          <t>Expenses</t>
        </is>
      </c>
      <c r="D5265" s="3" t="inlineStr">
        <is>
          <t>3900/117</t>
        </is>
      </c>
      <c r="E5265" s="3" t="inlineStr">
        <is>
          <t>Interest Paid - Investors @ 6.75%</t>
        </is>
      </c>
      <c r="F5265" s="3" t="n">
        <v>0</v>
      </c>
      <c r="G5265" s="3" t="n">
        <v>44124.67</v>
      </c>
    </row>
    <row r="5266">
      <c r="A5266" s="3" t="inlineStr">
        <is>
          <t>Heron Fields (Pty) Ltd</t>
        </is>
      </c>
      <c r="B5266" s="4" t="n">
        <v>45322</v>
      </c>
      <c r="C5266" s="3" t="inlineStr">
        <is>
          <t>Expenses</t>
        </is>
      </c>
      <c r="D5266" s="3" t="inlineStr">
        <is>
          <t>3900/120</t>
        </is>
      </c>
      <c r="E5266" s="3" t="inlineStr">
        <is>
          <t>Interest Paid - Investors @ 7%</t>
        </is>
      </c>
      <c r="F5266" s="3" t="n">
        <v>0</v>
      </c>
      <c r="G5266" s="3" t="n">
        <v>11678.33</v>
      </c>
    </row>
    <row r="5267">
      <c r="A5267" s="3" t="inlineStr">
        <is>
          <t>Heron View (Pty) Ltd</t>
        </is>
      </c>
      <c r="B5267" s="4" t="n">
        <v>45322</v>
      </c>
      <c r="C5267" s="3" t="inlineStr">
        <is>
          <t>Expenses</t>
        </is>
      </c>
      <c r="D5267" s="3" t="inlineStr">
        <is>
          <t>3900/120</t>
        </is>
      </c>
      <c r="E5267" s="3" t="inlineStr">
        <is>
          <t>Interest Paid - Investors @ 7%</t>
        </is>
      </c>
      <c r="F5267" s="3" t="n">
        <v>10319.93</v>
      </c>
      <c r="G5267" s="3" t="n">
        <v>11927.71</v>
      </c>
    </row>
    <row r="5268">
      <c r="A5268" s="3" t="inlineStr">
        <is>
          <t>Heron Fields (Pty) Ltd</t>
        </is>
      </c>
      <c r="B5268" s="4" t="n">
        <v>45322</v>
      </c>
      <c r="C5268" s="3" t="inlineStr">
        <is>
          <t>Expenses</t>
        </is>
      </c>
      <c r="D5268" s="3" t="inlineStr">
        <is>
          <t>3900/126</t>
        </is>
      </c>
      <c r="E5268" s="3" t="inlineStr">
        <is>
          <t>Interest Paid - Investors @ 7.5%</t>
        </is>
      </c>
      <c r="F5268" s="3" t="n">
        <v>0</v>
      </c>
      <c r="G5268" s="3" t="n">
        <v>1252.24</v>
      </c>
    </row>
    <row r="5269">
      <c r="A5269" s="3" t="inlineStr">
        <is>
          <t>Heron View (Pty) Ltd</t>
        </is>
      </c>
      <c r="B5269" s="4" t="n">
        <v>45322</v>
      </c>
      <c r="C5269" s="3" t="inlineStr">
        <is>
          <t>Expenses</t>
        </is>
      </c>
      <c r="D5269" s="3" t="inlineStr">
        <is>
          <t>3900/126</t>
        </is>
      </c>
      <c r="E5269" s="3" t="inlineStr">
        <is>
          <t>Interest Paid - Investors @ 7.5%</t>
        </is>
      </c>
      <c r="F5269" s="3" t="n">
        <v>29501.74</v>
      </c>
      <c r="G5269" s="3" t="n">
        <v>31008.9</v>
      </c>
    </row>
    <row r="5270">
      <c r="A5270" s="3" t="inlineStr">
        <is>
          <t>Heron Fields (Pty) Ltd</t>
        </is>
      </c>
      <c r="B5270" s="4" t="n">
        <v>45322</v>
      </c>
      <c r="C5270" s="3" t="inlineStr">
        <is>
          <t>Expenses</t>
        </is>
      </c>
      <c r="D5270" s="3" t="inlineStr">
        <is>
          <t>3900/133</t>
        </is>
      </c>
      <c r="E5270" s="3" t="inlineStr">
        <is>
          <t>Interest Paid - Investors @ 8.25%</t>
        </is>
      </c>
      <c r="F5270" s="3" t="n">
        <v>0</v>
      </c>
      <c r="G5270" s="3" t="n">
        <v>5515.07</v>
      </c>
    </row>
    <row r="5271">
      <c r="A5271" s="3" t="inlineStr">
        <is>
          <t>Heron View (Pty) Ltd</t>
        </is>
      </c>
      <c r="B5271" s="4" t="n">
        <v>45322</v>
      </c>
      <c r="C5271" s="3" t="inlineStr">
        <is>
          <t>Expenses</t>
        </is>
      </c>
      <c r="D5271" s="3" t="inlineStr">
        <is>
          <t>3900/133</t>
        </is>
      </c>
      <c r="E5271" s="3" t="inlineStr">
        <is>
          <t>Interest Paid - Investors @ 8.25%</t>
        </is>
      </c>
      <c r="F5271" s="3" t="n">
        <v>621.26</v>
      </c>
      <c r="G5271" s="3" t="n">
        <v>33734.3</v>
      </c>
    </row>
    <row r="5272">
      <c r="A5272" s="3" t="inlineStr">
        <is>
          <t>Heron Fields (Pty) Ltd</t>
        </is>
      </c>
      <c r="B5272" s="4" t="n">
        <v>45322</v>
      </c>
      <c r="C5272" s="3" t="inlineStr">
        <is>
          <t>Expenses</t>
        </is>
      </c>
      <c r="D5272" s="3" t="inlineStr">
        <is>
          <t>3900/140</t>
        </is>
      </c>
      <c r="E5272" s="3" t="inlineStr">
        <is>
          <t>Interest Paid - Investors @ 9%</t>
        </is>
      </c>
      <c r="F5272" s="3" t="n">
        <v>0</v>
      </c>
      <c r="G5272" s="3" t="n">
        <v>591.78</v>
      </c>
    </row>
    <row r="5273">
      <c r="A5273" s="3" t="inlineStr">
        <is>
          <t>Heron View (Pty) Ltd</t>
        </is>
      </c>
      <c r="B5273" s="4" t="n">
        <v>45322</v>
      </c>
      <c r="C5273" s="3" t="inlineStr">
        <is>
          <t>Expenses</t>
        </is>
      </c>
      <c r="D5273" s="3" t="inlineStr">
        <is>
          <t>3900/140</t>
        </is>
      </c>
      <c r="E5273" s="3" t="inlineStr">
        <is>
          <t>Interest Paid - Investors @ 9%</t>
        </is>
      </c>
      <c r="F5273" s="3" t="n">
        <v>0</v>
      </c>
      <c r="G5273" s="3" t="n">
        <v>69137.8</v>
      </c>
    </row>
    <row r="5274">
      <c r="A5274" s="3" t="inlineStr">
        <is>
          <t>Heron View (Pty) Ltd</t>
        </is>
      </c>
      <c r="B5274" s="4" t="n">
        <v>45322</v>
      </c>
      <c r="C5274" s="3" t="inlineStr">
        <is>
          <t>Expenses</t>
        </is>
      </c>
      <c r="D5274" s="3" t="inlineStr">
        <is>
          <t>3900/147</t>
        </is>
      </c>
      <c r="E5274" s="3" t="inlineStr">
        <is>
          <t>Interest Paid - Investors @ 9.75%</t>
        </is>
      </c>
      <c r="F5274" s="3" t="n">
        <v>0</v>
      </c>
      <c r="G5274" s="3" t="n">
        <v>2537.9</v>
      </c>
    </row>
    <row r="5275">
      <c r="A5275" s="3" t="inlineStr">
        <is>
          <t>Heron View (Pty) Ltd</t>
        </is>
      </c>
      <c r="B5275" s="4" t="n">
        <v>45322</v>
      </c>
      <c r="C5275" s="3" t="inlineStr">
        <is>
          <t>Expenses</t>
        </is>
      </c>
      <c r="D5275" s="3" t="inlineStr">
        <is>
          <t>3900/150</t>
        </is>
      </c>
      <c r="E5275" s="3" t="inlineStr">
        <is>
          <t>Interest Paid - Investors @ 10%</t>
        </is>
      </c>
      <c r="F5275" s="3" t="n">
        <v>0</v>
      </c>
      <c r="G5275" s="3" t="n">
        <v>5709.59</v>
      </c>
    </row>
    <row r="5276">
      <c r="A5276" s="3" t="inlineStr">
        <is>
          <t>Heron View (Pty) Ltd</t>
        </is>
      </c>
      <c r="B5276" s="4" t="n">
        <v>45322</v>
      </c>
      <c r="C5276" s="3" t="inlineStr">
        <is>
          <t>Expenses</t>
        </is>
      </c>
      <c r="D5276" s="3" t="inlineStr">
        <is>
          <t>3900/155</t>
        </is>
      </c>
      <c r="E5276" s="3" t="inlineStr">
        <is>
          <t>Interest Paid - Investors @ 10.5%</t>
        </is>
      </c>
      <c r="F5276" s="3" t="n">
        <v>0</v>
      </c>
      <c r="G5276" s="3" t="n">
        <v>19334.38</v>
      </c>
    </row>
    <row r="5277">
      <c r="A5277" s="3" t="inlineStr">
        <is>
          <t>Heron View (Pty) Ltd</t>
        </is>
      </c>
      <c r="B5277" s="4" t="n">
        <v>45322</v>
      </c>
      <c r="C5277" s="3" t="inlineStr">
        <is>
          <t>Expenses</t>
        </is>
      </c>
      <c r="D5277" s="3" t="inlineStr">
        <is>
          <t>3900/160</t>
        </is>
      </c>
      <c r="E5277" s="3" t="inlineStr">
        <is>
          <t>Interest Paid - Investors @ 11%</t>
        </is>
      </c>
      <c r="F5277" s="3" t="n">
        <v>0</v>
      </c>
      <c r="G5277" s="3" t="n">
        <v>9131.51</v>
      </c>
    </row>
    <row r="5278">
      <c r="A5278" s="3" t="inlineStr">
        <is>
          <t>Heron Fields (Pty) Ltd</t>
        </is>
      </c>
      <c r="B5278" s="4" t="n">
        <v>45322</v>
      </c>
      <c r="C5278" s="3" t="inlineStr">
        <is>
          <t>Expenses</t>
        </is>
      </c>
      <c r="D5278" s="3" t="inlineStr">
        <is>
          <t>3900/190</t>
        </is>
      </c>
      <c r="E5278" s="3" t="inlineStr">
        <is>
          <t>Interest Paid - Investors @ 14%</t>
        </is>
      </c>
      <c r="F5278" s="3" t="n">
        <v>0</v>
      </c>
      <c r="G5278" s="3" t="n">
        <v>400367.2</v>
      </c>
    </row>
    <row r="5279">
      <c r="A5279" s="3" t="inlineStr">
        <is>
          <t>Heron View (Pty) Ltd</t>
        </is>
      </c>
      <c r="B5279" s="4" t="n">
        <v>45322</v>
      </c>
      <c r="C5279" s="3" t="inlineStr">
        <is>
          <t>Expenses</t>
        </is>
      </c>
      <c r="D5279" s="3" t="inlineStr">
        <is>
          <t>3900/190</t>
        </is>
      </c>
      <c r="E5279" s="3" t="inlineStr">
        <is>
          <t>Interest Paid - Investors @ 14%</t>
        </is>
      </c>
      <c r="F5279" s="3" t="n">
        <v>78686.33</v>
      </c>
      <c r="G5279" s="3" t="n">
        <v>683898.63</v>
      </c>
    </row>
    <row r="5280">
      <c r="A5280" s="3" t="inlineStr">
        <is>
          <t>Heron Fields (Pty) Ltd</t>
        </is>
      </c>
      <c r="B5280" s="4" t="n">
        <v>45322</v>
      </c>
      <c r="C5280" s="3" t="inlineStr">
        <is>
          <t>Expenses</t>
        </is>
      </c>
      <c r="D5280" s="3" t="inlineStr">
        <is>
          <t>3900/200</t>
        </is>
      </c>
      <c r="E5280" s="3" t="inlineStr">
        <is>
          <t>Interest Paid - Investors @ 15%</t>
        </is>
      </c>
      <c r="F5280" s="3" t="n">
        <v>0</v>
      </c>
      <c r="G5280" s="3" t="n">
        <v>333349.31</v>
      </c>
    </row>
    <row r="5281">
      <c r="A5281" s="3" t="inlineStr">
        <is>
          <t>Heron Fields (Pty) Ltd</t>
        </is>
      </c>
      <c r="B5281" s="4" t="n">
        <v>45322</v>
      </c>
      <c r="C5281" s="3" t="inlineStr">
        <is>
          <t>Expenses</t>
        </is>
      </c>
      <c r="D5281" s="3" t="inlineStr">
        <is>
          <t>3900/210</t>
        </is>
      </c>
      <c r="E5281" s="3" t="inlineStr">
        <is>
          <t>Interest Paid - Investors @ 16%</t>
        </is>
      </c>
      <c r="F5281" s="3" t="n">
        <v>0</v>
      </c>
      <c r="G5281" s="3" t="n">
        <v>47473.98</v>
      </c>
    </row>
    <row r="5282">
      <c r="A5282" s="3" t="inlineStr">
        <is>
          <t>Heron View (Pty) Ltd</t>
        </is>
      </c>
      <c r="B5282" s="4" t="n">
        <v>45322</v>
      </c>
      <c r="C5282" s="3" t="inlineStr">
        <is>
          <t>Expenses</t>
        </is>
      </c>
      <c r="D5282" s="3" t="inlineStr">
        <is>
          <t>3900/210</t>
        </is>
      </c>
      <c r="E5282" s="3" t="inlineStr">
        <is>
          <t>Interest Paid - Investors @ 16%</t>
        </is>
      </c>
      <c r="F5282" s="3" t="n">
        <v>52778.08</v>
      </c>
      <c r="G5282" s="3" t="n">
        <v>273806.02</v>
      </c>
    </row>
    <row r="5283">
      <c r="A5283" s="3" t="inlineStr">
        <is>
          <t>Heron Fields (Pty) Ltd</t>
        </is>
      </c>
      <c r="B5283" s="4" t="n">
        <v>45322</v>
      </c>
      <c r="C5283" s="3" t="inlineStr">
        <is>
          <t>Expenses</t>
        </is>
      </c>
      <c r="D5283" s="3" t="inlineStr">
        <is>
          <t>3900/230</t>
        </is>
      </c>
      <c r="E5283" s="3" t="inlineStr">
        <is>
          <t>Interest Paid - Investors @ 18%</t>
        </is>
      </c>
      <c r="F5283" s="3" t="n">
        <v>0</v>
      </c>
      <c r="G5283" s="3" t="n">
        <v>3197167.68</v>
      </c>
    </row>
    <row r="5284">
      <c r="A5284" s="3" t="inlineStr">
        <is>
          <t>Heron View (Pty) Ltd</t>
        </is>
      </c>
      <c r="B5284" s="4" t="n">
        <v>45322</v>
      </c>
      <c r="C5284" s="3" t="inlineStr">
        <is>
          <t>Expenses</t>
        </is>
      </c>
      <c r="D5284" s="3" t="inlineStr">
        <is>
          <t>3900/230</t>
        </is>
      </c>
      <c r="E5284" s="3" t="inlineStr">
        <is>
          <t>Interest Paid - Investors @ 18%</t>
        </is>
      </c>
      <c r="F5284" s="3" t="n">
        <v>1185476.01</v>
      </c>
      <c r="G5284" s="3" t="n">
        <v>2923625.72</v>
      </c>
    </row>
    <row r="5285">
      <c r="A5285" s="3" t="inlineStr">
        <is>
          <t>Cape Projects Construction (Pty) Ltd</t>
        </is>
      </c>
      <c r="B5285" s="4" t="n">
        <v>45322</v>
      </c>
      <c r="C5285" s="3" t="inlineStr">
        <is>
          <t>Expenses</t>
        </is>
      </c>
      <c r="D5285" s="3" t="inlineStr">
        <is>
          <t>4000/000</t>
        </is>
      </c>
      <c r="E5285" s="3" t="inlineStr">
        <is>
          <t>Legal Fees</t>
        </is>
      </c>
      <c r="F5285" s="3" t="n">
        <v>0</v>
      </c>
      <c r="G5285" s="3" t="n">
        <v>5202.88</v>
      </c>
    </row>
    <row r="5286">
      <c r="A5286" s="3" t="inlineStr">
        <is>
          <t>Heron View (Pty) Ltd</t>
        </is>
      </c>
      <c r="B5286" s="4" t="n">
        <v>45322</v>
      </c>
      <c r="C5286" s="3" t="inlineStr">
        <is>
          <t>Expenses</t>
        </is>
      </c>
      <c r="D5286" s="3" t="inlineStr">
        <is>
          <t>4040/000</t>
        </is>
      </c>
      <c r="E5286" s="3" t="inlineStr">
        <is>
          <t>Levies - Special Levies</t>
        </is>
      </c>
      <c r="F5286" s="3" t="n">
        <v>0</v>
      </c>
      <c r="G5286" s="3" t="n">
        <v>66011.50999999999</v>
      </c>
    </row>
    <row r="5287">
      <c r="A5287" s="3" t="inlineStr">
        <is>
          <t>Heron View (Pty) Ltd</t>
        </is>
      </c>
      <c r="B5287" s="4" t="n">
        <v>45322</v>
      </c>
      <c r="C5287" s="3" t="inlineStr">
        <is>
          <t>Expenses</t>
        </is>
      </c>
      <c r="D5287" s="3" t="inlineStr">
        <is>
          <t>4050/000</t>
        </is>
      </c>
      <c r="E5287" s="3" t="inlineStr">
        <is>
          <t>Levies</t>
        </is>
      </c>
      <c r="F5287" s="3" t="n">
        <v>1773.44</v>
      </c>
      <c r="G5287" s="3" t="n">
        <v>4860.54</v>
      </c>
    </row>
    <row r="5288">
      <c r="A5288" s="3" t="inlineStr">
        <is>
          <t>Heron Fields (Pty) Ltd</t>
        </is>
      </c>
      <c r="B5288" s="4" t="n">
        <v>45322</v>
      </c>
      <c r="C5288" s="3" t="inlineStr">
        <is>
          <t>Expenses</t>
        </is>
      </c>
      <c r="D5288" s="3" t="inlineStr">
        <is>
          <t>4050/100</t>
        </is>
      </c>
      <c r="E5288" s="3" t="inlineStr">
        <is>
          <t>Developers Levies</t>
        </is>
      </c>
      <c r="F5288" s="3" t="n">
        <v>0</v>
      </c>
      <c r="G5288" s="3" t="n">
        <v>76865.83</v>
      </c>
    </row>
    <row r="5289">
      <c r="A5289" s="3" t="inlineStr">
        <is>
          <t>Heron Fields (Pty) Ltd</t>
        </is>
      </c>
      <c r="B5289" s="4" t="n">
        <v>45322</v>
      </c>
      <c r="C5289" s="3" t="inlineStr">
        <is>
          <t>Expenses</t>
        </is>
      </c>
      <c r="D5289" s="3" t="inlineStr">
        <is>
          <t>4050/200</t>
        </is>
      </c>
      <c r="E5289" s="3" t="inlineStr">
        <is>
          <t>Levies - Amari</t>
        </is>
      </c>
      <c r="F5289" s="3" t="n">
        <v>3292.17</v>
      </c>
      <c r="G5289" s="3" t="n">
        <v>28072.92</v>
      </c>
    </row>
    <row r="5290">
      <c r="A5290" s="3" t="inlineStr">
        <is>
          <t>Heron View (Pty) Ltd</t>
        </is>
      </c>
      <c r="B5290" s="4" t="n">
        <v>45322</v>
      </c>
      <c r="C5290" s="3" t="inlineStr">
        <is>
          <t>Expenses</t>
        </is>
      </c>
      <c r="D5290" s="3" t="inlineStr">
        <is>
          <t>4060/000</t>
        </is>
      </c>
      <c r="E5290" s="3" t="inlineStr">
        <is>
          <t>Levies - Developer</t>
        </is>
      </c>
      <c r="F5290" s="3" t="n">
        <v>0</v>
      </c>
      <c r="G5290" s="3" t="n">
        <v>11879.1</v>
      </c>
    </row>
    <row r="5291">
      <c r="A5291" s="3" t="inlineStr">
        <is>
          <t>Heron View (Pty) Ltd</t>
        </is>
      </c>
      <c r="B5291" s="4" t="n">
        <v>45322</v>
      </c>
      <c r="C5291" s="3" t="inlineStr">
        <is>
          <t>Expenses</t>
        </is>
      </c>
      <c r="D5291" s="3" t="inlineStr">
        <is>
          <t>4070/000</t>
        </is>
      </c>
      <c r="E5291" s="3" t="inlineStr">
        <is>
          <t>Management fees - OMH</t>
        </is>
      </c>
      <c r="F5291" s="3" t="n">
        <v>0</v>
      </c>
      <c r="G5291" s="3" t="n">
        <v>400000</v>
      </c>
    </row>
    <row r="5292">
      <c r="A5292" s="3" t="inlineStr">
        <is>
          <t>Heron Fields (Pty) Ltd</t>
        </is>
      </c>
      <c r="B5292" s="4" t="n">
        <v>45322</v>
      </c>
      <c r="C5292" s="3" t="inlineStr">
        <is>
          <t>Expenses</t>
        </is>
      </c>
      <c r="D5292" s="3" t="inlineStr">
        <is>
          <t>4100/001</t>
        </is>
      </c>
      <c r="E5292" s="3" t="inlineStr">
        <is>
          <t>Momentum Admin Fee</t>
        </is>
      </c>
      <c r="F5292" s="3" t="n">
        <v>7192.15</v>
      </c>
      <c r="G5292" s="3" t="n">
        <v>128656.07</v>
      </c>
    </row>
    <row r="5293">
      <c r="A5293" s="3" t="inlineStr">
        <is>
          <t>Cape Projects Construction (Pty) Ltd</t>
        </is>
      </c>
      <c r="B5293" s="4" t="n">
        <v>45322</v>
      </c>
      <c r="C5293" s="3" t="inlineStr">
        <is>
          <t>Expenses</t>
        </is>
      </c>
      <c r="D5293" s="3" t="inlineStr">
        <is>
          <t>4150/000</t>
        </is>
      </c>
      <c r="E5293" s="3" t="inlineStr">
        <is>
          <t>Motor Vehicle Expenses</t>
        </is>
      </c>
      <c r="F5293" s="3" t="n">
        <v>0</v>
      </c>
      <c r="G5293" s="3" t="n">
        <v>362</v>
      </c>
    </row>
    <row r="5294">
      <c r="A5294" s="3" t="inlineStr">
        <is>
          <t>Heron Fields (Pty) Ltd</t>
        </is>
      </c>
      <c r="B5294" s="4" t="n">
        <v>45322</v>
      </c>
      <c r="C5294" s="3" t="inlineStr">
        <is>
          <t>Expenses</t>
        </is>
      </c>
      <c r="D5294" s="3" t="inlineStr">
        <is>
          <t>4150/000</t>
        </is>
      </c>
      <c r="E5294" s="3" t="inlineStr">
        <is>
          <t>Motor Vehicle Expenses</t>
        </is>
      </c>
      <c r="F5294" s="3" t="n">
        <v>0</v>
      </c>
      <c r="G5294" s="3" t="n">
        <v>20</v>
      </c>
    </row>
    <row r="5295">
      <c r="A5295" s="3" t="inlineStr">
        <is>
          <t>Cape Projects Construction (Pty) Ltd</t>
        </is>
      </c>
      <c r="B5295" s="4" t="n">
        <v>45322</v>
      </c>
      <c r="C5295" s="3" t="inlineStr">
        <is>
          <t>Expenses</t>
        </is>
      </c>
      <c r="D5295" s="3" t="inlineStr">
        <is>
          <t>4150/010</t>
        </is>
      </c>
      <c r="E5295" s="3" t="inlineStr">
        <is>
          <t>Motor Vehicle - Petrol _AND_ Oil</t>
        </is>
      </c>
      <c r="F5295" s="3" t="n">
        <v>1463.16</v>
      </c>
      <c r="G5295" s="3" t="n">
        <v>40495.31</v>
      </c>
    </row>
    <row r="5296">
      <c r="A5296" s="3" t="inlineStr">
        <is>
          <t>Cape Projects Construction (Pty) Ltd</t>
        </is>
      </c>
      <c r="B5296" s="4" t="n">
        <v>45322</v>
      </c>
      <c r="C5296" s="3" t="inlineStr">
        <is>
          <t>Expenses</t>
        </is>
      </c>
      <c r="D5296" s="3" t="inlineStr">
        <is>
          <t>4150/020</t>
        </is>
      </c>
      <c r="E5296" s="3" t="inlineStr">
        <is>
          <t>Motor Vehicle - Repairs _AND_ Maint.</t>
        </is>
      </c>
      <c r="F5296" s="3" t="n">
        <v>0</v>
      </c>
      <c r="G5296" s="3" t="n">
        <v>3668.3</v>
      </c>
    </row>
    <row r="5297">
      <c r="A5297" s="3" t="inlineStr">
        <is>
          <t>Cape Projects Construction (Pty) Ltd</t>
        </is>
      </c>
      <c r="B5297" s="4" t="n">
        <v>45322</v>
      </c>
      <c r="C5297" s="3" t="inlineStr">
        <is>
          <t>Expenses</t>
        </is>
      </c>
      <c r="D5297" s="3" t="inlineStr">
        <is>
          <t>4150/030</t>
        </is>
      </c>
      <c r="E5297" s="3" t="inlineStr">
        <is>
          <t>Motor Vehicle - Insurance _AND_ Licence</t>
        </is>
      </c>
      <c r="F5297" s="3" t="n">
        <v>0</v>
      </c>
      <c r="G5297" s="3" t="n">
        <v>1069</v>
      </c>
    </row>
    <row r="5298">
      <c r="A5298" s="3" t="inlineStr">
        <is>
          <t>Cape Projects Construction (Pty) Ltd</t>
        </is>
      </c>
      <c r="B5298" s="4" t="n">
        <v>45322</v>
      </c>
      <c r="C5298" s="3" t="inlineStr">
        <is>
          <t>Expenses</t>
        </is>
      </c>
      <c r="D5298" s="3" t="inlineStr">
        <is>
          <t>4200/000</t>
        </is>
      </c>
      <c r="E5298" s="3" t="inlineStr">
        <is>
          <t>Printing _AND_ Stationery</t>
        </is>
      </c>
      <c r="F5298" s="3" t="n">
        <v>6631.55</v>
      </c>
      <c r="G5298" s="3" t="n">
        <v>45147.94</v>
      </c>
    </row>
    <row r="5299">
      <c r="A5299" s="3" t="inlineStr">
        <is>
          <t>Cape Projects Construction (Pty) Ltd</t>
        </is>
      </c>
      <c r="B5299" s="4" t="n">
        <v>45322</v>
      </c>
      <c r="C5299" s="3" t="inlineStr">
        <is>
          <t>Expenses</t>
        </is>
      </c>
      <c r="D5299" s="3" t="inlineStr">
        <is>
          <t>4201/000</t>
        </is>
      </c>
      <c r="E5299" s="3" t="inlineStr">
        <is>
          <t>Printing - Printer rental</t>
        </is>
      </c>
      <c r="F5299" s="3" t="n">
        <v>2233.3</v>
      </c>
      <c r="G5299" s="3" t="n">
        <v>23689.51</v>
      </c>
    </row>
    <row r="5300">
      <c r="A5300" s="3" t="inlineStr">
        <is>
          <t>Cape Projects Construction (Pty) Ltd</t>
        </is>
      </c>
      <c r="B5300" s="4" t="n">
        <v>45322</v>
      </c>
      <c r="C5300" s="3" t="inlineStr">
        <is>
          <t>Expenses</t>
        </is>
      </c>
      <c r="D5300" s="3" t="inlineStr">
        <is>
          <t>4300/000</t>
        </is>
      </c>
      <c r="E5300" s="3" t="inlineStr">
        <is>
          <t>Rent Paid</t>
        </is>
      </c>
      <c r="F5300" s="3" t="n">
        <v>31820</v>
      </c>
      <c r="G5300" s="3" t="n">
        <v>332260</v>
      </c>
    </row>
    <row r="5301">
      <c r="A5301" s="3" t="inlineStr">
        <is>
          <t>Cape Projects Construction (Pty) Ltd</t>
        </is>
      </c>
      <c r="B5301" s="4" t="n">
        <v>45322</v>
      </c>
      <c r="C5301" s="3" t="inlineStr">
        <is>
          <t>Expenses</t>
        </is>
      </c>
      <c r="D5301" s="3" t="inlineStr">
        <is>
          <t>4310/000</t>
        </is>
      </c>
      <c r="E5301" s="3" t="inlineStr">
        <is>
          <t>Rates</t>
        </is>
      </c>
      <c r="F5301" s="3" t="n">
        <v>8257.370000000001</v>
      </c>
      <c r="G5301" s="3" t="n">
        <v>27343.13</v>
      </c>
    </row>
    <row r="5302">
      <c r="A5302" s="3" t="inlineStr">
        <is>
          <t>Heron Fields (Pty) Ltd</t>
        </is>
      </c>
      <c r="B5302" s="4" t="n">
        <v>45322</v>
      </c>
      <c r="C5302" s="3" t="inlineStr">
        <is>
          <t>Expenses</t>
        </is>
      </c>
      <c r="D5302" s="3" t="inlineStr">
        <is>
          <t>4310/000</t>
        </is>
      </c>
      <c r="E5302" s="3" t="inlineStr">
        <is>
          <t>Rates - Heron</t>
        </is>
      </c>
      <c r="F5302" s="3" t="n">
        <v>0</v>
      </c>
      <c r="G5302" s="3" t="n">
        <v>211633.66</v>
      </c>
    </row>
    <row r="5303">
      <c r="A5303" s="3" t="inlineStr">
        <is>
          <t>Cape Projects Construction (Pty) Ltd</t>
        </is>
      </c>
      <c r="B5303" s="4" t="n">
        <v>45322</v>
      </c>
      <c r="C5303" s="3" t="inlineStr">
        <is>
          <t>Expenses</t>
        </is>
      </c>
      <c r="D5303" s="3" t="inlineStr">
        <is>
          <t>4350/000</t>
        </is>
      </c>
      <c r="E5303" s="3" t="inlineStr">
        <is>
          <t>Repairs _AND_ Maintenance</t>
        </is>
      </c>
      <c r="F5303" s="3" t="n">
        <v>0</v>
      </c>
      <c r="G5303" s="3" t="n">
        <v>16125.02</v>
      </c>
    </row>
    <row r="5304">
      <c r="A5304" s="3" t="inlineStr">
        <is>
          <t>Heron Fields (Pty) Ltd</t>
        </is>
      </c>
      <c r="B5304" s="4" t="n">
        <v>45322</v>
      </c>
      <c r="C5304" s="3" t="inlineStr">
        <is>
          <t>Expenses</t>
        </is>
      </c>
      <c r="D5304" s="3" t="inlineStr">
        <is>
          <t>4350/000</t>
        </is>
      </c>
      <c r="E5304" s="3" t="inlineStr">
        <is>
          <t>Repairs _AND_ Maintenance</t>
        </is>
      </c>
      <c r="F5304" s="3" t="n">
        <v>0</v>
      </c>
      <c r="G5304" s="3" t="n">
        <v>34547.28</v>
      </c>
    </row>
    <row r="5305">
      <c r="A5305" s="3" t="inlineStr">
        <is>
          <t>Heron View (Pty) Ltd</t>
        </is>
      </c>
      <c r="B5305" s="4" t="n">
        <v>45322</v>
      </c>
      <c r="C5305" s="3" t="inlineStr">
        <is>
          <t>Expenses</t>
        </is>
      </c>
      <c r="D5305" s="3" t="inlineStr">
        <is>
          <t>4350/000</t>
        </is>
      </c>
      <c r="E5305" s="3" t="inlineStr">
        <is>
          <t>Repairs _AND_ Maintenance</t>
        </is>
      </c>
      <c r="F5305" s="3" t="n">
        <v>7583.63</v>
      </c>
      <c r="G5305" s="3" t="n">
        <v>23147.12</v>
      </c>
    </row>
    <row r="5306">
      <c r="A5306" s="3" t="inlineStr">
        <is>
          <t>Cape Projects Construction (Pty) Ltd</t>
        </is>
      </c>
      <c r="B5306" s="4" t="n">
        <v>45322</v>
      </c>
      <c r="C5306" s="3" t="inlineStr">
        <is>
          <t>Expenses</t>
        </is>
      </c>
      <c r="D5306" s="3" t="inlineStr">
        <is>
          <t>4400/000</t>
        </is>
      </c>
      <c r="E5306" s="3" t="inlineStr">
        <is>
          <t>Salaries _AND_ Wages</t>
        </is>
      </c>
      <c r="F5306" s="3" t="n">
        <v>441360.94</v>
      </c>
      <c r="G5306" s="3" t="n">
        <v>4236868.55</v>
      </c>
    </row>
    <row r="5307">
      <c r="A5307" s="3" t="inlineStr">
        <is>
          <t>Cape Projects Construction (Pty) Ltd</t>
        </is>
      </c>
      <c r="B5307" s="4" t="n">
        <v>45322</v>
      </c>
      <c r="C5307" s="3" t="inlineStr">
        <is>
          <t>Expenses</t>
        </is>
      </c>
      <c r="D5307" s="3" t="inlineStr">
        <is>
          <t>4402</t>
        </is>
      </c>
      <c r="E5307" s="3" t="inlineStr">
        <is>
          <t>Salaries &amp; Wages - WCA</t>
        </is>
      </c>
      <c r="F5307" s="3" t="n">
        <v>0</v>
      </c>
      <c r="G5307" s="3" t="n">
        <v>5192.13</v>
      </c>
    </row>
    <row r="5308">
      <c r="A5308" s="3" t="inlineStr">
        <is>
          <t>Cape Projects Construction (Pty) Ltd</t>
        </is>
      </c>
      <c r="B5308" s="4" t="n">
        <v>45322</v>
      </c>
      <c r="C5308" s="3" t="inlineStr">
        <is>
          <t>Expenses</t>
        </is>
      </c>
      <c r="D5308" s="3" t="inlineStr">
        <is>
          <t>4403/000</t>
        </is>
      </c>
      <c r="E5308" s="3" t="inlineStr">
        <is>
          <t>Security</t>
        </is>
      </c>
      <c r="F5308" s="3" t="n">
        <v>191.17</v>
      </c>
      <c r="G5308" s="3" t="n">
        <v>2005.99</v>
      </c>
    </row>
    <row r="5309">
      <c r="A5309" s="3" t="inlineStr">
        <is>
          <t>Heron Fields (Pty) Ltd</t>
        </is>
      </c>
      <c r="B5309" s="4" t="n">
        <v>45322</v>
      </c>
      <c r="C5309" s="3" t="inlineStr">
        <is>
          <t>Expenses</t>
        </is>
      </c>
      <c r="D5309" s="3" t="inlineStr">
        <is>
          <t>4420/000</t>
        </is>
      </c>
      <c r="E5309" s="3" t="inlineStr">
        <is>
          <t>Security</t>
        </is>
      </c>
      <c r="F5309" s="3" t="n">
        <v>0</v>
      </c>
      <c r="G5309" s="3" t="n">
        <v>7198.71</v>
      </c>
    </row>
    <row r="5310">
      <c r="A5310" s="3" t="inlineStr">
        <is>
          <t>Cape Projects Construction (Pty) Ltd</t>
        </is>
      </c>
      <c r="B5310" s="4" t="n">
        <v>45322</v>
      </c>
      <c r="C5310" s="3" t="inlineStr">
        <is>
          <t>Expenses</t>
        </is>
      </c>
      <c r="D5310" s="3" t="inlineStr">
        <is>
          <t>4420/000</t>
        </is>
      </c>
      <c r="E5310" s="3" t="inlineStr">
        <is>
          <t>Small Assets</t>
        </is>
      </c>
      <c r="F5310" s="3" t="n">
        <v>2431.25</v>
      </c>
      <c r="G5310" s="3" t="n">
        <v>33441.99</v>
      </c>
    </row>
    <row r="5311">
      <c r="A5311" s="3" t="inlineStr">
        <is>
          <t>Heron Fields (Pty) Ltd</t>
        </is>
      </c>
      <c r="B5311" s="4" t="n">
        <v>45322</v>
      </c>
      <c r="C5311" s="3" t="inlineStr">
        <is>
          <t>Expenses</t>
        </is>
      </c>
      <c r="D5311" s="3" t="inlineStr">
        <is>
          <t>4420/001</t>
        </is>
      </c>
      <c r="E5311" s="3" t="inlineStr">
        <is>
          <t>Security - ADT</t>
        </is>
      </c>
      <c r="F5311" s="3" t="n">
        <v>0</v>
      </c>
      <c r="G5311" s="3" t="n">
        <v>4301.75</v>
      </c>
    </row>
    <row r="5312">
      <c r="A5312" s="3" t="inlineStr">
        <is>
          <t>Cape Projects Construction (Pty) Ltd</t>
        </is>
      </c>
      <c r="B5312" s="4" t="n">
        <v>45322</v>
      </c>
      <c r="C5312" s="3" t="inlineStr">
        <is>
          <t>Expenses</t>
        </is>
      </c>
      <c r="D5312" s="3" t="inlineStr">
        <is>
          <t>4450/000</t>
        </is>
      </c>
      <c r="E5312" s="3" t="inlineStr">
        <is>
          <t>Staff Training</t>
        </is>
      </c>
      <c r="F5312" s="3" t="n">
        <v>0</v>
      </c>
      <c r="G5312" s="3" t="n">
        <v>3452.7</v>
      </c>
    </row>
    <row r="5313">
      <c r="A5313" s="3" t="inlineStr">
        <is>
          <t>Cape Projects Construction (Pty) Ltd</t>
        </is>
      </c>
      <c r="B5313" s="4" t="n">
        <v>45322</v>
      </c>
      <c r="C5313" s="3" t="inlineStr">
        <is>
          <t>Expenses</t>
        </is>
      </c>
      <c r="D5313" s="3" t="inlineStr">
        <is>
          <t>4500/000</t>
        </is>
      </c>
      <c r="E5313" s="3" t="inlineStr">
        <is>
          <t>Staff Welfare _AND_ Refreshmts</t>
        </is>
      </c>
      <c r="F5313" s="3" t="n">
        <v>2314.69</v>
      </c>
      <c r="G5313" s="3" t="n">
        <v>36787.25</v>
      </c>
    </row>
    <row r="5314">
      <c r="A5314" s="3" t="inlineStr">
        <is>
          <t>Cape Projects Construction (Pty) Ltd</t>
        </is>
      </c>
      <c r="B5314" s="4" t="n">
        <v>45322</v>
      </c>
      <c r="C5314" s="3" t="inlineStr">
        <is>
          <t>Expenses</t>
        </is>
      </c>
      <c r="D5314" s="3" t="inlineStr">
        <is>
          <t>4550/000</t>
        </is>
      </c>
      <c r="E5314" s="3" t="inlineStr">
        <is>
          <t>Subscriptions / Licenses</t>
        </is>
      </c>
      <c r="F5314" s="3" t="n">
        <v>0</v>
      </c>
      <c r="G5314" s="3" t="n">
        <v>13527.97</v>
      </c>
    </row>
    <row r="5315">
      <c r="A5315" s="3" t="inlineStr">
        <is>
          <t>Cape Projects Construction (Pty) Ltd</t>
        </is>
      </c>
      <c r="B5315" s="4" t="n">
        <v>45322</v>
      </c>
      <c r="C5315" s="3" t="inlineStr">
        <is>
          <t>Expenses</t>
        </is>
      </c>
      <c r="D5315" s="3" t="inlineStr">
        <is>
          <t>4550/001</t>
        </is>
      </c>
      <c r="E5315" s="3" t="inlineStr">
        <is>
          <t>Subscriptions &amp; Licenses - Sage payroll</t>
        </is>
      </c>
      <c r="F5315" s="3" t="n">
        <v>0</v>
      </c>
      <c r="G5315" s="3" t="n">
        <v>7470</v>
      </c>
    </row>
    <row r="5316">
      <c r="A5316" s="3" t="inlineStr">
        <is>
          <t>Cape Projects Construction (Pty) Ltd</t>
        </is>
      </c>
      <c r="B5316" s="4" t="n">
        <v>45322</v>
      </c>
      <c r="C5316" s="3" t="inlineStr">
        <is>
          <t>Expenses</t>
        </is>
      </c>
      <c r="D5316" s="3" t="inlineStr">
        <is>
          <t>4550/002</t>
        </is>
      </c>
      <c r="E5316" s="3" t="inlineStr">
        <is>
          <t>Subscriptions &amp; Licenses - Caseware</t>
        </is>
      </c>
      <c r="F5316" s="3" t="n">
        <v>0</v>
      </c>
      <c r="G5316" s="3" t="n">
        <v>10825.49</v>
      </c>
    </row>
    <row r="5317">
      <c r="A5317" s="3" t="inlineStr">
        <is>
          <t>Cape Projects Construction (Pty) Ltd</t>
        </is>
      </c>
      <c r="B5317" s="4" t="n">
        <v>45322</v>
      </c>
      <c r="C5317" s="3" t="inlineStr">
        <is>
          <t>Expenses</t>
        </is>
      </c>
      <c r="D5317" s="3" t="inlineStr">
        <is>
          <t>4550/003</t>
        </is>
      </c>
      <c r="E5317" s="3" t="inlineStr">
        <is>
          <t>Subscriptions &amp; Licenses - Xero</t>
        </is>
      </c>
      <c r="F5317" s="3" t="n">
        <v>600</v>
      </c>
      <c r="G5317" s="3" t="n">
        <v>6600</v>
      </c>
    </row>
    <row r="5318">
      <c r="A5318" s="3" t="inlineStr">
        <is>
          <t>Cape Projects Construction (Pty) Ltd</t>
        </is>
      </c>
      <c r="B5318" s="4" t="n">
        <v>45322</v>
      </c>
      <c r="C5318" s="3" t="inlineStr">
        <is>
          <t>Expenses</t>
        </is>
      </c>
      <c r="D5318" s="3" t="inlineStr">
        <is>
          <t>4550/004</t>
        </is>
      </c>
      <c r="E5318" s="3" t="inlineStr">
        <is>
          <t>Subscriptions - Smartsheet</t>
        </is>
      </c>
      <c r="F5318" s="3" t="n">
        <v>2178</v>
      </c>
      <c r="G5318" s="3" t="n">
        <v>11063.41</v>
      </c>
    </row>
    <row r="5319">
      <c r="A5319" s="3" t="inlineStr">
        <is>
          <t>Cape Projects Construction (Pty) Ltd</t>
        </is>
      </c>
      <c r="B5319" s="4" t="n">
        <v>45322</v>
      </c>
      <c r="C5319" s="3" t="inlineStr">
        <is>
          <t>Expenses</t>
        </is>
      </c>
      <c r="D5319" s="3" t="inlineStr">
        <is>
          <t>4550/007</t>
        </is>
      </c>
      <c r="E5319" s="3" t="inlineStr">
        <is>
          <t>Subscription &amp; Licenses - ERS Bio</t>
        </is>
      </c>
      <c r="F5319" s="3" t="n">
        <v>718.9299999999999</v>
      </c>
      <c r="G5319" s="3" t="n">
        <v>2875.72</v>
      </c>
    </row>
    <row r="5320">
      <c r="A5320" s="3" t="inlineStr">
        <is>
          <t>Cape Projects Construction (Pty) Ltd</t>
        </is>
      </c>
      <c r="B5320" s="4" t="n">
        <v>45322</v>
      </c>
      <c r="C5320" s="3" t="inlineStr">
        <is>
          <t>Expenses</t>
        </is>
      </c>
      <c r="D5320" s="3" t="inlineStr">
        <is>
          <t>4550/008</t>
        </is>
      </c>
      <c r="E5320" s="3" t="inlineStr">
        <is>
          <t>Subscriptions  - Adobe</t>
        </is>
      </c>
      <c r="F5320" s="3" t="n">
        <v>0</v>
      </c>
      <c r="G5320" s="3" t="n">
        <v>4498.72</v>
      </c>
    </row>
    <row r="5321">
      <c r="A5321" s="3" t="inlineStr">
        <is>
          <t>Heron Fields (Pty) Ltd</t>
        </is>
      </c>
      <c r="B5321" s="4" t="n">
        <v>45322</v>
      </c>
      <c r="C5321" s="3" t="inlineStr">
        <is>
          <t>Expenses</t>
        </is>
      </c>
      <c r="D5321" s="3" t="inlineStr">
        <is>
          <t>4550/100</t>
        </is>
      </c>
      <c r="E5321" s="3" t="inlineStr">
        <is>
          <t>Subscriptions - Xero</t>
        </is>
      </c>
      <c r="F5321" s="3" t="n">
        <v>600</v>
      </c>
      <c r="G5321" s="3" t="n">
        <v>6600</v>
      </c>
    </row>
    <row r="5322">
      <c r="A5322" s="3" t="inlineStr">
        <is>
          <t>Heron View (Pty) Ltd</t>
        </is>
      </c>
      <c r="B5322" s="4" t="n">
        <v>45322</v>
      </c>
      <c r="C5322" s="3" t="inlineStr">
        <is>
          <t>Expenses</t>
        </is>
      </c>
      <c r="D5322" s="3" t="inlineStr">
        <is>
          <t>4550/100</t>
        </is>
      </c>
      <c r="E5322" s="3" t="inlineStr">
        <is>
          <t>Subscriptions - Xero</t>
        </is>
      </c>
      <c r="F5322" s="3" t="n">
        <v>600</v>
      </c>
      <c r="G5322" s="3" t="n">
        <v>6600</v>
      </c>
    </row>
    <row r="5323">
      <c r="A5323" s="3" t="inlineStr">
        <is>
          <t>Heron Fields (Pty) Ltd</t>
        </is>
      </c>
      <c r="B5323" s="4" t="n">
        <v>45322</v>
      </c>
      <c r="C5323" s="3" t="inlineStr">
        <is>
          <t>Expenses</t>
        </is>
      </c>
      <c r="D5323" s="3" t="inlineStr">
        <is>
          <t>4550/200</t>
        </is>
      </c>
      <c r="E5323" s="3" t="inlineStr">
        <is>
          <t>Subscription - NHBRC</t>
        </is>
      </c>
      <c r="F5323" s="3" t="n">
        <v>0</v>
      </c>
      <c r="G5323" s="3" t="n">
        <v>526.3200000000001</v>
      </c>
    </row>
    <row r="5324">
      <c r="A5324" s="3" t="inlineStr">
        <is>
          <t>Cape Projects Construction (Pty) Ltd</t>
        </is>
      </c>
      <c r="B5324" s="4" t="n">
        <v>45322</v>
      </c>
      <c r="C5324" s="3" t="inlineStr">
        <is>
          <t>Expenses</t>
        </is>
      </c>
      <c r="D5324" s="3" t="inlineStr">
        <is>
          <t>4560</t>
        </is>
      </c>
      <c r="E5324" s="3" t="inlineStr">
        <is>
          <t>Secretarial fees - CIPC</t>
        </is>
      </c>
      <c r="F5324" s="3" t="n">
        <v>0</v>
      </c>
      <c r="G5324" s="3" t="n">
        <v>4000</v>
      </c>
    </row>
    <row r="5325">
      <c r="A5325" s="3" t="inlineStr">
        <is>
          <t>Cape Projects Construction (Pty) Ltd</t>
        </is>
      </c>
      <c r="B5325" s="4" t="n">
        <v>45322</v>
      </c>
      <c r="C5325" s="3" t="inlineStr">
        <is>
          <t>Expenses</t>
        </is>
      </c>
      <c r="D5325" s="3" t="inlineStr">
        <is>
          <t>4600/000</t>
        </is>
      </c>
      <c r="E5325" s="3" t="inlineStr">
        <is>
          <t>Telephone _AND_ Fax</t>
        </is>
      </c>
      <c r="F5325" s="3" t="n">
        <v>0</v>
      </c>
      <c r="G5325" s="3" t="n">
        <v>11566.33</v>
      </c>
    </row>
    <row r="5326">
      <c r="A5326" s="3" t="inlineStr">
        <is>
          <t>Cape Projects Construction (Pty) Ltd</t>
        </is>
      </c>
      <c r="B5326" s="4" t="n">
        <v>45322</v>
      </c>
      <c r="C5326" s="3" t="inlineStr">
        <is>
          <t>Expenses</t>
        </is>
      </c>
      <c r="D5326" s="3" t="inlineStr">
        <is>
          <t>4700/000</t>
        </is>
      </c>
      <c r="E5326" s="3" t="inlineStr">
        <is>
          <t>PAYE Contributions</t>
        </is>
      </c>
      <c r="F5326" s="3" t="n">
        <v>95761.31</v>
      </c>
      <c r="G5326" s="3" t="n">
        <v>944073.0699999999</v>
      </c>
    </row>
    <row r="5327">
      <c r="A5327" s="3" t="inlineStr">
        <is>
          <t>Cape Projects Construction (Pty) Ltd</t>
        </is>
      </c>
      <c r="B5327" s="4" t="n">
        <v>45322</v>
      </c>
      <c r="C5327" s="3" t="inlineStr">
        <is>
          <t>Expenses</t>
        </is>
      </c>
      <c r="D5327" s="3" t="inlineStr">
        <is>
          <t>4720/000</t>
        </is>
      </c>
      <c r="E5327" s="3" t="inlineStr">
        <is>
          <t>SDL Contributions</t>
        </is>
      </c>
      <c r="F5327" s="3" t="n">
        <v>5237.23</v>
      </c>
      <c r="G5327" s="3" t="n">
        <v>50468.37</v>
      </c>
    </row>
    <row r="5328">
      <c r="A5328" s="3" t="inlineStr">
        <is>
          <t>Cape Projects Construction (Pty) Ltd</t>
        </is>
      </c>
      <c r="B5328" s="4" t="n">
        <v>45322</v>
      </c>
      <c r="C5328" s="3" t="inlineStr">
        <is>
          <t>Expenses</t>
        </is>
      </c>
      <c r="D5328" s="3" t="inlineStr">
        <is>
          <t>4730/000</t>
        </is>
      </c>
      <c r="E5328" s="3" t="inlineStr">
        <is>
          <t>UIF Company Contributions</t>
        </is>
      </c>
      <c r="F5328" s="3" t="n">
        <v>3004.75</v>
      </c>
      <c r="G5328" s="3" t="n">
        <v>28007.9</v>
      </c>
    </row>
    <row r="5329">
      <c r="A5329" s="3" t="inlineStr">
        <is>
          <t>Cape Projects Construction (Pty) Ltd</t>
        </is>
      </c>
      <c r="B5329" s="4" t="n">
        <v>45322</v>
      </c>
      <c r="C5329" s="3" t="inlineStr">
        <is>
          <t>Expenses</t>
        </is>
      </c>
      <c r="D5329" s="3" t="inlineStr">
        <is>
          <t>4731/000</t>
        </is>
      </c>
      <c r="E5329" s="3" t="inlineStr">
        <is>
          <t>UIF Employee Contribution</t>
        </is>
      </c>
      <c r="F5329" s="3" t="n">
        <v>3004.75</v>
      </c>
      <c r="G5329" s="3" t="n">
        <v>28007.9</v>
      </c>
    </row>
    <row r="5330">
      <c r="A5330" s="3" t="inlineStr">
        <is>
          <t>Cape Projects Construction (Pty) Ltd</t>
        </is>
      </c>
      <c r="B5330" s="4" t="n">
        <v>45322</v>
      </c>
      <c r="C5330" s="3" t="inlineStr">
        <is>
          <t>Expenses</t>
        </is>
      </c>
      <c r="D5330" s="3" t="inlineStr">
        <is>
          <t>4740/000</t>
        </is>
      </c>
      <c r="E5330" s="3" t="inlineStr">
        <is>
          <t>BIBC Company Contribution</t>
        </is>
      </c>
      <c r="F5330" s="3" t="n">
        <v>0</v>
      </c>
      <c r="G5330" s="3" t="n">
        <v>15075.35</v>
      </c>
    </row>
    <row r="5331">
      <c r="A5331" s="3" t="inlineStr">
        <is>
          <t>Cape Projects Construction (Pty) Ltd</t>
        </is>
      </c>
      <c r="B5331" s="4" t="n">
        <v>45322</v>
      </c>
      <c r="C5331" s="3" t="inlineStr">
        <is>
          <t>Expenses</t>
        </is>
      </c>
      <c r="D5331" s="3" t="inlineStr">
        <is>
          <t>4741/000</t>
        </is>
      </c>
      <c r="E5331" s="3" t="inlineStr">
        <is>
          <t>BIBC Employee Contribution</t>
        </is>
      </c>
      <c r="F5331" s="3" t="n">
        <v>0</v>
      </c>
      <c r="G5331" s="3" t="n">
        <v>4562.1</v>
      </c>
    </row>
    <row r="5332">
      <c r="A5332" s="3" t="inlineStr">
        <is>
          <t>Heron Fields (Pty) Ltd</t>
        </is>
      </c>
      <c r="B5332" s="4" t="n">
        <v>45322</v>
      </c>
      <c r="C5332" s="3" t="inlineStr">
        <is>
          <t>Equity</t>
        </is>
      </c>
      <c r="D5332" s="3" t="inlineStr">
        <is>
          <t>5100-000</t>
        </is>
      </c>
      <c r="E5332" s="3" t="inlineStr">
        <is>
          <t>Share Capital</t>
        </is>
      </c>
      <c r="F5332" s="3" t="n">
        <v>0</v>
      </c>
      <c r="G5332" s="3" t="n">
        <v>-100</v>
      </c>
    </row>
    <row r="5333">
      <c r="A5333" s="3" t="inlineStr">
        <is>
          <t>Cape Projects Construction (Pty) Ltd</t>
        </is>
      </c>
      <c r="B5333" s="4" t="n">
        <v>45322</v>
      </c>
      <c r="C5333" s="3" t="inlineStr">
        <is>
          <t>Equity</t>
        </is>
      </c>
      <c r="D5333" s="3" t="inlineStr">
        <is>
          <t>5100/000</t>
        </is>
      </c>
      <c r="E5333" s="3" t="inlineStr">
        <is>
          <t>Share Capital / Members Contribution</t>
        </is>
      </c>
      <c r="F5333" s="3" t="n">
        <v>0</v>
      </c>
      <c r="G5333" s="3" t="n">
        <v>-120</v>
      </c>
    </row>
    <row r="5334">
      <c r="A5334" s="3" t="inlineStr">
        <is>
          <t>Cape Projects Construction (Pty) Ltd</t>
        </is>
      </c>
      <c r="B5334" s="4" t="n">
        <v>45322</v>
      </c>
      <c r="C5334" s="3" t="inlineStr">
        <is>
          <t>Equity</t>
        </is>
      </c>
      <c r="D5334" s="3" t="inlineStr">
        <is>
          <t>5200/000</t>
        </is>
      </c>
      <c r="E5334" s="3" t="inlineStr">
        <is>
          <t>Retained Earnings / Loss</t>
        </is>
      </c>
      <c r="F5334" s="3" t="n">
        <v>0</v>
      </c>
      <c r="G5334" s="3" t="n">
        <v>-296075.58</v>
      </c>
    </row>
    <row r="5335">
      <c r="A5335" s="3" t="inlineStr">
        <is>
          <t>Heron Fields (Pty) Ltd</t>
        </is>
      </c>
      <c r="B5335" s="4" t="n">
        <v>45322</v>
      </c>
      <c r="C5335" s="3" t="inlineStr">
        <is>
          <t>Equity</t>
        </is>
      </c>
      <c r="D5335" s="3" t="inlineStr">
        <is>
          <t>5200/000</t>
        </is>
      </c>
      <c r="E5335" s="3" t="inlineStr">
        <is>
          <t>Retained Earnings / Loss</t>
        </is>
      </c>
      <c r="F5335" s="3" t="n">
        <v>0</v>
      </c>
      <c r="G5335" s="3" t="n">
        <v>-17843179.58</v>
      </c>
    </row>
    <row r="5336">
      <c r="A5336" s="3" t="inlineStr">
        <is>
          <t>Heron View (Pty) Ltd</t>
        </is>
      </c>
      <c r="B5336" s="4" t="n">
        <v>45322</v>
      </c>
      <c r="C5336" s="3" t="inlineStr">
        <is>
          <t>Equity</t>
        </is>
      </c>
      <c r="D5336" s="3" t="inlineStr">
        <is>
          <t>5200/000</t>
        </is>
      </c>
      <c r="E5336" s="3" t="inlineStr">
        <is>
          <t>Retained Earnings / Loss</t>
        </is>
      </c>
      <c r="F5336" s="3" t="n">
        <v>0</v>
      </c>
      <c r="G5336" s="3" t="n">
        <v>70398.12</v>
      </c>
    </row>
    <row r="5337">
      <c r="A5337" s="3" t="inlineStr">
        <is>
          <t>Heron Fields (Pty) Ltd</t>
        </is>
      </c>
      <c r="B5337" s="4" t="n">
        <v>45322</v>
      </c>
      <c r="C5337" s="3" t="inlineStr">
        <is>
          <t>Assets</t>
        </is>
      </c>
      <c r="D5337" s="3" t="inlineStr">
        <is>
          <t>5300/001</t>
        </is>
      </c>
      <c r="E5337" s="3" t="inlineStr">
        <is>
          <t>Revaluation of Land stock</t>
        </is>
      </c>
      <c r="F5337" s="3" t="n">
        <v>0</v>
      </c>
      <c r="G5337" s="3" t="n">
        <v>17562360.85</v>
      </c>
    </row>
    <row r="5338">
      <c r="A5338" s="3" t="inlineStr">
        <is>
          <t>Heron Fields (Pty) Ltd</t>
        </is>
      </c>
      <c r="B5338" s="4" t="n">
        <v>45322</v>
      </c>
      <c r="C5338" s="3" t="inlineStr">
        <is>
          <t>Assets</t>
        </is>
      </c>
      <c r="D5338" s="3" t="inlineStr">
        <is>
          <t>5400/000</t>
        </is>
      </c>
      <c r="E5338" s="3" t="inlineStr">
        <is>
          <t>Deposit: Ruiterwacht development</t>
        </is>
      </c>
      <c r="F5338" s="3" t="n">
        <v>0</v>
      </c>
      <c r="G5338" s="3" t="n">
        <v>13457359</v>
      </c>
    </row>
    <row r="5339">
      <c r="A5339" s="3" t="inlineStr">
        <is>
          <t>Cape Projects Construction (Pty) Ltd</t>
        </is>
      </c>
      <c r="B5339" s="4" t="n">
        <v>45322</v>
      </c>
      <c r="C5339" s="3" t="inlineStr">
        <is>
          <t>Assets</t>
        </is>
      </c>
      <c r="D5339" s="3" t="inlineStr">
        <is>
          <t>5400/150</t>
        </is>
      </c>
      <c r="E5339" s="3" t="inlineStr">
        <is>
          <t>Loan - Quinate</t>
        </is>
      </c>
      <c r="F5339" s="3" t="n">
        <v>1010000</v>
      </c>
      <c r="G5339" s="3" t="n">
        <v>-4057423.63</v>
      </c>
    </row>
    <row r="5340">
      <c r="A5340" s="3" t="inlineStr">
        <is>
          <t>Cape Projects Construction (Pty) Ltd</t>
        </is>
      </c>
      <c r="B5340" s="4" t="n">
        <v>45322</v>
      </c>
      <c r="C5340" s="3" t="inlineStr">
        <is>
          <t>Assets</t>
        </is>
      </c>
      <c r="D5340" s="3" t="inlineStr">
        <is>
          <t>5400/220</t>
        </is>
      </c>
      <c r="E5340" s="3" t="inlineStr">
        <is>
          <t>Members Loan - WH</t>
        </is>
      </c>
      <c r="F5340" s="3" t="n">
        <v>0</v>
      </c>
      <c r="G5340" s="3" t="n">
        <v>-4342.5</v>
      </c>
    </row>
    <row r="5341">
      <c r="A5341" s="3" t="inlineStr">
        <is>
          <t>Cape Projects Construction (Pty) Ltd</t>
        </is>
      </c>
      <c r="B5341" s="4" t="n">
        <v>45322</v>
      </c>
      <c r="C5341" s="3" t="inlineStr">
        <is>
          <t>Assets</t>
        </is>
      </c>
      <c r="D5341" s="3" t="inlineStr">
        <is>
          <t>5400/300</t>
        </is>
      </c>
      <c r="E5341" s="3" t="inlineStr">
        <is>
          <t>Loan - Opportunity ResidentialCUST ACC</t>
        </is>
      </c>
      <c r="F5341" s="3" t="n">
        <v>0</v>
      </c>
      <c r="G5341" s="3" t="n">
        <v>4702.35</v>
      </c>
    </row>
    <row r="5342">
      <c r="A5342" s="3" t="inlineStr">
        <is>
          <t>Cape Projects Construction (Pty) Ltd</t>
        </is>
      </c>
      <c r="B5342" s="4" t="n">
        <v>45322</v>
      </c>
      <c r="C5342" s="3" t="inlineStr">
        <is>
          <t>Assets</t>
        </is>
      </c>
      <c r="D5342" s="3" t="inlineStr">
        <is>
          <t>5400/450</t>
        </is>
      </c>
      <c r="E5342" s="3" t="inlineStr">
        <is>
          <t>Loan - Opportunity Investment</t>
        </is>
      </c>
      <c r="F5342" s="3" t="n">
        <v>0</v>
      </c>
      <c r="G5342" s="3" t="n">
        <v>-1571000</v>
      </c>
    </row>
    <row r="5343">
      <c r="A5343" s="3" t="inlineStr">
        <is>
          <t>Cape Projects Construction (Pty) Ltd</t>
        </is>
      </c>
      <c r="B5343" s="4" t="n">
        <v>45322</v>
      </c>
      <c r="C5343" s="3" t="inlineStr">
        <is>
          <t>Assets</t>
        </is>
      </c>
      <c r="D5343" s="3" t="inlineStr">
        <is>
          <t>5400/500</t>
        </is>
      </c>
      <c r="E5343" s="3" t="inlineStr">
        <is>
          <t>Loan - Blou Mamba Trust</t>
        </is>
      </c>
      <c r="F5343" s="3" t="n">
        <v>0</v>
      </c>
      <c r="G5343" s="3" t="n">
        <v>4342.5</v>
      </c>
    </row>
    <row r="5344">
      <c r="A5344" s="3" t="inlineStr">
        <is>
          <t>Cape Projects Construction (Pty) Ltd</t>
        </is>
      </c>
      <c r="B5344" s="4" t="n">
        <v>45322</v>
      </c>
      <c r="C5344" s="3" t="inlineStr">
        <is>
          <t>Assets</t>
        </is>
      </c>
      <c r="D5344" s="3" t="inlineStr">
        <is>
          <t>5400/550</t>
        </is>
      </c>
      <c r="E5344" s="3" t="inlineStr">
        <is>
          <t>Loan - Trademark</t>
        </is>
      </c>
      <c r="F5344" s="3" t="n">
        <v>600</v>
      </c>
      <c r="G5344" s="3" t="n">
        <v>-18200</v>
      </c>
    </row>
    <row r="5345">
      <c r="A5345" s="3" t="inlineStr">
        <is>
          <t>Cape Projects Construction (Pty) Ltd</t>
        </is>
      </c>
      <c r="B5345" s="4" t="n">
        <v>45322</v>
      </c>
      <c r="C5345" s="3" t="inlineStr">
        <is>
          <t>Assets</t>
        </is>
      </c>
      <c r="D5345" s="3" t="inlineStr">
        <is>
          <t>5400/600</t>
        </is>
      </c>
      <c r="E5345" s="3" t="inlineStr">
        <is>
          <t>Loan - Heron Projects</t>
        </is>
      </c>
      <c r="F5345" s="3" t="n">
        <v>-800000</v>
      </c>
      <c r="G5345" s="3" t="n">
        <v>-22774738.42</v>
      </c>
    </row>
    <row r="5346">
      <c r="A5346" s="3" t="inlineStr">
        <is>
          <t>Cape Projects Construction (Pty) Ltd</t>
        </is>
      </c>
      <c r="B5346" s="4" t="n">
        <v>45322</v>
      </c>
      <c r="C5346" s="3" t="inlineStr">
        <is>
          <t>Assets</t>
        </is>
      </c>
      <c r="D5346" s="3" t="inlineStr">
        <is>
          <t>5400/650</t>
        </is>
      </c>
      <c r="E5346" s="3" t="inlineStr">
        <is>
          <t>Loan - Noble Shield</t>
        </is>
      </c>
      <c r="F5346" s="3" t="n">
        <v>600</v>
      </c>
      <c r="G5346" s="3" t="n">
        <v>-200789.44</v>
      </c>
    </row>
    <row r="5347">
      <c r="A5347" s="3" t="inlineStr">
        <is>
          <t>Cape Projects Construction (Pty) Ltd</t>
        </is>
      </c>
      <c r="B5347" s="4" t="n">
        <v>45322</v>
      </c>
      <c r="C5347" s="3" t="inlineStr">
        <is>
          <t>Assets</t>
        </is>
      </c>
      <c r="D5347" s="3" t="inlineStr">
        <is>
          <t>5400/750</t>
        </is>
      </c>
      <c r="E5347" s="3" t="inlineStr">
        <is>
          <t>Loan - Endulini</t>
        </is>
      </c>
      <c r="F5347" s="3" t="n">
        <v>-1430000</v>
      </c>
      <c r="G5347" s="3" t="n">
        <v>24962687.4</v>
      </c>
    </row>
    <row r="5348">
      <c r="A5348" s="3" t="inlineStr">
        <is>
          <t>Cape Projects Construction (Pty) Ltd</t>
        </is>
      </c>
      <c r="B5348" s="4" t="n">
        <v>45322</v>
      </c>
      <c r="C5348" s="3" t="inlineStr">
        <is>
          <t>Assets</t>
        </is>
      </c>
      <c r="D5348" s="3" t="inlineStr">
        <is>
          <t>5400/800</t>
        </is>
      </c>
      <c r="E5348" s="3" t="inlineStr">
        <is>
          <t>Loan - Opportunity Management Holdings</t>
        </is>
      </c>
      <c r="F5348" s="3" t="n">
        <v>0</v>
      </c>
      <c r="G5348" s="3" t="n">
        <v>137399</v>
      </c>
    </row>
    <row r="5349">
      <c r="A5349" s="3" t="inlineStr">
        <is>
          <t>Heron View (Pty) Ltd</t>
        </is>
      </c>
      <c r="B5349" s="4" t="n">
        <v>45322</v>
      </c>
      <c r="C5349" s="3" t="inlineStr">
        <is>
          <t>Liabilities</t>
        </is>
      </c>
      <c r="D5349" s="3" t="inlineStr">
        <is>
          <t>5500/001</t>
        </is>
      </c>
      <c r="E5349" s="3" t="inlineStr">
        <is>
          <t>Loan - Heron Fields</t>
        </is>
      </c>
      <c r="F5349" s="3" t="n">
        <v>3512117.92</v>
      </c>
      <c r="G5349" s="3" t="n">
        <v>-56638123.02</v>
      </c>
    </row>
    <row r="5350">
      <c r="A5350" s="3" t="inlineStr">
        <is>
          <t>Heron Fields (Pty) Ltd</t>
        </is>
      </c>
      <c r="B5350" s="4" t="n">
        <v>45322</v>
      </c>
      <c r="C5350" s="3" t="inlineStr">
        <is>
          <t>Liabilities</t>
        </is>
      </c>
      <c r="D5350" s="3" t="inlineStr">
        <is>
          <t>5500/020</t>
        </is>
      </c>
      <c r="E5350" s="3" t="inlineStr">
        <is>
          <t>Loan - Cape Projects Construction</t>
        </is>
      </c>
      <c r="F5350" s="3" t="n">
        <v>800000</v>
      </c>
      <c r="G5350" s="3" t="n">
        <v>22774738.42</v>
      </c>
    </row>
    <row r="5351">
      <c r="A5351" s="3" t="inlineStr">
        <is>
          <t>Heron Fields (Pty) Ltd</t>
        </is>
      </c>
      <c r="B5351" s="4" t="n">
        <v>45322</v>
      </c>
      <c r="C5351" s="3" t="inlineStr">
        <is>
          <t>Liabilities</t>
        </is>
      </c>
      <c r="D5351" s="3" t="inlineStr">
        <is>
          <t>5500/030</t>
        </is>
      </c>
      <c r="E5351" s="3" t="inlineStr">
        <is>
          <t>Loan - Opportunity Global Investments</t>
        </is>
      </c>
      <c r="F5351" s="3" t="n">
        <v>0</v>
      </c>
      <c r="G5351" s="3" t="n">
        <v>4094275</v>
      </c>
    </row>
    <row r="5352">
      <c r="A5352" s="3" t="inlineStr">
        <is>
          <t>Heron Fields (Pty) Ltd</t>
        </is>
      </c>
      <c r="B5352" s="4" t="n">
        <v>45322</v>
      </c>
      <c r="C5352" s="3" t="inlineStr">
        <is>
          <t>Liabilities</t>
        </is>
      </c>
      <c r="D5352" s="3" t="inlineStr">
        <is>
          <t>5500/050</t>
        </is>
      </c>
      <c r="E5352" s="3" t="inlineStr">
        <is>
          <t>Loan - Heron View</t>
        </is>
      </c>
      <c r="F5352" s="3" t="n">
        <v>-3512118.45</v>
      </c>
      <c r="G5352" s="3" t="n">
        <v>56636922.49</v>
      </c>
    </row>
    <row r="5353">
      <c r="A5353" s="3" t="inlineStr">
        <is>
          <t>Heron Fields (Pty) Ltd</t>
        </is>
      </c>
      <c r="B5353" s="4" t="n">
        <v>45322</v>
      </c>
      <c r="C5353" s="3" t="inlineStr">
        <is>
          <t>Liabilities</t>
        </is>
      </c>
      <c r="D5353" s="3" t="inlineStr">
        <is>
          <t>5500/051</t>
        </is>
      </c>
      <c r="E5353" s="3" t="inlineStr">
        <is>
          <t>Loan - HV N204</t>
        </is>
      </c>
      <c r="F5353" s="3" t="n">
        <v>10000</v>
      </c>
      <c r="G5353" s="3" t="n">
        <v>10000</v>
      </c>
    </row>
    <row r="5354">
      <c r="A5354" s="3" t="inlineStr">
        <is>
          <t>Heron Fields (Pty) Ltd</t>
        </is>
      </c>
      <c r="B5354" s="4" t="n">
        <v>45322</v>
      </c>
      <c r="C5354" s="3" t="inlineStr">
        <is>
          <t>Liabilities</t>
        </is>
      </c>
      <c r="D5354" s="3" t="inlineStr">
        <is>
          <t>5500/060</t>
        </is>
      </c>
      <c r="E5354" s="3" t="inlineStr">
        <is>
          <t>Loan - Opportunity Management Holdings</t>
        </is>
      </c>
      <c r="F5354" s="3" t="n">
        <v>-10000</v>
      </c>
      <c r="G5354" s="3" t="n">
        <v>32100</v>
      </c>
    </row>
    <row r="5355">
      <c r="A5355" s="3" t="inlineStr">
        <is>
          <t>Heron Fields (Pty) Ltd</t>
        </is>
      </c>
      <c r="B5355" s="4" t="n">
        <v>45322</v>
      </c>
      <c r="C5355" s="3" t="inlineStr">
        <is>
          <t>Liabilities</t>
        </is>
      </c>
      <c r="D5355" s="3" t="inlineStr">
        <is>
          <t>5500/080</t>
        </is>
      </c>
      <c r="E5355" s="3" t="inlineStr">
        <is>
          <t>Loan - NSST2 Trust</t>
        </is>
      </c>
      <c r="F5355" s="3" t="n">
        <v>0</v>
      </c>
      <c r="G5355" s="3" t="n">
        <v>500</v>
      </c>
    </row>
    <row r="5356">
      <c r="A5356" s="3" t="inlineStr">
        <is>
          <t>Heron Fields (Pty) Ltd</t>
        </is>
      </c>
      <c r="B5356" s="4" t="n">
        <v>45322</v>
      </c>
      <c r="C5356" s="3" t="inlineStr">
        <is>
          <t>Assets</t>
        </is>
      </c>
      <c r="D5356" s="3" t="inlineStr">
        <is>
          <t>6150/010</t>
        </is>
      </c>
      <c r="E5356" s="3" t="inlineStr">
        <is>
          <t>Endulini -  A204</t>
        </is>
      </c>
      <c r="F5356" s="3" t="n">
        <v>0</v>
      </c>
      <c r="G5356" s="3" t="n">
        <v>1304260.87</v>
      </c>
    </row>
    <row r="5357">
      <c r="A5357" s="3" t="inlineStr">
        <is>
          <t>Heron Fields (Pty) Ltd</t>
        </is>
      </c>
      <c r="B5357" s="4" t="n">
        <v>45322</v>
      </c>
      <c r="C5357" s="3" t="inlineStr">
        <is>
          <t>Assets</t>
        </is>
      </c>
      <c r="D5357" s="3" t="inlineStr">
        <is>
          <t>6150/020</t>
        </is>
      </c>
      <c r="E5357" s="3" t="inlineStr">
        <is>
          <t>Endulini - A304</t>
        </is>
      </c>
      <c r="F5357" s="3" t="n">
        <v>0</v>
      </c>
      <c r="G5357" s="3" t="n">
        <v>1356434.78</v>
      </c>
    </row>
    <row r="5358">
      <c r="A5358" s="3" t="inlineStr">
        <is>
          <t>Heron Fields (Pty) Ltd</t>
        </is>
      </c>
      <c r="B5358" s="4" t="n">
        <v>45322</v>
      </c>
      <c r="C5358" s="3" t="inlineStr">
        <is>
          <t>Assets</t>
        </is>
      </c>
      <c r="D5358" s="3" t="inlineStr">
        <is>
          <t>6150/030</t>
        </is>
      </c>
      <c r="E5358" s="3" t="inlineStr">
        <is>
          <t>Endulini - B101</t>
        </is>
      </c>
      <c r="F5358" s="3" t="n">
        <v>0</v>
      </c>
      <c r="G5358" s="3" t="n">
        <v>1373826.09</v>
      </c>
    </row>
    <row r="5359">
      <c r="A5359" s="3" t="inlineStr">
        <is>
          <t>Heron Fields (Pty) Ltd</t>
        </is>
      </c>
      <c r="B5359" s="4" t="n">
        <v>45322</v>
      </c>
      <c r="C5359" s="3" t="inlineStr">
        <is>
          <t>Assets</t>
        </is>
      </c>
      <c r="D5359" s="3" t="inlineStr">
        <is>
          <t>6150/040</t>
        </is>
      </c>
      <c r="E5359" s="3" t="inlineStr">
        <is>
          <t>Endulini - A306</t>
        </is>
      </c>
      <c r="F5359" s="3" t="n">
        <v>0</v>
      </c>
      <c r="G5359" s="3" t="n">
        <v>1391217.39</v>
      </c>
    </row>
    <row r="5360">
      <c r="A5360" s="3" t="inlineStr">
        <is>
          <t>Heron Fields (Pty) Ltd</t>
        </is>
      </c>
      <c r="B5360" s="4" t="n">
        <v>45322</v>
      </c>
      <c r="C5360" s="3" t="inlineStr">
        <is>
          <t>Assets</t>
        </is>
      </c>
      <c r="D5360" s="3" t="inlineStr">
        <is>
          <t>6150/050</t>
        </is>
      </c>
      <c r="E5360" s="3" t="inlineStr">
        <is>
          <t>Endulini - C301</t>
        </is>
      </c>
      <c r="F5360" s="3" t="n">
        <v>0</v>
      </c>
      <c r="G5360" s="3" t="n">
        <v>1304260.87</v>
      </c>
    </row>
    <row r="5361">
      <c r="A5361" s="3" t="inlineStr">
        <is>
          <t>Cape Projects Construction (Pty) Ltd</t>
        </is>
      </c>
      <c r="B5361" s="4" t="n">
        <v>45322</v>
      </c>
      <c r="C5361" s="3" t="inlineStr">
        <is>
          <t>Assets</t>
        </is>
      </c>
      <c r="D5361" s="3" t="inlineStr">
        <is>
          <t>6200/010</t>
        </is>
      </c>
      <c r="E5361" s="3" t="inlineStr">
        <is>
          <t>Motor Vehicles - @ Cost</t>
        </is>
      </c>
      <c r="F5361" s="3" t="n">
        <v>0</v>
      </c>
      <c r="G5361" s="3" t="n">
        <v>216064.1</v>
      </c>
    </row>
    <row r="5362">
      <c r="A5362" s="3" t="inlineStr">
        <is>
          <t>Cape Projects Construction (Pty) Ltd</t>
        </is>
      </c>
      <c r="B5362" s="4" t="n">
        <v>45322</v>
      </c>
      <c r="C5362" s="3" t="inlineStr">
        <is>
          <t>Assets</t>
        </is>
      </c>
      <c r="D5362" s="3" t="inlineStr">
        <is>
          <t>6200/020</t>
        </is>
      </c>
      <c r="E5362" s="3" t="inlineStr">
        <is>
          <t>Motor Vehicles - Accum Depre</t>
        </is>
      </c>
      <c r="F5362" s="3" t="n">
        <v>0</v>
      </c>
      <c r="G5362" s="3" t="n">
        <v>-216063.1</v>
      </c>
    </row>
    <row r="5363">
      <c r="A5363" s="3" t="inlineStr">
        <is>
          <t>Cape Projects Construction (Pty) Ltd</t>
        </is>
      </c>
      <c r="B5363" s="4" t="n">
        <v>45322</v>
      </c>
      <c r="C5363" s="3" t="inlineStr">
        <is>
          <t>Assets</t>
        </is>
      </c>
      <c r="D5363" s="3" t="inlineStr">
        <is>
          <t>6250/010</t>
        </is>
      </c>
      <c r="E5363" s="3" t="inlineStr">
        <is>
          <t>Computer Equipment - @ Cost</t>
        </is>
      </c>
      <c r="F5363" s="3" t="n">
        <v>0</v>
      </c>
      <c r="G5363" s="3" t="n">
        <v>178152.48</v>
      </c>
    </row>
    <row r="5364">
      <c r="A5364" s="3" t="inlineStr">
        <is>
          <t>Cape Projects Construction (Pty) Ltd</t>
        </is>
      </c>
      <c r="B5364" s="4" t="n">
        <v>45322</v>
      </c>
      <c r="C5364" s="3" t="inlineStr">
        <is>
          <t>Assets</t>
        </is>
      </c>
      <c r="D5364" s="3" t="inlineStr">
        <is>
          <t>6250/020</t>
        </is>
      </c>
      <c r="E5364" s="3" t="inlineStr">
        <is>
          <t>Computer Equipment - Accum Depre</t>
        </is>
      </c>
      <c r="F5364" s="3" t="n">
        <v>-4562.87</v>
      </c>
      <c r="G5364" s="3" t="n">
        <v>-84735.74000000001</v>
      </c>
    </row>
    <row r="5365">
      <c r="A5365" s="3" t="inlineStr">
        <is>
          <t>Cape Projects Construction (Pty) Ltd</t>
        </is>
      </c>
      <c r="B5365" s="4" t="n">
        <v>45322</v>
      </c>
      <c r="C5365" s="3" t="inlineStr">
        <is>
          <t>Assets</t>
        </is>
      </c>
      <c r="D5365" s="3" t="inlineStr">
        <is>
          <t>6350/010</t>
        </is>
      </c>
      <c r="E5365" s="3" t="inlineStr">
        <is>
          <t>Furniture _AND_ Fittings - @ Cost</t>
        </is>
      </c>
      <c r="F5365" s="3" t="n">
        <v>0</v>
      </c>
      <c r="G5365" s="3" t="n">
        <v>37955.3</v>
      </c>
    </row>
    <row r="5366">
      <c r="A5366" s="3" t="inlineStr">
        <is>
          <t>Cape Projects Construction (Pty) Ltd</t>
        </is>
      </c>
      <c r="B5366" s="4" t="n">
        <v>45322</v>
      </c>
      <c r="C5366" s="3" t="inlineStr">
        <is>
          <t>Assets</t>
        </is>
      </c>
      <c r="D5366" s="3" t="inlineStr">
        <is>
          <t>6350/020</t>
        </is>
      </c>
      <c r="E5366" s="3" t="inlineStr">
        <is>
          <t>Furniture _AND_ Fittings - Accum Depre</t>
        </is>
      </c>
      <c r="F5366" s="3" t="n">
        <v>-547.6799999999999</v>
      </c>
      <c r="G5366" s="3" t="n">
        <v>-11919</v>
      </c>
    </row>
    <row r="5367">
      <c r="A5367" s="3" t="inlineStr">
        <is>
          <t>Cape Projects Construction (Pty) Ltd</t>
        </is>
      </c>
      <c r="B5367" s="4" t="n">
        <v>45322</v>
      </c>
      <c r="C5367" s="3" t="inlineStr">
        <is>
          <t>Assets</t>
        </is>
      </c>
      <c r="D5367" s="3" t="inlineStr">
        <is>
          <t>6600/010</t>
        </is>
      </c>
      <c r="E5367" s="3" t="inlineStr">
        <is>
          <t>Generator Fixed Asset - @ Cost</t>
        </is>
      </c>
      <c r="F5367" s="3" t="n">
        <v>0</v>
      </c>
      <c r="G5367" s="3" t="n">
        <v>71322</v>
      </c>
    </row>
    <row r="5368">
      <c r="A5368" s="3" t="inlineStr">
        <is>
          <t>Cape Projects Construction (Pty) Ltd</t>
        </is>
      </c>
      <c r="B5368" s="4" t="n">
        <v>45322</v>
      </c>
      <c r="C5368" s="3" t="inlineStr">
        <is>
          <t>Assets</t>
        </is>
      </c>
      <c r="D5368" s="3" t="inlineStr">
        <is>
          <t>6600/020</t>
        </is>
      </c>
      <c r="E5368" s="3" t="inlineStr">
        <is>
          <t>Generator Fixed Asset - Accum Depre</t>
        </is>
      </c>
      <c r="F5368" s="3" t="n">
        <v>-1188.71</v>
      </c>
      <c r="G5368" s="3" t="n">
        <v>-14210.53</v>
      </c>
    </row>
    <row r="5369">
      <c r="A5369" s="3" t="inlineStr">
        <is>
          <t>Heron Fields (Pty) Ltd</t>
        </is>
      </c>
      <c r="B5369" s="4" t="n">
        <v>45322</v>
      </c>
      <c r="C5369" s="3" t="inlineStr">
        <is>
          <t>Assets</t>
        </is>
      </c>
      <c r="D5369" s="3" t="inlineStr">
        <is>
          <t>7610/395</t>
        </is>
      </c>
      <c r="E5369" s="3" t="inlineStr">
        <is>
          <t>HF CIP NHBRC</t>
        </is>
      </c>
      <c r="F5369" s="3" t="n">
        <v>0</v>
      </c>
      <c r="G5369" s="3" t="n">
        <v>874505.75</v>
      </c>
    </row>
    <row r="5370">
      <c r="A5370" s="3" t="inlineStr">
        <is>
          <t>Heron View (Pty) Ltd</t>
        </is>
      </c>
      <c r="B5370" s="4" t="n">
        <v>45322</v>
      </c>
      <c r="C5370" s="3" t="inlineStr">
        <is>
          <t>Assets</t>
        </is>
      </c>
      <c r="D5370" s="3" t="inlineStr">
        <is>
          <t>7610/395</t>
        </is>
      </c>
      <c r="E5370" s="3" t="inlineStr">
        <is>
          <t>Heron CIP NHBRC</t>
        </is>
      </c>
      <c r="F5370" s="3" t="n">
        <v>0</v>
      </c>
      <c r="G5370" s="3" t="n">
        <v>2472501.08</v>
      </c>
    </row>
    <row r="5371">
      <c r="A5371" s="3" t="inlineStr">
        <is>
          <t>Heron Fields (Pty) Ltd</t>
        </is>
      </c>
      <c r="B5371" s="4" t="n">
        <v>45322</v>
      </c>
      <c r="C5371" s="3" t="inlineStr">
        <is>
          <t>Assets</t>
        </is>
      </c>
      <c r="D5371" s="3" t="inlineStr">
        <is>
          <t>7620/100</t>
        </is>
      </c>
      <c r="E5371" s="3" t="inlineStr">
        <is>
          <t>Heron View Land</t>
        </is>
      </c>
      <c r="F5371" s="3" t="n">
        <v>0</v>
      </c>
      <c r="G5371" s="3" t="n">
        <v>26200000</v>
      </c>
    </row>
    <row r="5372">
      <c r="A5372" s="3" t="inlineStr">
        <is>
          <t>Heron Fields (Pty) Ltd</t>
        </is>
      </c>
      <c r="B5372" s="4" t="n">
        <v>45322</v>
      </c>
      <c r="C5372" s="3" t="inlineStr">
        <is>
          <t>Assets</t>
        </is>
      </c>
      <c r="D5372" s="3" t="inlineStr">
        <is>
          <t>7620/101</t>
        </is>
      </c>
      <c r="E5372" s="3" t="inlineStr">
        <is>
          <t>HF CIP Bond Registration Fee</t>
        </is>
      </c>
      <c r="F5372" s="3" t="n">
        <v>0</v>
      </c>
      <c r="G5372" s="3" t="n">
        <v>68427</v>
      </c>
    </row>
    <row r="5373">
      <c r="A5373" s="3" t="inlineStr">
        <is>
          <t>Heron Fields (Pty) Ltd</t>
        </is>
      </c>
      <c r="B5373" s="4" t="n">
        <v>45322</v>
      </c>
      <c r="C5373" s="3" t="inlineStr">
        <is>
          <t>Assets</t>
        </is>
      </c>
      <c r="D5373" s="3" t="inlineStr">
        <is>
          <t>7620/102</t>
        </is>
      </c>
      <c r="E5373" s="3" t="inlineStr">
        <is>
          <t>HF CIP Transfer Fee</t>
        </is>
      </c>
      <c r="F5373" s="3" t="n">
        <v>0</v>
      </c>
      <c r="G5373" s="3" t="n">
        <v>103812</v>
      </c>
    </row>
    <row r="5374">
      <c r="A5374" s="3" t="inlineStr">
        <is>
          <t>Heron Fields (Pty) Ltd</t>
        </is>
      </c>
      <c r="B5374" s="4" t="n">
        <v>45322</v>
      </c>
      <c r="C5374" s="3" t="inlineStr">
        <is>
          <t>Assets</t>
        </is>
      </c>
      <c r="D5374" s="3" t="inlineStr">
        <is>
          <t>7620/220</t>
        </is>
      </c>
      <c r="E5374" s="3" t="inlineStr">
        <is>
          <t>HF CIP Architectural Designs</t>
        </is>
      </c>
      <c r="F5374" s="3" t="n">
        <v>0</v>
      </c>
      <c r="G5374" s="3" t="n">
        <v>314087</v>
      </c>
    </row>
    <row r="5375">
      <c r="A5375" s="3" t="inlineStr">
        <is>
          <t>Heron View (Pty) Ltd</t>
        </is>
      </c>
      <c r="B5375" s="4" t="n">
        <v>45322</v>
      </c>
      <c r="C5375" s="3" t="inlineStr">
        <is>
          <t>Assets</t>
        </is>
      </c>
      <c r="D5375" s="3" t="inlineStr">
        <is>
          <t>7620/220</t>
        </is>
      </c>
      <c r="E5375" s="3" t="inlineStr">
        <is>
          <t>Heron View CIP Architectural Designs</t>
        </is>
      </c>
      <c r="F5375" s="3" t="n">
        <v>-82041.59</v>
      </c>
      <c r="G5375" s="3" t="n">
        <v>690236.91</v>
      </c>
    </row>
    <row r="5376">
      <c r="A5376" s="3" t="inlineStr">
        <is>
          <t>Heron Fields (Pty) Ltd</t>
        </is>
      </c>
      <c r="B5376" s="4" t="n">
        <v>45322</v>
      </c>
      <c r="C5376" s="3" t="inlineStr">
        <is>
          <t>Assets</t>
        </is>
      </c>
      <c r="D5376" s="3" t="inlineStr">
        <is>
          <t>7620/230</t>
        </is>
      </c>
      <c r="E5376" s="3" t="inlineStr">
        <is>
          <t>HF CIP Construction Management</t>
        </is>
      </c>
      <c r="F5376" s="3" t="n">
        <v>0</v>
      </c>
      <c r="G5376" s="3" t="n">
        <v>139500</v>
      </c>
    </row>
    <row r="5377">
      <c r="A5377" s="3" t="inlineStr">
        <is>
          <t>Heron Fields (Pty) Ltd</t>
        </is>
      </c>
      <c r="B5377" s="4" t="n">
        <v>45322</v>
      </c>
      <c r="C5377" s="3" t="inlineStr">
        <is>
          <t>Assets</t>
        </is>
      </c>
      <c r="D5377" s="3" t="inlineStr">
        <is>
          <t>7620/240</t>
        </is>
      </c>
      <c r="E5377" s="3" t="inlineStr">
        <is>
          <t>HF CIP Civil Engineering</t>
        </is>
      </c>
      <c r="F5377" s="3" t="n">
        <v>0</v>
      </c>
      <c r="G5377" s="3" t="n">
        <v>8557641.800000001</v>
      </c>
    </row>
    <row r="5378">
      <c r="A5378" s="3" t="inlineStr">
        <is>
          <t>Heron Fields (Pty) Ltd</t>
        </is>
      </c>
      <c r="B5378" s="4" t="n">
        <v>45322</v>
      </c>
      <c r="C5378" s="3" t="inlineStr">
        <is>
          <t>Assets</t>
        </is>
      </c>
      <c r="D5378" s="3" t="inlineStr">
        <is>
          <t>7620/245</t>
        </is>
      </c>
      <c r="E5378" s="3" t="inlineStr">
        <is>
          <t>HF CIP Development fee</t>
        </is>
      </c>
      <c r="F5378" s="3" t="n">
        <v>0</v>
      </c>
      <c r="G5378" s="3" t="n">
        <v>13807.78</v>
      </c>
    </row>
    <row r="5379">
      <c r="A5379" s="3" t="inlineStr">
        <is>
          <t>Heron Fields (Pty) Ltd</t>
        </is>
      </c>
      <c r="B5379" s="4" t="n">
        <v>45322</v>
      </c>
      <c r="C5379" s="3" t="inlineStr">
        <is>
          <t>Assets</t>
        </is>
      </c>
      <c r="D5379" s="3" t="inlineStr">
        <is>
          <t>7620/250</t>
        </is>
      </c>
      <c r="E5379" s="3" t="inlineStr">
        <is>
          <t>HF CIP Land Surveyor</t>
        </is>
      </c>
      <c r="F5379" s="3" t="n">
        <v>0</v>
      </c>
      <c r="G5379" s="3" t="n">
        <v>197060.09</v>
      </c>
    </row>
    <row r="5380">
      <c r="A5380" s="3" t="inlineStr">
        <is>
          <t>Heron View (Pty) Ltd</t>
        </is>
      </c>
      <c r="B5380" s="4" t="n">
        <v>45322</v>
      </c>
      <c r="C5380" s="3" t="inlineStr">
        <is>
          <t>Assets</t>
        </is>
      </c>
      <c r="D5380" s="3" t="inlineStr">
        <is>
          <t>7620/250</t>
        </is>
      </c>
      <c r="E5380" s="3" t="inlineStr">
        <is>
          <t>Heron View CIP Land Surveyor</t>
        </is>
      </c>
      <c r="F5380" s="3" t="n">
        <v>0</v>
      </c>
      <c r="G5380" s="3" t="n">
        <v>321942.47</v>
      </c>
    </row>
    <row r="5381">
      <c r="A5381" s="3" t="inlineStr">
        <is>
          <t>Heron Fields (Pty) Ltd</t>
        </is>
      </c>
      <c r="B5381" s="4" t="n">
        <v>45322</v>
      </c>
      <c r="C5381" s="3" t="inlineStr">
        <is>
          <t>Assets</t>
        </is>
      </c>
      <c r="D5381" s="3" t="inlineStr">
        <is>
          <t>7620/255</t>
        </is>
      </c>
      <c r="E5381" s="3" t="inlineStr">
        <is>
          <t>HF CIP Landscaping</t>
        </is>
      </c>
      <c r="F5381" s="3" t="n">
        <v>0</v>
      </c>
      <c r="G5381" s="3" t="n">
        <v>7500</v>
      </c>
    </row>
    <row r="5382">
      <c r="A5382" s="3" t="inlineStr">
        <is>
          <t>Heron View (Pty) Ltd</t>
        </is>
      </c>
      <c r="B5382" s="4" t="n">
        <v>45322</v>
      </c>
      <c r="C5382" s="3" t="inlineStr">
        <is>
          <t>Assets</t>
        </is>
      </c>
      <c r="D5382" s="3" t="inlineStr">
        <is>
          <t>7620/255</t>
        </is>
      </c>
      <c r="E5382" s="3" t="inlineStr">
        <is>
          <t>Heron View CIP Landscaping</t>
        </is>
      </c>
      <c r="F5382" s="3" t="n">
        <v>0</v>
      </c>
      <c r="G5382" s="3" t="n">
        <v>114370.5</v>
      </c>
    </row>
    <row r="5383">
      <c r="A5383" s="3" t="inlineStr">
        <is>
          <t>Heron Fields (Pty) Ltd</t>
        </is>
      </c>
      <c r="B5383" s="4" t="n">
        <v>45322</v>
      </c>
      <c r="C5383" s="3" t="inlineStr">
        <is>
          <t>Assets</t>
        </is>
      </c>
      <c r="D5383" s="3" t="inlineStr">
        <is>
          <t>7620/260</t>
        </is>
      </c>
      <c r="E5383" s="3" t="inlineStr">
        <is>
          <t>HF CIP Mechanical Engineers</t>
        </is>
      </c>
      <c r="F5383" s="3" t="n">
        <v>0</v>
      </c>
      <c r="G5383" s="3" t="n">
        <v>146256.38</v>
      </c>
    </row>
    <row r="5384">
      <c r="A5384" s="3" t="inlineStr">
        <is>
          <t>Heron Fields (Pty) Ltd</t>
        </is>
      </c>
      <c r="B5384" s="4" t="n">
        <v>45322</v>
      </c>
      <c r="C5384" s="3" t="inlineStr">
        <is>
          <t>Assets</t>
        </is>
      </c>
      <c r="D5384" s="3" t="inlineStr">
        <is>
          <t>7620/265</t>
        </is>
      </c>
      <c r="E5384" s="3" t="inlineStr">
        <is>
          <t>HF CIP Health &amp; Safety</t>
        </is>
      </c>
      <c r="F5384" s="3" t="n">
        <v>0</v>
      </c>
      <c r="G5384" s="3" t="n">
        <v>20600</v>
      </c>
    </row>
    <row r="5385">
      <c r="A5385" s="3" t="inlineStr">
        <is>
          <t>Heron Fields (Pty) Ltd</t>
        </is>
      </c>
      <c r="B5385" s="4" t="n">
        <v>45322</v>
      </c>
      <c r="C5385" s="3" t="inlineStr">
        <is>
          <t>Assets</t>
        </is>
      </c>
      <c r="D5385" s="3" t="inlineStr">
        <is>
          <t>7620/270</t>
        </is>
      </c>
      <c r="E5385" s="3" t="inlineStr">
        <is>
          <t>HF CIP Geotechnical</t>
        </is>
      </c>
      <c r="F5385" s="3" t="n">
        <v>0</v>
      </c>
      <c r="G5385" s="3" t="n">
        <v>15175</v>
      </c>
    </row>
    <row r="5386">
      <c r="A5386" s="3" t="inlineStr">
        <is>
          <t>Heron Fields (Pty) Ltd</t>
        </is>
      </c>
      <c r="B5386" s="4" t="n">
        <v>45322</v>
      </c>
      <c r="C5386" s="3" t="inlineStr">
        <is>
          <t>Assets</t>
        </is>
      </c>
      <c r="D5386" s="3" t="inlineStr">
        <is>
          <t>7620/275</t>
        </is>
      </c>
      <c r="E5386" s="3" t="inlineStr">
        <is>
          <t>HF CIP Retaining Wall</t>
        </is>
      </c>
      <c r="F5386" s="3" t="n">
        <v>0</v>
      </c>
      <c r="G5386" s="3" t="n">
        <v>570856.08</v>
      </c>
    </row>
    <row r="5387">
      <c r="A5387" s="3" t="inlineStr">
        <is>
          <t>Heron Fields (Pty) Ltd</t>
        </is>
      </c>
      <c r="B5387" s="4" t="n">
        <v>45322</v>
      </c>
      <c r="C5387" s="3" t="inlineStr">
        <is>
          <t>Assets</t>
        </is>
      </c>
      <c r="D5387" s="3" t="inlineStr">
        <is>
          <t>7620/280</t>
        </is>
      </c>
      <c r="E5387" s="3" t="inlineStr">
        <is>
          <t>HF CIP Site Establishment</t>
        </is>
      </c>
      <c r="F5387" s="3" t="n">
        <v>0</v>
      </c>
      <c r="G5387" s="3" t="n">
        <v>47748851.51</v>
      </c>
    </row>
    <row r="5388">
      <c r="A5388" s="3" t="inlineStr">
        <is>
          <t>Heron View (Pty) Ltd</t>
        </is>
      </c>
      <c r="B5388" s="4" t="n">
        <v>45322</v>
      </c>
      <c r="C5388" s="3" t="inlineStr">
        <is>
          <t>Assets</t>
        </is>
      </c>
      <c r="D5388" s="3" t="inlineStr">
        <is>
          <t>7620/280</t>
        </is>
      </c>
      <c r="E5388" s="3" t="inlineStr">
        <is>
          <t>Heron View CIP Site Establishment</t>
        </is>
      </c>
      <c r="F5388" s="3" t="n">
        <v>4442252.29</v>
      </c>
      <c r="G5388" s="3" t="n">
        <v>44104051.78</v>
      </c>
    </row>
    <row r="5389">
      <c r="A5389" s="3" t="inlineStr">
        <is>
          <t>Heron Fields (Pty) Ltd</t>
        </is>
      </c>
      <c r="B5389" s="4" t="n">
        <v>45322</v>
      </c>
      <c r="C5389" s="3" t="inlineStr">
        <is>
          <t>Assets</t>
        </is>
      </c>
      <c r="D5389" s="3" t="inlineStr">
        <is>
          <t>7620/285</t>
        </is>
      </c>
      <c r="E5389" s="3" t="inlineStr">
        <is>
          <t>HF CIP Structuring Fee - Invest</t>
        </is>
      </c>
      <c r="F5389" s="3" t="n">
        <v>0</v>
      </c>
      <c r="G5389" s="3" t="n">
        <v>3850818.04</v>
      </c>
    </row>
    <row r="5390">
      <c r="A5390" s="3" t="inlineStr">
        <is>
          <t>Heron View (Pty) Ltd</t>
        </is>
      </c>
      <c r="B5390" s="4" t="n">
        <v>45322</v>
      </c>
      <c r="C5390" s="3" t="inlineStr">
        <is>
          <t>Assets</t>
        </is>
      </c>
      <c r="D5390" s="3" t="inlineStr">
        <is>
          <t>7620/285</t>
        </is>
      </c>
      <c r="E5390" s="3" t="inlineStr">
        <is>
          <t>Heron View CIP Structuring Fee - Invest</t>
        </is>
      </c>
      <c r="F5390" s="3" t="n">
        <v>0</v>
      </c>
      <c r="G5390" s="3" t="n">
        <v>1826086.96</v>
      </c>
    </row>
    <row r="5391">
      <c r="A5391" s="3" t="inlineStr">
        <is>
          <t>Heron Fields (Pty) Ltd</t>
        </is>
      </c>
      <c r="B5391" s="4" t="n">
        <v>45322</v>
      </c>
      <c r="C5391" s="3" t="inlineStr">
        <is>
          <t>Assets</t>
        </is>
      </c>
      <c r="D5391" s="3" t="inlineStr">
        <is>
          <t>7620/287</t>
        </is>
      </c>
      <c r="E5391" s="3" t="inlineStr">
        <is>
          <t>HF CIP Structuring Fee - Development</t>
        </is>
      </c>
      <c r="F5391" s="3" t="n">
        <v>0</v>
      </c>
      <c r="G5391" s="3" t="n">
        <v>782608.0699999999</v>
      </c>
    </row>
    <row r="5392">
      <c r="A5392" s="3" t="inlineStr">
        <is>
          <t>Heron View (Pty) Ltd</t>
        </is>
      </c>
      <c r="B5392" s="4" t="n">
        <v>45322</v>
      </c>
      <c r="C5392" s="3" t="inlineStr">
        <is>
          <t>Assets</t>
        </is>
      </c>
      <c r="D5392" s="3" t="inlineStr">
        <is>
          <t>7620/287</t>
        </is>
      </c>
      <c r="E5392" s="3" t="inlineStr">
        <is>
          <t>Heron View CIP Structuring Fee - Development</t>
        </is>
      </c>
      <c r="F5392" s="3" t="n">
        <v>0</v>
      </c>
      <c r="G5392" s="3" t="n">
        <v>217391.3</v>
      </c>
    </row>
    <row r="5393">
      <c r="A5393" s="3" t="inlineStr">
        <is>
          <t>Heron Fields (Pty) Ltd</t>
        </is>
      </c>
      <c r="B5393" s="4" t="n">
        <v>45322</v>
      </c>
      <c r="C5393" s="3" t="inlineStr">
        <is>
          <t>Assets</t>
        </is>
      </c>
      <c r="D5393" s="3" t="inlineStr">
        <is>
          <t>7620/290</t>
        </is>
      </c>
      <c r="E5393" s="3" t="inlineStr">
        <is>
          <t>HF CIP Town Planning</t>
        </is>
      </c>
      <c r="F5393" s="3" t="n">
        <v>0</v>
      </c>
      <c r="G5393" s="3" t="n">
        <v>166550</v>
      </c>
    </row>
    <row r="5394">
      <c r="A5394" s="3" t="inlineStr">
        <is>
          <t>Heron View (Pty) Ltd</t>
        </is>
      </c>
      <c r="B5394" s="4" t="n">
        <v>45322</v>
      </c>
      <c r="C5394" s="3" t="inlineStr">
        <is>
          <t>Assets</t>
        </is>
      </c>
      <c r="D5394" s="3" t="inlineStr">
        <is>
          <t>7620/290</t>
        </is>
      </c>
      <c r="E5394" s="3" t="inlineStr">
        <is>
          <t>Heron View CIP Town Planning</t>
        </is>
      </c>
      <c r="F5394" s="3" t="n">
        <v>0</v>
      </c>
      <c r="G5394" s="3" t="n">
        <v>2834.7</v>
      </c>
    </row>
    <row r="5395">
      <c r="A5395" s="3" t="inlineStr">
        <is>
          <t>Heron Fields (Pty) Ltd</t>
        </is>
      </c>
      <c r="B5395" s="4" t="n">
        <v>45322</v>
      </c>
      <c r="C5395" s="3" t="inlineStr">
        <is>
          <t>Assets</t>
        </is>
      </c>
      <c r="D5395" s="3" t="inlineStr">
        <is>
          <t>7620/295</t>
        </is>
      </c>
      <c r="E5395" s="3" t="inlineStr">
        <is>
          <t>HF CIP Traffic Planning</t>
        </is>
      </c>
      <c r="F5395" s="3" t="n">
        <v>0</v>
      </c>
      <c r="G5395" s="3" t="n">
        <v>45000</v>
      </c>
    </row>
    <row r="5396">
      <c r="A5396" s="3" t="inlineStr">
        <is>
          <t>Heron Fields (Pty) Ltd</t>
        </is>
      </c>
      <c r="B5396" s="4" t="n">
        <v>45322</v>
      </c>
      <c r="C5396" s="3" t="inlineStr">
        <is>
          <t>Assets</t>
        </is>
      </c>
      <c r="D5396" s="3" t="inlineStr">
        <is>
          <t>7620/600</t>
        </is>
      </c>
      <c r="E5396" s="3" t="inlineStr">
        <is>
          <t>HF CIP Eco work</t>
        </is>
      </c>
      <c r="F5396" s="3" t="n">
        <v>6000</v>
      </c>
      <c r="G5396" s="3" t="n">
        <v>197000</v>
      </c>
    </row>
    <row r="5397">
      <c r="A5397" s="3" t="inlineStr">
        <is>
          <t>Heron View (Pty) Ltd</t>
        </is>
      </c>
      <c r="B5397" s="4" t="n">
        <v>45322</v>
      </c>
      <c r="C5397" s="3" t="inlineStr">
        <is>
          <t>Assets</t>
        </is>
      </c>
      <c r="D5397" s="3" t="inlineStr">
        <is>
          <t>7620/605</t>
        </is>
      </c>
      <c r="E5397" s="3" t="inlineStr">
        <is>
          <t>Heron View CIP Structural Engineers</t>
        </is>
      </c>
      <c r="F5397" s="3" t="n">
        <v>0</v>
      </c>
      <c r="G5397" s="3" t="n">
        <v>666877.14</v>
      </c>
    </row>
    <row r="5398">
      <c r="A5398" s="3" t="inlineStr">
        <is>
          <t>Heron View (Pty) Ltd</t>
        </is>
      </c>
      <c r="B5398" s="4" t="n">
        <v>45322</v>
      </c>
      <c r="C5398" s="3" t="inlineStr">
        <is>
          <t>Assets</t>
        </is>
      </c>
      <c r="D5398" s="3" t="inlineStr">
        <is>
          <t>7620/610</t>
        </is>
      </c>
      <c r="E5398" s="3" t="inlineStr">
        <is>
          <t>HV CIP Retaining wall</t>
        </is>
      </c>
      <c r="F5398" s="3" t="n">
        <v>0</v>
      </c>
      <c r="G5398" s="3" t="n">
        <v>66190.11</v>
      </c>
    </row>
    <row r="5399">
      <c r="A5399" s="3" t="inlineStr">
        <is>
          <t>Heron Fields (Pty) Ltd</t>
        </is>
      </c>
      <c r="B5399" s="4" t="n">
        <v>45322</v>
      </c>
      <c r="C5399" s="3" t="inlineStr">
        <is>
          <t>Assets</t>
        </is>
      </c>
      <c r="D5399" s="3" t="inlineStr">
        <is>
          <t>7620/630</t>
        </is>
      </c>
      <c r="E5399" s="3" t="inlineStr">
        <is>
          <t>HF CIP CoCT development contribution</t>
        </is>
      </c>
      <c r="F5399" s="3" t="n">
        <v>0</v>
      </c>
      <c r="G5399" s="3" t="n">
        <v>3252759.95</v>
      </c>
    </row>
    <row r="5400">
      <c r="A5400" s="3" t="inlineStr">
        <is>
          <t>Heron View (Pty) Ltd</t>
        </is>
      </c>
      <c r="B5400" s="4" t="n">
        <v>45322</v>
      </c>
      <c r="C5400" s="3" t="inlineStr">
        <is>
          <t>Assets</t>
        </is>
      </c>
      <c r="D5400" s="3" t="inlineStr">
        <is>
          <t>7620/630</t>
        </is>
      </c>
      <c r="E5400" s="3" t="inlineStr">
        <is>
          <t>Heron CIP - CoCT development contribution</t>
        </is>
      </c>
      <c r="F5400" s="3" t="n">
        <v>0</v>
      </c>
      <c r="G5400" s="3" t="n">
        <v>1673231.19</v>
      </c>
    </row>
    <row r="5401">
      <c r="A5401" s="3" t="inlineStr">
        <is>
          <t>Heron Fields (Pty) Ltd</t>
        </is>
      </c>
      <c r="B5401" s="4" t="n">
        <v>45322</v>
      </c>
      <c r="C5401" s="3" t="inlineStr">
        <is>
          <t>Assets</t>
        </is>
      </c>
      <c r="D5401" s="3" t="inlineStr">
        <is>
          <t>7620/640</t>
        </is>
      </c>
      <c r="E5401" s="3" t="inlineStr">
        <is>
          <t>HF CIP Project costs</t>
        </is>
      </c>
      <c r="F5401" s="3" t="n">
        <v>0</v>
      </c>
      <c r="G5401" s="3" t="n">
        <v>622274.51</v>
      </c>
    </row>
    <row r="5402">
      <c r="A5402" s="3" t="inlineStr">
        <is>
          <t>Heron View (Pty) Ltd</t>
        </is>
      </c>
      <c r="B5402" s="4" t="n">
        <v>45322</v>
      </c>
      <c r="C5402" s="3" t="inlineStr">
        <is>
          <t>Assets</t>
        </is>
      </c>
      <c r="D5402" s="3" t="inlineStr">
        <is>
          <t>7620/650</t>
        </is>
      </c>
      <c r="E5402" s="3" t="inlineStr">
        <is>
          <t>CIP - Construction Management</t>
        </is>
      </c>
      <c r="F5402" s="3" t="n">
        <v>0</v>
      </c>
      <c r="G5402" s="3" t="n">
        <v>76530</v>
      </c>
    </row>
    <row r="5403">
      <c r="A5403" s="3" t="inlineStr">
        <is>
          <t>Heron Fields (Pty) Ltd</t>
        </is>
      </c>
      <c r="B5403" s="4" t="n">
        <v>45322</v>
      </c>
      <c r="C5403" s="3" t="inlineStr">
        <is>
          <t>Assets</t>
        </is>
      </c>
      <c r="D5403" s="3" t="inlineStr">
        <is>
          <t>7620/650</t>
        </is>
      </c>
      <c r="E5403" s="3" t="inlineStr">
        <is>
          <t>HF CIP Electrical</t>
        </is>
      </c>
      <c r="F5403" s="3" t="n">
        <v>0</v>
      </c>
      <c r="G5403" s="3" t="n">
        <v>985049.6800000001</v>
      </c>
    </row>
    <row r="5404">
      <c r="A5404" s="3" t="inlineStr">
        <is>
          <t>Heron View (Pty) Ltd</t>
        </is>
      </c>
      <c r="B5404" s="4" t="n">
        <v>45322</v>
      </c>
      <c r="C5404" s="3" t="inlineStr">
        <is>
          <t>Assets</t>
        </is>
      </c>
      <c r="D5404" s="3" t="inlineStr">
        <is>
          <t>7620/660</t>
        </is>
      </c>
      <c r="E5404" s="3" t="inlineStr">
        <is>
          <t>HV CIP Health &amp; Safety</t>
        </is>
      </c>
      <c r="F5404" s="3" t="n">
        <v>1400</v>
      </c>
      <c r="G5404" s="3" t="n">
        <v>28600</v>
      </c>
    </row>
    <row r="5405">
      <c r="A5405" s="3" t="inlineStr">
        <is>
          <t>Heron View (Pty) Ltd</t>
        </is>
      </c>
      <c r="B5405" s="4" t="n">
        <v>45322</v>
      </c>
      <c r="C5405" s="3" t="inlineStr">
        <is>
          <t>Assets</t>
        </is>
      </c>
      <c r="D5405" s="3" t="inlineStr">
        <is>
          <t>7620/670</t>
        </is>
      </c>
      <c r="E5405" s="3" t="inlineStr">
        <is>
          <t>HV CIP - Project costs CPSD</t>
        </is>
      </c>
      <c r="F5405" s="3" t="n">
        <v>204347.83</v>
      </c>
      <c r="G5405" s="3" t="n">
        <v>2358695.65</v>
      </c>
    </row>
    <row r="5406">
      <c r="A5406" s="3" t="inlineStr">
        <is>
          <t>Heron View (Pty) Ltd</t>
        </is>
      </c>
      <c r="B5406" s="4" t="n">
        <v>45322</v>
      </c>
      <c r="C5406" s="3" t="inlineStr">
        <is>
          <t>Assets</t>
        </is>
      </c>
      <c r="D5406" s="3" t="inlineStr">
        <is>
          <t>7620/680</t>
        </is>
      </c>
      <c r="E5406" s="3" t="inlineStr">
        <is>
          <t>HV CIP Elextrical</t>
        </is>
      </c>
      <c r="F5406" s="3" t="n">
        <v>0</v>
      </c>
      <c r="G5406" s="3" t="n">
        <v>1540502.11</v>
      </c>
    </row>
    <row r="5407">
      <c r="A5407" s="3" t="inlineStr">
        <is>
          <t>Heron View (Pty) Ltd</t>
        </is>
      </c>
      <c r="B5407" s="4" t="n">
        <v>45322</v>
      </c>
      <c r="C5407" s="3" t="inlineStr">
        <is>
          <t>Assets</t>
        </is>
      </c>
      <c r="D5407" s="3" t="inlineStr">
        <is>
          <t>7620/690</t>
        </is>
      </c>
      <c r="E5407" s="3" t="inlineStr">
        <is>
          <t>HV CIP Site Establishment</t>
        </is>
      </c>
      <c r="F5407" s="3" t="n">
        <v>0</v>
      </c>
      <c r="G5407" s="3" t="n">
        <v>16307183.05</v>
      </c>
    </row>
    <row r="5408">
      <c r="A5408" s="3" t="inlineStr">
        <is>
          <t>Heron Fields (Pty) Ltd</t>
        </is>
      </c>
      <c r="B5408" s="4" t="n">
        <v>45322</v>
      </c>
      <c r="C5408" s="3" t="inlineStr">
        <is>
          <t>Assets</t>
        </is>
      </c>
      <c r="D5408" s="3" t="inlineStr">
        <is>
          <t>7620/750</t>
        </is>
      </c>
      <c r="E5408" s="3" t="inlineStr">
        <is>
          <t>HF CIP Project costs CPSD</t>
        </is>
      </c>
      <c r="F5408" s="3" t="n">
        <v>0</v>
      </c>
      <c r="G5408" s="3" t="n">
        <v>2148883.15</v>
      </c>
    </row>
    <row r="5409">
      <c r="A5409" s="3" t="inlineStr">
        <is>
          <t>Heron Fields (Pty) Ltd</t>
        </is>
      </c>
      <c r="B5409" s="4" t="n">
        <v>45322</v>
      </c>
      <c r="C5409" s="3" t="inlineStr">
        <is>
          <t>Assets</t>
        </is>
      </c>
      <c r="D5409" s="3" t="inlineStr">
        <is>
          <t>7620/800</t>
        </is>
      </c>
      <c r="E5409" s="3" t="inlineStr">
        <is>
          <t>HF CIP GL Conradie</t>
        </is>
      </c>
      <c r="F5409" s="3" t="n">
        <v>0</v>
      </c>
      <c r="G5409" s="3" t="n">
        <v>1068455</v>
      </c>
    </row>
    <row r="5410">
      <c r="A5410" s="3" t="inlineStr">
        <is>
          <t>Heron View (Pty) Ltd</t>
        </is>
      </c>
      <c r="B5410" s="4" t="n">
        <v>45322</v>
      </c>
      <c r="C5410" s="3" t="inlineStr">
        <is>
          <t>Assets</t>
        </is>
      </c>
      <c r="D5410" s="3" t="inlineStr">
        <is>
          <t>7620/800</t>
        </is>
      </c>
      <c r="E5410" s="3" t="inlineStr">
        <is>
          <t>HV CIP GL Conradie</t>
        </is>
      </c>
      <c r="F5410" s="3" t="n">
        <v>0</v>
      </c>
      <c r="G5410" s="3" t="n">
        <v>2188325.96</v>
      </c>
    </row>
    <row r="5411">
      <c r="A5411" s="3" t="inlineStr">
        <is>
          <t>Heron Fields (Pty) Ltd</t>
        </is>
      </c>
      <c r="B5411" s="4" t="n">
        <v>45322</v>
      </c>
      <c r="C5411" s="3" t="inlineStr">
        <is>
          <t>Assets</t>
        </is>
      </c>
      <c r="D5411" s="3" t="inlineStr">
        <is>
          <t>7700/010</t>
        </is>
      </c>
      <c r="E5411" s="3" t="inlineStr">
        <is>
          <t>Construction 28 Feb 23 HF</t>
        </is>
      </c>
      <c r="F5411" s="3" t="n">
        <v>0</v>
      </c>
      <c r="G5411" s="3" t="n">
        <v>-24427668.44</v>
      </c>
    </row>
    <row r="5412">
      <c r="A5412" s="3" t="inlineStr">
        <is>
          <t>Cape Projects Construction (Pty) Ltd</t>
        </is>
      </c>
      <c r="B5412" s="4" t="n">
        <v>45322</v>
      </c>
      <c r="C5412" s="3" t="inlineStr">
        <is>
          <t>Assets</t>
        </is>
      </c>
      <c r="D5412" s="3" t="inlineStr">
        <is>
          <t>7800/000</t>
        </is>
      </c>
      <c r="E5412" s="3" t="inlineStr">
        <is>
          <t>Deposits paid</t>
        </is>
      </c>
      <c r="F5412" s="3" t="n">
        <v>0</v>
      </c>
      <c r="G5412" s="3" t="n">
        <v>29600</v>
      </c>
    </row>
    <row r="5413">
      <c r="A5413" s="3" t="inlineStr">
        <is>
          <t>Cape Projects Construction (Pty) Ltd</t>
        </is>
      </c>
      <c r="B5413" s="4" t="n">
        <v>45322</v>
      </c>
      <c r="C5413" s="3" t="inlineStr">
        <is>
          <t>Assets</t>
        </is>
      </c>
      <c r="D5413" s="3" t="inlineStr">
        <is>
          <t>8000/000</t>
        </is>
      </c>
      <c r="E5413" s="3" t="inlineStr">
        <is>
          <t>Customer Control Account</t>
        </is>
      </c>
      <c r="F5413" s="3" t="n">
        <v>2308590.13</v>
      </c>
      <c r="G5413" s="3" t="n">
        <v>5424127.74</v>
      </c>
    </row>
    <row r="5414">
      <c r="A5414" s="3" t="inlineStr">
        <is>
          <t>Heron Fields (Pty) Ltd</t>
        </is>
      </c>
      <c r="B5414" s="4" t="n">
        <v>45322</v>
      </c>
      <c r="C5414" s="3" t="inlineStr">
        <is>
          <t>Assets</t>
        </is>
      </c>
      <c r="D5414" s="3" t="inlineStr">
        <is>
          <t>8000/000</t>
        </is>
      </c>
      <c r="E5414" s="3" t="inlineStr">
        <is>
          <t>Customer Control Account</t>
        </is>
      </c>
      <c r="F5414" s="3" t="n">
        <v>1695.67</v>
      </c>
      <c r="G5414" s="3" t="n">
        <v>371025.69</v>
      </c>
    </row>
    <row r="5415">
      <c r="A5415" s="3" t="inlineStr">
        <is>
          <t>Heron View (Pty) Ltd</t>
        </is>
      </c>
      <c r="B5415" s="4" t="n">
        <v>45322</v>
      </c>
      <c r="C5415" s="3" t="inlineStr">
        <is>
          <t>Assets</t>
        </is>
      </c>
      <c r="D5415" s="3" t="inlineStr">
        <is>
          <t>8000/000</t>
        </is>
      </c>
      <c r="E5415" s="3" t="inlineStr">
        <is>
          <t>Customer Control Account</t>
        </is>
      </c>
      <c r="F5415" s="3" t="n">
        <v>77.05</v>
      </c>
      <c r="G5415" s="3" t="n">
        <v>309.74</v>
      </c>
    </row>
    <row r="5416">
      <c r="A5416" s="3" t="inlineStr">
        <is>
          <t>Cape Projects Construction (Pty) Ltd</t>
        </is>
      </c>
      <c r="B5416" s="4" t="n">
        <v>45322</v>
      </c>
      <c r="C5416" s="3" t="inlineStr">
        <is>
          <t>Assets</t>
        </is>
      </c>
      <c r="D5416" s="3" t="inlineStr">
        <is>
          <t>8200/030</t>
        </is>
      </c>
      <c r="E5416" s="3" t="inlineStr">
        <is>
          <t>Staff Loan - Ntuthuka</t>
        </is>
      </c>
      <c r="F5416" s="3" t="n">
        <v>-1755.17</v>
      </c>
      <c r="G5416" s="3" t="n">
        <v>-3510.34</v>
      </c>
    </row>
    <row r="5417">
      <c r="A5417" s="3" t="inlineStr">
        <is>
          <t>Heron Fields (Pty) Ltd</t>
        </is>
      </c>
      <c r="B5417" s="4" t="n">
        <v>45322</v>
      </c>
      <c r="C5417" s="3" t="inlineStr">
        <is>
          <t>Assets</t>
        </is>
      </c>
      <c r="D5417" s="3" t="inlineStr">
        <is>
          <t>8400/000</t>
        </is>
      </c>
      <c r="E5417" s="3" t="inlineStr">
        <is>
          <t>RMB - 62882379087</t>
        </is>
      </c>
      <c r="F5417" s="3" t="n">
        <v>3099673.61</v>
      </c>
      <c r="G5417" s="3" t="n">
        <v>3193068.99</v>
      </c>
    </row>
    <row r="5418">
      <c r="A5418" s="3" t="inlineStr">
        <is>
          <t>Cape Projects Construction (Pty) Ltd</t>
        </is>
      </c>
      <c r="B5418" s="4" t="n">
        <v>45322</v>
      </c>
      <c r="C5418" s="3" t="inlineStr">
        <is>
          <t>Assets</t>
        </is>
      </c>
      <c r="D5418" s="3" t="inlineStr">
        <is>
          <t>8400/000</t>
        </is>
      </c>
      <c r="E5418" s="3" t="inlineStr">
        <is>
          <t>RMB 62275138470</t>
        </is>
      </c>
      <c r="F5418" s="3" t="n">
        <v>335026.51</v>
      </c>
      <c r="G5418" s="3" t="n">
        <v>367902.47</v>
      </c>
    </row>
    <row r="5419">
      <c r="A5419" s="3" t="inlineStr">
        <is>
          <t>Cape Projects Construction (Pty) Ltd</t>
        </is>
      </c>
      <c r="B5419" s="4" t="n">
        <v>45322</v>
      </c>
      <c r="C5419" s="3" t="inlineStr">
        <is>
          <t>Assets</t>
        </is>
      </c>
      <c r="D5419" s="3" t="inlineStr">
        <is>
          <t>8410/000</t>
        </is>
      </c>
      <c r="E5419" s="3" t="inlineStr">
        <is>
          <t>Petty Cash</t>
        </is>
      </c>
      <c r="F5419" s="3" t="n">
        <v>0</v>
      </c>
      <c r="G5419" s="3" t="n">
        <v>-1188</v>
      </c>
    </row>
    <row r="5420">
      <c r="A5420" s="3" t="inlineStr">
        <is>
          <t>Cape Projects Construction (Pty) Ltd</t>
        </is>
      </c>
      <c r="B5420" s="4" t="n">
        <v>45322</v>
      </c>
      <c r="C5420" s="3" t="inlineStr">
        <is>
          <t>Assets</t>
        </is>
      </c>
      <c r="D5420" s="3" t="inlineStr">
        <is>
          <t>8420/000</t>
        </is>
      </c>
      <c r="E5420" s="3" t="inlineStr">
        <is>
          <t>Momentum Priv Acc RU502230981</t>
        </is>
      </c>
      <c r="F5420" s="3" t="n">
        <v>0</v>
      </c>
      <c r="G5420" s="3" t="n">
        <v>571.55</v>
      </c>
    </row>
    <row r="5421">
      <c r="A5421" s="3" t="inlineStr">
        <is>
          <t>Heron Fields (Pty) Ltd</t>
        </is>
      </c>
      <c r="B5421" s="4" t="n">
        <v>45322</v>
      </c>
      <c r="C5421" s="3" t="inlineStr">
        <is>
          <t>Assets</t>
        </is>
      </c>
      <c r="D5421" s="3" t="inlineStr">
        <is>
          <t>8420/000</t>
        </is>
      </c>
      <c r="E5421" s="3" t="inlineStr">
        <is>
          <t>Petty Cash</t>
        </is>
      </c>
      <c r="F5421" s="3" t="n">
        <v>0</v>
      </c>
      <c r="G5421" s="3" t="n">
        <v>8620</v>
      </c>
    </row>
    <row r="5422">
      <c r="A5422" s="3" t="inlineStr">
        <is>
          <t>Heron Fields (Pty) Ltd</t>
        </is>
      </c>
      <c r="B5422" s="4" t="n">
        <v>45322</v>
      </c>
      <c r="C5422" s="3" t="inlineStr">
        <is>
          <t>Assets</t>
        </is>
      </c>
      <c r="D5422" s="3" t="inlineStr">
        <is>
          <t>8430/000</t>
        </is>
      </c>
      <c r="E5422" s="3" t="inlineStr">
        <is>
          <t>Momentum Private Account RU502230151</t>
        </is>
      </c>
      <c r="F5422" s="3" t="n">
        <v>0</v>
      </c>
      <c r="G5422" s="3" t="n">
        <v>871.91</v>
      </c>
    </row>
    <row r="5423">
      <c r="A5423" s="3" t="inlineStr">
        <is>
          <t>Heron Fields (Pty) Ltd</t>
        </is>
      </c>
      <c r="B5423" s="4" t="n">
        <v>45322</v>
      </c>
      <c r="C5423" s="3" t="inlineStr">
        <is>
          <t>Assets</t>
        </is>
      </c>
      <c r="D5423" s="3" t="inlineStr">
        <is>
          <t>8440/000</t>
        </is>
      </c>
      <c r="E5423" s="3" t="inlineStr">
        <is>
          <t>Momentum Investors Account RU502229930</t>
        </is>
      </c>
      <c r="F5423" s="3" t="n">
        <v>-5132986.59</v>
      </c>
      <c r="G5423" s="3" t="n">
        <v>12614876.37</v>
      </c>
    </row>
    <row r="5424">
      <c r="A5424" s="3" t="inlineStr">
        <is>
          <t>Heron Fields (Pty) Ltd</t>
        </is>
      </c>
      <c r="B5424" s="4" t="n">
        <v>45322</v>
      </c>
      <c r="C5424" s="3" t="inlineStr">
        <is>
          <t>Assets</t>
        </is>
      </c>
      <c r="D5424" s="3" t="inlineStr">
        <is>
          <t>8450/000</t>
        </is>
      </c>
      <c r="E5424" s="3" t="inlineStr">
        <is>
          <t>ABSA Current Acc : 4109071013</t>
        </is>
      </c>
      <c r="F5424" s="3" t="n">
        <v>150000</v>
      </c>
      <c r="G5424" s="3" t="n">
        <v>150500</v>
      </c>
    </row>
    <row r="5425">
      <c r="A5425" s="3" t="inlineStr">
        <is>
          <t>Cape Projects Construction (Pty) Ltd</t>
        </is>
      </c>
      <c r="B5425" s="4" t="n">
        <v>45322</v>
      </c>
      <c r="C5425" s="3" t="inlineStr">
        <is>
          <t>Liabilities</t>
        </is>
      </c>
      <c r="D5425" s="3" t="inlineStr">
        <is>
          <t>860</t>
        </is>
      </c>
      <c r="E5425" s="3" t="inlineStr">
        <is>
          <t>Rounding</t>
        </is>
      </c>
      <c r="F5425" s="3" t="n">
        <v>0.27</v>
      </c>
      <c r="G5425" s="3" t="n">
        <v>-0.55</v>
      </c>
    </row>
    <row r="5426">
      <c r="A5426" s="3" t="inlineStr">
        <is>
          <t>Heron Fields (Pty) Ltd</t>
        </is>
      </c>
      <c r="B5426" s="4" t="n">
        <v>45322</v>
      </c>
      <c r="C5426" s="3" t="inlineStr">
        <is>
          <t>Liabilities</t>
        </is>
      </c>
      <c r="D5426" s="3" t="inlineStr">
        <is>
          <t>860</t>
        </is>
      </c>
      <c r="E5426" s="3" t="inlineStr">
        <is>
          <t>Rounding</t>
        </is>
      </c>
      <c r="F5426" s="3" t="n">
        <v>-0.1</v>
      </c>
      <c r="G5426" s="3" t="n">
        <v>0.04</v>
      </c>
    </row>
    <row r="5427">
      <c r="A5427" s="3" t="inlineStr">
        <is>
          <t>Heron View (Pty) Ltd</t>
        </is>
      </c>
      <c r="B5427" s="4" t="n">
        <v>45322</v>
      </c>
      <c r="C5427" s="3" t="inlineStr">
        <is>
          <t>Liabilities</t>
        </is>
      </c>
      <c r="D5427" s="3" t="inlineStr">
        <is>
          <t>860</t>
        </is>
      </c>
      <c r="E5427" s="3" t="inlineStr">
        <is>
          <t>Rounding</t>
        </is>
      </c>
      <c r="F5427" s="3" t="n">
        <v>0</v>
      </c>
      <c r="G5427" s="3" t="n">
        <v>-0.03</v>
      </c>
    </row>
    <row r="5428">
      <c r="A5428" s="3" t="inlineStr">
        <is>
          <t>Cape Projects Construction (Pty) Ltd</t>
        </is>
      </c>
      <c r="B5428" s="4" t="n">
        <v>45322</v>
      </c>
      <c r="C5428" s="3" t="inlineStr">
        <is>
          <t>Liabilities</t>
        </is>
      </c>
      <c r="D5428" s="3" t="inlineStr">
        <is>
          <t>9000/000</t>
        </is>
      </c>
      <c r="E5428" s="3" t="inlineStr">
        <is>
          <t>Supplier Control Account</t>
        </is>
      </c>
      <c r="F5428" s="3" t="n">
        <v>-539720.01</v>
      </c>
      <c r="G5428" s="3" t="n">
        <v>-1010591.94</v>
      </c>
    </row>
    <row r="5429">
      <c r="A5429" s="3" t="inlineStr">
        <is>
          <t>Heron Fields (Pty) Ltd</t>
        </is>
      </c>
      <c r="B5429" s="4" t="n">
        <v>45322</v>
      </c>
      <c r="C5429" s="3" t="inlineStr">
        <is>
          <t>Liabilities</t>
        </is>
      </c>
      <c r="D5429" s="3" t="inlineStr">
        <is>
          <t>9000/000</t>
        </is>
      </c>
      <c r="E5429" s="3" t="inlineStr">
        <is>
          <t>Supplier Control Account</t>
        </is>
      </c>
      <c r="F5429" s="3" t="n">
        <v>4683510.14</v>
      </c>
      <c r="G5429" s="3" t="n">
        <v>-168369943.99</v>
      </c>
    </row>
    <row r="5430">
      <c r="A5430" s="3" t="inlineStr">
        <is>
          <t>Heron View (Pty) Ltd</t>
        </is>
      </c>
      <c r="B5430" s="4" t="n">
        <v>45322</v>
      </c>
      <c r="C5430" s="3" t="inlineStr">
        <is>
          <t>Liabilities</t>
        </is>
      </c>
      <c r="D5430" s="3" t="inlineStr">
        <is>
          <t>9000/000</t>
        </is>
      </c>
      <c r="E5430" s="3" t="inlineStr">
        <is>
          <t>Supplier Control Account</t>
        </is>
      </c>
      <c r="F5430" s="3" t="n">
        <v>-2700103.19</v>
      </c>
      <c r="G5430" s="3" t="n">
        <v>-1747584.15</v>
      </c>
    </row>
    <row r="5431">
      <c r="A5431" s="3" t="inlineStr">
        <is>
          <t>Cape Projects Construction (Pty) Ltd</t>
        </is>
      </c>
      <c r="B5431" s="4" t="n">
        <v>45322</v>
      </c>
      <c r="C5431" s="3" t="inlineStr">
        <is>
          <t>Liabilities</t>
        </is>
      </c>
      <c r="D5431" s="3" t="inlineStr">
        <is>
          <t>9200/000</t>
        </is>
      </c>
      <c r="E5431" s="3" t="inlineStr">
        <is>
          <t>Sundry Suppliers</t>
        </is>
      </c>
      <c r="F5431" s="3" t="n">
        <v>0</v>
      </c>
      <c r="G5431" s="3" t="n">
        <v>1309</v>
      </c>
    </row>
    <row r="5432">
      <c r="A5432" s="3" t="inlineStr">
        <is>
          <t>Cape Projects Construction (Pty) Ltd</t>
        </is>
      </c>
      <c r="B5432" s="4" t="n">
        <v>45322</v>
      </c>
      <c r="C5432" s="3" t="inlineStr">
        <is>
          <t>Liabilities</t>
        </is>
      </c>
      <c r="D5432" s="3" t="inlineStr">
        <is>
          <t>9250/010</t>
        </is>
      </c>
      <c r="E5432" s="3" t="inlineStr">
        <is>
          <t>SALARY CONTROL</t>
        </is>
      </c>
      <c r="F5432" s="3" t="n">
        <v>-1755.17</v>
      </c>
      <c r="G5432" s="3" t="n">
        <v>0</v>
      </c>
    </row>
    <row r="5433">
      <c r="A5433" s="3" t="inlineStr">
        <is>
          <t>Cape Projects Construction (Pty) Ltd</t>
        </is>
      </c>
      <c r="B5433" s="4" t="n">
        <v>45322</v>
      </c>
      <c r="C5433" s="3" t="inlineStr">
        <is>
          <t>Liabilities</t>
        </is>
      </c>
      <c r="D5433" s="3" t="inlineStr">
        <is>
          <t>9250/020</t>
        </is>
      </c>
      <c r="E5433" s="3" t="inlineStr">
        <is>
          <t>PAYE, UIF AND SDL CONTROL</t>
        </is>
      </c>
      <c r="F5433" s="3" t="n">
        <v>6664.04</v>
      </c>
      <c r="G5433" s="3" t="n">
        <v>-107008.04</v>
      </c>
    </row>
    <row r="5434">
      <c r="A5434" s="3" t="inlineStr">
        <is>
          <t>Cape Projects Construction (Pty) Ltd</t>
        </is>
      </c>
      <c r="B5434" s="4" t="n">
        <v>45322</v>
      </c>
      <c r="C5434" s="3" t="inlineStr">
        <is>
          <t>Liabilities</t>
        </is>
      </c>
      <c r="D5434" s="3" t="inlineStr">
        <is>
          <t>9250/030</t>
        </is>
      </c>
      <c r="E5434" s="3" t="inlineStr">
        <is>
          <t>BIBC CONTROL</t>
        </is>
      </c>
      <c r="F5434" s="3" t="n">
        <v>0</v>
      </c>
      <c r="G5434" s="3" t="n">
        <v>-49413.95</v>
      </c>
    </row>
    <row r="5435">
      <c r="A5435" s="3" t="inlineStr">
        <is>
          <t>Cape Projects Construction (Pty) Ltd</t>
        </is>
      </c>
      <c r="B5435" s="4" t="n">
        <v>45322</v>
      </c>
      <c r="C5435" s="3" t="inlineStr">
        <is>
          <t>Liabilities</t>
        </is>
      </c>
      <c r="D5435" s="3" t="inlineStr">
        <is>
          <t>9350/000</t>
        </is>
      </c>
      <c r="E5435" s="3" t="inlineStr">
        <is>
          <t>Dividends Payable</t>
        </is>
      </c>
      <c r="F5435" s="3" t="n">
        <v>0</v>
      </c>
      <c r="G5435" s="3" t="n">
        <v>130000</v>
      </c>
    </row>
    <row r="5436">
      <c r="A5436" s="3" t="inlineStr">
        <is>
          <t>Cape Projects Construction (Pty) Ltd</t>
        </is>
      </c>
      <c r="B5436" s="4" t="n">
        <v>45322</v>
      </c>
      <c r="C5436" s="3" t="inlineStr">
        <is>
          <t>Liabilities</t>
        </is>
      </c>
      <c r="D5436" s="3" t="inlineStr">
        <is>
          <t>9500/000</t>
        </is>
      </c>
      <c r="E5436" s="3" t="inlineStr">
        <is>
          <t>VAT Control Account</t>
        </is>
      </c>
      <c r="F5436" s="3" t="n">
        <v>-205115.27</v>
      </c>
      <c r="G5436" s="3" t="n">
        <v>-246893.19</v>
      </c>
    </row>
    <row r="5437">
      <c r="A5437" s="3" t="inlineStr">
        <is>
          <t>Heron Fields (Pty) Ltd</t>
        </is>
      </c>
      <c r="B5437" s="4" t="n">
        <v>45322</v>
      </c>
      <c r="C5437" s="3" t="inlineStr">
        <is>
          <t>Liabilities</t>
        </is>
      </c>
      <c r="D5437" s="3" t="inlineStr">
        <is>
          <t>9500/000</t>
        </is>
      </c>
      <c r="E5437" s="3" t="inlineStr">
        <is>
          <t>Vat / Tax Control Account</t>
        </is>
      </c>
      <c r="F5437" s="3" t="n">
        <v>22321.45</v>
      </c>
      <c r="G5437" s="3" t="n">
        <v>-3371625.12</v>
      </c>
    </row>
    <row r="5438">
      <c r="A5438" s="3" t="inlineStr">
        <is>
          <t>Heron View (Pty) Ltd</t>
        </is>
      </c>
      <c r="B5438" s="4" t="n">
        <v>45322</v>
      </c>
      <c r="C5438" s="3" t="inlineStr">
        <is>
          <t>Liabilities</t>
        </is>
      </c>
      <c r="D5438" s="3" t="inlineStr">
        <is>
          <t>9500/000</t>
        </is>
      </c>
      <c r="E5438" s="3" t="inlineStr">
        <is>
          <t>Vat / Tax Control Account</t>
        </is>
      </c>
      <c r="F5438" s="3" t="n">
        <v>-286903.9</v>
      </c>
      <c r="G5438" s="3" t="n">
        <v>6388299.84</v>
      </c>
    </row>
    <row r="5439">
      <c r="A5439" s="3" t="inlineStr">
        <is>
          <t>Cape Projects Construction (Pty) Ltd</t>
        </is>
      </c>
      <c r="B5439" s="4" t="n">
        <v>45322</v>
      </c>
      <c r="C5439" s="3" t="inlineStr">
        <is>
          <t>Liabilities</t>
        </is>
      </c>
      <c r="D5439" s="3" t="inlineStr">
        <is>
          <t>9510/000</t>
        </is>
      </c>
      <c r="E5439" s="3" t="inlineStr">
        <is>
          <t>Tax Provision Account</t>
        </is>
      </c>
      <c r="F5439" s="3" t="n">
        <v>0</v>
      </c>
      <c r="G5439" s="3" t="n">
        <v>-1869.8</v>
      </c>
    </row>
    <row r="5440">
      <c r="A5440" s="3" t="inlineStr">
        <is>
          <t>Heron Fields (Pty) Ltd</t>
        </is>
      </c>
      <c r="B5440" s="4" t="n">
        <v>45322</v>
      </c>
      <c r="C5440" s="3" t="inlineStr">
        <is>
          <t>Liabilities</t>
        </is>
      </c>
      <c r="D5440" s="3" t="inlineStr">
        <is>
          <t>9520/000</t>
        </is>
      </c>
      <c r="E5440" s="3" t="inlineStr">
        <is>
          <t>Income Tax Payable</t>
        </is>
      </c>
      <c r="F5440" s="3" t="n">
        <v>0</v>
      </c>
      <c r="G5440" s="3" t="n">
        <v>59039.93</v>
      </c>
    </row>
    <row r="5441">
      <c r="A5441" s="3" t="inlineStr">
        <is>
          <t>Heron View (Pty) Ltd</t>
        </is>
      </c>
      <c r="B5441" s="4" t="n">
        <v>45322</v>
      </c>
      <c r="C5441" s="3" t="inlineStr">
        <is>
          <t>Liabilities</t>
        </is>
      </c>
      <c r="D5441" s="3" t="inlineStr">
        <is>
          <t>9899/C102</t>
        </is>
      </c>
      <c r="E5441" s="3" t="inlineStr">
        <is>
          <t>Sales - Unit Reg Control C102</t>
        </is>
      </c>
      <c r="F5441" s="3" t="n">
        <v>0</v>
      </c>
      <c r="G5441" s="3" t="n">
        <v>-0.4</v>
      </c>
    </row>
    <row r="5442">
      <c r="A5442" s="3" t="inlineStr">
        <is>
          <t>Cape Projects Construction (Pty) Ltd</t>
        </is>
      </c>
      <c r="B5442" s="4" t="n">
        <v>45322</v>
      </c>
      <c r="C5442" s="3" t="inlineStr">
        <is>
          <t>Liabilities</t>
        </is>
      </c>
      <c r="D5442" s="3" t="inlineStr">
        <is>
          <t>B/S</t>
        </is>
      </c>
      <c r="E5442" s="3" t="inlineStr">
        <is>
          <t>Taxation Payable</t>
        </is>
      </c>
      <c r="F5442" s="3" t="n">
        <v>0</v>
      </c>
      <c r="G5442" s="3" t="n">
        <v>1869.8</v>
      </c>
    </row>
    <row r="5443">
      <c r="A5443" s="3" t="inlineStr">
        <is>
          <t>Cape Projects Construction (Pty) Ltd</t>
        </is>
      </c>
      <c r="B5443" s="4" t="n">
        <v>45322</v>
      </c>
      <c r="C5443" s="3" t="inlineStr">
        <is>
          <t>Assets</t>
        </is>
      </c>
      <c r="D5443" s="3" t="inlineStr">
        <is>
          <t>Blessing</t>
        </is>
      </c>
      <c r="E5443" s="3" t="inlineStr">
        <is>
          <t>Staff Loan - Ntuthuka</t>
        </is>
      </c>
      <c r="F5443" s="3" t="n">
        <v>-1755.17</v>
      </c>
      <c r="G5443" s="3" t="n">
        <v>-3510.34</v>
      </c>
    </row>
    <row r="5444">
      <c r="A5444" s="3" t="inlineStr">
        <is>
          <t>Cape Projects Construction (Pty) Ltd</t>
        </is>
      </c>
      <c r="B5444" s="4" t="n">
        <v>45322</v>
      </c>
      <c r="C5444" s="3" t="inlineStr">
        <is>
          <t>Liabilities</t>
        </is>
      </c>
      <c r="D5444" s="3" t="inlineStr">
        <is>
          <t>TEMP/ACC</t>
        </is>
      </c>
      <c r="E5444" s="3" t="inlineStr">
        <is>
          <t>Conversion Account</t>
        </is>
      </c>
      <c r="F5444" s="3" t="n">
        <v>0</v>
      </c>
      <c r="G5444" s="3" t="n">
        <v>-254.99</v>
      </c>
    </row>
    <row r="5445">
      <c r="A5445" s="3" t="inlineStr">
        <is>
          <t>Heron Fields (Pty) Ltd</t>
        </is>
      </c>
      <c r="B5445" s="4" t="n">
        <v>45323</v>
      </c>
      <c r="C5445" s="3" t="inlineStr">
        <is>
          <t>Revenue</t>
        </is>
      </c>
      <c r="D5445" s="3" t="inlineStr">
        <is>
          <t>1000/100</t>
        </is>
      </c>
      <c r="E5445" s="3" t="inlineStr">
        <is>
          <t>Sales - Heron Fields</t>
        </is>
      </c>
      <c r="F5445" s="3" t="n">
        <v>0</v>
      </c>
      <c r="G5445" s="3" t="n">
        <v>-28096347.83</v>
      </c>
    </row>
    <row r="5446">
      <c r="A5446" s="3" t="inlineStr">
        <is>
          <t>Heron View (Pty) Ltd</t>
        </is>
      </c>
      <c r="B5446" s="4" t="n">
        <v>45323</v>
      </c>
      <c r="C5446" s="3" t="inlineStr">
        <is>
          <t>Revenue</t>
        </is>
      </c>
      <c r="D5446" s="3" t="inlineStr">
        <is>
          <t>1000/100</t>
        </is>
      </c>
      <c r="E5446" s="3" t="inlineStr">
        <is>
          <t>Sales - Heron View Sales</t>
        </is>
      </c>
      <c r="F5446" s="3" t="n">
        <v>-1477391.3</v>
      </c>
      <c r="G5446" s="3" t="n">
        <v>-31349478.3</v>
      </c>
    </row>
    <row r="5447">
      <c r="A5447" s="3" t="inlineStr">
        <is>
          <t>Heron Fields (Pty) Ltd</t>
        </is>
      </c>
      <c r="B5447" s="4" t="n">
        <v>45323</v>
      </c>
      <c r="C5447" s="3" t="inlineStr">
        <is>
          <t>Revenue</t>
        </is>
      </c>
      <c r="D5447" s="3" t="inlineStr">
        <is>
          <t>1000/101</t>
        </is>
      </c>
      <c r="E5447" s="3" t="inlineStr">
        <is>
          <t>Sales - Heron Fields occupational rent</t>
        </is>
      </c>
      <c r="F5447" s="3" t="n">
        <v>0</v>
      </c>
      <c r="G5447" s="3" t="n">
        <v>-102388.85</v>
      </c>
    </row>
    <row r="5448">
      <c r="A5448" s="3" t="inlineStr">
        <is>
          <t>Heron View (Pty) Ltd</t>
        </is>
      </c>
      <c r="B5448" s="4" t="n">
        <v>45323</v>
      </c>
      <c r="C5448" s="3" t="inlineStr">
        <is>
          <t>Revenue</t>
        </is>
      </c>
      <c r="D5448" s="3" t="inlineStr">
        <is>
          <t>1000/101</t>
        </is>
      </c>
      <c r="E5448" s="3" t="inlineStr">
        <is>
          <t>Sales - Heron View Occupational Rent</t>
        </is>
      </c>
      <c r="F5448" s="3" t="n">
        <v>-1200</v>
      </c>
      <c r="G5448" s="3" t="n">
        <v>-89896.75999999999</v>
      </c>
    </row>
    <row r="5449">
      <c r="A5449" s="3" t="inlineStr">
        <is>
          <t>Cape Projects Construction (Pty) Ltd</t>
        </is>
      </c>
      <c r="B5449" s="4" t="n">
        <v>45323</v>
      </c>
      <c r="C5449" s="3" t="inlineStr">
        <is>
          <t>Revenue</t>
        </is>
      </c>
      <c r="D5449" s="3" t="inlineStr">
        <is>
          <t>1040/100</t>
        </is>
      </c>
      <c r="E5449" s="3" t="inlineStr">
        <is>
          <t>Fees - Construction - Heron</t>
        </is>
      </c>
      <c r="F5449" s="3" t="n">
        <v>0</v>
      </c>
      <c r="G5449" s="3" t="n">
        <v>-55267592.85</v>
      </c>
    </row>
    <row r="5450">
      <c r="A5450" s="3" t="inlineStr">
        <is>
          <t>Cape Projects Construction (Pty) Ltd</t>
        </is>
      </c>
      <c r="B5450" s="4" t="n">
        <v>45323</v>
      </c>
      <c r="C5450" s="3" t="inlineStr">
        <is>
          <t>Revenue</t>
        </is>
      </c>
      <c r="D5450" s="3" t="inlineStr">
        <is>
          <t>1070/000</t>
        </is>
      </c>
      <c r="E5450" s="3" t="inlineStr">
        <is>
          <t>Rent - CT Office</t>
        </is>
      </c>
      <c r="F5450" s="3" t="n">
        <v>0</v>
      </c>
      <c r="G5450" s="3" t="n">
        <v>3490.94</v>
      </c>
    </row>
    <row r="5451">
      <c r="A5451" s="3" t="inlineStr">
        <is>
          <t>Heron Fields (Pty) Ltd</t>
        </is>
      </c>
      <c r="B5451" s="4" t="n">
        <v>45323</v>
      </c>
      <c r="C5451" s="3" t="inlineStr">
        <is>
          <t>Revenue</t>
        </is>
      </c>
      <c r="D5451" s="3" t="inlineStr">
        <is>
          <t>1500/002</t>
        </is>
      </c>
      <c r="E5451" s="3" t="inlineStr">
        <is>
          <t>Rental Income</t>
        </is>
      </c>
      <c r="F5451" s="3" t="n">
        <v>-18500</v>
      </c>
      <c r="G5451" s="3" t="n">
        <v>-352912.32</v>
      </c>
    </row>
    <row r="5452">
      <c r="A5452" s="3" t="inlineStr">
        <is>
          <t>Heron View (Pty) Ltd</t>
        </is>
      </c>
      <c r="B5452" s="4" t="n">
        <v>45323</v>
      </c>
      <c r="C5452" s="3" t="inlineStr">
        <is>
          <t>Revenue</t>
        </is>
      </c>
      <c r="D5452" s="3" t="inlineStr">
        <is>
          <t>1500/002</t>
        </is>
      </c>
      <c r="E5452" s="3" t="inlineStr">
        <is>
          <t>Rental Income</t>
        </is>
      </c>
      <c r="F5452" s="3" t="n">
        <v>0</v>
      </c>
      <c r="G5452" s="3" t="n">
        <v>-13883</v>
      </c>
    </row>
    <row r="5453">
      <c r="A5453" s="3" t="inlineStr">
        <is>
          <t>Heron Fields (Pty) Ltd</t>
        </is>
      </c>
      <c r="B5453" s="4" t="n">
        <v>45323</v>
      </c>
      <c r="C5453" s="3" t="inlineStr">
        <is>
          <t>Expenses</t>
        </is>
      </c>
      <c r="D5453" s="3" t="inlineStr">
        <is>
          <t>2000/011</t>
        </is>
      </c>
      <c r="E5453" s="3" t="inlineStr">
        <is>
          <t>COS - Heron View Showhouse</t>
        </is>
      </c>
      <c r="F5453" s="3" t="n">
        <v>0</v>
      </c>
      <c r="G5453" s="3" t="n">
        <v>45300.43</v>
      </c>
    </row>
    <row r="5454">
      <c r="A5454" s="3" t="inlineStr">
        <is>
          <t>Heron View (Pty) Ltd</t>
        </is>
      </c>
      <c r="B5454" s="4" t="n">
        <v>45323</v>
      </c>
      <c r="C5454" s="3" t="inlineStr">
        <is>
          <t>Expenses</t>
        </is>
      </c>
      <c r="D5454" s="3" t="inlineStr">
        <is>
          <t>2000/030</t>
        </is>
      </c>
      <c r="E5454" s="3" t="inlineStr">
        <is>
          <t>COS - HV COCT Rates clearance</t>
        </is>
      </c>
      <c r="F5454" s="3" t="n">
        <v>0</v>
      </c>
      <c r="G5454" s="3" t="n">
        <v>237142.94</v>
      </c>
    </row>
    <row r="5455">
      <c r="A5455" s="3" t="inlineStr">
        <is>
          <t>Heron Fields (Pty) Ltd</t>
        </is>
      </c>
      <c r="B5455" s="4" t="n">
        <v>45323</v>
      </c>
      <c r="C5455" s="3" t="inlineStr">
        <is>
          <t>Expenses</t>
        </is>
      </c>
      <c r="D5455" s="3" t="inlineStr">
        <is>
          <t>2000/040</t>
        </is>
      </c>
      <c r="E5455" s="3" t="inlineStr">
        <is>
          <t>COS - Legal Fees</t>
        </is>
      </c>
      <c r="F5455" s="3" t="n">
        <v>0</v>
      </c>
      <c r="G5455" s="3" t="n">
        <v>685713.49</v>
      </c>
    </row>
    <row r="5456">
      <c r="A5456" s="3" t="inlineStr">
        <is>
          <t>Heron View (Pty) Ltd</t>
        </is>
      </c>
      <c r="B5456" s="4" t="n">
        <v>45323</v>
      </c>
      <c r="C5456" s="3" t="inlineStr">
        <is>
          <t>Expenses</t>
        </is>
      </c>
      <c r="D5456" s="3" t="inlineStr">
        <is>
          <t>2000/040</t>
        </is>
      </c>
      <c r="E5456" s="3" t="inlineStr">
        <is>
          <t>COS - Legal Fees</t>
        </is>
      </c>
      <c r="F5456" s="3" t="n">
        <v>79153.85000000001</v>
      </c>
      <c r="G5456" s="3" t="n">
        <v>749936.7</v>
      </c>
    </row>
    <row r="5457">
      <c r="A5457" s="3" t="inlineStr">
        <is>
          <t>Heron View (Pty) Ltd</t>
        </is>
      </c>
      <c r="B5457" s="4" t="n">
        <v>45323</v>
      </c>
      <c r="C5457" s="3" t="inlineStr">
        <is>
          <t>Expenses</t>
        </is>
      </c>
      <c r="D5457" s="3" t="inlineStr">
        <is>
          <t>2000/041</t>
        </is>
      </c>
      <c r="E5457" s="3" t="inlineStr">
        <is>
          <t>COS - Legal Fees Opening of Sec Title Fees</t>
        </is>
      </c>
      <c r="F5457" s="3" t="n">
        <v>0</v>
      </c>
      <c r="G5457" s="3" t="n">
        <v>79174.94</v>
      </c>
    </row>
    <row r="5458">
      <c r="A5458" s="3" t="inlineStr">
        <is>
          <t>Heron Fields (Pty) Ltd</t>
        </is>
      </c>
      <c r="B5458" s="4" t="n">
        <v>45323</v>
      </c>
      <c r="C5458" s="3" t="inlineStr">
        <is>
          <t>Expenses</t>
        </is>
      </c>
      <c r="D5458" s="3" t="inlineStr">
        <is>
          <t>2000/041</t>
        </is>
      </c>
      <c r="E5458" s="3" t="inlineStr">
        <is>
          <t>COS - Legal Fees Opening of Sec Title Scheme</t>
        </is>
      </c>
      <c r="F5458" s="3" t="n">
        <v>0</v>
      </c>
      <c r="G5458" s="3" t="n">
        <v>10540</v>
      </c>
    </row>
    <row r="5459">
      <c r="A5459" s="3" t="inlineStr">
        <is>
          <t>Heron Fields (Pty) Ltd</t>
        </is>
      </c>
      <c r="B5459" s="4" t="n">
        <v>45323</v>
      </c>
      <c r="C5459" s="3" t="inlineStr">
        <is>
          <t>Expenses</t>
        </is>
      </c>
      <c r="D5459" s="3" t="inlineStr">
        <is>
          <t>2000/050</t>
        </is>
      </c>
      <c r="E5459" s="3" t="inlineStr">
        <is>
          <t>COS - Rates clearance</t>
        </is>
      </c>
      <c r="F5459" s="3" t="n">
        <v>0</v>
      </c>
      <c r="G5459" s="3" t="n">
        <v>44864.59</v>
      </c>
    </row>
    <row r="5460">
      <c r="A5460" s="3" t="inlineStr">
        <is>
          <t>Heron Fields (Pty) Ltd</t>
        </is>
      </c>
      <c r="B5460" s="4" t="n">
        <v>45323</v>
      </c>
      <c r="C5460" s="3" t="inlineStr">
        <is>
          <t>Expenses</t>
        </is>
      </c>
      <c r="D5460" s="3" t="inlineStr">
        <is>
          <t>2000/060</t>
        </is>
      </c>
      <c r="E5460" s="3" t="inlineStr">
        <is>
          <t>COS - Levies</t>
        </is>
      </c>
      <c r="F5460" s="3" t="n">
        <v>0</v>
      </c>
      <c r="G5460" s="3" t="n">
        <v>381069.48</v>
      </c>
    </row>
    <row r="5461">
      <c r="A5461" s="3" t="inlineStr">
        <is>
          <t>Heron Fields (Pty) Ltd</t>
        </is>
      </c>
      <c r="B5461" s="4" t="n">
        <v>45323</v>
      </c>
      <c r="C5461" s="3" t="inlineStr">
        <is>
          <t>Expenses</t>
        </is>
      </c>
      <c r="D5461" s="3" t="inlineStr">
        <is>
          <t>2000/070</t>
        </is>
      </c>
      <c r="E5461" s="3" t="inlineStr">
        <is>
          <t>COS - Commission HF Units</t>
        </is>
      </c>
      <c r="F5461" s="3" t="n">
        <v>0</v>
      </c>
      <c r="G5461" s="3" t="n">
        <v>1405686.97</v>
      </c>
    </row>
    <row r="5462">
      <c r="A5462" s="3" t="inlineStr">
        <is>
          <t>Heron View (Pty) Ltd</t>
        </is>
      </c>
      <c r="B5462" s="4" t="n">
        <v>45323</v>
      </c>
      <c r="C5462" s="3" t="inlineStr">
        <is>
          <t>Expenses</t>
        </is>
      </c>
      <c r="D5462" s="3" t="inlineStr">
        <is>
          <t>2000/070</t>
        </is>
      </c>
      <c r="E5462" s="3" t="inlineStr">
        <is>
          <t>COS - Commission HV Units</t>
        </is>
      </c>
      <c r="F5462" s="3" t="n">
        <v>73908.7</v>
      </c>
      <c r="G5462" s="3" t="n">
        <v>1569034.76</v>
      </c>
    </row>
    <row r="5463">
      <c r="A5463" s="3" t="inlineStr">
        <is>
          <t>Heron Fields (Pty) Ltd</t>
        </is>
      </c>
      <c r="B5463" s="4" t="n">
        <v>45323</v>
      </c>
      <c r="C5463" s="3" t="inlineStr">
        <is>
          <t>Expenses</t>
        </is>
      </c>
      <c r="D5463" s="3" t="inlineStr">
        <is>
          <t>2000/080</t>
        </is>
      </c>
      <c r="E5463" s="3" t="inlineStr">
        <is>
          <t>COS - Showhouse - HF</t>
        </is>
      </c>
      <c r="F5463" s="3" t="n">
        <v>0</v>
      </c>
      <c r="G5463" s="3" t="n">
        <v>1005.47</v>
      </c>
    </row>
    <row r="5464">
      <c r="A5464" s="3" t="inlineStr">
        <is>
          <t>Heron View (Pty) Ltd</t>
        </is>
      </c>
      <c r="B5464" s="4" t="n">
        <v>45323</v>
      </c>
      <c r="C5464" s="3" t="inlineStr">
        <is>
          <t>Expenses</t>
        </is>
      </c>
      <c r="D5464" s="3" t="inlineStr">
        <is>
          <t>2000/080</t>
        </is>
      </c>
      <c r="E5464" s="3" t="inlineStr">
        <is>
          <t>COS - Showhouse - HV</t>
        </is>
      </c>
      <c r="F5464" s="3" t="n">
        <v>0</v>
      </c>
      <c r="G5464" s="3" t="n">
        <v>6212.85</v>
      </c>
    </row>
    <row r="5465">
      <c r="A5465" s="3" t="inlineStr">
        <is>
          <t>Heron Fields (Pty) Ltd</t>
        </is>
      </c>
      <c r="B5465" s="4" t="n">
        <v>45323</v>
      </c>
      <c r="C5465" s="3" t="inlineStr">
        <is>
          <t>Expenses</t>
        </is>
      </c>
      <c r="D5465" s="3" t="inlineStr">
        <is>
          <t>2000/090</t>
        </is>
      </c>
      <c r="E5465" s="3" t="inlineStr">
        <is>
          <t>COS - Electricity</t>
        </is>
      </c>
      <c r="F5465" s="3" t="n">
        <v>0</v>
      </c>
      <c r="G5465" s="3" t="n">
        <v>250</v>
      </c>
    </row>
    <row r="5466">
      <c r="A5466" s="3" t="inlineStr">
        <is>
          <t>Heron View (Pty) Ltd</t>
        </is>
      </c>
      <c r="B5466" s="4" t="n">
        <v>45323</v>
      </c>
      <c r="C5466" s="3" t="inlineStr">
        <is>
          <t>Expenses</t>
        </is>
      </c>
      <c r="D5466" s="3" t="inlineStr">
        <is>
          <t>2000/090</t>
        </is>
      </c>
      <c r="E5466" s="3" t="inlineStr">
        <is>
          <t>COS - Electricity</t>
        </is>
      </c>
      <c r="F5466" s="3" t="n">
        <v>0</v>
      </c>
      <c r="G5466" s="3" t="n">
        <v>473.92</v>
      </c>
    </row>
    <row r="5467">
      <c r="A5467" s="3" t="inlineStr">
        <is>
          <t>Heron Fields (Pty) Ltd</t>
        </is>
      </c>
      <c r="B5467" s="4" t="n">
        <v>45323</v>
      </c>
      <c r="C5467" s="3" t="inlineStr">
        <is>
          <t>Expenses</t>
        </is>
      </c>
      <c r="D5467" s="3" t="inlineStr">
        <is>
          <t>2000/100</t>
        </is>
      </c>
      <c r="E5467" s="3" t="inlineStr">
        <is>
          <t>COS - Inverters</t>
        </is>
      </c>
      <c r="F5467" s="3" t="n">
        <v>0</v>
      </c>
      <c r="G5467" s="3" t="n">
        <v>31600</v>
      </c>
    </row>
    <row r="5468">
      <c r="A5468" s="3" t="inlineStr">
        <is>
          <t>Cape Projects Construction (Pty) Ltd</t>
        </is>
      </c>
      <c r="B5468" s="4" t="n">
        <v>45323</v>
      </c>
      <c r="C5468" s="3" t="inlineStr">
        <is>
          <t>Expenses</t>
        </is>
      </c>
      <c r="D5468" s="3" t="inlineStr">
        <is>
          <t>2000/500</t>
        </is>
      </c>
      <c r="E5468" s="3" t="inlineStr">
        <is>
          <t>COS - Electricity Cost Endulini</t>
        </is>
      </c>
      <c r="F5468" s="3" t="n">
        <v>0</v>
      </c>
      <c r="G5468" s="3" t="n">
        <v>286.96</v>
      </c>
    </row>
    <row r="5469">
      <c r="A5469" s="3" t="inlineStr">
        <is>
          <t>Cape Projects Construction (Pty) Ltd</t>
        </is>
      </c>
      <c r="B5469" s="4" t="n">
        <v>45323</v>
      </c>
      <c r="C5469" s="3" t="inlineStr">
        <is>
          <t>Expenses</t>
        </is>
      </c>
      <c r="D5469" s="3" t="inlineStr">
        <is>
          <t>2000/501</t>
        </is>
      </c>
      <c r="E5469" s="3" t="inlineStr">
        <is>
          <t>COS - Electricity Cost Heron Field</t>
        </is>
      </c>
      <c r="F5469" s="3" t="n">
        <v>0</v>
      </c>
      <c r="G5469" s="3" t="n">
        <v>86.95999999999999</v>
      </c>
    </row>
    <row r="5470">
      <c r="A5470" s="3" t="inlineStr">
        <is>
          <t>Cape Projects Construction (Pty) Ltd</t>
        </is>
      </c>
      <c r="B5470" s="4" t="n">
        <v>45323</v>
      </c>
      <c r="C5470" s="3" t="inlineStr">
        <is>
          <t>Expenses</t>
        </is>
      </c>
      <c r="D5470" s="3" t="inlineStr">
        <is>
          <t>2001/000</t>
        </is>
      </c>
      <c r="E5470" s="3" t="inlineStr">
        <is>
          <t>Cost of Sales - SouthWark Project</t>
        </is>
      </c>
      <c r="F5470" s="3" t="n">
        <v>0</v>
      </c>
      <c r="G5470" s="3" t="n">
        <v>30620.97</v>
      </c>
    </row>
    <row r="5471">
      <c r="A5471" s="3" t="inlineStr">
        <is>
          <t>Cape Projects Construction (Pty) Ltd</t>
        </is>
      </c>
      <c r="B5471" s="4" t="n">
        <v>45323</v>
      </c>
      <c r="C5471" s="3" t="inlineStr">
        <is>
          <t>Expenses</t>
        </is>
      </c>
      <c r="D5471" s="3" t="inlineStr">
        <is>
          <t>2002/109</t>
        </is>
      </c>
      <c r="E5471" s="3" t="inlineStr">
        <is>
          <t>COS - SoHo External SITE LABOUR</t>
        </is>
      </c>
      <c r="F5471" s="3" t="n">
        <v>0</v>
      </c>
      <c r="G5471" s="3" t="n">
        <v>7408.46</v>
      </c>
    </row>
    <row r="5472">
      <c r="A5472" s="3" t="inlineStr">
        <is>
          <t>Cape Projects Construction (Pty) Ltd</t>
        </is>
      </c>
      <c r="B5472" s="4" t="n">
        <v>45323</v>
      </c>
      <c r="C5472" s="3" t="inlineStr">
        <is>
          <t>Expenses</t>
        </is>
      </c>
      <c r="D5472" s="3" t="inlineStr">
        <is>
          <t>2002/250</t>
        </is>
      </c>
      <c r="E5472" s="3" t="inlineStr">
        <is>
          <t>COS - Security</t>
        </is>
      </c>
      <c r="F5472" s="3" t="n">
        <v>0</v>
      </c>
      <c r="G5472" s="3" t="n">
        <v>10516.44</v>
      </c>
    </row>
    <row r="5473">
      <c r="A5473" s="3" t="inlineStr">
        <is>
          <t>Cape Projects Construction (Pty) Ltd</t>
        </is>
      </c>
      <c r="B5473" s="4" t="n">
        <v>45323</v>
      </c>
      <c r="C5473" s="3" t="inlineStr">
        <is>
          <t>Expenses</t>
        </is>
      </c>
      <c r="D5473" s="3" t="inlineStr">
        <is>
          <t>2002/252</t>
        </is>
      </c>
      <c r="E5473" s="3" t="inlineStr">
        <is>
          <t>COS - Security - Guarding</t>
        </is>
      </c>
      <c r="F5473" s="3" t="n">
        <v>0</v>
      </c>
      <c r="G5473" s="3" t="n">
        <v>152255.68</v>
      </c>
    </row>
    <row r="5474">
      <c r="A5474" s="3" t="inlineStr">
        <is>
          <t>Cape Projects Construction (Pty) Ltd</t>
        </is>
      </c>
      <c r="B5474" s="4" t="n">
        <v>45323</v>
      </c>
      <c r="C5474" s="3" t="inlineStr">
        <is>
          <t>Expenses</t>
        </is>
      </c>
      <c r="D5474" s="3" t="inlineStr">
        <is>
          <t>2006/000</t>
        </is>
      </c>
      <c r="E5474" s="3" t="inlineStr">
        <is>
          <t>COS - Endulini Construction</t>
        </is>
      </c>
      <c r="F5474" s="3" t="n">
        <v>0</v>
      </c>
      <c r="G5474" s="3" t="n">
        <v>352147.74</v>
      </c>
    </row>
    <row r="5475">
      <c r="A5475" s="3" t="inlineStr">
        <is>
          <t>Cape Projects Construction (Pty) Ltd</t>
        </is>
      </c>
      <c r="B5475" s="4" t="n">
        <v>45323</v>
      </c>
      <c r="C5475" s="3" t="inlineStr">
        <is>
          <t>Expenses</t>
        </is>
      </c>
      <c r="D5475" s="3" t="inlineStr">
        <is>
          <t>2006/100</t>
        </is>
      </c>
      <c r="E5475" s="3" t="inlineStr">
        <is>
          <t>COS - Endulini P and G</t>
        </is>
      </c>
      <c r="F5475" s="3" t="n">
        <v>0</v>
      </c>
      <c r="G5475" s="3" t="n">
        <v>160505.7</v>
      </c>
    </row>
    <row r="5476">
      <c r="A5476" s="3" t="inlineStr">
        <is>
          <t>Cape Projects Construction (Pty) Ltd</t>
        </is>
      </c>
      <c r="B5476" s="4" t="n">
        <v>45323</v>
      </c>
      <c r="C5476" s="3" t="inlineStr">
        <is>
          <t>Expenses</t>
        </is>
      </c>
      <c r="D5476" s="3" t="inlineStr">
        <is>
          <t>2006/200</t>
        </is>
      </c>
      <c r="E5476" s="3" t="inlineStr">
        <is>
          <t>COS - Insurance</t>
        </is>
      </c>
      <c r="F5476" s="3" t="n">
        <v>0</v>
      </c>
      <c r="G5476" s="3" t="n">
        <v>19969.43</v>
      </c>
    </row>
    <row r="5477">
      <c r="A5477" s="3" t="inlineStr">
        <is>
          <t>Cape Projects Construction (Pty) Ltd</t>
        </is>
      </c>
      <c r="B5477" s="4" t="n">
        <v>45323</v>
      </c>
      <c r="C5477" s="3" t="inlineStr">
        <is>
          <t>Expenses</t>
        </is>
      </c>
      <c r="D5477" s="3" t="inlineStr">
        <is>
          <t>2006/450</t>
        </is>
      </c>
      <c r="E5477" s="3" t="inlineStr">
        <is>
          <t>COS - Endulini - Computer expenses</t>
        </is>
      </c>
      <c r="F5477" s="3" t="n">
        <v>0</v>
      </c>
      <c r="G5477" s="3" t="n">
        <v>26340.75</v>
      </c>
    </row>
    <row r="5478">
      <c r="A5478" s="3" t="inlineStr">
        <is>
          <t>Cape Projects Construction (Pty) Ltd</t>
        </is>
      </c>
      <c r="B5478" s="4" t="n">
        <v>45323</v>
      </c>
      <c r="C5478" s="3" t="inlineStr">
        <is>
          <t>Expenses</t>
        </is>
      </c>
      <c r="D5478" s="3" t="inlineStr">
        <is>
          <t>2006/700</t>
        </is>
      </c>
      <c r="E5478" s="3" t="inlineStr">
        <is>
          <t>COS - Endulini - Fuel</t>
        </is>
      </c>
      <c r="F5478" s="3" t="n">
        <v>300</v>
      </c>
      <c r="G5478" s="3" t="n">
        <v>300</v>
      </c>
    </row>
    <row r="5479">
      <c r="A5479" s="3" t="inlineStr">
        <is>
          <t>Cape Projects Construction (Pty) Ltd</t>
        </is>
      </c>
      <c r="B5479" s="4" t="n">
        <v>45323</v>
      </c>
      <c r="C5479" s="3" t="inlineStr">
        <is>
          <t>Expenses</t>
        </is>
      </c>
      <c r="D5479" s="3" t="inlineStr">
        <is>
          <t>2006/800</t>
        </is>
      </c>
      <c r="E5479" s="3" t="inlineStr">
        <is>
          <t>COS - Endulini - Telephone &amp; Internet</t>
        </is>
      </c>
      <c r="F5479" s="3" t="n">
        <v>0</v>
      </c>
      <c r="G5479" s="3" t="n">
        <v>760.87</v>
      </c>
    </row>
    <row r="5480">
      <c r="A5480" s="3" t="inlineStr">
        <is>
          <t>Cape Projects Construction (Pty) Ltd</t>
        </is>
      </c>
      <c r="B5480" s="4" t="n">
        <v>45323</v>
      </c>
      <c r="C5480" s="3" t="inlineStr">
        <is>
          <t>Expenses</t>
        </is>
      </c>
      <c r="D5480" s="3" t="inlineStr">
        <is>
          <t>2007/000</t>
        </is>
      </c>
      <c r="E5480" s="3" t="inlineStr">
        <is>
          <t>COS - Repairs &amp; Maintenance - SW Southwark</t>
        </is>
      </c>
      <c r="F5480" s="3" t="n">
        <v>0</v>
      </c>
      <c r="G5480" s="3" t="n">
        <v>27752.22</v>
      </c>
    </row>
    <row r="5481">
      <c r="A5481" s="3" t="inlineStr">
        <is>
          <t>Cape Projects Construction (Pty) Ltd</t>
        </is>
      </c>
      <c r="B5481" s="4" t="n">
        <v>45323</v>
      </c>
      <c r="C5481" s="3" t="inlineStr">
        <is>
          <t>Expenses</t>
        </is>
      </c>
      <c r="D5481" s="3" t="inlineStr">
        <is>
          <t>2008/000</t>
        </is>
      </c>
      <c r="E5481" s="3" t="inlineStr">
        <is>
          <t>COS - Repairs &amp; Maintenance - SH Soho</t>
        </is>
      </c>
      <c r="F5481" s="3" t="n">
        <v>0</v>
      </c>
      <c r="G5481" s="3" t="n">
        <v>7565.57</v>
      </c>
    </row>
    <row r="5482">
      <c r="A5482" s="3" t="inlineStr">
        <is>
          <t>Cape Projects Construction (Pty) Ltd</t>
        </is>
      </c>
      <c r="B5482" s="4" t="n">
        <v>45323</v>
      </c>
      <c r="C5482" s="3" t="inlineStr">
        <is>
          <t>Expenses</t>
        </is>
      </c>
      <c r="D5482" s="3" t="inlineStr">
        <is>
          <t>2011/100</t>
        </is>
      </c>
      <c r="E5482" s="3" t="inlineStr">
        <is>
          <t>COS - Heron Fields - Garden Services</t>
        </is>
      </c>
      <c r="F5482" s="3" t="n">
        <v>0</v>
      </c>
      <c r="G5482" s="3" t="n">
        <v>680</v>
      </c>
    </row>
    <row r="5483">
      <c r="A5483" s="3" t="inlineStr">
        <is>
          <t>Cape Projects Construction (Pty) Ltd</t>
        </is>
      </c>
      <c r="B5483" s="4" t="n">
        <v>45323</v>
      </c>
      <c r="C5483" s="3" t="inlineStr">
        <is>
          <t>Expenses</t>
        </is>
      </c>
      <c r="D5483" s="3" t="inlineStr">
        <is>
          <t>2011/300</t>
        </is>
      </c>
      <c r="E5483" s="3" t="inlineStr">
        <is>
          <t>COS - Heron Fields - Printing &amp; Stationary</t>
        </is>
      </c>
      <c r="F5483" s="3" t="n">
        <v>0</v>
      </c>
      <c r="G5483" s="3" t="n">
        <v>1129.57</v>
      </c>
    </row>
    <row r="5484">
      <c r="A5484" s="3" t="inlineStr">
        <is>
          <t>Cape Projects Construction (Pty) Ltd</t>
        </is>
      </c>
      <c r="B5484" s="4" t="n">
        <v>45323</v>
      </c>
      <c r="C5484" s="3" t="inlineStr">
        <is>
          <t>Expenses</t>
        </is>
      </c>
      <c r="D5484" s="3" t="inlineStr">
        <is>
          <t>2011/500</t>
        </is>
      </c>
      <c r="E5484" s="3" t="inlineStr">
        <is>
          <t>COS - Heron Fields - Construction</t>
        </is>
      </c>
      <c r="F5484" s="3" t="n">
        <v>0</v>
      </c>
      <c r="G5484" s="3" t="n">
        <v>1639839.08</v>
      </c>
    </row>
    <row r="5485">
      <c r="A5485" s="3" t="inlineStr">
        <is>
          <t>Cape Projects Construction (Pty) Ltd</t>
        </is>
      </c>
      <c r="B5485" s="4" t="n">
        <v>45323</v>
      </c>
      <c r="C5485" s="3" t="inlineStr">
        <is>
          <t>Expenses</t>
        </is>
      </c>
      <c r="D5485" s="3" t="inlineStr">
        <is>
          <t>2011/600</t>
        </is>
      </c>
      <c r="E5485" s="3" t="inlineStr">
        <is>
          <t>COS - Heron Fields - P &amp; G</t>
        </is>
      </c>
      <c r="F5485" s="3" t="n">
        <v>2901.76</v>
      </c>
      <c r="G5485" s="3" t="n">
        <v>346725.3</v>
      </c>
    </row>
    <row r="5486">
      <c r="A5486" s="3" t="inlineStr">
        <is>
          <t>Cape Projects Construction (Pty) Ltd</t>
        </is>
      </c>
      <c r="B5486" s="4" t="n">
        <v>45323</v>
      </c>
      <c r="C5486" s="3" t="inlineStr">
        <is>
          <t>Expenses</t>
        </is>
      </c>
      <c r="D5486" s="3" t="inlineStr">
        <is>
          <t>2011/700</t>
        </is>
      </c>
      <c r="E5486" s="3" t="inlineStr">
        <is>
          <t>COS - Heron Fields - Health &amp; Safety</t>
        </is>
      </c>
      <c r="F5486" s="3" t="n">
        <v>0</v>
      </c>
      <c r="G5486" s="3" t="n">
        <v>694.78</v>
      </c>
    </row>
    <row r="5487">
      <c r="A5487" s="3" t="inlineStr">
        <is>
          <t>Cape Projects Construction (Pty) Ltd</t>
        </is>
      </c>
      <c r="B5487" s="4" t="n">
        <v>45323</v>
      </c>
      <c r="C5487" s="3" t="inlineStr">
        <is>
          <t>Expenses</t>
        </is>
      </c>
      <c r="D5487" s="3" t="inlineStr">
        <is>
          <t>2011/900</t>
        </is>
      </c>
      <c r="E5487" s="3" t="inlineStr">
        <is>
          <t>COS - Heron - Internet</t>
        </is>
      </c>
      <c r="F5487" s="3" t="n">
        <v>1849.57</v>
      </c>
      <c r="G5487" s="3" t="n">
        <v>19178.81</v>
      </c>
    </row>
    <row r="5488">
      <c r="A5488" s="3" t="inlineStr">
        <is>
          <t>Cape Projects Construction (Pty) Ltd</t>
        </is>
      </c>
      <c r="B5488" s="4" t="n">
        <v>45323</v>
      </c>
      <c r="C5488" s="3" t="inlineStr">
        <is>
          <t>Expenses</t>
        </is>
      </c>
      <c r="D5488" s="3" t="inlineStr">
        <is>
          <t>2012/001</t>
        </is>
      </c>
      <c r="E5488" s="3" t="inlineStr">
        <is>
          <t>COS - Heron View - Printing &amp; Stationary</t>
        </is>
      </c>
      <c r="F5488" s="3" t="n">
        <v>0</v>
      </c>
      <c r="G5488" s="3" t="n">
        <v>33532.38</v>
      </c>
    </row>
    <row r="5489">
      <c r="A5489" s="3" t="inlineStr">
        <is>
          <t>Cape Projects Construction (Pty) Ltd</t>
        </is>
      </c>
      <c r="B5489" s="4" t="n">
        <v>45323</v>
      </c>
      <c r="C5489" s="3" t="inlineStr">
        <is>
          <t>Expenses</t>
        </is>
      </c>
      <c r="D5489" s="3" t="inlineStr">
        <is>
          <t>2012/002</t>
        </is>
      </c>
      <c r="E5489" s="3" t="inlineStr">
        <is>
          <t>COS - Heron View - Construction</t>
        </is>
      </c>
      <c r="F5489" s="3" t="n">
        <v>32750.81</v>
      </c>
      <c r="G5489" s="3" t="n">
        <v>43389028.59</v>
      </c>
    </row>
    <row r="5490">
      <c r="A5490" s="3" t="inlineStr">
        <is>
          <t>Cape Projects Construction (Pty) Ltd</t>
        </is>
      </c>
      <c r="B5490" s="4" t="n">
        <v>45323</v>
      </c>
      <c r="C5490" s="3" t="inlineStr">
        <is>
          <t>Expenses</t>
        </is>
      </c>
      <c r="D5490" s="3" t="inlineStr">
        <is>
          <t>2012/003</t>
        </is>
      </c>
      <c r="E5490" s="3" t="inlineStr">
        <is>
          <t>COS - Heron View - P&amp;G</t>
        </is>
      </c>
      <c r="F5490" s="3" t="n">
        <v>0</v>
      </c>
      <c r="G5490" s="3" t="n">
        <v>549196.86</v>
      </c>
    </row>
    <row r="5491">
      <c r="A5491" s="3" t="inlineStr">
        <is>
          <t>Cape Projects Construction (Pty) Ltd</t>
        </is>
      </c>
      <c r="B5491" s="4" t="n">
        <v>45323</v>
      </c>
      <c r="C5491" s="3" t="inlineStr">
        <is>
          <t>Expenses</t>
        </is>
      </c>
      <c r="D5491" s="3" t="inlineStr">
        <is>
          <t>2013/000</t>
        </is>
      </c>
      <c r="E5491" s="3" t="inlineStr">
        <is>
          <t>COS - Bakhoven</t>
        </is>
      </c>
      <c r="F5491" s="3" t="n">
        <v>0</v>
      </c>
      <c r="G5491" s="3" t="n">
        <v>17292.48</v>
      </c>
    </row>
    <row r="5492">
      <c r="A5492" s="3" t="inlineStr">
        <is>
          <t>Cape Projects Construction (Pty) Ltd</t>
        </is>
      </c>
      <c r="B5492" s="4" t="n">
        <v>45323</v>
      </c>
      <c r="C5492" s="3" t="inlineStr">
        <is>
          <t>Revenue</t>
        </is>
      </c>
      <c r="D5492" s="3" t="inlineStr">
        <is>
          <t>2750/000</t>
        </is>
      </c>
      <c r="E5492" s="3" t="inlineStr">
        <is>
          <t>Interest Received - FNB</t>
        </is>
      </c>
      <c r="F5492" s="3" t="n">
        <v>0</v>
      </c>
      <c r="G5492" s="3" t="n">
        <v>-2599.73</v>
      </c>
    </row>
    <row r="5493">
      <c r="A5493" s="3" t="inlineStr">
        <is>
          <t>Cape Projects Construction (Pty) Ltd</t>
        </is>
      </c>
      <c r="B5493" s="4" t="n">
        <v>45323</v>
      </c>
      <c r="C5493" s="3" t="inlineStr">
        <is>
          <t>Revenue</t>
        </is>
      </c>
      <c r="D5493" s="3" t="inlineStr">
        <is>
          <t>2751/001</t>
        </is>
      </c>
      <c r="E5493" s="3" t="inlineStr">
        <is>
          <t>Interest received - Momentum</t>
        </is>
      </c>
      <c r="F5493" s="3" t="n">
        <v>0</v>
      </c>
      <c r="G5493" s="3" t="n">
        <v>-34.23</v>
      </c>
    </row>
    <row r="5494">
      <c r="A5494" s="3" t="inlineStr">
        <is>
          <t>Heron Fields (Pty) Ltd</t>
        </is>
      </c>
      <c r="B5494" s="4" t="n">
        <v>45323</v>
      </c>
      <c r="C5494" s="3" t="inlineStr">
        <is>
          <t>Revenue</t>
        </is>
      </c>
      <c r="D5494" s="3" t="inlineStr">
        <is>
          <t>2753/000</t>
        </is>
      </c>
      <c r="E5494" s="3" t="inlineStr">
        <is>
          <t>Interest Received - Deposits</t>
        </is>
      </c>
      <c r="F5494" s="3" t="n">
        <v>0</v>
      </c>
      <c r="G5494" s="3" t="n">
        <v>-5546.16</v>
      </c>
    </row>
    <row r="5495">
      <c r="A5495" s="3" t="inlineStr">
        <is>
          <t>Heron Fields (Pty) Ltd</t>
        </is>
      </c>
      <c r="B5495" s="4" t="n">
        <v>45323</v>
      </c>
      <c r="C5495" s="3" t="inlineStr">
        <is>
          <t>Revenue</t>
        </is>
      </c>
      <c r="D5495" s="3" t="inlineStr">
        <is>
          <t>2755/001</t>
        </is>
      </c>
      <c r="E5495" s="3" t="inlineStr">
        <is>
          <t>Interest Received - Momentum</t>
        </is>
      </c>
      <c r="F5495" s="3" t="n">
        <v>0</v>
      </c>
      <c r="G5495" s="3" t="n">
        <v>-2655207.55</v>
      </c>
    </row>
    <row r="5496">
      <c r="A5496" s="3" t="inlineStr">
        <is>
          <t>Heron Fields (Pty) Ltd</t>
        </is>
      </c>
      <c r="B5496" s="4" t="n">
        <v>45323</v>
      </c>
      <c r="C5496" s="3" t="inlineStr">
        <is>
          <t>Expenses</t>
        </is>
      </c>
      <c r="D5496" s="3" t="inlineStr">
        <is>
          <t>3000/000</t>
        </is>
      </c>
      <c r="E5496" s="3" t="inlineStr">
        <is>
          <t>Accounting Fees</t>
        </is>
      </c>
      <c r="F5496" s="3" t="n">
        <v>0</v>
      </c>
      <c r="G5496" s="3" t="n">
        <v>15024.96</v>
      </c>
    </row>
    <row r="5497">
      <c r="A5497" s="3" t="inlineStr">
        <is>
          <t>Heron Fields (Pty) Ltd</t>
        </is>
      </c>
      <c r="B5497" s="4" t="n">
        <v>45323</v>
      </c>
      <c r="C5497" s="3" t="inlineStr">
        <is>
          <t>Expenses</t>
        </is>
      </c>
      <c r="D5497" s="3" t="inlineStr">
        <is>
          <t>3000/100</t>
        </is>
      </c>
      <c r="E5497" s="3" t="inlineStr">
        <is>
          <t>Accounting - CIPC</t>
        </is>
      </c>
      <c r="F5497" s="3" t="n">
        <v>0</v>
      </c>
      <c r="G5497" s="3" t="n">
        <v>3050</v>
      </c>
    </row>
    <row r="5498">
      <c r="A5498" s="3" t="inlineStr">
        <is>
          <t>Cape Projects Construction (Pty) Ltd</t>
        </is>
      </c>
      <c r="B5498" s="4" t="n">
        <v>45323</v>
      </c>
      <c r="C5498" s="3" t="inlineStr">
        <is>
          <t>Expenses</t>
        </is>
      </c>
      <c r="D5498" s="3" t="inlineStr">
        <is>
          <t>3001/000</t>
        </is>
      </c>
      <c r="E5498" s="3" t="inlineStr">
        <is>
          <t>Accounting Fees - Other</t>
        </is>
      </c>
      <c r="F5498" s="3" t="n">
        <v>0</v>
      </c>
      <c r="G5498" s="3" t="n">
        <v>1280</v>
      </c>
    </row>
    <row r="5499">
      <c r="A5499" s="3" t="inlineStr">
        <is>
          <t>Cape Projects Construction (Pty) Ltd</t>
        </is>
      </c>
      <c r="B5499" s="4" t="n">
        <v>45323</v>
      </c>
      <c r="C5499" s="3" t="inlineStr">
        <is>
          <t>Expenses</t>
        </is>
      </c>
      <c r="D5499" s="3" t="inlineStr">
        <is>
          <t>3002/000</t>
        </is>
      </c>
      <c r="E5499" s="3" t="inlineStr">
        <is>
          <t>Accounting Fees - Audit</t>
        </is>
      </c>
      <c r="F5499" s="3" t="n">
        <v>0</v>
      </c>
      <c r="G5499" s="3" t="n">
        <v>11170</v>
      </c>
    </row>
    <row r="5500">
      <c r="A5500" s="3" t="inlineStr">
        <is>
          <t>Cape Projects Construction (Pty) Ltd</t>
        </is>
      </c>
      <c r="B5500" s="4" t="n">
        <v>45323</v>
      </c>
      <c r="C5500" s="3" t="inlineStr">
        <is>
          <t>Expenses</t>
        </is>
      </c>
      <c r="D5500" s="3" t="inlineStr">
        <is>
          <t>3050/000</t>
        </is>
      </c>
      <c r="E5500" s="3" t="inlineStr">
        <is>
          <t>Advertising _AND_ Promotions</t>
        </is>
      </c>
      <c r="F5500" s="3" t="n">
        <v>0</v>
      </c>
      <c r="G5500" s="3" t="n">
        <v>10975</v>
      </c>
    </row>
    <row r="5501">
      <c r="A5501" s="3" t="inlineStr">
        <is>
          <t>Heron Fields (Pty) Ltd</t>
        </is>
      </c>
      <c r="B5501" s="4" t="n">
        <v>45323</v>
      </c>
      <c r="C5501" s="3" t="inlineStr">
        <is>
          <t>Expenses</t>
        </is>
      </c>
      <c r="D5501" s="3" t="inlineStr">
        <is>
          <t>3050/000</t>
        </is>
      </c>
      <c r="E5501" s="3" t="inlineStr">
        <is>
          <t>Advertising _AND_ Promotions</t>
        </is>
      </c>
      <c r="F5501" s="3" t="n">
        <v>500</v>
      </c>
      <c r="G5501" s="3" t="n">
        <v>179414.34</v>
      </c>
    </row>
    <row r="5502">
      <c r="A5502" s="3" t="inlineStr">
        <is>
          <t>Heron View (Pty) Ltd</t>
        </is>
      </c>
      <c r="B5502" s="4" t="n">
        <v>45323</v>
      </c>
      <c r="C5502" s="3" t="inlineStr">
        <is>
          <t>Expenses</t>
        </is>
      </c>
      <c r="D5502" s="3" t="inlineStr">
        <is>
          <t>3050/000</t>
        </is>
      </c>
      <c r="E5502" s="3" t="inlineStr">
        <is>
          <t>Advertising _AND_ Promotions</t>
        </is>
      </c>
      <c r="F5502" s="3" t="n">
        <v>0</v>
      </c>
      <c r="G5502" s="3" t="n">
        <v>52857.72</v>
      </c>
    </row>
    <row r="5503">
      <c r="A5503" s="3" t="inlineStr">
        <is>
          <t>Heron Fields (Pty) Ltd</t>
        </is>
      </c>
      <c r="B5503" s="4" t="n">
        <v>45323</v>
      </c>
      <c r="C5503" s="3" t="inlineStr">
        <is>
          <t>Expenses</t>
        </is>
      </c>
      <c r="D5503" s="3" t="inlineStr">
        <is>
          <t>3050/100</t>
        </is>
      </c>
      <c r="E5503" s="3" t="inlineStr">
        <is>
          <t>Advertising - Property24</t>
        </is>
      </c>
      <c r="F5503" s="3" t="n">
        <v>0</v>
      </c>
      <c r="G5503" s="3" t="n">
        <v>12480</v>
      </c>
    </row>
    <row r="5504">
      <c r="A5504" s="3" t="inlineStr">
        <is>
          <t>Cape Projects Construction (Pty) Ltd</t>
        </is>
      </c>
      <c r="B5504" s="4" t="n">
        <v>45323</v>
      </c>
      <c r="C5504" s="3" t="inlineStr">
        <is>
          <t>Expenses</t>
        </is>
      </c>
      <c r="D5504" s="3" t="inlineStr">
        <is>
          <t>3050/150</t>
        </is>
      </c>
      <c r="E5504" s="3" t="inlineStr">
        <is>
          <t>Advertising - Design Fees</t>
        </is>
      </c>
      <c r="F5504" s="3" t="n">
        <v>0</v>
      </c>
      <c r="G5504" s="3" t="n">
        <v>295</v>
      </c>
    </row>
    <row r="5505">
      <c r="A5505" s="3" t="inlineStr">
        <is>
          <t>Heron Fields (Pty) Ltd</t>
        </is>
      </c>
      <c r="B5505" s="4" t="n">
        <v>45323</v>
      </c>
      <c r="C5505" s="3" t="inlineStr">
        <is>
          <t>Expenses</t>
        </is>
      </c>
      <c r="D5505" s="3" t="inlineStr">
        <is>
          <t>3050/300</t>
        </is>
      </c>
      <c r="E5505" s="3" t="inlineStr">
        <is>
          <t>Advertising - Real Marketing</t>
        </is>
      </c>
      <c r="F5505" s="3" t="n">
        <v>0</v>
      </c>
      <c r="G5505" s="3" t="n">
        <v>10250</v>
      </c>
    </row>
    <row r="5506">
      <c r="A5506" s="3" t="inlineStr">
        <is>
          <t>Heron View (Pty) Ltd</t>
        </is>
      </c>
      <c r="B5506" s="4" t="n">
        <v>45323</v>
      </c>
      <c r="C5506" s="3" t="inlineStr">
        <is>
          <t>Expenses</t>
        </is>
      </c>
      <c r="D5506" s="3" t="inlineStr">
        <is>
          <t>3050/300</t>
        </is>
      </c>
      <c r="E5506" s="3" t="inlineStr">
        <is>
          <t>Advertising - Thinkink</t>
        </is>
      </c>
      <c r="F5506" s="3" t="n">
        <v>0</v>
      </c>
      <c r="G5506" s="3" t="n">
        <v>17855</v>
      </c>
    </row>
    <row r="5507">
      <c r="A5507" s="3" t="inlineStr">
        <is>
          <t>Heron View (Pty) Ltd</t>
        </is>
      </c>
      <c r="B5507" s="4" t="n">
        <v>45323</v>
      </c>
      <c r="C5507" s="3" t="inlineStr">
        <is>
          <t>Expenses</t>
        </is>
      </c>
      <c r="D5507" s="3" t="inlineStr">
        <is>
          <t>3050/400</t>
        </is>
      </c>
      <c r="E5507" s="3" t="inlineStr">
        <is>
          <t>Advertising - Pure Brand Activation</t>
        </is>
      </c>
      <c r="F5507" s="3" t="n">
        <v>0</v>
      </c>
      <c r="G5507" s="3" t="n">
        <v>14569.1</v>
      </c>
    </row>
    <row r="5508">
      <c r="A5508" s="3" t="inlineStr">
        <is>
          <t>Cape Projects Construction (Pty) Ltd</t>
        </is>
      </c>
      <c r="B5508" s="4" t="n">
        <v>45323</v>
      </c>
      <c r="C5508" s="3" t="inlineStr">
        <is>
          <t>Expenses</t>
        </is>
      </c>
      <c r="D5508" s="3" t="inlineStr">
        <is>
          <t>3050/450</t>
        </is>
      </c>
      <c r="E5508" s="3" t="inlineStr">
        <is>
          <t>Advertising - Other</t>
        </is>
      </c>
      <c r="F5508" s="3" t="n">
        <v>0</v>
      </c>
      <c r="G5508" s="3" t="n">
        <v>1597</v>
      </c>
    </row>
    <row r="5509">
      <c r="A5509" s="3" t="inlineStr">
        <is>
          <t>Heron View (Pty) Ltd</t>
        </is>
      </c>
      <c r="B5509" s="4" t="n">
        <v>45323</v>
      </c>
      <c r="C5509" s="3" t="inlineStr">
        <is>
          <t>Expenses</t>
        </is>
      </c>
      <c r="D5509" s="3" t="inlineStr">
        <is>
          <t>3050/500</t>
        </is>
      </c>
      <c r="E5509" s="3" t="inlineStr">
        <is>
          <t>Advertising - Real Marketing</t>
        </is>
      </c>
      <c r="F5509" s="3" t="n">
        <v>0</v>
      </c>
      <c r="G5509" s="3" t="n">
        <v>18500</v>
      </c>
    </row>
    <row r="5510">
      <c r="A5510" s="3" t="inlineStr">
        <is>
          <t>Cape Projects Construction (Pty) Ltd</t>
        </is>
      </c>
      <c r="B5510" s="4" t="n">
        <v>45323</v>
      </c>
      <c r="C5510" s="3" t="inlineStr">
        <is>
          <t>Expenses</t>
        </is>
      </c>
      <c r="D5510" s="3" t="inlineStr">
        <is>
          <t>3200/000</t>
        </is>
      </c>
      <c r="E5510" s="3" t="inlineStr">
        <is>
          <t>Bank Charges</t>
        </is>
      </c>
      <c r="F5510" s="3" t="n">
        <v>0</v>
      </c>
      <c r="G5510" s="3" t="n">
        <v>20862.05</v>
      </c>
    </row>
    <row r="5511">
      <c r="A5511" s="3" t="inlineStr">
        <is>
          <t>Heron Fields (Pty) Ltd</t>
        </is>
      </c>
      <c r="B5511" s="4" t="n">
        <v>45323</v>
      </c>
      <c r="C5511" s="3" t="inlineStr">
        <is>
          <t>Expenses</t>
        </is>
      </c>
      <c r="D5511" s="3" t="inlineStr">
        <is>
          <t>3200/000</t>
        </is>
      </c>
      <c r="E5511" s="3" t="inlineStr">
        <is>
          <t>Bank Charges</t>
        </is>
      </c>
      <c r="F5511" s="3" t="n">
        <v>0</v>
      </c>
      <c r="G5511" s="3" t="n">
        <v>4750.68</v>
      </c>
    </row>
    <row r="5512">
      <c r="A5512" s="3" t="inlineStr">
        <is>
          <t>Cape Projects Construction (Pty) Ltd</t>
        </is>
      </c>
      <c r="B5512" s="4" t="n">
        <v>45323</v>
      </c>
      <c r="C5512" s="3" t="inlineStr">
        <is>
          <t>Expenses</t>
        </is>
      </c>
      <c r="D5512" s="3" t="inlineStr">
        <is>
          <t>3250/000</t>
        </is>
      </c>
      <c r="E5512" s="3" t="inlineStr">
        <is>
          <t>Cleaning</t>
        </is>
      </c>
      <c r="F5512" s="3" t="n">
        <v>0</v>
      </c>
      <c r="G5512" s="3" t="n">
        <v>1211.89</v>
      </c>
    </row>
    <row r="5513">
      <c r="A5513" s="3" t="inlineStr">
        <is>
          <t>Cape Projects Construction (Pty) Ltd</t>
        </is>
      </c>
      <c r="B5513" s="4" t="n">
        <v>45323</v>
      </c>
      <c r="C5513" s="3" t="inlineStr">
        <is>
          <t>Expenses</t>
        </is>
      </c>
      <c r="D5513" s="3" t="inlineStr">
        <is>
          <t>3255/000</t>
        </is>
      </c>
      <c r="E5513" s="3" t="inlineStr">
        <is>
          <t>Cell Phone - CT Office</t>
        </is>
      </c>
      <c r="F5513" s="3" t="n">
        <v>0</v>
      </c>
      <c r="G5513" s="3" t="n">
        <v>4123</v>
      </c>
    </row>
    <row r="5514">
      <c r="A5514" s="3" t="inlineStr">
        <is>
          <t>Cape Projects Construction (Pty) Ltd</t>
        </is>
      </c>
      <c r="B5514" s="4" t="n">
        <v>45323</v>
      </c>
      <c r="C5514" s="3" t="inlineStr">
        <is>
          <t>Expenses</t>
        </is>
      </c>
      <c r="D5514" s="3" t="inlineStr">
        <is>
          <t>3256/000</t>
        </is>
      </c>
      <c r="E5514" s="3" t="inlineStr">
        <is>
          <t>Cell Phone - Nick Morgan</t>
        </is>
      </c>
      <c r="F5514" s="3" t="n">
        <v>0</v>
      </c>
      <c r="G5514" s="3" t="n">
        <v>26779.67</v>
      </c>
    </row>
    <row r="5515">
      <c r="A5515" s="3" t="inlineStr">
        <is>
          <t>Cape Projects Construction (Pty) Ltd</t>
        </is>
      </c>
      <c r="B5515" s="4" t="n">
        <v>45323</v>
      </c>
      <c r="C5515" s="3" t="inlineStr">
        <is>
          <t>Expenses</t>
        </is>
      </c>
      <c r="D5515" s="3" t="inlineStr">
        <is>
          <t>3300/000</t>
        </is>
      </c>
      <c r="E5515" s="3" t="inlineStr">
        <is>
          <t>Computer Expenses</t>
        </is>
      </c>
      <c r="F5515" s="3" t="n">
        <v>0</v>
      </c>
      <c r="G5515" s="3" t="n">
        <v>6402.65</v>
      </c>
    </row>
    <row r="5516">
      <c r="A5516" s="3" t="inlineStr">
        <is>
          <t>Cape Projects Construction (Pty) Ltd</t>
        </is>
      </c>
      <c r="B5516" s="4" t="n">
        <v>45323</v>
      </c>
      <c r="C5516" s="3" t="inlineStr">
        <is>
          <t>Expenses</t>
        </is>
      </c>
      <c r="D5516" s="3" t="inlineStr">
        <is>
          <t>3300/100</t>
        </is>
      </c>
      <c r="E5516" s="3" t="inlineStr">
        <is>
          <t>Computer Exp - IT, Internet/Hosting Fee</t>
        </is>
      </c>
      <c r="F5516" s="3" t="n">
        <v>0</v>
      </c>
      <c r="G5516" s="3" t="n">
        <v>43074</v>
      </c>
    </row>
    <row r="5517">
      <c r="A5517" s="3" t="inlineStr">
        <is>
          <t>Heron Fields (Pty) Ltd</t>
        </is>
      </c>
      <c r="B5517" s="4" t="n">
        <v>45323</v>
      </c>
      <c r="C5517" s="3" t="inlineStr">
        <is>
          <t>Expenses</t>
        </is>
      </c>
      <c r="D5517" s="3" t="inlineStr">
        <is>
          <t>3350/100</t>
        </is>
      </c>
      <c r="E5517" s="3" t="inlineStr">
        <is>
          <t>Consulting Fees - Admin and Finance</t>
        </is>
      </c>
      <c r="F5517" s="3" t="n">
        <v>0</v>
      </c>
      <c r="G5517" s="3" t="n">
        <v>1290791.14</v>
      </c>
    </row>
    <row r="5518">
      <c r="A5518" s="3" t="inlineStr">
        <is>
          <t>Cape Projects Construction (Pty) Ltd</t>
        </is>
      </c>
      <c r="B5518" s="4" t="n">
        <v>45323</v>
      </c>
      <c r="C5518" s="3" t="inlineStr">
        <is>
          <t>Expenses</t>
        </is>
      </c>
      <c r="D5518" s="3" t="inlineStr">
        <is>
          <t>3350/300</t>
        </is>
      </c>
      <c r="E5518" s="3" t="inlineStr">
        <is>
          <t>Consulting Fees - Admin and Finance</t>
        </is>
      </c>
      <c r="F5518" s="3" t="n">
        <v>0</v>
      </c>
      <c r="G5518" s="3" t="n">
        <v>1361002.88</v>
      </c>
    </row>
    <row r="5519">
      <c r="A5519" s="3" t="inlineStr">
        <is>
          <t>Heron Fields (Pty) Ltd</t>
        </is>
      </c>
      <c r="B5519" s="4" t="n">
        <v>45323</v>
      </c>
      <c r="C5519" s="3" t="inlineStr">
        <is>
          <t>Expenses</t>
        </is>
      </c>
      <c r="D5519" s="3" t="inlineStr">
        <is>
          <t>3351/000</t>
        </is>
      </c>
      <c r="E5519" s="3" t="inlineStr">
        <is>
          <t>Consulting fees - Trustee</t>
        </is>
      </c>
      <c r="F5519" s="3" t="n">
        <v>0</v>
      </c>
      <c r="G5519" s="3" t="n">
        <v>26300</v>
      </c>
    </row>
    <row r="5520">
      <c r="A5520" s="3" t="inlineStr">
        <is>
          <t>Heron View (Pty) Ltd</t>
        </is>
      </c>
      <c r="B5520" s="4" t="n">
        <v>45323</v>
      </c>
      <c r="C5520" s="3" t="inlineStr">
        <is>
          <t>Expenses</t>
        </is>
      </c>
      <c r="D5520" s="3" t="inlineStr">
        <is>
          <t>3351/000</t>
        </is>
      </c>
      <c r="E5520" s="3" t="inlineStr">
        <is>
          <t>Consulting fees - Trustee</t>
        </is>
      </c>
      <c r="F5520" s="3" t="n">
        <v>0</v>
      </c>
      <c r="G5520" s="3" t="n">
        <v>76750</v>
      </c>
    </row>
    <row r="5521">
      <c r="A5521" s="3" t="inlineStr">
        <is>
          <t>Cape Projects Construction (Pty) Ltd</t>
        </is>
      </c>
      <c r="B5521" s="4" t="n">
        <v>45323</v>
      </c>
      <c r="C5521" s="3" t="inlineStr">
        <is>
          <t>Expenses</t>
        </is>
      </c>
      <c r="D5521" s="3" t="inlineStr">
        <is>
          <t>3400/000</t>
        </is>
      </c>
      <c r="E5521" s="3" t="inlineStr">
        <is>
          <t>Courier _AND_ Postage</t>
        </is>
      </c>
      <c r="F5521" s="3" t="n">
        <v>0</v>
      </c>
      <c r="G5521" s="3" t="n">
        <v>331.09</v>
      </c>
    </row>
    <row r="5522">
      <c r="A5522" s="3" t="inlineStr">
        <is>
          <t>Cape Projects Construction (Pty) Ltd</t>
        </is>
      </c>
      <c r="B5522" s="4" t="n">
        <v>45323</v>
      </c>
      <c r="C5522" s="3" t="inlineStr">
        <is>
          <t>Expenses</t>
        </is>
      </c>
      <c r="D5522" s="3" t="inlineStr">
        <is>
          <t>3450/001</t>
        </is>
      </c>
      <c r="E5522" s="3" t="inlineStr">
        <is>
          <t>Depreciation - Computer Equipment</t>
        </is>
      </c>
      <c r="F5522" s="3" t="n">
        <v>0</v>
      </c>
      <c r="G5522" s="3" t="n">
        <v>41812.75</v>
      </c>
    </row>
    <row r="5523">
      <c r="A5523" s="3" t="inlineStr">
        <is>
          <t>Cape Projects Construction (Pty) Ltd</t>
        </is>
      </c>
      <c r="B5523" s="4" t="n">
        <v>45323</v>
      </c>
      <c r="C5523" s="3" t="inlineStr">
        <is>
          <t>Expenses</t>
        </is>
      </c>
      <c r="D5523" s="3" t="inlineStr">
        <is>
          <t>3450/002</t>
        </is>
      </c>
      <c r="E5523" s="3" t="inlineStr">
        <is>
          <t>Depreciation - Generator Fixed Asset</t>
        </is>
      </c>
      <c r="F5523" s="3" t="n">
        <v>0</v>
      </c>
      <c r="G5523" s="3" t="n">
        <v>11084.97</v>
      </c>
    </row>
    <row r="5524">
      <c r="A5524" s="3" t="inlineStr">
        <is>
          <t>Cape Projects Construction (Pty) Ltd</t>
        </is>
      </c>
      <c r="B5524" s="4" t="n">
        <v>45323</v>
      </c>
      <c r="C5524" s="3" t="inlineStr">
        <is>
          <t>Expenses</t>
        </is>
      </c>
      <c r="D5524" s="3" t="inlineStr">
        <is>
          <t>3450/030</t>
        </is>
      </c>
      <c r="E5524" s="3" t="inlineStr">
        <is>
          <t>Depreciation - Furniture and Fittings</t>
        </is>
      </c>
      <c r="F5524" s="3" t="n">
        <v>0</v>
      </c>
      <c r="G5524" s="3" t="n">
        <v>6024.45</v>
      </c>
    </row>
    <row r="5525">
      <c r="A5525" s="3" t="inlineStr">
        <is>
          <t>Heron Fields (Pty) Ltd</t>
        </is>
      </c>
      <c r="B5525" s="4" t="n">
        <v>45323</v>
      </c>
      <c r="C5525" s="3" t="inlineStr">
        <is>
          <t>Expenses</t>
        </is>
      </c>
      <c r="D5525" s="3" t="inlineStr">
        <is>
          <t>3650/000</t>
        </is>
      </c>
      <c r="E5525" s="3" t="inlineStr">
        <is>
          <t>CoCT - Electricity</t>
        </is>
      </c>
      <c r="F5525" s="3" t="n">
        <v>0</v>
      </c>
      <c r="G5525" s="3" t="n">
        <v>223859.69</v>
      </c>
    </row>
    <row r="5526">
      <c r="A5526" s="3" t="inlineStr">
        <is>
          <t>Cape Projects Construction (Pty) Ltd</t>
        </is>
      </c>
      <c r="B5526" s="4" t="n">
        <v>45323</v>
      </c>
      <c r="C5526" s="3" t="inlineStr">
        <is>
          <t>Expenses</t>
        </is>
      </c>
      <c r="D5526" s="3" t="inlineStr">
        <is>
          <t>3650/000</t>
        </is>
      </c>
      <c r="E5526" s="3" t="inlineStr">
        <is>
          <t>Electricity _AND_ Water</t>
        </is>
      </c>
      <c r="F5526" s="3" t="n">
        <v>0</v>
      </c>
      <c r="G5526" s="3" t="n">
        <v>60974.72</v>
      </c>
    </row>
    <row r="5527">
      <c r="A5527" s="3" t="inlineStr">
        <is>
          <t>Heron Fields (Pty) Ltd</t>
        </is>
      </c>
      <c r="B5527" s="4" t="n">
        <v>45323</v>
      </c>
      <c r="C5527" s="3" t="inlineStr">
        <is>
          <t>Expenses</t>
        </is>
      </c>
      <c r="D5527" s="3" t="inlineStr">
        <is>
          <t>3660/000</t>
        </is>
      </c>
      <c r="E5527" s="3" t="inlineStr">
        <is>
          <t>CoCT - Water</t>
        </is>
      </c>
      <c r="F5527" s="3" t="n">
        <v>0</v>
      </c>
      <c r="G5527" s="3" t="n">
        <v>94012.10000000001</v>
      </c>
    </row>
    <row r="5528">
      <c r="A5528" s="3" t="inlineStr">
        <is>
          <t>Heron View (Pty) Ltd</t>
        </is>
      </c>
      <c r="B5528" s="4" t="n">
        <v>45323</v>
      </c>
      <c r="C5528" s="3" t="inlineStr">
        <is>
          <t>Expenses</t>
        </is>
      </c>
      <c r="D5528" s="3" t="inlineStr">
        <is>
          <t>3660/000</t>
        </is>
      </c>
      <c r="E5528" s="3" t="inlineStr">
        <is>
          <t>Water</t>
        </is>
      </c>
      <c r="F5528" s="3" t="n">
        <v>752.09</v>
      </c>
      <c r="G5528" s="3" t="n">
        <v>771.73</v>
      </c>
    </row>
    <row r="5529">
      <c r="A5529" s="3" t="inlineStr">
        <is>
          <t>Heron Fields (Pty) Ltd</t>
        </is>
      </c>
      <c r="B5529" s="4" t="n">
        <v>45323</v>
      </c>
      <c r="C5529" s="3" t="inlineStr">
        <is>
          <t>Expenses</t>
        </is>
      </c>
      <c r="D5529" s="3" t="inlineStr">
        <is>
          <t>3670/000</t>
        </is>
      </c>
      <c r="E5529" s="3" t="inlineStr">
        <is>
          <t>CoCT - Refuse</t>
        </is>
      </c>
      <c r="F5529" s="3" t="n">
        <v>0</v>
      </c>
      <c r="G5529" s="3" t="n">
        <v>46978.37</v>
      </c>
    </row>
    <row r="5530">
      <c r="A5530" s="3" t="inlineStr">
        <is>
          <t>Heron Fields (Pty) Ltd</t>
        </is>
      </c>
      <c r="B5530" s="4" t="n">
        <v>45323</v>
      </c>
      <c r="C5530" s="3" t="inlineStr">
        <is>
          <t>Expenses</t>
        </is>
      </c>
      <c r="D5530" s="3" t="inlineStr">
        <is>
          <t>3700/000</t>
        </is>
      </c>
      <c r="E5530" s="3" t="inlineStr">
        <is>
          <t>Entertainment Expenses</t>
        </is>
      </c>
      <c r="F5530" s="3" t="n">
        <v>0</v>
      </c>
      <c r="G5530" s="3" t="n">
        <v>39.47</v>
      </c>
    </row>
    <row r="5531">
      <c r="A5531" s="3" t="inlineStr">
        <is>
          <t>Heron Fields (Pty) Ltd</t>
        </is>
      </c>
      <c r="B5531" s="4" t="n">
        <v>45323</v>
      </c>
      <c r="C5531" s="3" t="inlineStr">
        <is>
          <t>Expenses</t>
        </is>
      </c>
      <c r="D5531" s="3" t="inlineStr">
        <is>
          <t>3800/000</t>
        </is>
      </c>
      <c r="E5531" s="3" t="inlineStr">
        <is>
          <t>General Expenses</t>
        </is>
      </c>
      <c r="F5531" s="3" t="n">
        <v>0</v>
      </c>
      <c r="G5531" s="3" t="n">
        <v>3156.51</v>
      </c>
    </row>
    <row r="5532">
      <c r="A5532" s="3" t="inlineStr">
        <is>
          <t>Cape Projects Construction (Pty) Ltd</t>
        </is>
      </c>
      <c r="B5532" s="4" t="n">
        <v>45323</v>
      </c>
      <c r="C5532" s="3" t="inlineStr">
        <is>
          <t>Expenses</t>
        </is>
      </c>
      <c r="D5532" s="3" t="inlineStr">
        <is>
          <t>3800/010</t>
        </is>
      </c>
      <c r="E5532" s="3" t="inlineStr">
        <is>
          <t>General Expenses - Gifts</t>
        </is>
      </c>
      <c r="F5532" s="3" t="n">
        <v>0</v>
      </c>
      <c r="G5532" s="3" t="n">
        <v>105</v>
      </c>
    </row>
    <row r="5533">
      <c r="A5533" s="3" t="inlineStr">
        <is>
          <t>Heron Fields (Pty) Ltd</t>
        </is>
      </c>
      <c r="B5533" s="4" t="n">
        <v>45323</v>
      </c>
      <c r="C5533" s="3" t="inlineStr">
        <is>
          <t>Expenses</t>
        </is>
      </c>
      <c r="D5533" s="3" t="inlineStr">
        <is>
          <t>3850/000</t>
        </is>
      </c>
      <c r="E5533" s="3" t="inlineStr">
        <is>
          <t>Insurance</t>
        </is>
      </c>
      <c r="F5533" s="3" t="n">
        <v>15124.94</v>
      </c>
      <c r="G5533" s="3" t="n">
        <v>132571.96</v>
      </c>
    </row>
    <row r="5534">
      <c r="A5534" s="3" t="inlineStr">
        <is>
          <t>Cape Projects Construction (Pty) Ltd</t>
        </is>
      </c>
      <c r="B5534" s="4" t="n">
        <v>45323</v>
      </c>
      <c r="C5534" s="3" t="inlineStr">
        <is>
          <t>Expenses</t>
        </is>
      </c>
      <c r="D5534" s="3" t="inlineStr">
        <is>
          <t>3850/001</t>
        </is>
      </c>
      <c r="E5534" s="3" t="inlineStr">
        <is>
          <t>Insurance - Santam</t>
        </is>
      </c>
      <c r="F5534" s="3" t="n">
        <v>2828.34</v>
      </c>
      <c r="G5534" s="3" t="n">
        <v>27607.83</v>
      </c>
    </row>
    <row r="5535">
      <c r="A5535" s="3" t="inlineStr">
        <is>
          <t>Cape Projects Construction (Pty) Ltd</t>
        </is>
      </c>
      <c r="B5535" s="4" t="n">
        <v>45323</v>
      </c>
      <c r="C5535" s="3" t="inlineStr">
        <is>
          <t>Expenses</t>
        </is>
      </c>
      <c r="D5535" s="3" t="inlineStr">
        <is>
          <t>3850/004</t>
        </is>
      </c>
      <c r="E5535" s="3" t="inlineStr">
        <is>
          <t>Insurance - A_AND_G</t>
        </is>
      </c>
      <c r="F5535" s="3" t="n">
        <v>0</v>
      </c>
      <c r="G5535" s="3" t="n">
        <v>24242.76</v>
      </c>
    </row>
    <row r="5536">
      <c r="A5536" s="3" t="inlineStr">
        <is>
          <t>Heron Fields (Pty) Ltd</t>
        </is>
      </c>
      <c r="B5536" s="4" t="n">
        <v>45323</v>
      </c>
      <c r="C5536" s="3" t="inlineStr">
        <is>
          <t>Expenses</t>
        </is>
      </c>
      <c r="D5536" s="3" t="inlineStr">
        <is>
          <t>3900/000</t>
        </is>
      </c>
      <c r="E5536" s="3" t="inlineStr">
        <is>
          <t>Interest Paid</t>
        </is>
      </c>
      <c r="F5536" s="3" t="n">
        <v>0</v>
      </c>
      <c r="G5536" s="3" t="n">
        <v>-533.8</v>
      </c>
    </row>
    <row r="5537">
      <c r="A5537" s="3" t="inlineStr">
        <is>
          <t>Heron Fields (Pty) Ltd</t>
        </is>
      </c>
      <c r="B5537" s="4" t="n">
        <v>45323</v>
      </c>
      <c r="C5537" s="3" t="inlineStr">
        <is>
          <t>Expenses</t>
        </is>
      </c>
      <c r="D5537" s="3" t="inlineStr">
        <is>
          <t>3900/111</t>
        </is>
      </c>
      <c r="E5537" s="3" t="inlineStr">
        <is>
          <t>Interest Paid - Investors @ 6.25%</t>
        </is>
      </c>
      <c r="F5537" s="3" t="n">
        <v>0</v>
      </c>
      <c r="G5537" s="3" t="n">
        <v>167246.17</v>
      </c>
    </row>
    <row r="5538">
      <c r="A5538" s="3" t="inlineStr">
        <is>
          <t>Heron Fields (Pty) Ltd</t>
        </is>
      </c>
      <c r="B5538" s="4" t="n">
        <v>45323</v>
      </c>
      <c r="C5538" s="3" t="inlineStr">
        <is>
          <t>Expenses</t>
        </is>
      </c>
      <c r="D5538" s="3" t="inlineStr">
        <is>
          <t>3900/115</t>
        </is>
      </c>
      <c r="E5538" s="3" t="inlineStr">
        <is>
          <t>Interest Paid - Investors @ 6.5%</t>
        </is>
      </c>
      <c r="F5538" s="3" t="n">
        <v>0</v>
      </c>
      <c r="G5538" s="3" t="n">
        <v>72942.48</v>
      </c>
    </row>
    <row r="5539">
      <c r="A5539" s="3" t="inlineStr">
        <is>
          <t>Heron Fields (Pty) Ltd</t>
        </is>
      </c>
      <c r="B5539" s="4" t="n">
        <v>45323</v>
      </c>
      <c r="C5539" s="3" t="inlineStr">
        <is>
          <t>Expenses</t>
        </is>
      </c>
      <c r="D5539" s="3" t="inlineStr">
        <is>
          <t>3900/117</t>
        </is>
      </c>
      <c r="E5539" s="3" t="inlineStr">
        <is>
          <t>Interest Paid - Investors @ 6.75%</t>
        </is>
      </c>
      <c r="F5539" s="3" t="n">
        <v>0</v>
      </c>
      <c r="G5539" s="3" t="n">
        <v>44124.67</v>
      </c>
    </row>
    <row r="5540">
      <c r="A5540" s="3" t="inlineStr">
        <is>
          <t>Heron Fields (Pty) Ltd</t>
        </is>
      </c>
      <c r="B5540" s="4" t="n">
        <v>45323</v>
      </c>
      <c r="C5540" s="3" t="inlineStr">
        <is>
          <t>Expenses</t>
        </is>
      </c>
      <c r="D5540" s="3" t="inlineStr">
        <is>
          <t>3900/120</t>
        </is>
      </c>
      <c r="E5540" s="3" t="inlineStr">
        <is>
          <t>Interest Paid - Investors @ 7%</t>
        </is>
      </c>
      <c r="F5540" s="3" t="n">
        <v>0</v>
      </c>
      <c r="G5540" s="3" t="n">
        <v>11678.33</v>
      </c>
    </row>
    <row r="5541">
      <c r="A5541" s="3" t="inlineStr">
        <is>
          <t>Heron View (Pty) Ltd</t>
        </is>
      </c>
      <c r="B5541" s="4" t="n">
        <v>45323</v>
      </c>
      <c r="C5541" s="3" t="inlineStr">
        <is>
          <t>Expenses</t>
        </is>
      </c>
      <c r="D5541" s="3" t="inlineStr">
        <is>
          <t>3900/120</t>
        </is>
      </c>
      <c r="E5541" s="3" t="inlineStr">
        <is>
          <t>Interest Paid - Investors @ 7%</t>
        </is>
      </c>
      <c r="F5541" s="3" t="n">
        <v>4217.51</v>
      </c>
      <c r="G5541" s="3" t="n">
        <v>16145.22</v>
      </c>
    </row>
    <row r="5542">
      <c r="A5542" s="3" t="inlineStr">
        <is>
          <t>Heron Fields (Pty) Ltd</t>
        </is>
      </c>
      <c r="B5542" s="4" t="n">
        <v>45323</v>
      </c>
      <c r="C5542" s="3" t="inlineStr">
        <is>
          <t>Expenses</t>
        </is>
      </c>
      <c r="D5542" s="3" t="inlineStr">
        <is>
          <t>3900/126</t>
        </is>
      </c>
      <c r="E5542" s="3" t="inlineStr">
        <is>
          <t>Interest Paid - Investors @ 7.5%</t>
        </is>
      </c>
      <c r="F5542" s="3" t="n">
        <v>0</v>
      </c>
      <c r="G5542" s="3" t="n">
        <v>1252.24</v>
      </c>
    </row>
    <row r="5543">
      <c r="A5543" s="3" t="inlineStr">
        <is>
          <t>Heron View (Pty) Ltd</t>
        </is>
      </c>
      <c r="B5543" s="4" t="n">
        <v>45323</v>
      </c>
      <c r="C5543" s="3" t="inlineStr">
        <is>
          <t>Expenses</t>
        </is>
      </c>
      <c r="D5543" s="3" t="inlineStr">
        <is>
          <t>3900/126</t>
        </is>
      </c>
      <c r="E5543" s="3" t="inlineStr">
        <is>
          <t>Interest Paid - Investors @ 7.5%</t>
        </is>
      </c>
      <c r="F5543" s="3" t="n">
        <v>143.84</v>
      </c>
      <c r="G5543" s="3" t="n">
        <v>31152.74</v>
      </c>
    </row>
    <row r="5544">
      <c r="A5544" s="3" t="inlineStr">
        <is>
          <t>Heron Fields (Pty) Ltd</t>
        </is>
      </c>
      <c r="B5544" s="4" t="n">
        <v>45323</v>
      </c>
      <c r="C5544" s="3" t="inlineStr">
        <is>
          <t>Expenses</t>
        </is>
      </c>
      <c r="D5544" s="3" t="inlineStr">
        <is>
          <t>3900/133</t>
        </is>
      </c>
      <c r="E5544" s="3" t="inlineStr">
        <is>
          <t>Interest Paid - Investors @ 8.25%</t>
        </is>
      </c>
      <c r="F5544" s="3" t="n">
        <v>0</v>
      </c>
      <c r="G5544" s="3" t="n">
        <v>5515.07</v>
      </c>
    </row>
    <row r="5545">
      <c r="A5545" s="3" t="inlineStr">
        <is>
          <t>Heron View (Pty) Ltd</t>
        </is>
      </c>
      <c r="B5545" s="4" t="n">
        <v>45323</v>
      </c>
      <c r="C5545" s="3" t="inlineStr">
        <is>
          <t>Expenses</t>
        </is>
      </c>
      <c r="D5545" s="3" t="inlineStr">
        <is>
          <t>3900/133</t>
        </is>
      </c>
      <c r="E5545" s="3" t="inlineStr">
        <is>
          <t>Interest Paid - Investors @ 8.25%</t>
        </is>
      </c>
      <c r="F5545" s="3" t="n">
        <v>0</v>
      </c>
      <c r="G5545" s="3" t="n">
        <v>33734.3</v>
      </c>
    </row>
    <row r="5546">
      <c r="A5546" s="3" t="inlineStr">
        <is>
          <t>Heron Fields (Pty) Ltd</t>
        </is>
      </c>
      <c r="B5546" s="4" t="n">
        <v>45323</v>
      </c>
      <c r="C5546" s="3" t="inlineStr">
        <is>
          <t>Expenses</t>
        </is>
      </c>
      <c r="D5546" s="3" t="inlineStr">
        <is>
          <t>3900/140</t>
        </is>
      </c>
      <c r="E5546" s="3" t="inlineStr">
        <is>
          <t>Interest Paid - Investors @ 9%</t>
        </is>
      </c>
      <c r="F5546" s="3" t="n">
        <v>0</v>
      </c>
      <c r="G5546" s="3" t="n">
        <v>591.78</v>
      </c>
    </row>
    <row r="5547">
      <c r="A5547" s="3" t="inlineStr">
        <is>
          <t>Heron View (Pty) Ltd</t>
        </is>
      </c>
      <c r="B5547" s="4" t="n">
        <v>45323</v>
      </c>
      <c r="C5547" s="3" t="inlineStr">
        <is>
          <t>Expenses</t>
        </is>
      </c>
      <c r="D5547" s="3" t="inlineStr">
        <is>
          <t>3900/140</t>
        </is>
      </c>
      <c r="E5547" s="3" t="inlineStr">
        <is>
          <t>Interest Paid - Investors @ 9%</t>
        </is>
      </c>
      <c r="F5547" s="3" t="n">
        <v>0</v>
      </c>
      <c r="G5547" s="3" t="n">
        <v>69137.8</v>
      </c>
    </row>
    <row r="5548">
      <c r="A5548" s="3" t="inlineStr">
        <is>
          <t>Heron View (Pty) Ltd</t>
        </is>
      </c>
      <c r="B5548" s="4" t="n">
        <v>45323</v>
      </c>
      <c r="C5548" s="3" t="inlineStr">
        <is>
          <t>Expenses</t>
        </is>
      </c>
      <c r="D5548" s="3" t="inlineStr">
        <is>
          <t>3900/147</t>
        </is>
      </c>
      <c r="E5548" s="3" t="inlineStr">
        <is>
          <t>Interest Paid - Investors @ 9.75%</t>
        </is>
      </c>
      <c r="F5548" s="3" t="n">
        <v>1909.93</v>
      </c>
      <c r="G5548" s="3" t="n">
        <v>4447.83</v>
      </c>
    </row>
    <row r="5549">
      <c r="A5549" s="3" t="inlineStr">
        <is>
          <t>Heron View (Pty) Ltd</t>
        </is>
      </c>
      <c r="B5549" s="4" t="n">
        <v>45323</v>
      </c>
      <c r="C5549" s="3" t="inlineStr">
        <is>
          <t>Expenses</t>
        </is>
      </c>
      <c r="D5549" s="3" t="inlineStr">
        <is>
          <t>3900/150</t>
        </is>
      </c>
      <c r="E5549" s="3" t="inlineStr">
        <is>
          <t>Interest Paid - Investors @ 10%</t>
        </is>
      </c>
      <c r="F5549" s="3" t="n">
        <v>3821.92</v>
      </c>
      <c r="G5549" s="3" t="n">
        <v>9531.51</v>
      </c>
    </row>
    <row r="5550">
      <c r="A5550" s="3" t="inlineStr">
        <is>
          <t>Heron View (Pty) Ltd</t>
        </is>
      </c>
      <c r="B5550" s="4" t="n">
        <v>45323</v>
      </c>
      <c r="C5550" s="3" t="inlineStr">
        <is>
          <t>Expenses</t>
        </is>
      </c>
      <c r="D5550" s="3" t="inlineStr">
        <is>
          <t>3900/155</t>
        </is>
      </c>
      <c r="E5550" s="3" t="inlineStr">
        <is>
          <t>Interest Paid - Investors @ 10.5%</t>
        </is>
      </c>
      <c r="F5550" s="3" t="n">
        <v>0</v>
      </c>
      <c r="G5550" s="3" t="n">
        <v>19334.38</v>
      </c>
    </row>
    <row r="5551">
      <c r="A5551" s="3" t="inlineStr">
        <is>
          <t>Heron View (Pty) Ltd</t>
        </is>
      </c>
      <c r="B5551" s="4" t="n">
        <v>45323</v>
      </c>
      <c r="C5551" s="3" t="inlineStr">
        <is>
          <t>Expenses</t>
        </is>
      </c>
      <c r="D5551" s="3" t="inlineStr">
        <is>
          <t>3900/160</t>
        </is>
      </c>
      <c r="E5551" s="3" t="inlineStr">
        <is>
          <t>Interest Paid - Investors @ 11%</t>
        </is>
      </c>
      <c r="F5551" s="3" t="n">
        <v>0</v>
      </c>
      <c r="G5551" s="3" t="n">
        <v>9131.51</v>
      </c>
    </row>
    <row r="5552">
      <c r="A5552" s="3" t="inlineStr">
        <is>
          <t>Heron Fields (Pty) Ltd</t>
        </is>
      </c>
      <c r="B5552" s="4" t="n">
        <v>45323</v>
      </c>
      <c r="C5552" s="3" t="inlineStr">
        <is>
          <t>Expenses</t>
        </is>
      </c>
      <c r="D5552" s="3" t="inlineStr">
        <is>
          <t>3900/190</t>
        </is>
      </c>
      <c r="E5552" s="3" t="inlineStr">
        <is>
          <t>Interest Paid - Investors @ 14%</t>
        </is>
      </c>
      <c r="F5552" s="3" t="n">
        <v>0</v>
      </c>
      <c r="G5552" s="3" t="n">
        <v>400367.2</v>
      </c>
    </row>
    <row r="5553">
      <c r="A5553" s="3" t="inlineStr">
        <is>
          <t>Heron View (Pty) Ltd</t>
        </is>
      </c>
      <c r="B5553" s="4" t="n">
        <v>45323</v>
      </c>
      <c r="C5553" s="3" t="inlineStr">
        <is>
          <t>Expenses</t>
        </is>
      </c>
      <c r="D5553" s="3" t="inlineStr">
        <is>
          <t>3900/190</t>
        </is>
      </c>
      <c r="E5553" s="3" t="inlineStr">
        <is>
          <t>Interest Paid - Investors @ 14%</t>
        </is>
      </c>
      <c r="F5553" s="3" t="n">
        <v>70767.12</v>
      </c>
      <c r="G5553" s="3" t="n">
        <v>754665.75</v>
      </c>
    </row>
    <row r="5554">
      <c r="A5554" s="3" t="inlineStr">
        <is>
          <t>Heron Fields (Pty) Ltd</t>
        </is>
      </c>
      <c r="B5554" s="4" t="n">
        <v>45323</v>
      </c>
      <c r="C5554" s="3" t="inlineStr">
        <is>
          <t>Expenses</t>
        </is>
      </c>
      <c r="D5554" s="3" t="inlineStr">
        <is>
          <t>3900/200</t>
        </is>
      </c>
      <c r="E5554" s="3" t="inlineStr">
        <is>
          <t>Interest Paid - Investors @ 15%</t>
        </is>
      </c>
      <c r="F5554" s="3" t="n">
        <v>0</v>
      </c>
      <c r="G5554" s="3" t="n">
        <v>333349.31</v>
      </c>
    </row>
    <row r="5555">
      <c r="A5555" s="3" t="inlineStr">
        <is>
          <t>Heron Fields (Pty) Ltd</t>
        </is>
      </c>
      <c r="B5555" s="4" t="n">
        <v>45323</v>
      </c>
      <c r="C5555" s="3" t="inlineStr">
        <is>
          <t>Expenses</t>
        </is>
      </c>
      <c r="D5555" s="3" t="inlineStr">
        <is>
          <t>3900/210</t>
        </is>
      </c>
      <c r="E5555" s="3" t="inlineStr">
        <is>
          <t>Interest Paid - Investors @ 16%</t>
        </is>
      </c>
      <c r="F5555" s="3" t="n">
        <v>0</v>
      </c>
      <c r="G5555" s="3" t="n">
        <v>47473.98</v>
      </c>
    </row>
    <row r="5556">
      <c r="A5556" s="3" t="inlineStr">
        <is>
          <t>Heron View (Pty) Ltd</t>
        </is>
      </c>
      <c r="B5556" s="4" t="n">
        <v>45323</v>
      </c>
      <c r="C5556" s="3" t="inlineStr">
        <is>
          <t>Expenses</t>
        </is>
      </c>
      <c r="D5556" s="3" t="inlineStr">
        <is>
          <t>3900/210</t>
        </is>
      </c>
      <c r="E5556" s="3" t="inlineStr">
        <is>
          <t>Interest Paid - Investors @ 16%</t>
        </is>
      </c>
      <c r="F5556" s="3" t="n">
        <v>0</v>
      </c>
      <c r="G5556" s="3" t="n">
        <v>273806.02</v>
      </c>
    </row>
    <row r="5557">
      <c r="A5557" s="3" t="inlineStr">
        <is>
          <t>Heron Fields (Pty) Ltd</t>
        </is>
      </c>
      <c r="B5557" s="4" t="n">
        <v>45323</v>
      </c>
      <c r="C5557" s="3" t="inlineStr">
        <is>
          <t>Expenses</t>
        </is>
      </c>
      <c r="D5557" s="3" t="inlineStr">
        <is>
          <t>3900/230</t>
        </is>
      </c>
      <c r="E5557" s="3" t="inlineStr">
        <is>
          <t>Interest Paid - Investors @ 18%</t>
        </is>
      </c>
      <c r="F5557" s="3" t="n">
        <v>0</v>
      </c>
      <c r="G5557" s="3" t="n">
        <v>3197167.68</v>
      </c>
    </row>
    <row r="5558">
      <c r="A5558" s="3" t="inlineStr">
        <is>
          <t>Heron View (Pty) Ltd</t>
        </is>
      </c>
      <c r="B5558" s="4" t="n">
        <v>45323</v>
      </c>
      <c r="C5558" s="3" t="inlineStr">
        <is>
          <t>Expenses</t>
        </is>
      </c>
      <c r="D5558" s="3" t="inlineStr">
        <is>
          <t>3900/230</t>
        </is>
      </c>
      <c r="E5558" s="3" t="inlineStr">
        <is>
          <t>Interest Paid - Investors @ 18%</t>
        </is>
      </c>
      <c r="F5558" s="3" t="n">
        <v>170952</v>
      </c>
      <c r="G5558" s="3" t="n">
        <v>3094577.72</v>
      </c>
    </row>
    <row r="5559">
      <c r="A5559" s="3" t="inlineStr">
        <is>
          <t>Cape Projects Construction (Pty) Ltd</t>
        </is>
      </c>
      <c r="B5559" s="4" t="n">
        <v>45323</v>
      </c>
      <c r="C5559" s="3" t="inlineStr">
        <is>
          <t>Expenses</t>
        </is>
      </c>
      <c r="D5559" s="3" t="inlineStr">
        <is>
          <t>4000/000</t>
        </is>
      </c>
      <c r="E5559" s="3" t="inlineStr">
        <is>
          <t>Legal Fees</t>
        </is>
      </c>
      <c r="F5559" s="3" t="n">
        <v>0</v>
      </c>
      <c r="G5559" s="3" t="n">
        <v>5202.88</v>
      </c>
    </row>
    <row r="5560">
      <c r="A5560" s="3" t="inlineStr">
        <is>
          <t>Heron View (Pty) Ltd</t>
        </is>
      </c>
      <c r="B5560" s="4" t="n">
        <v>45323</v>
      </c>
      <c r="C5560" s="3" t="inlineStr">
        <is>
          <t>Expenses</t>
        </is>
      </c>
      <c r="D5560" s="3" t="inlineStr">
        <is>
          <t>4040/000</t>
        </is>
      </c>
      <c r="E5560" s="3" t="inlineStr">
        <is>
          <t>Levies - Special Levies</t>
        </is>
      </c>
      <c r="F5560" s="3" t="n">
        <v>0</v>
      </c>
      <c r="G5560" s="3" t="n">
        <v>66011.50999999999</v>
      </c>
    </row>
    <row r="5561">
      <c r="A5561" s="3" t="inlineStr">
        <is>
          <t>Heron View (Pty) Ltd</t>
        </is>
      </c>
      <c r="B5561" s="4" t="n">
        <v>45323</v>
      </c>
      <c r="C5561" s="3" t="inlineStr">
        <is>
          <t>Expenses</t>
        </is>
      </c>
      <c r="D5561" s="3" t="inlineStr">
        <is>
          <t>4050/000</t>
        </is>
      </c>
      <c r="E5561" s="3" t="inlineStr">
        <is>
          <t>Levies</t>
        </is>
      </c>
      <c r="F5561" s="3" t="n">
        <v>5189</v>
      </c>
      <c r="G5561" s="3" t="n">
        <v>10049.54</v>
      </c>
    </row>
    <row r="5562">
      <c r="A5562" s="3" t="inlineStr">
        <is>
          <t>Heron Fields (Pty) Ltd</t>
        </is>
      </c>
      <c r="B5562" s="4" t="n">
        <v>45323</v>
      </c>
      <c r="C5562" s="3" t="inlineStr">
        <is>
          <t>Expenses</t>
        </is>
      </c>
      <c r="D5562" s="3" t="inlineStr">
        <is>
          <t>4050/100</t>
        </is>
      </c>
      <c r="E5562" s="3" t="inlineStr">
        <is>
          <t>Developers Levies</t>
        </is>
      </c>
      <c r="F5562" s="3" t="n">
        <v>0</v>
      </c>
      <c r="G5562" s="3" t="n">
        <v>76865.83</v>
      </c>
    </row>
    <row r="5563">
      <c r="A5563" s="3" t="inlineStr">
        <is>
          <t>Heron Fields (Pty) Ltd</t>
        </is>
      </c>
      <c r="B5563" s="4" t="n">
        <v>45323</v>
      </c>
      <c r="C5563" s="3" t="inlineStr">
        <is>
          <t>Expenses</t>
        </is>
      </c>
      <c r="D5563" s="3" t="inlineStr">
        <is>
          <t>4050/200</t>
        </is>
      </c>
      <c r="E5563" s="3" t="inlineStr">
        <is>
          <t>Levies - Amari</t>
        </is>
      </c>
      <c r="F5563" s="3" t="n">
        <v>96.59999999999999</v>
      </c>
      <c r="G5563" s="3" t="n">
        <v>28169.52</v>
      </c>
    </row>
    <row r="5564">
      <c r="A5564" s="3" t="inlineStr">
        <is>
          <t>Heron View (Pty) Ltd</t>
        </is>
      </c>
      <c r="B5564" s="4" t="n">
        <v>45323</v>
      </c>
      <c r="C5564" s="3" t="inlineStr">
        <is>
          <t>Expenses</t>
        </is>
      </c>
      <c r="D5564" s="3" t="inlineStr">
        <is>
          <t>4060/000</t>
        </is>
      </c>
      <c r="E5564" s="3" t="inlineStr">
        <is>
          <t>Levies - Developer</t>
        </is>
      </c>
      <c r="F5564" s="3" t="n">
        <v>0</v>
      </c>
      <c r="G5564" s="3" t="n">
        <v>11879.1</v>
      </c>
    </row>
    <row r="5565">
      <c r="A5565" s="3" t="inlineStr">
        <is>
          <t>Heron View (Pty) Ltd</t>
        </is>
      </c>
      <c r="B5565" s="4" t="n">
        <v>45323</v>
      </c>
      <c r="C5565" s="3" t="inlineStr">
        <is>
          <t>Expenses</t>
        </is>
      </c>
      <c r="D5565" s="3" t="inlineStr">
        <is>
          <t>4070/000</t>
        </is>
      </c>
      <c r="E5565" s="3" t="inlineStr">
        <is>
          <t>Management fees - OMH</t>
        </is>
      </c>
      <c r="F5565" s="3" t="n">
        <v>0</v>
      </c>
      <c r="G5565" s="3" t="n">
        <v>400000</v>
      </c>
    </row>
    <row r="5566">
      <c r="A5566" s="3" t="inlineStr">
        <is>
          <t>Heron Fields (Pty) Ltd</t>
        </is>
      </c>
      <c r="B5566" s="4" t="n">
        <v>45323</v>
      </c>
      <c r="C5566" s="3" t="inlineStr">
        <is>
          <t>Expenses</t>
        </is>
      </c>
      <c r="D5566" s="3" t="inlineStr">
        <is>
          <t>4100/001</t>
        </is>
      </c>
      <c r="E5566" s="3" t="inlineStr">
        <is>
          <t>Momentum Admin Fee</t>
        </is>
      </c>
      <c r="F5566" s="3" t="n">
        <v>0</v>
      </c>
      <c r="G5566" s="3" t="n">
        <v>128656.07</v>
      </c>
    </row>
    <row r="5567">
      <c r="A5567" s="3" t="inlineStr">
        <is>
          <t>Cape Projects Construction (Pty) Ltd</t>
        </is>
      </c>
      <c r="B5567" s="4" t="n">
        <v>45323</v>
      </c>
      <c r="C5567" s="3" t="inlineStr">
        <is>
          <t>Expenses</t>
        </is>
      </c>
      <c r="D5567" s="3" t="inlineStr">
        <is>
          <t>4150/000</t>
        </is>
      </c>
      <c r="E5567" s="3" t="inlineStr">
        <is>
          <t>Motor Vehicle Expenses</t>
        </is>
      </c>
      <c r="F5567" s="3" t="n">
        <v>0</v>
      </c>
      <c r="G5567" s="3" t="n">
        <v>362</v>
      </c>
    </row>
    <row r="5568">
      <c r="A5568" s="3" t="inlineStr">
        <is>
          <t>Heron Fields (Pty) Ltd</t>
        </is>
      </c>
      <c r="B5568" s="4" t="n">
        <v>45323</v>
      </c>
      <c r="C5568" s="3" t="inlineStr">
        <is>
          <t>Expenses</t>
        </is>
      </c>
      <c r="D5568" s="3" t="inlineStr">
        <is>
          <t>4150/000</t>
        </is>
      </c>
      <c r="E5568" s="3" t="inlineStr">
        <is>
          <t>Motor Vehicle Expenses</t>
        </is>
      </c>
      <c r="F5568" s="3" t="n">
        <v>0</v>
      </c>
      <c r="G5568" s="3" t="n">
        <v>20</v>
      </c>
    </row>
    <row r="5569">
      <c r="A5569" s="3" t="inlineStr">
        <is>
          <t>Cape Projects Construction (Pty) Ltd</t>
        </is>
      </c>
      <c r="B5569" s="4" t="n">
        <v>45323</v>
      </c>
      <c r="C5569" s="3" t="inlineStr">
        <is>
          <t>Expenses</t>
        </is>
      </c>
      <c r="D5569" s="3" t="inlineStr">
        <is>
          <t>4150/010</t>
        </is>
      </c>
      <c r="E5569" s="3" t="inlineStr">
        <is>
          <t>Motor Vehicle - Petrol _AND_ Oil</t>
        </is>
      </c>
      <c r="F5569" s="3" t="n">
        <v>0</v>
      </c>
      <c r="G5569" s="3" t="n">
        <v>40495.31</v>
      </c>
    </row>
    <row r="5570">
      <c r="A5570" s="3" t="inlineStr">
        <is>
          <t>Cape Projects Construction (Pty) Ltd</t>
        </is>
      </c>
      <c r="B5570" s="4" t="n">
        <v>45323</v>
      </c>
      <c r="C5570" s="3" t="inlineStr">
        <is>
          <t>Expenses</t>
        </is>
      </c>
      <c r="D5570" s="3" t="inlineStr">
        <is>
          <t>4150/020</t>
        </is>
      </c>
      <c r="E5570" s="3" t="inlineStr">
        <is>
          <t>Motor Vehicle - Repairs _AND_ Maint.</t>
        </is>
      </c>
      <c r="F5570" s="3" t="n">
        <v>0</v>
      </c>
      <c r="G5570" s="3" t="n">
        <v>3668.3</v>
      </c>
    </row>
    <row r="5571">
      <c r="A5571" s="3" t="inlineStr">
        <is>
          <t>Cape Projects Construction (Pty) Ltd</t>
        </is>
      </c>
      <c r="B5571" s="4" t="n">
        <v>45323</v>
      </c>
      <c r="C5571" s="3" t="inlineStr">
        <is>
          <t>Expenses</t>
        </is>
      </c>
      <c r="D5571" s="3" t="inlineStr">
        <is>
          <t>4150/030</t>
        </is>
      </c>
      <c r="E5571" s="3" t="inlineStr">
        <is>
          <t>Motor Vehicle - Insurance _AND_ Licence</t>
        </is>
      </c>
      <c r="F5571" s="3" t="n">
        <v>0</v>
      </c>
      <c r="G5571" s="3" t="n">
        <v>1069</v>
      </c>
    </row>
    <row r="5572">
      <c r="A5572" s="3" t="inlineStr">
        <is>
          <t>Cape Projects Construction (Pty) Ltd</t>
        </is>
      </c>
      <c r="B5572" s="4" t="n">
        <v>45323</v>
      </c>
      <c r="C5572" s="3" t="inlineStr">
        <is>
          <t>Expenses</t>
        </is>
      </c>
      <c r="D5572" s="3" t="inlineStr">
        <is>
          <t>4200/000</t>
        </is>
      </c>
      <c r="E5572" s="3" t="inlineStr">
        <is>
          <t>Printing _AND_ Stationery</t>
        </is>
      </c>
      <c r="F5572" s="3" t="n">
        <v>0</v>
      </c>
      <c r="G5572" s="3" t="n">
        <v>45147.94</v>
      </c>
    </row>
    <row r="5573">
      <c r="A5573" s="3" t="inlineStr">
        <is>
          <t>Cape Projects Construction (Pty) Ltd</t>
        </is>
      </c>
      <c r="B5573" s="4" t="n">
        <v>45323</v>
      </c>
      <c r="C5573" s="3" t="inlineStr">
        <is>
          <t>Expenses</t>
        </is>
      </c>
      <c r="D5573" s="3" t="inlineStr">
        <is>
          <t>4201/000</t>
        </is>
      </c>
      <c r="E5573" s="3" t="inlineStr">
        <is>
          <t>Printing - Printer rental</t>
        </is>
      </c>
      <c r="F5573" s="3" t="n">
        <v>751.46</v>
      </c>
      <c r="G5573" s="3" t="n">
        <v>24440.97</v>
      </c>
    </row>
    <row r="5574">
      <c r="A5574" s="3" t="inlineStr">
        <is>
          <t>Cape Projects Construction (Pty) Ltd</t>
        </is>
      </c>
      <c r="B5574" s="4" t="n">
        <v>45323</v>
      </c>
      <c r="C5574" s="3" t="inlineStr">
        <is>
          <t>Expenses</t>
        </is>
      </c>
      <c r="D5574" s="3" t="inlineStr">
        <is>
          <t>4300/000</t>
        </is>
      </c>
      <c r="E5574" s="3" t="inlineStr">
        <is>
          <t>Rent Paid</t>
        </is>
      </c>
      <c r="F5574" s="3" t="n">
        <v>31820</v>
      </c>
      <c r="G5574" s="3" t="n">
        <v>364080</v>
      </c>
    </row>
    <row r="5575">
      <c r="A5575" s="3" t="inlineStr">
        <is>
          <t>Cape Projects Construction (Pty) Ltd</t>
        </is>
      </c>
      <c r="B5575" s="4" t="n">
        <v>45323</v>
      </c>
      <c r="C5575" s="3" t="inlineStr">
        <is>
          <t>Expenses</t>
        </is>
      </c>
      <c r="D5575" s="3" t="inlineStr">
        <is>
          <t>4310/000</t>
        </is>
      </c>
      <c r="E5575" s="3" t="inlineStr">
        <is>
          <t>Rates</t>
        </is>
      </c>
      <c r="F5575" s="3" t="n">
        <v>989.75</v>
      </c>
      <c r="G5575" s="3" t="n">
        <v>28332.88</v>
      </c>
    </row>
    <row r="5576">
      <c r="A5576" s="3" t="inlineStr">
        <is>
          <t>Heron Fields (Pty) Ltd</t>
        </is>
      </c>
      <c r="B5576" s="4" t="n">
        <v>45323</v>
      </c>
      <c r="C5576" s="3" t="inlineStr">
        <is>
          <t>Expenses</t>
        </is>
      </c>
      <c r="D5576" s="3" t="inlineStr">
        <is>
          <t>4310/000</t>
        </is>
      </c>
      <c r="E5576" s="3" t="inlineStr">
        <is>
          <t>Rates - Heron</t>
        </is>
      </c>
      <c r="F5576" s="3" t="n">
        <v>0</v>
      </c>
      <c r="G5576" s="3" t="n">
        <v>211633.66</v>
      </c>
    </row>
    <row r="5577">
      <c r="A5577" s="3" t="inlineStr">
        <is>
          <t>Cape Projects Construction (Pty) Ltd</t>
        </is>
      </c>
      <c r="B5577" s="4" t="n">
        <v>45323</v>
      </c>
      <c r="C5577" s="3" t="inlineStr">
        <is>
          <t>Expenses</t>
        </is>
      </c>
      <c r="D5577" s="3" t="inlineStr">
        <is>
          <t>4350/000</t>
        </is>
      </c>
      <c r="E5577" s="3" t="inlineStr">
        <is>
          <t>Repairs _AND_ Maintenance</t>
        </is>
      </c>
      <c r="F5577" s="3" t="n">
        <v>520</v>
      </c>
      <c r="G5577" s="3" t="n">
        <v>16626.12</v>
      </c>
    </row>
    <row r="5578">
      <c r="A5578" s="3" t="inlineStr">
        <is>
          <t>Heron Fields (Pty) Ltd</t>
        </is>
      </c>
      <c r="B5578" s="4" t="n">
        <v>45323</v>
      </c>
      <c r="C5578" s="3" t="inlineStr">
        <is>
          <t>Expenses</t>
        </is>
      </c>
      <c r="D5578" s="3" t="inlineStr">
        <is>
          <t>4350/000</t>
        </is>
      </c>
      <c r="E5578" s="3" t="inlineStr">
        <is>
          <t>Repairs _AND_ Maintenance</t>
        </is>
      </c>
      <c r="F5578" s="3" t="n">
        <v>0</v>
      </c>
      <c r="G5578" s="3" t="n">
        <v>34547.28</v>
      </c>
    </row>
    <row r="5579">
      <c r="A5579" s="3" t="inlineStr">
        <is>
          <t>Heron View (Pty) Ltd</t>
        </is>
      </c>
      <c r="B5579" s="4" t="n">
        <v>45323</v>
      </c>
      <c r="C5579" s="3" t="inlineStr">
        <is>
          <t>Expenses</t>
        </is>
      </c>
      <c r="D5579" s="3" t="inlineStr">
        <is>
          <t>4350/000</t>
        </is>
      </c>
      <c r="E5579" s="3" t="inlineStr">
        <is>
          <t>Repairs _AND_ Maintenance</t>
        </is>
      </c>
      <c r="F5579" s="3" t="n">
        <v>0</v>
      </c>
      <c r="G5579" s="3" t="n">
        <v>23147.12</v>
      </c>
    </row>
    <row r="5580">
      <c r="A5580" s="3" t="inlineStr">
        <is>
          <t>Cape Projects Construction (Pty) Ltd</t>
        </is>
      </c>
      <c r="B5580" s="4" t="n">
        <v>45323</v>
      </c>
      <c r="C5580" s="3" t="inlineStr">
        <is>
          <t>Expenses</t>
        </is>
      </c>
      <c r="D5580" s="3" t="inlineStr">
        <is>
          <t>4400/000</t>
        </is>
      </c>
      <c r="E5580" s="3" t="inlineStr">
        <is>
          <t>Salaries _AND_ Wages</t>
        </is>
      </c>
      <c r="F5580" s="3" t="n">
        <v>0</v>
      </c>
      <c r="G5580" s="3" t="n">
        <v>4236868.55</v>
      </c>
    </row>
    <row r="5581">
      <c r="A5581" s="3" t="inlineStr">
        <is>
          <t>Cape Projects Construction (Pty) Ltd</t>
        </is>
      </c>
      <c r="B5581" s="4" t="n">
        <v>45323</v>
      </c>
      <c r="C5581" s="3" t="inlineStr">
        <is>
          <t>Expenses</t>
        </is>
      </c>
      <c r="D5581" s="3" t="inlineStr">
        <is>
          <t>4402</t>
        </is>
      </c>
      <c r="E5581" s="3" t="inlineStr">
        <is>
          <t>Salaries &amp; Wages - WCA</t>
        </is>
      </c>
      <c r="F5581" s="3" t="n">
        <v>0</v>
      </c>
      <c r="G5581" s="3" t="n">
        <v>5192.13</v>
      </c>
    </row>
    <row r="5582">
      <c r="A5582" s="3" t="inlineStr">
        <is>
          <t>Cape Projects Construction (Pty) Ltd</t>
        </is>
      </c>
      <c r="B5582" s="4" t="n">
        <v>45323</v>
      </c>
      <c r="C5582" s="3" t="inlineStr">
        <is>
          <t>Expenses</t>
        </is>
      </c>
      <c r="D5582" s="3" t="inlineStr">
        <is>
          <t>4403/000</t>
        </is>
      </c>
      <c r="E5582" s="3" t="inlineStr">
        <is>
          <t>Security</t>
        </is>
      </c>
      <c r="F5582" s="3" t="n">
        <v>0</v>
      </c>
      <c r="G5582" s="3" t="n">
        <v>2005.99</v>
      </c>
    </row>
    <row r="5583">
      <c r="A5583" s="3" t="inlineStr">
        <is>
          <t>Heron Fields (Pty) Ltd</t>
        </is>
      </c>
      <c r="B5583" s="4" t="n">
        <v>45323</v>
      </c>
      <c r="C5583" s="3" t="inlineStr">
        <is>
          <t>Expenses</t>
        </is>
      </c>
      <c r="D5583" s="3" t="inlineStr">
        <is>
          <t>4420/000</t>
        </is>
      </c>
      <c r="E5583" s="3" t="inlineStr">
        <is>
          <t>Security</t>
        </is>
      </c>
      <c r="F5583" s="3" t="n">
        <v>0</v>
      </c>
      <c r="G5583" s="3" t="n">
        <v>7198.71</v>
      </c>
    </row>
    <row r="5584">
      <c r="A5584" s="3" t="inlineStr">
        <is>
          <t>Cape Projects Construction (Pty) Ltd</t>
        </is>
      </c>
      <c r="B5584" s="4" t="n">
        <v>45323</v>
      </c>
      <c r="C5584" s="3" t="inlineStr">
        <is>
          <t>Expenses</t>
        </is>
      </c>
      <c r="D5584" s="3" t="inlineStr">
        <is>
          <t>4420/000</t>
        </is>
      </c>
      <c r="E5584" s="3" t="inlineStr">
        <is>
          <t>Small Assets</t>
        </is>
      </c>
      <c r="F5584" s="3" t="n">
        <v>0</v>
      </c>
      <c r="G5584" s="3" t="n">
        <v>33441.99</v>
      </c>
    </row>
    <row r="5585">
      <c r="A5585" s="3" t="inlineStr">
        <is>
          <t>Heron Fields (Pty) Ltd</t>
        </is>
      </c>
      <c r="B5585" s="4" t="n">
        <v>45323</v>
      </c>
      <c r="C5585" s="3" t="inlineStr">
        <is>
          <t>Expenses</t>
        </is>
      </c>
      <c r="D5585" s="3" t="inlineStr">
        <is>
          <t>4420/001</t>
        </is>
      </c>
      <c r="E5585" s="3" t="inlineStr">
        <is>
          <t>Security - ADT</t>
        </is>
      </c>
      <c r="F5585" s="3" t="n">
        <v>374.64</v>
      </c>
      <c r="G5585" s="3" t="n">
        <v>4676.39</v>
      </c>
    </row>
    <row r="5586">
      <c r="A5586" s="3" t="inlineStr">
        <is>
          <t>Cape Projects Construction (Pty) Ltd</t>
        </is>
      </c>
      <c r="B5586" s="4" t="n">
        <v>45323</v>
      </c>
      <c r="C5586" s="3" t="inlineStr">
        <is>
          <t>Expenses</t>
        </is>
      </c>
      <c r="D5586" s="3" t="inlineStr">
        <is>
          <t>4450/000</t>
        </is>
      </c>
      <c r="E5586" s="3" t="inlineStr">
        <is>
          <t>Staff Training</t>
        </is>
      </c>
      <c r="F5586" s="3" t="n">
        <v>0</v>
      </c>
      <c r="G5586" s="3" t="n">
        <v>3452.7</v>
      </c>
    </row>
    <row r="5587">
      <c r="A5587" s="3" t="inlineStr">
        <is>
          <t>Cape Projects Construction (Pty) Ltd</t>
        </is>
      </c>
      <c r="B5587" s="4" t="n">
        <v>45323</v>
      </c>
      <c r="C5587" s="3" t="inlineStr">
        <is>
          <t>Expenses</t>
        </is>
      </c>
      <c r="D5587" s="3" t="inlineStr">
        <is>
          <t>4500/000</t>
        </is>
      </c>
      <c r="E5587" s="3" t="inlineStr">
        <is>
          <t>Staff Welfare _AND_ Refreshmts</t>
        </is>
      </c>
      <c r="F5587" s="3" t="n">
        <v>0</v>
      </c>
      <c r="G5587" s="3" t="n">
        <v>36787.25</v>
      </c>
    </row>
    <row r="5588">
      <c r="A5588" s="3" t="inlineStr">
        <is>
          <t>Cape Projects Construction (Pty) Ltd</t>
        </is>
      </c>
      <c r="B5588" s="4" t="n">
        <v>45323</v>
      </c>
      <c r="C5588" s="3" t="inlineStr">
        <is>
          <t>Expenses</t>
        </is>
      </c>
      <c r="D5588" s="3" t="inlineStr">
        <is>
          <t>4550/000</t>
        </is>
      </c>
      <c r="E5588" s="3" t="inlineStr">
        <is>
          <t>Subscriptions / Licenses</t>
        </is>
      </c>
      <c r="F5588" s="3" t="n">
        <v>0</v>
      </c>
      <c r="G5588" s="3" t="n">
        <v>13527.97</v>
      </c>
    </row>
    <row r="5589">
      <c r="A5589" s="3" t="inlineStr">
        <is>
          <t>Cape Projects Construction (Pty) Ltd</t>
        </is>
      </c>
      <c r="B5589" s="4" t="n">
        <v>45323</v>
      </c>
      <c r="C5589" s="3" t="inlineStr">
        <is>
          <t>Expenses</t>
        </is>
      </c>
      <c r="D5589" s="3" t="inlineStr">
        <is>
          <t>4550/001</t>
        </is>
      </c>
      <c r="E5589" s="3" t="inlineStr">
        <is>
          <t>Subscriptions &amp; Licenses - Sage payroll</t>
        </is>
      </c>
      <c r="F5589" s="3" t="n">
        <v>0</v>
      </c>
      <c r="G5589" s="3" t="n">
        <v>7470</v>
      </c>
    </row>
    <row r="5590">
      <c r="A5590" s="3" t="inlineStr">
        <is>
          <t>Cape Projects Construction (Pty) Ltd</t>
        </is>
      </c>
      <c r="B5590" s="4" t="n">
        <v>45323</v>
      </c>
      <c r="C5590" s="3" t="inlineStr">
        <is>
          <t>Expenses</t>
        </is>
      </c>
      <c r="D5590" s="3" t="inlineStr">
        <is>
          <t>4550/002</t>
        </is>
      </c>
      <c r="E5590" s="3" t="inlineStr">
        <is>
          <t>Subscriptions &amp; Licenses - Caseware</t>
        </is>
      </c>
      <c r="F5590" s="3" t="n">
        <v>0</v>
      </c>
      <c r="G5590" s="3" t="n">
        <v>10825.49</v>
      </c>
    </row>
    <row r="5591">
      <c r="A5591" s="3" t="inlineStr">
        <is>
          <t>Cape Projects Construction (Pty) Ltd</t>
        </is>
      </c>
      <c r="B5591" s="4" t="n">
        <v>45323</v>
      </c>
      <c r="C5591" s="3" t="inlineStr">
        <is>
          <t>Expenses</t>
        </is>
      </c>
      <c r="D5591" s="3" t="inlineStr">
        <is>
          <t>4550/003</t>
        </is>
      </c>
      <c r="E5591" s="3" t="inlineStr">
        <is>
          <t>Subscriptions &amp; Licenses - Xero</t>
        </is>
      </c>
      <c r="F5591" s="3" t="n">
        <v>0</v>
      </c>
      <c r="G5591" s="3" t="n">
        <v>6600</v>
      </c>
    </row>
    <row r="5592">
      <c r="A5592" s="3" t="inlineStr">
        <is>
          <t>Cape Projects Construction (Pty) Ltd</t>
        </is>
      </c>
      <c r="B5592" s="4" t="n">
        <v>45323</v>
      </c>
      <c r="C5592" s="3" t="inlineStr">
        <is>
          <t>Expenses</t>
        </is>
      </c>
      <c r="D5592" s="3" t="inlineStr">
        <is>
          <t>4550/004</t>
        </is>
      </c>
      <c r="E5592" s="3" t="inlineStr">
        <is>
          <t>Subscriptions - Smartsheet</t>
        </is>
      </c>
      <c r="F5592" s="3" t="n">
        <v>0</v>
      </c>
      <c r="G5592" s="3" t="n">
        <v>11063.41</v>
      </c>
    </row>
    <row r="5593">
      <c r="A5593" s="3" t="inlineStr">
        <is>
          <t>Cape Projects Construction (Pty) Ltd</t>
        </is>
      </c>
      <c r="B5593" s="4" t="n">
        <v>45323</v>
      </c>
      <c r="C5593" s="3" t="inlineStr">
        <is>
          <t>Expenses</t>
        </is>
      </c>
      <c r="D5593" s="3" t="inlineStr">
        <is>
          <t>4550/007</t>
        </is>
      </c>
      <c r="E5593" s="3" t="inlineStr">
        <is>
          <t>Subscription &amp; Licenses - ERS Bio</t>
        </is>
      </c>
      <c r="F5593" s="3" t="n">
        <v>718.9299999999999</v>
      </c>
      <c r="G5593" s="3" t="n">
        <v>3594.65</v>
      </c>
    </row>
    <row r="5594">
      <c r="A5594" s="3" t="inlineStr">
        <is>
          <t>Cape Projects Construction (Pty) Ltd</t>
        </is>
      </c>
      <c r="B5594" s="4" t="n">
        <v>45323</v>
      </c>
      <c r="C5594" s="3" t="inlineStr">
        <is>
          <t>Expenses</t>
        </is>
      </c>
      <c r="D5594" s="3" t="inlineStr">
        <is>
          <t>4550/008</t>
        </is>
      </c>
      <c r="E5594" s="3" t="inlineStr">
        <is>
          <t>Subscriptions  - Adobe</t>
        </is>
      </c>
      <c r="F5594" s="3" t="n">
        <v>0</v>
      </c>
      <c r="G5594" s="3" t="n">
        <v>4498.72</v>
      </c>
    </row>
    <row r="5595">
      <c r="A5595" s="3" t="inlineStr">
        <is>
          <t>Heron Fields (Pty) Ltd</t>
        </is>
      </c>
      <c r="B5595" s="4" t="n">
        <v>45323</v>
      </c>
      <c r="C5595" s="3" t="inlineStr">
        <is>
          <t>Expenses</t>
        </is>
      </c>
      <c r="D5595" s="3" t="inlineStr">
        <is>
          <t>4550/100</t>
        </is>
      </c>
      <c r="E5595" s="3" t="inlineStr">
        <is>
          <t>Subscriptions - Xero</t>
        </is>
      </c>
      <c r="F5595" s="3" t="n">
        <v>0</v>
      </c>
      <c r="G5595" s="3" t="n">
        <v>6600</v>
      </c>
    </row>
    <row r="5596">
      <c r="A5596" s="3" t="inlineStr">
        <is>
          <t>Heron View (Pty) Ltd</t>
        </is>
      </c>
      <c r="B5596" s="4" t="n">
        <v>45323</v>
      </c>
      <c r="C5596" s="3" t="inlineStr">
        <is>
          <t>Expenses</t>
        </is>
      </c>
      <c r="D5596" s="3" t="inlineStr">
        <is>
          <t>4550/100</t>
        </is>
      </c>
      <c r="E5596" s="3" t="inlineStr">
        <is>
          <t>Subscriptions - Xero</t>
        </is>
      </c>
      <c r="F5596" s="3" t="n">
        <v>0</v>
      </c>
      <c r="G5596" s="3" t="n">
        <v>6600</v>
      </c>
    </row>
    <row r="5597">
      <c r="A5597" s="3" t="inlineStr">
        <is>
          <t>Heron Fields (Pty) Ltd</t>
        </is>
      </c>
      <c r="B5597" s="4" t="n">
        <v>45323</v>
      </c>
      <c r="C5597" s="3" t="inlineStr">
        <is>
          <t>Expenses</t>
        </is>
      </c>
      <c r="D5597" s="3" t="inlineStr">
        <is>
          <t>4550/200</t>
        </is>
      </c>
      <c r="E5597" s="3" t="inlineStr">
        <is>
          <t>Subscription - NHBRC</t>
        </is>
      </c>
      <c r="F5597" s="3" t="n">
        <v>0</v>
      </c>
      <c r="G5597" s="3" t="n">
        <v>526.3200000000001</v>
      </c>
    </row>
    <row r="5598">
      <c r="A5598" s="3" t="inlineStr">
        <is>
          <t>Cape Projects Construction (Pty) Ltd</t>
        </is>
      </c>
      <c r="B5598" s="4" t="n">
        <v>45323</v>
      </c>
      <c r="C5598" s="3" t="inlineStr">
        <is>
          <t>Expenses</t>
        </is>
      </c>
      <c r="D5598" s="3" t="inlineStr">
        <is>
          <t>4560</t>
        </is>
      </c>
      <c r="E5598" s="3" t="inlineStr">
        <is>
          <t>Secretarial fees - CIPC</t>
        </is>
      </c>
      <c r="F5598" s="3" t="n">
        <v>0</v>
      </c>
      <c r="G5598" s="3" t="n">
        <v>4000</v>
      </c>
    </row>
    <row r="5599">
      <c r="A5599" s="3" t="inlineStr">
        <is>
          <t>Cape Projects Construction (Pty) Ltd</t>
        </is>
      </c>
      <c r="B5599" s="4" t="n">
        <v>45323</v>
      </c>
      <c r="C5599" s="3" t="inlineStr">
        <is>
          <t>Expenses</t>
        </is>
      </c>
      <c r="D5599" s="3" t="inlineStr">
        <is>
          <t>4600/000</t>
        </is>
      </c>
      <c r="E5599" s="3" t="inlineStr">
        <is>
          <t>Telephone _AND_ Fax</t>
        </is>
      </c>
      <c r="F5599" s="3" t="n">
        <v>0</v>
      </c>
      <c r="G5599" s="3" t="n">
        <v>11566.33</v>
      </c>
    </row>
    <row r="5600">
      <c r="A5600" s="3" t="inlineStr">
        <is>
          <t>Cape Projects Construction (Pty) Ltd</t>
        </is>
      </c>
      <c r="B5600" s="4" t="n">
        <v>45323</v>
      </c>
      <c r="C5600" s="3" t="inlineStr">
        <is>
          <t>Expenses</t>
        </is>
      </c>
      <c r="D5600" s="3" t="inlineStr">
        <is>
          <t>4700/000</t>
        </is>
      </c>
      <c r="E5600" s="3" t="inlineStr">
        <is>
          <t>PAYE Contributions</t>
        </is>
      </c>
      <c r="F5600" s="3" t="n">
        <v>0</v>
      </c>
      <c r="G5600" s="3" t="n">
        <v>944073.0699999999</v>
      </c>
    </row>
    <row r="5601">
      <c r="A5601" s="3" t="inlineStr">
        <is>
          <t>Cape Projects Construction (Pty) Ltd</t>
        </is>
      </c>
      <c r="B5601" s="4" t="n">
        <v>45323</v>
      </c>
      <c r="C5601" s="3" t="inlineStr">
        <is>
          <t>Expenses</t>
        </is>
      </c>
      <c r="D5601" s="3" t="inlineStr">
        <is>
          <t>4720/000</t>
        </is>
      </c>
      <c r="E5601" s="3" t="inlineStr">
        <is>
          <t>SDL Contributions</t>
        </is>
      </c>
      <c r="F5601" s="3" t="n">
        <v>0</v>
      </c>
      <c r="G5601" s="3" t="n">
        <v>50468.37</v>
      </c>
    </row>
    <row r="5602">
      <c r="A5602" s="3" t="inlineStr">
        <is>
          <t>Cape Projects Construction (Pty) Ltd</t>
        </is>
      </c>
      <c r="B5602" s="4" t="n">
        <v>45323</v>
      </c>
      <c r="C5602" s="3" t="inlineStr">
        <is>
          <t>Expenses</t>
        </is>
      </c>
      <c r="D5602" s="3" t="inlineStr">
        <is>
          <t>4730/000</t>
        </is>
      </c>
      <c r="E5602" s="3" t="inlineStr">
        <is>
          <t>UIF Company Contributions</t>
        </is>
      </c>
      <c r="F5602" s="3" t="n">
        <v>0</v>
      </c>
      <c r="G5602" s="3" t="n">
        <v>28007.9</v>
      </c>
    </row>
    <row r="5603">
      <c r="A5603" s="3" t="inlineStr">
        <is>
          <t>Cape Projects Construction (Pty) Ltd</t>
        </is>
      </c>
      <c r="B5603" s="4" t="n">
        <v>45323</v>
      </c>
      <c r="C5603" s="3" t="inlineStr">
        <is>
          <t>Expenses</t>
        </is>
      </c>
      <c r="D5603" s="3" t="inlineStr">
        <is>
          <t>4731/000</t>
        </is>
      </c>
      <c r="E5603" s="3" t="inlineStr">
        <is>
          <t>UIF Employee Contribution</t>
        </is>
      </c>
      <c r="F5603" s="3" t="n">
        <v>0</v>
      </c>
      <c r="G5603" s="3" t="n">
        <v>28007.9</v>
      </c>
    </row>
    <row r="5604">
      <c r="A5604" s="3" t="inlineStr">
        <is>
          <t>Cape Projects Construction (Pty) Ltd</t>
        </is>
      </c>
      <c r="B5604" s="4" t="n">
        <v>45323</v>
      </c>
      <c r="C5604" s="3" t="inlineStr">
        <is>
          <t>Expenses</t>
        </is>
      </c>
      <c r="D5604" s="3" t="inlineStr">
        <is>
          <t>4740/000</t>
        </is>
      </c>
      <c r="E5604" s="3" t="inlineStr">
        <is>
          <t>BIBC Company Contribution</t>
        </is>
      </c>
      <c r="F5604" s="3" t="n">
        <v>0</v>
      </c>
      <c r="G5604" s="3" t="n">
        <v>15075.35</v>
      </c>
    </row>
    <row r="5605">
      <c r="A5605" s="3" t="inlineStr">
        <is>
          <t>Cape Projects Construction (Pty) Ltd</t>
        </is>
      </c>
      <c r="B5605" s="4" t="n">
        <v>45323</v>
      </c>
      <c r="C5605" s="3" t="inlineStr">
        <is>
          <t>Expenses</t>
        </is>
      </c>
      <c r="D5605" s="3" t="inlineStr">
        <is>
          <t>4741/000</t>
        </is>
      </c>
      <c r="E5605" s="3" t="inlineStr">
        <is>
          <t>BIBC Employee Contribution</t>
        </is>
      </c>
      <c r="F5605" s="3" t="n">
        <v>0</v>
      </c>
      <c r="G5605" s="3" t="n">
        <v>4562.1</v>
      </c>
    </row>
    <row r="5606">
      <c r="A5606" s="3" t="inlineStr">
        <is>
          <t>Heron Fields (Pty) Ltd</t>
        </is>
      </c>
      <c r="B5606" s="4" t="n">
        <v>45323</v>
      </c>
      <c r="C5606" s="3" t="inlineStr">
        <is>
          <t>Equity</t>
        </is>
      </c>
      <c r="D5606" s="3" t="inlineStr">
        <is>
          <t>5100-000</t>
        </is>
      </c>
      <c r="E5606" s="3" t="inlineStr">
        <is>
          <t>Share Capital</t>
        </is>
      </c>
      <c r="F5606" s="3" t="n">
        <v>0</v>
      </c>
      <c r="G5606" s="3" t="n">
        <v>-100</v>
      </c>
    </row>
    <row r="5607">
      <c r="A5607" s="3" t="inlineStr">
        <is>
          <t>Cape Projects Construction (Pty) Ltd</t>
        </is>
      </c>
      <c r="B5607" s="4" t="n">
        <v>45323</v>
      </c>
      <c r="C5607" s="3" t="inlineStr">
        <is>
          <t>Equity</t>
        </is>
      </c>
      <c r="D5607" s="3" t="inlineStr">
        <is>
          <t>5100/000</t>
        </is>
      </c>
      <c r="E5607" s="3" t="inlineStr">
        <is>
          <t>Share Capital / Members Contribution</t>
        </is>
      </c>
      <c r="F5607" s="3" t="n">
        <v>0</v>
      </c>
      <c r="G5607" s="3" t="n">
        <v>-120</v>
      </c>
    </row>
    <row r="5608">
      <c r="A5608" s="3" t="inlineStr">
        <is>
          <t>Cape Projects Construction (Pty) Ltd</t>
        </is>
      </c>
      <c r="B5608" s="4" t="n">
        <v>45323</v>
      </c>
      <c r="C5608" s="3" t="inlineStr">
        <is>
          <t>Equity</t>
        </is>
      </c>
      <c r="D5608" s="3" t="inlineStr">
        <is>
          <t>5200/000</t>
        </is>
      </c>
      <c r="E5608" s="3" t="inlineStr">
        <is>
          <t>Retained Earnings / Loss</t>
        </is>
      </c>
      <c r="F5608" s="3" t="n">
        <v>0</v>
      </c>
      <c r="G5608" s="3" t="n">
        <v>-296075.58</v>
      </c>
    </row>
    <row r="5609">
      <c r="A5609" s="3" t="inlineStr">
        <is>
          <t>Heron Fields (Pty) Ltd</t>
        </is>
      </c>
      <c r="B5609" s="4" t="n">
        <v>45323</v>
      </c>
      <c r="C5609" s="3" t="inlineStr">
        <is>
          <t>Equity</t>
        </is>
      </c>
      <c r="D5609" s="3" t="inlineStr">
        <is>
          <t>5200/000</t>
        </is>
      </c>
      <c r="E5609" s="3" t="inlineStr">
        <is>
          <t>Retained Earnings / Loss</t>
        </is>
      </c>
      <c r="F5609" s="3" t="n">
        <v>0</v>
      </c>
      <c r="G5609" s="3" t="n">
        <v>-17843179.58</v>
      </c>
    </row>
    <row r="5610">
      <c r="A5610" s="3" t="inlineStr">
        <is>
          <t>Heron View (Pty) Ltd</t>
        </is>
      </c>
      <c r="B5610" s="4" t="n">
        <v>45323</v>
      </c>
      <c r="C5610" s="3" t="inlineStr">
        <is>
          <t>Equity</t>
        </is>
      </c>
      <c r="D5610" s="3" t="inlineStr">
        <is>
          <t>5200/000</t>
        </is>
      </c>
      <c r="E5610" s="3" t="inlineStr">
        <is>
          <t>Retained Earnings / Loss</t>
        </is>
      </c>
      <c r="F5610" s="3" t="n">
        <v>0</v>
      </c>
      <c r="G5610" s="3" t="n">
        <v>70398.12</v>
      </c>
    </row>
    <row r="5611">
      <c r="A5611" s="3" t="inlineStr">
        <is>
          <t>Heron Fields (Pty) Ltd</t>
        </is>
      </c>
      <c r="B5611" s="4" t="n">
        <v>45323</v>
      </c>
      <c r="C5611" s="3" t="inlineStr">
        <is>
          <t>Assets</t>
        </is>
      </c>
      <c r="D5611" s="3" t="inlineStr">
        <is>
          <t>5300/001</t>
        </is>
      </c>
      <c r="E5611" s="3" t="inlineStr">
        <is>
          <t>Revaluation of Land stock</t>
        </is>
      </c>
      <c r="F5611" s="3" t="n">
        <v>0</v>
      </c>
      <c r="G5611" s="3" t="n">
        <v>17562360.85</v>
      </c>
    </row>
    <row r="5612">
      <c r="A5612" s="3" t="inlineStr">
        <is>
          <t>Heron Fields (Pty) Ltd</t>
        </is>
      </c>
      <c r="B5612" s="4" t="n">
        <v>45323</v>
      </c>
      <c r="C5612" s="3" t="inlineStr">
        <is>
          <t>Assets</t>
        </is>
      </c>
      <c r="D5612" s="3" t="inlineStr">
        <is>
          <t>5400/000</t>
        </is>
      </c>
      <c r="E5612" s="3" t="inlineStr">
        <is>
          <t>Deposit: Ruiterwacht development</t>
        </is>
      </c>
      <c r="F5612" s="3" t="n">
        <v>0</v>
      </c>
      <c r="G5612" s="3" t="n">
        <v>13457359</v>
      </c>
    </row>
    <row r="5613">
      <c r="A5613" s="3" t="inlineStr">
        <is>
          <t>Cape Projects Construction (Pty) Ltd</t>
        </is>
      </c>
      <c r="B5613" s="4" t="n">
        <v>45323</v>
      </c>
      <c r="C5613" s="3" t="inlineStr">
        <is>
          <t>Assets</t>
        </is>
      </c>
      <c r="D5613" s="3" t="inlineStr">
        <is>
          <t>5400/150</t>
        </is>
      </c>
      <c r="E5613" s="3" t="inlineStr">
        <is>
          <t>Loan - Quinate</t>
        </is>
      </c>
      <c r="F5613" s="3" t="n">
        <v>0</v>
      </c>
      <c r="G5613" s="3" t="n">
        <v>-4057423.63</v>
      </c>
    </row>
    <row r="5614">
      <c r="A5614" s="3" t="inlineStr">
        <is>
          <t>Cape Projects Construction (Pty) Ltd</t>
        </is>
      </c>
      <c r="B5614" s="4" t="n">
        <v>45323</v>
      </c>
      <c r="C5614" s="3" t="inlineStr">
        <is>
          <t>Assets</t>
        </is>
      </c>
      <c r="D5614" s="3" t="inlineStr">
        <is>
          <t>5400/220</t>
        </is>
      </c>
      <c r="E5614" s="3" t="inlineStr">
        <is>
          <t>Members Loan - WH</t>
        </is>
      </c>
      <c r="F5614" s="3" t="n">
        <v>0</v>
      </c>
      <c r="G5614" s="3" t="n">
        <v>-4342.5</v>
      </c>
    </row>
    <row r="5615">
      <c r="A5615" s="3" t="inlineStr">
        <is>
          <t>Cape Projects Construction (Pty) Ltd</t>
        </is>
      </c>
      <c r="B5615" s="4" t="n">
        <v>45323</v>
      </c>
      <c r="C5615" s="3" t="inlineStr">
        <is>
          <t>Assets</t>
        </is>
      </c>
      <c r="D5615" s="3" t="inlineStr">
        <is>
          <t>5400/300</t>
        </is>
      </c>
      <c r="E5615" s="3" t="inlineStr">
        <is>
          <t>Loan - Opportunity ResidentialCUST ACC</t>
        </is>
      </c>
      <c r="F5615" s="3" t="n">
        <v>0</v>
      </c>
      <c r="G5615" s="3" t="n">
        <v>4702.35</v>
      </c>
    </row>
    <row r="5616">
      <c r="A5616" s="3" t="inlineStr">
        <is>
          <t>Cape Projects Construction (Pty) Ltd</t>
        </is>
      </c>
      <c r="B5616" s="4" t="n">
        <v>45323</v>
      </c>
      <c r="C5616" s="3" t="inlineStr">
        <is>
          <t>Assets</t>
        </is>
      </c>
      <c r="D5616" s="3" t="inlineStr">
        <is>
          <t>5400/450</t>
        </is>
      </c>
      <c r="E5616" s="3" t="inlineStr">
        <is>
          <t>Loan - Opportunity Investment</t>
        </is>
      </c>
      <c r="F5616" s="3" t="n">
        <v>0</v>
      </c>
      <c r="G5616" s="3" t="n">
        <v>-1571000</v>
      </c>
    </row>
    <row r="5617">
      <c r="A5617" s="3" t="inlineStr">
        <is>
          <t>Cape Projects Construction (Pty) Ltd</t>
        </is>
      </c>
      <c r="B5617" s="4" t="n">
        <v>45323</v>
      </c>
      <c r="C5617" s="3" t="inlineStr">
        <is>
          <t>Assets</t>
        </is>
      </c>
      <c r="D5617" s="3" t="inlineStr">
        <is>
          <t>5400/500</t>
        </is>
      </c>
      <c r="E5617" s="3" t="inlineStr">
        <is>
          <t>Loan - Blou Mamba Trust</t>
        </is>
      </c>
      <c r="F5617" s="3" t="n">
        <v>0</v>
      </c>
      <c r="G5617" s="3" t="n">
        <v>4342.5</v>
      </c>
    </row>
    <row r="5618">
      <c r="A5618" s="3" t="inlineStr">
        <is>
          <t>Cape Projects Construction (Pty) Ltd</t>
        </is>
      </c>
      <c r="B5618" s="4" t="n">
        <v>45323</v>
      </c>
      <c r="C5618" s="3" t="inlineStr">
        <is>
          <t>Assets</t>
        </is>
      </c>
      <c r="D5618" s="3" t="inlineStr">
        <is>
          <t>5400/550</t>
        </is>
      </c>
      <c r="E5618" s="3" t="inlineStr">
        <is>
          <t>Loan - Trademark</t>
        </is>
      </c>
      <c r="F5618" s="3" t="n">
        <v>0</v>
      </c>
      <c r="G5618" s="3" t="n">
        <v>-18200</v>
      </c>
    </row>
    <row r="5619">
      <c r="A5619" s="3" t="inlineStr">
        <is>
          <t>Cape Projects Construction (Pty) Ltd</t>
        </is>
      </c>
      <c r="B5619" s="4" t="n">
        <v>45323</v>
      </c>
      <c r="C5619" s="3" t="inlineStr">
        <is>
          <t>Assets</t>
        </is>
      </c>
      <c r="D5619" s="3" t="inlineStr">
        <is>
          <t>5400/600</t>
        </is>
      </c>
      <c r="E5619" s="3" t="inlineStr">
        <is>
          <t>Loan - Heron Projects</t>
        </is>
      </c>
      <c r="F5619" s="3" t="n">
        <v>0</v>
      </c>
      <c r="G5619" s="3" t="n">
        <v>-22774738.42</v>
      </c>
    </row>
    <row r="5620">
      <c r="A5620" s="3" t="inlineStr">
        <is>
          <t>Cape Projects Construction (Pty) Ltd</t>
        </is>
      </c>
      <c r="B5620" s="4" t="n">
        <v>45323</v>
      </c>
      <c r="C5620" s="3" t="inlineStr">
        <is>
          <t>Assets</t>
        </is>
      </c>
      <c r="D5620" s="3" t="inlineStr">
        <is>
          <t>5400/650</t>
        </is>
      </c>
      <c r="E5620" s="3" t="inlineStr">
        <is>
          <t>Loan - Noble Shield</t>
        </is>
      </c>
      <c r="F5620" s="3" t="n">
        <v>0</v>
      </c>
      <c r="G5620" s="3" t="n">
        <v>-200789.44</v>
      </c>
    </row>
    <row r="5621">
      <c r="A5621" s="3" t="inlineStr">
        <is>
          <t>Cape Projects Construction (Pty) Ltd</t>
        </is>
      </c>
      <c r="B5621" s="4" t="n">
        <v>45323</v>
      </c>
      <c r="C5621" s="3" t="inlineStr">
        <is>
          <t>Assets</t>
        </is>
      </c>
      <c r="D5621" s="3" t="inlineStr">
        <is>
          <t>5400/750</t>
        </is>
      </c>
      <c r="E5621" s="3" t="inlineStr">
        <is>
          <t>Loan - Endulini</t>
        </is>
      </c>
      <c r="F5621" s="3" t="n">
        <v>0</v>
      </c>
      <c r="G5621" s="3" t="n">
        <v>24962687.4</v>
      </c>
    </row>
    <row r="5622">
      <c r="A5622" s="3" t="inlineStr">
        <is>
          <t>Cape Projects Construction (Pty) Ltd</t>
        </is>
      </c>
      <c r="B5622" s="4" t="n">
        <v>45323</v>
      </c>
      <c r="C5622" s="3" t="inlineStr">
        <is>
          <t>Assets</t>
        </is>
      </c>
      <c r="D5622" s="3" t="inlineStr">
        <is>
          <t>5400/800</t>
        </is>
      </c>
      <c r="E5622" s="3" t="inlineStr">
        <is>
          <t>Loan - Opportunity Management Holdings</t>
        </is>
      </c>
      <c r="F5622" s="3" t="n">
        <v>0</v>
      </c>
      <c r="G5622" s="3" t="n">
        <v>137399</v>
      </c>
    </row>
    <row r="5623">
      <c r="A5623" s="3" t="inlineStr">
        <is>
          <t>Heron View (Pty) Ltd</t>
        </is>
      </c>
      <c r="B5623" s="4" t="n">
        <v>45323</v>
      </c>
      <c r="C5623" s="3" t="inlineStr">
        <is>
          <t>Liabilities</t>
        </is>
      </c>
      <c r="D5623" s="3" t="inlineStr">
        <is>
          <t>5500/001</t>
        </is>
      </c>
      <c r="E5623" s="3" t="inlineStr">
        <is>
          <t>Loan - Heron Fields</t>
        </is>
      </c>
      <c r="F5623" s="3" t="n">
        <v>605617.11</v>
      </c>
      <c r="G5623" s="3" t="n">
        <v>-56032505.91</v>
      </c>
    </row>
    <row r="5624">
      <c r="A5624" s="3" t="inlineStr">
        <is>
          <t>Heron Fields (Pty) Ltd</t>
        </is>
      </c>
      <c r="B5624" s="4" t="n">
        <v>45323</v>
      </c>
      <c r="C5624" s="3" t="inlineStr">
        <is>
          <t>Liabilities</t>
        </is>
      </c>
      <c r="D5624" s="3" t="inlineStr">
        <is>
          <t>5500/020</t>
        </is>
      </c>
      <c r="E5624" s="3" t="inlineStr">
        <is>
          <t>Loan - Cape Projects Construction</t>
        </is>
      </c>
      <c r="F5624" s="3" t="n">
        <v>0</v>
      </c>
      <c r="G5624" s="3" t="n">
        <v>22774738.42</v>
      </c>
    </row>
    <row r="5625">
      <c r="A5625" s="3" t="inlineStr">
        <is>
          <t>Heron Fields (Pty) Ltd</t>
        </is>
      </c>
      <c r="B5625" s="4" t="n">
        <v>45323</v>
      </c>
      <c r="C5625" s="3" t="inlineStr">
        <is>
          <t>Liabilities</t>
        </is>
      </c>
      <c r="D5625" s="3" t="inlineStr">
        <is>
          <t>5500/030</t>
        </is>
      </c>
      <c r="E5625" s="3" t="inlineStr">
        <is>
          <t>Loan - Opportunity Global Investments</t>
        </is>
      </c>
      <c r="F5625" s="3" t="n">
        <v>0</v>
      </c>
      <c r="G5625" s="3" t="n">
        <v>4094275</v>
      </c>
    </row>
    <row r="5626">
      <c r="A5626" s="3" t="inlineStr">
        <is>
          <t>Heron Fields (Pty) Ltd</t>
        </is>
      </c>
      <c r="B5626" s="4" t="n">
        <v>45323</v>
      </c>
      <c r="C5626" s="3" t="inlineStr">
        <is>
          <t>Liabilities</t>
        </is>
      </c>
      <c r="D5626" s="3" t="inlineStr">
        <is>
          <t>5500/050</t>
        </is>
      </c>
      <c r="E5626" s="3" t="inlineStr">
        <is>
          <t>Loan - Heron View</t>
        </is>
      </c>
      <c r="F5626" s="3" t="n">
        <v>-605617.11</v>
      </c>
      <c r="G5626" s="3" t="n">
        <v>56031305.38</v>
      </c>
    </row>
    <row r="5627">
      <c r="A5627" s="3" t="inlineStr">
        <is>
          <t>Heron Fields (Pty) Ltd</t>
        </is>
      </c>
      <c r="B5627" s="4" t="n">
        <v>45323</v>
      </c>
      <c r="C5627" s="3" t="inlineStr">
        <is>
          <t>Liabilities</t>
        </is>
      </c>
      <c r="D5627" s="3" t="inlineStr">
        <is>
          <t>5500/051</t>
        </is>
      </c>
      <c r="E5627" s="3" t="inlineStr">
        <is>
          <t>Loan - HV N204</t>
        </is>
      </c>
      <c r="F5627" s="3" t="n">
        <v>0</v>
      </c>
      <c r="G5627" s="3" t="n">
        <v>10000</v>
      </c>
    </row>
    <row r="5628">
      <c r="A5628" s="3" t="inlineStr">
        <is>
          <t>Heron Fields (Pty) Ltd</t>
        </is>
      </c>
      <c r="B5628" s="4" t="n">
        <v>45323</v>
      </c>
      <c r="C5628" s="3" t="inlineStr">
        <is>
          <t>Liabilities</t>
        </is>
      </c>
      <c r="D5628" s="3" t="inlineStr">
        <is>
          <t>5500/060</t>
        </is>
      </c>
      <c r="E5628" s="3" t="inlineStr">
        <is>
          <t>Loan - Opportunity Management Holdings</t>
        </is>
      </c>
      <c r="F5628" s="3" t="n">
        <v>0</v>
      </c>
      <c r="G5628" s="3" t="n">
        <v>32100</v>
      </c>
    </row>
    <row r="5629">
      <c r="A5629" s="3" t="inlineStr">
        <is>
          <t>Heron Fields (Pty) Ltd</t>
        </is>
      </c>
      <c r="B5629" s="4" t="n">
        <v>45323</v>
      </c>
      <c r="C5629" s="3" t="inlineStr">
        <is>
          <t>Liabilities</t>
        </is>
      </c>
      <c r="D5629" s="3" t="inlineStr">
        <is>
          <t>5500/080</t>
        </is>
      </c>
      <c r="E5629" s="3" t="inlineStr">
        <is>
          <t>Loan - NSST2 Trust</t>
        </is>
      </c>
      <c r="F5629" s="3" t="n">
        <v>0</v>
      </c>
      <c r="G5629" s="3" t="n">
        <v>500</v>
      </c>
    </row>
    <row r="5630">
      <c r="A5630" s="3" t="inlineStr">
        <is>
          <t>Heron Fields (Pty) Ltd</t>
        </is>
      </c>
      <c r="B5630" s="4" t="n">
        <v>45323</v>
      </c>
      <c r="C5630" s="3" t="inlineStr">
        <is>
          <t>Assets</t>
        </is>
      </c>
      <c r="D5630" s="3" t="inlineStr">
        <is>
          <t>6150/010</t>
        </is>
      </c>
      <c r="E5630" s="3" t="inlineStr">
        <is>
          <t>Endulini -  A204</t>
        </is>
      </c>
      <c r="F5630" s="3" t="n">
        <v>0</v>
      </c>
      <c r="G5630" s="3" t="n">
        <v>1304260.87</v>
      </c>
    </row>
    <row r="5631">
      <c r="A5631" s="3" t="inlineStr">
        <is>
          <t>Heron Fields (Pty) Ltd</t>
        </is>
      </c>
      <c r="B5631" s="4" t="n">
        <v>45323</v>
      </c>
      <c r="C5631" s="3" t="inlineStr">
        <is>
          <t>Assets</t>
        </is>
      </c>
      <c r="D5631" s="3" t="inlineStr">
        <is>
          <t>6150/020</t>
        </is>
      </c>
      <c r="E5631" s="3" t="inlineStr">
        <is>
          <t>Endulini - A304</t>
        </is>
      </c>
      <c r="F5631" s="3" t="n">
        <v>0</v>
      </c>
      <c r="G5631" s="3" t="n">
        <v>1356434.78</v>
      </c>
    </row>
    <row r="5632">
      <c r="A5632" s="3" t="inlineStr">
        <is>
          <t>Heron Fields (Pty) Ltd</t>
        </is>
      </c>
      <c r="B5632" s="4" t="n">
        <v>45323</v>
      </c>
      <c r="C5632" s="3" t="inlineStr">
        <is>
          <t>Assets</t>
        </is>
      </c>
      <c r="D5632" s="3" t="inlineStr">
        <is>
          <t>6150/030</t>
        </is>
      </c>
      <c r="E5632" s="3" t="inlineStr">
        <is>
          <t>Endulini - B101</t>
        </is>
      </c>
      <c r="F5632" s="3" t="n">
        <v>0</v>
      </c>
      <c r="G5632" s="3" t="n">
        <v>1373826.09</v>
      </c>
    </row>
    <row r="5633">
      <c r="A5633" s="3" t="inlineStr">
        <is>
          <t>Heron Fields (Pty) Ltd</t>
        </is>
      </c>
      <c r="B5633" s="4" t="n">
        <v>45323</v>
      </c>
      <c r="C5633" s="3" t="inlineStr">
        <is>
          <t>Assets</t>
        </is>
      </c>
      <c r="D5633" s="3" t="inlineStr">
        <is>
          <t>6150/040</t>
        </is>
      </c>
      <c r="E5633" s="3" t="inlineStr">
        <is>
          <t>Endulini - A306</t>
        </is>
      </c>
      <c r="F5633" s="3" t="n">
        <v>0</v>
      </c>
      <c r="G5633" s="3" t="n">
        <v>1391217.39</v>
      </c>
    </row>
    <row r="5634">
      <c r="A5634" s="3" t="inlineStr">
        <is>
          <t>Heron Fields (Pty) Ltd</t>
        </is>
      </c>
      <c r="B5634" s="4" t="n">
        <v>45323</v>
      </c>
      <c r="C5634" s="3" t="inlineStr">
        <is>
          <t>Assets</t>
        </is>
      </c>
      <c r="D5634" s="3" t="inlineStr">
        <is>
          <t>6150/050</t>
        </is>
      </c>
      <c r="E5634" s="3" t="inlineStr">
        <is>
          <t>Endulini - C301</t>
        </is>
      </c>
      <c r="F5634" s="3" t="n">
        <v>0</v>
      </c>
      <c r="G5634" s="3" t="n">
        <v>1304260.87</v>
      </c>
    </row>
    <row r="5635">
      <c r="A5635" s="3" t="inlineStr">
        <is>
          <t>Cape Projects Construction (Pty) Ltd</t>
        </is>
      </c>
      <c r="B5635" s="4" t="n">
        <v>45323</v>
      </c>
      <c r="C5635" s="3" t="inlineStr">
        <is>
          <t>Assets</t>
        </is>
      </c>
      <c r="D5635" s="3" t="inlineStr">
        <is>
          <t>6200/010</t>
        </is>
      </c>
      <c r="E5635" s="3" t="inlineStr">
        <is>
          <t>Motor Vehicles - @ Cost</t>
        </is>
      </c>
      <c r="F5635" s="3" t="n">
        <v>0</v>
      </c>
      <c r="G5635" s="3" t="n">
        <v>216064.1</v>
      </c>
    </row>
    <row r="5636">
      <c r="A5636" s="3" t="inlineStr">
        <is>
          <t>Cape Projects Construction (Pty) Ltd</t>
        </is>
      </c>
      <c r="B5636" s="4" t="n">
        <v>45323</v>
      </c>
      <c r="C5636" s="3" t="inlineStr">
        <is>
          <t>Assets</t>
        </is>
      </c>
      <c r="D5636" s="3" t="inlineStr">
        <is>
          <t>6200/020</t>
        </is>
      </c>
      <c r="E5636" s="3" t="inlineStr">
        <is>
          <t>Motor Vehicles - Accum Depre</t>
        </is>
      </c>
      <c r="F5636" s="3" t="n">
        <v>0</v>
      </c>
      <c r="G5636" s="3" t="n">
        <v>-216063.1</v>
      </c>
    </row>
    <row r="5637">
      <c r="A5637" s="3" t="inlineStr">
        <is>
          <t>Cape Projects Construction (Pty) Ltd</t>
        </is>
      </c>
      <c r="B5637" s="4" t="n">
        <v>45323</v>
      </c>
      <c r="C5637" s="3" t="inlineStr">
        <is>
          <t>Assets</t>
        </is>
      </c>
      <c r="D5637" s="3" t="inlineStr">
        <is>
          <t>6250/010</t>
        </is>
      </c>
      <c r="E5637" s="3" t="inlineStr">
        <is>
          <t>Computer Equipment - @ Cost</t>
        </is>
      </c>
      <c r="F5637" s="3" t="n">
        <v>0</v>
      </c>
      <c r="G5637" s="3" t="n">
        <v>178152.48</v>
      </c>
    </row>
    <row r="5638">
      <c r="A5638" s="3" t="inlineStr">
        <is>
          <t>Cape Projects Construction (Pty) Ltd</t>
        </is>
      </c>
      <c r="B5638" s="4" t="n">
        <v>45323</v>
      </c>
      <c r="C5638" s="3" t="inlineStr">
        <is>
          <t>Assets</t>
        </is>
      </c>
      <c r="D5638" s="3" t="inlineStr">
        <is>
          <t>6250/020</t>
        </is>
      </c>
      <c r="E5638" s="3" t="inlineStr">
        <is>
          <t>Computer Equipment - Accum Depre</t>
        </is>
      </c>
      <c r="F5638" s="3" t="n">
        <v>0</v>
      </c>
      <c r="G5638" s="3" t="n">
        <v>-84735.74000000001</v>
      </c>
    </row>
    <row r="5639">
      <c r="A5639" s="3" t="inlineStr">
        <is>
          <t>Cape Projects Construction (Pty) Ltd</t>
        </is>
      </c>
      <c r="B5639" s="4" t="n">
        <v>45323</v>
      </c>
      <c r="C5639" s="3" t="inlineStr">
        <is>
          <t>Assets</t>
        </is>
      </c>
      <c r="D5639" s="3" t="inlineStr">
        <is>
          <t>6350/010</t>
        </is>
      </c>
      <c r="E5639" s="3" t="inlineStr">
        <is>
          <t>Furniture _AND_ Fittings - @ Cost</t>
        </is>
      </c>
      <c r="F5639" s="3" t="n">
        <v>0</v>
      </c>
      <c r="G5639" s="3" t="n">
        <v>37955.3</v>
      </c>
    </row>
    <row r="5640">
      <c r="A5640" s="3" t="inlineStr">
        <is>
          <t>Cape Projects Construction (Pty) Ltd</t>
        </is>
      </c>
      <c r="B5640" s="4" t="n">
        <v>45323</v>
      </c>
      <c r="C5640" s="3" t="inlineStr">
        <is>
          <t>Assets</t>
        </is>
      </c>
      <c r="D5640" s="3" t="inlineStr">
        <is>
          <t>6350/020</t>
        </is>
      </c>
      <c r="E5640" s="3" t="inlineStr">
        <is>
          <t>Furniture _AND_ Fittings - Accum Depre</t>
        </is>
      </c>
      <c r="F5640" s="3" t="n">
        <v>0</v>
      </c>
      <c r="G5640" s="3" t="n">
        <v>-11919</v>
      </c>
    </row>
    <row r="5641">
      <c r="A5641" s="3" t="inlineStr">
        <is>
          <t>Cape Projects Construction (Pty) Ltd</t>
        </is>
      </c>
      <c r="B5641" s="4" t="n">
        <v>45323</v>
      </c>
      <c r="C5641" s="3" t="inlineStr">
        <is>
          <t>Assets</t>
        </is>
      </c>
      <c r="D5641" s="3" t="inlineStr">
        <is>
          <t>6600/010</t>
        </is>
      </c>
      <c r="E5641" s="3" t="inlineStr">
        <is>
          <t>Generator Fixed Asset - @ Cost</t>
        </is>
      </c>
      <c r="F5641" s="3" t="n">
        <v>0</v>
      </c>
      <c r="G5641" s="3" t="n">
        <v>71322</v>
      </c>
    </row>
    <row r="5642">
      <c r="A5642" s="3" t="inlineStr">
        <is>
          <t>Cape Projects Construction (Pty) Ltd</t>
        </is>
      </c>
      <c r="B5642" s="4" t="n">
        <v>45323</v>
      </c>
      <c r="C5642" s="3" t="inlineStr">
        <is>
          <t>Assets</t>
        </is>
      </c>
      <c r="D5642" s="3" t="inlineStr">
        <is>
          <t>6600/020</t>
        </is>
      </c>
      <c r="E5642" s="3" t="inlineStr">
        <is>
          <t>Generator Fixed Asset - Accum Depre</t>
        </is>
      </c>
      <c r="F5642" s="3" t="n">
        <v>0</v>
      </c>
      <c r="G5642" s="3" t="n">
        <v>-14210.53</v>
      </c>
    </row>
    <row r="5643">
      <c r="A5643" s="3" t="inlineStr">
        <is>
          <t>Heron Fields (Pty) Ltd</t>
        </is>
      </c>
      <c r="B5643" s="4" t="n">
        <v>45323</v>
      </c>
      <c r="C5643" s="3" t="inlineStr">
        <is>
          <t>Assets</t>
        </is>
      </c>
      <c r="D5643" s="3" t="inlineStr">
        <is>
          <t>7610/395</t>
        </is>
      </c>
      <c r="E5643" s="3" t="inlineStr">
        <is>
          <t>HF CIP NHBRC</t>
        </is>
      </c>
      <c r="F5643" s="3" t="n">
        <v>0</v>
      </c>
      <c r="G5643" s="3" t="n">
        <v>874505.75</v>
      </c>
    </row>
    <row r="5644">
      <c r="A5644" s="3" t="inlineStr">
        <is>
          <t>Heron View (Pty) Ltd</t>
        </is>
      </c>
      <c r="B5644" s="4" t="n">
        <v>45323</v>
      </c>
      <c r="C5644" s="3" t="inlineStr">
        <is>
          <t>Assets</t>
        </is>
      </c>
      <c r="D5644" s="3" t="inlineStr">
        <is>
          <t>7610/395</t>
        </is>
      </c>
      <c r="E5644" s="3" t="inlineStr">
        <is>
          <t>Heron CIP NHBRC</t>
        </is>
      </c>
      <c r="F5644" s="3" t="n">
        <v>0</v>
      </c>
      <c r="G5644" s="3" t="n">
        <v>2472501.08</v>
      </c>
    </row>
    <row r="5645">
      <c r="A5645" s="3" t="inlineStr">
        <is>
          <t>Heron Fields (Pty) Ltd</t>
        </is>
      </c>
      <c r="B5645" s="4" t="n">
        <v>45323</v>
      </c>
      <c r="C5645" s="3" t="inlineStr">
        <is>
          <t>Assets</t>
        </is>
      </c>
      <c r="D5645" s="3" t="inlineStr">
        <is>
          <t>7620/100</t>
        </is>
      </c>
      <c r="E5645" s="3" t="inlineStr">
        <is>
          <t>Heron View Land</t>
        </is>
      </c>
      <c r="F5645" s="3" t="n">
        <v>0</v>
      </c>
      <c r="G5645" s="3" t="n">
        <v>26200000</v>
      </c>
    </row>
    <row r="5646">
      <c r="A5646" s="3" t="inlineStr">
        <is>
          <t>Heron Fields (Pty) Ltd</t>
        </is>
      </c>
      <c r="B5646" s="4" t="n">
        <v>45323</v>
      </c>
      <c r="C5646" s="3" t="inlineStr">
        <is>
          <t>Assets</t>
        </is>
      </c>
      <c r="D5646" s="3" t="inlineStr">
        <is>
          <t>7620/101</t>
        </is>
      </c>
      <c r="E5646" s="3" t="inlineStr">
        <is>
          <t>HF CIP Bond Registration Fee</t>
        </is>
      </c>
      <c r="F5646" s="3" t="n">
        <v>0</v>
      </c>
      <c r="G5646" s="3" t="n">
        <v>68427</v>
      </c>
    </row>
    <row r="5647">
      <c r="A5647" s="3" t="inlineStr">
        <is>
          <t>Heron Fields (Pty) Ltd</t>
        </is>
      </c>
      <c r="B5647" s="4" t="n">
        <v>45323</v>
      </c>
      <c r="C5647" s="3" t="inlineStr">
        <is>
          <t>Assets</t>
        </is>
      </c>
      <c r="D5647" s="3" t="inlineStr">
        <is>
          <t>7620/102</t>
        </is>
      </c>
      <c r="E5647" s="3" t="inlineStr">
        <is>
          <t>HF CIP Transfer Fee</t>
        </is>
      </c>
      <c r="F5647" s="3" t="n">
        <v>0</v>
      </c>
      <c r="G5647" s="3" t="n">
        <v>103812</v>
      </c>
    </row>
    <row r="5648">
      <c r="A5648" s="3" t="inlineStr">
        <is>
          <t>Heron Fields (Pty) Ltd</t>
        </is>
      </c>
      <c r="B5648" s="4" t="n">
        <v>45323</v>
      </c>
      <c r="C5648" s="3" t="inlineStr">
        <is>
          <t>Assets</t>
        </is>
      </c>
      <c r="D5648" s="3" t="inlineStr">
        <is>
          <t>7620/220</t>
        </is>
      </c>
      <c r="E5648" s="3" t="inlineStr">
        <is>
          <t>HF CIP Architectural Designs</t>
        </is>
      </c>
      <c r="F5648" s="3" t="n">
        <v>0</v>
      </c>
      <c r="G5648" s="3" t="n">
        <v>314087</v>
      </c>
    </row>
    <row r="5649">
      <c r="A5649" s="3" t="inlineStr">
        <is>
          <t>Heron View (Pty) Ltd</t>
        </is>
      </c>
      <c r="B5649" s="4" t="n">
        <v>45323</v>
      </c>
      <c r="C5649" s="3" t="inlineStr">
        <is>
          <t>Assets</t>
        </is>
      </c>
      <c r="D5649" s="3" t="inlineStr">
        <is>
          <t>7620/220</t>
        </is>
      </c>
      <c r="E5649" s="3" t="inlineStr">
        <is>
          <t>Heron View CIP Architectural Designs</t>
        </is>
      </c>
      <c r="F5649" s="3" t="n">
        <v>0</v>
      </c>
      <c r="G5649" s="3" t="n">
        <v>690236.91</v>
      </c>
    </row>
    <row r="5650">
      <c r="A5650" s="3" t="inlineStr">
        <is>
          <t>Heron Fields (Pty) Ltd</t>
        </is>
      </c>
      <c r="B5650" s="4" t="n">
        <v>45323</v>
      </c>
      <c r="C5650" s="3" t="inlineStr">
        <is>
          <t>Assets</t>
        </is>
      </c>
      <c r="D5650" s="3" t="inlineStr">
        <is>
          <t>7620/230</t>
        </is>
      </c>
      <c r="E5650" s="3" t="inlineStr">
        <is>
          <t>HF CIP Construction Management</t>
        </is>
      </c>
      <c r="F5650" s="3" t="n">
        <v>0</v>
      </c>
      <c r="G5650" s="3" t="n">
        <v>139500</v>
      </c>
    </row>
    <row r="5651">
      <c r="A5651" s="3" t="inlineStr">
        <is>
          <t>Heron Fields (Pty) Ltd</t>
        </is>
      </c>
      <c r="B5651" s="4" t="n">
        <v>45323</v>
      </c>
      <c r="C5651" s="3" t="inlineStr">
        <is>
          <t>Assets</t>
        </is>
      </c>
      <c r="D5651" s="3" t="inlineStr">
        <is>
          <t>7620/240</t>
        </is>
      </c>
      <c r="E5651" s="3" t="inlineStr">
        <is>
          <t>HF CIP Civil Engineering</t>
        </is>
      </c>
      <c r="F5651" s="3" t="n">
        <v>0</v>
      </c>
      <c r="G5651" s="3" t="n">
        <v>8557641.800000001</v>
      </c>
    </row>
    <row r="5652">
      <c r="A5652" s="3" t="inlineStr">
        <is>
          <t>Heron Fields (Pty) Ltd</t>
        </is>
      </c>
      <c r="B5652" s="4" t="n">
        <v>45323</v>
      </c>
      <c r="C5652" s="3" t="inlineStr">
        <is>
          <t>Assets</t>
        </is>
      </c>
      <c r="D5652" s="3" t="inlineStr">
        <is>
          <t>7620/245</t>
        </is>
      </c>
      <c r="E5652" s="3" t="inlineStr">
        <is>
          <t>HF CIP Development fee</t>
        </is>
      </c>
      <c r="F5652" s="3" t="n">
        <v>0</v>
      </c>
      <c r="G5652" s="3" t="n">
        <v>13807.78</v>
      </c>
    </row>
    <row r="5653">
      <c r="A5653" s="3" t="inlineStr">
        <is>
          <t>Heron Fields (Pty) Ltd</t>
        </is>
      </c>
      <c r="B5653" s="4" t="n">
        <v>45323</v>
      </c>
      <c r="C5653" s="3" t="inlineStr">
        <is>
          <t>Assets</t>
        </is>
      </c>
      <c r="D5653" s="3" t="inlineStr">
        <is>
          <t>7620/250</t>
        </is>
      </c>
      <c r="E5653" s="3" t="inlineStr">
        <is>
          <t>HF CIP Land Surveyor</t>
        </is>
      </c>
      <c r="F5653" s="3" t="n">
        <v>0</v>
      </c>
      <c r="G5653" s="3" t="n">
        <v>197060.09</v>
      </c>
    </row>
    <row r="5654">
      <c r="A5654" s="3" t="inlineStr">
        <is>
          <t>Heron View (Pty) Ltd</t>
        </is>
      </c>
      <c r="B5654" s="4" t="n">
        <v>45323</v>
      </c>
      <c r="C5654" s="3" t="inlineStr">
        <is>
          <t>Assets</t>
        </is>
      </c>
      <c r="D5654" s="3" t="inlineStr">
        <is>
          <t>7620/250</t>
        </is>
      </c>
      <c r="E5654" s="3" t="inlineStr">
        <is>
          <t>Heron View CIP Land Surveyor</t>
        </is>
      </c>
      <c r="F5654" s="3" t="n">
        <v>0</v>
      </c>
      <c r="G5654" s="3" t="n">
        <v>321942.47</v>
      </c>
    </row>
    <row r="5655">
      <c r="A5655" s="3" t="inlineStr">
        <is>
          <t>Heron Fields (Pty) Ltd</t>
        </is>
      </c>
      <c r="B5655" s="4" t="n">
        <v>45323</v>
      </c>
      <c r="C5655" s="3" t="inlineStr">
        <is>
          <t>Assets</t>
        </is>
      </c>
      <c r="D5655" s="3" t="inlineStr">
        <is>
          <t>7620/255</t>
        </is>
      </c>
      <c r="E5655" s="3" t="inlineStr">
        <is>
          <t>HF CIP Landscaping</t>
        </is>
      </c>
      <c r="F5655" s="3" t="n">
        <v>0</v>
      </c>
      <c r="G5655" s="3" t="n">
        <v>7500</v>
      </c>
    </row>
    <row r="5656">
      <c r="A5656" s="3" t="inlineStr">
        <is>
          <t>Heron View (Pty) Ltd</t>
        </is>
      </c>
      <c r="B5656" s="4" t="n">
        <v>45323</v>
      </c>
      <c r="C5656" s="3" t="inlineStr">
        <is>
          <t>Assets</t>
        </is>
      </c>
      <c r="D5656" s="3" t="inlineStr">
        <is>
          <t>7620/255</t>
        </is>
      </c>
      <c r="E5656" s="3" t="inlineStr">
        <is>
          <t>Heron View CIP Landscaping</t>
        </is>
      </c>
      <c r="F5656" s="3" t="n">
        <v>0</v>
      </c>
      <c r="G5656" s="3" t="n">
        <v>114370.5</v>
      </c>
    </row>
    <row r="5657">
      <c r="A5657" s="3" t="inlineStr">
        <is>
          <t>Heron Fields (Pty) Ltd</t>
        </is>
      </c>
      <c r="B5657" s="4" t="n">
        <v>45323</v>
      </c>
      <c r="C5657" s="3" t="inlineStr">
        <is>
          <t>Assets</t>
        </is>
      </c>
      <c r="D5657" s="3" t="inlineStr">
        <is>
          <t>7620/260</t>
        </is>
      </c>
      <c r="E5657" s="3" t="inlineStr">
        <is>
          <t>HF CIP Mechanical Engineers</t>
        </is>
      </c>
      <c r="F5657" s="3" t="n">
        <v>0</v>
      </c>
      <c r="G5657" s="3" t="n">
        <v>146256.38</v>
      </c>
    </row>
    <row r="5658">
      <c r="A5658" s="3" t="inlineStr">
        <is>
          <t>Heron Fields (Pty) Ltd</t>
        </is>
      </c>
      <c r="B5658" s="4" t="n">
        <v>45323</v>
      </c>
      <c r="C5658" s="3" t="inlineStr">
        <is>
          <t>Assets</t>
        </is>
      </c>
      <c r="D5658" s="3" t="inlineStr">
        <is>
          <t>7620/265</t>
        </is>
      </c>
      <c r="E5658" s="3" t="inlineStr">
        <is>
          <t>HF CIP Health &amp; Safety</t>
        </is>
      </c>
      <c r="F5658" s="3" t="n">
        <v>0</v>
      </c>
      <c r="G5658" s="3" t="n">
        <v>20600</v>
      </c>
    </row>
    <row r="5659">
      <c r="A5659" s="3" t="inlineStr">
        <is>
          <t>Heron Fields (Pty) Ltd</t>
        </is>
      </c>
      <c r="B5659" s="4" t="n">
        <v>45323</v>
      </c>
      <c r="C5659" s="3" t="inlineStr">
        <is>
          <t>Assets</t>
        </is>
      </c>
      <c r="D5659" s="3" t="inlineStr">
        <is>
          <t>7620/270</t>
        </is>
      </c>
      <c r="E5659" s="3" t="inlineStr">
        <is>
          <t>HF CIP Geotechnical</t>
        </is>
      </c>
      <c r="F5659" s="3" t="n">
        <v>0</v>
      </c>
      <c r="G5659" s="3" t="n">
        <v>15175</v>
      </c>
    </row>
    <row r="5660">
      <c r="A5660" s="3" t="inlineStr">
        <is>
          <t>Heron Fields (Pty) Ltd</t>
        </is>
      </c>
      <c r="B5660" s="4" t="n">
        <v>45323</v>
      </c>
      <c r="C5660" s="3" t="inlineStr">
        <is>
          <t>Assets</t>
        </is>
      </c>
      <c r="D5660" s="3" t="inlineStr">
        <is>
          <t>7620/275</t>
        </is>
      </c>
      <c r="E5660" s="3" t="inlineStr">
        <is>
          <t>HF CIP Retaining Wall</t>
        </is>
      </c>
      <c r="F5660" s="3" t="n">
        <v>0</v>
      </c>
      <c r="G5660" s="3" t="n">
        <v>570856.08</v>
      </c>
    </row>
    <row r="5661">
      <c r="A5661" s="3" t="inlineStr">
        <is>
          <t>Heron Fields (Pty) Ltd</t>
        </is>
      </c>
      <c r="B5661" s="4" t="n">
        <v>45323</v>
      </c>
      <c r="C5661" s="3" t="inlineStr">
        <is>
          <t>Assets</t>
        </is>
      </c>
      <c r="D5661" s="3" t="inlineStr">
        <is>
          <t>7620/280</t>
        </is>
      </c>
      <c r="E5661" s="3" t="inlineStr">
        <is>
          <t>HF CIP Site Establishment</t>
        </is>
      </c>
      <c r="F5661" s="3" t="n">
        <v>0</v>
      </c>
      <c r="G5661" s="3" t="n">
        <v>47748851.51</v>
      </c>
    </row>
    <row r="5662">
      <c r="A5662" s="3" t="inlineStr">
        <is>
          <t>Heron View (Pty) Ltd</t>
        </is>
      </c>
      <c r="B5662" s="4" t="n">
        <v>45323</v>
      </c>
      <c r="C5662" s="3" t="inlineStr">
        <is>
          <t>Assets</t>
        </is>
      </c>
      <c r="D5662" s="3" t="inlineStr">
        <is>
          <t>7620/280</t>
        </is>
      </c>
      <c r="E5662" s="3" t="inlineStr">
        <is>
          <t>Heron View CIP Site Establishment</t>
        </is>
      </c>
      <c r="F5662" s="3" t="n">
        <v>0</v>
      </c>
      <c r="G5662" s="3" t="n">
        <v>44104051.78</v>
      </c>
    </row>
    <row r="5663">
      <c r="A5663" s="3" t="inlineStr">
        <is>
          <t>Heron Fields (Pty) Ltd</t>
        </is>
      </c>
      <c r="B5663" s="4" t="n">
        <v>45323</v>
      </c>
      <c r="C5663" s="3" t="inlineStr">
        <is>
          <t>Assets</t>
        </is>
      </c>
      <c r="D5663" s="3" t="inlineStr">
        <is>
          <t>7620/285</t>
        </is>
      </c>
      <c r="E5663" s="3" t="inlineStr">
        <is>
          <t>HF CIP Structuring Fee - Invest</t>
        </is>
      </c>
      <c r="F5663" s="3" t="n">
        <v>0</v>
      </c>
      <c r="G5663" s="3" t="n">
        <v>3850818.04</v>
      </c>
    </row>
    <row r="5664">
      <c r="A5664" s="3" t="inlineStr">
        <is>
          <t>Heron View (Pty) Ltd</t>
        </is>
      </c>
      <c r="B5664" s="4" t="n">
        <v>45323</v>
      </c>
      <c r="C5664" s="3" t="inlineStr">
        <is>
          <t>Assets</t>
        </is>
      </c>
      <c r="D5664" s="3" t="inlineStr">
        <is>
          <t>7620/285</t>
        </is>
      </c>
      <c r="E5664" s="3" t="inlineStr">
        <is>
          <t>Heron View CIP Structuring Fee - Invest</t>
        </is>
      </c>
      <c r="F5664" s="3" t="n">
        <v>0</v>
      </c>
      <c r="G5664" s="3" t="n">
        <v>1826086.96</v>
      </c>
    </row>
    <row r="5665">
      <c r="A5665" s="3" t="inlineStr">
        <is>
          <t>Heron Fields (Pty) Ltd</t>
        </is>
      </c>
      <c r="B5665" s="4" t="n">
        <v>45323</v>
      </c>
      <c r="C5665" s="3" t="inlineStr">
        <is>
          <t>Assets</t>
        </is>
      </c>
      <c r="D5665" s="3" t="inlineStr">
        <is>
          <t>7620/287</t>
        </is>
      </c>
      <c r="E5665" s="3" t="inlineStr">
        <is>
          <t>HF CIP Structuring Fee - Development</t>
        </is>
      </c>
      <c r="F5665" s="3" t="n">
        <v>0</v>
      </c>
      <c r="G5665" s="3" t="n">
        <v>782608.0699999999</v>
      </c>
    </row>
    <row r="5666">
      <c r="A5666" s="3" t="inlineStr">
        <is>
          <t>Heron View (Pty) Ltd</t>
        </is>
      </c>
      <c r="B5666" s="4" t="n">
        <v>45323</v>
      </c>
      <c r="C5666" s="3" t="inlineStr">
        <is>
          <t>Assets</t>
        </is>
      </c>
      <c r="D5666" s="3" t="inlineStr">
        <is>
          <t>7620/287</t>
        </is>
      </c>
      <c r="E5666" s="3" t="inlineStr">
        <is>
          <t>Heron View CIP Structuring Fee - Development</t>
        </is>
      </c>
      <c r="F5666" s="3" t="n">
        <v>0</v>
      </c>
      <c r="G5666" s="3" t="n">
        <v>217391.3</v>
      </c>
    </row>
    <row r="5667">
      <c r="A5667" s="3" t="inlineStr">
        <is>
          <t>Heron Fields (Pty) Ltd</t>
        </is>
      </c>
      <c r="B5667" s="4" t="n">
        <v>45323</v>
      </c>
      <c r="C5667" s="3" t="inlineStr">
        <is>
          <t>Assets</t>
        </is>
      </c>
      <c r="D5667" s="3" t="inlineStr">
        <is>
          <t>7620/290</t>
        </is>
      </c>
      <c r="E5667" s="3" t="inlineStr">
        <is>
          <t>HF CIP Town Planning</t>
        </is>
      </c>
      <c r="F5667" s="3" t="n">
        <v>0</v>
      </c>
      <c r="G5667" s="3" t="n">
        <v>166550</v>
      </c>
    </row>
    <row r="5668">
      <c r="A5668" s="3" t="inlineStr">
        <is>
          <t>Heron View (Pty) Ltd</t>
        </is>
      </c>
      <c r="B5668" s="4" t="n">
        <v>45323</v>
      </c>
      <c r="C5668" s="3" t="inlineStr">
        <is>
          <t>Assets</t>
        </is>
      </c>
      <c r="D5668" s="3" t="inlineStr">
        <is>
          <t>7620/290</t>
        </is>
      </c>
      <c r="E5668" s="3" t="inlineStr">
        <is>
          <t>Heron View CIP Town Planning</t>
        </is>
      </c>
      <c r="F5668" s="3" t="n">
        <v>0</v>
      </c>
      <c r="G5668" s="3" t="n">
        <v>2834.7</v>
      </c>
    </row>
    <row r="5669">
      <c r="A5669" s="3" t="inlineStr">
        <is>
          <t>Heron Fields (Pty) Ltd</t>
        </is>
      </c>
      <c r="B5669" s="4" t="n">
        <v>45323</v>
      </c>
      <c r="C5669" s="3" t="inlineStr">
        <is>
          <t>Assets</t>
        </is>
      </c>
      <c r="D5669" s="3" t="inlineStr">
        <is>
          <t>7620/295</t>
        </is>
      </c>
      <c r="E5669" s="3" t="inlineStr">
        <is>
          <t>HF CIP Traffic Planning</t>
        </is>
      </c>
      <c r="F5669" s="3" t="n">
        <v>0</v>
      </c>
      <c r="G5669" s="3" t="n">
        <v>45000</v>
      </c>
    </row>
    <row r="5670">
      <c r="A5670" s="3" t="inlineStr">
        <is>
          <t>Heron Fields (Pty) Ltd</t>
        </is>
      </c>
      <c r="B5670" s="4" t="n">
        <v>45323</v>
      </c>
      <c r="C5670" s="3" t="inlineStr">
        <is>
          <t>Assets</t>
        </is>
      </c>
      <c r="D5670" s="3" t="inlineStr">
        <is>
          <t>7620/600</t>
        </is>
      </c>
      <c r="E5670" s="3" t="inlineStr">
        <is>
          <t>HF CIP Eco work</t>
        </is>
      </c>
      <c r="F5670" s="3" t="n">
        <v>0</v>
      </c>
      <c r="G5670" s="3" t="n">
        <v>197000</v>
      </c>
    </row>
    <row r="5671">
      <c r="A5671" s="3" t="inlineStr">
        <is>
          <t>Heron View (Pty) Ltd</t>
        </is>
      </c>
      <c r="B5671" s="4" t="n">
        <v>45323</v>
      </c>
      <c r="C5671" s="3" t="inlineStr">
        <is>
          <t>Assets</t>
        </is>
      </c>
      <c r="D5671" s="3" t="inlineStr">
        <is>
          <t>7620/605</t>
        </is>
      </c>
      <c r="E5671" s="3" t="inlineStr">
        <is>
          <t>Heron View CIP Structural Engineers</t>
        </is>
      </c>
      <c r="F5671" s="3" t="n">
        <v>0</v>
      </c>
      <c r="G5671" s="3" t="n">
        <v>666877.14</v>
      </c>
    </row>
    <row r="5672">
      <c r="A5672" s="3" t="inlineStr">
        <is>
          <t>Heron View (Pty) Ltd</t>
        </is>
      </c>
      <c r="B5672" s="4" t="n">
        <v>45323</v>
      </c>
      <c r="C5672" s="3" t="inlineStr">
        <is>
          <t>Assets</t>
        </is>
      </c>
      <c r="D5672" s="3" t="inlineStr">
        <is>
          <t>7620/610</t>
        </is>
      </c>
      <c r="E5672" s="3" t="inlineStr">
        <is>
          <t>HV CIP Retaining wall</t>
        </is>
      </c>
      <c r="F5672" s="3" t="n">
        <v>0</v>
      </c>
      <c r="G5672" s="3" t="n">
        <v>66190.11</v>
      </c>
    </row>
    <row r="5673">
      <c r="A5673" s="3" t="inlineStr">
        <is>
          <t>Heron Fields (Pty) Ltd</t>
        </is>
      </c>
      <c r="B5673" s="4" t="n">
        <v>45323</v>
      </c>
      <c r="C5673" s="3" t="inlineStr">
        <is>
          <t>Assets</t>
        </is>
      </c>
      <c r="D5673" s="3" t="inlineStr">
        <is>
          <t>7620/630</t>
        </is>
      </c>
      <c r="E5673" s="3" t="inlineStr">
        <is>
          <t>HF CIP CoCT development contribution</t>
        </is>
      </c>
      <c r="F5673" s="3" t="n">
        <v>0</v>
      </c>
      <c r="G5673" s="3" t="n">
        <v>3252759.95</v>
      </c>
    </row>
    <row r="5674">
      <c r="A5674" s="3" t="inlineStr">
        <is>
          <t>Heron View (Pty) Ltd</t>
        </is>
      </c>
      <c r="B5674" s="4" t="n">
        <v>45323</v>
      </c>
      <c r="C5674" s="3" t="inlineStr">
        <is>
          <t>Assets</t>
        </is>
      </c>
      <c r="D5674" s="3" t="inlineStr">
        <is>
          <t>7620/630</t>
        </is>
      </c>
      <c r="E5674" s="3" t="inlineStr">
        <is>
          <t>Heron CIP - CoCT development contribution</t>
        </is>
      </c>
      <c r="F5674" s="3" t="n">
        <v>0</v>
      </c>
      <c r="G5674" s="3" t="n">
        <v>1673231.19</v>
      </c>
    </row>
    <row r="5675">
      <c r="A5675" s="3" t="inlineStr">
        <is>
          <t>Heron Fields (Pty) Ltd</t>
        </is>
      </c>
      <c r="B5675" s="4" t="n">
        <v>45323</v>
      </c>
      <c r="C5675" s="3" t="inlineStr">
        <is>
          <t>Assets</t>
        </is>
      </c>
      <c r="D5675" s="3" t="inlineStr">
        <is>
          <t>7620/640</t>
        </is>
      </c>
      <c r="E5675" s="3" t="inlineStr">
        <is>
          <t>HF CIP Project costs</t>
        </is>
      </c>
      <c r="F5675" s="3" t="n">
        <v>0</v>
      </c>
      <c r="G5675" s="3" t="n">
        <v>622274.51</v>
      </c>
    </row>
    <row r="5676">
      <c r="A5676" s="3" t="inlineStr">
        <is>
          <t>Heron View (Pty) Ltd</t>
        </is>
      </c>
      <c r="B5676" s="4" t="n">
        <v>45323</v>
      </c>
      <c r="C5676" s="3" t="inlineStr">
        <is>
          <t>Assets</t>
        </is>
      </c>
      <c r="D5676" s="3" t="inlineStr">
        <is>
          <t>7620/650</t>
        </is>
      </c>
      <c r="E5676" s="3" t="inlineStr">
        <is>
          <t>CIP - Construction Management</t>
        </is>
      </c>
      <c r="F5676" s="3" t="n">
        <v>0</v>
      </c>
      <c r="G5676" s="3" t="n">
        <v>76530</v>
      </c>
    </row>
    <row r="5677">
      <c r="A5677" s="3" t="inlineStr">
        <is>
          <t>Heron Fields (Pty) Ltd</t>
        </is>
      </c>
      <c r="B5677" s="4" t="n">
        <v>45323</v>
      </c>
      <c r="C5677" s="3" t="inlineStr">
        <is>
          <t>Assets</t>
        </is>
      </c>
      <c r="D5677" s="3" t="inlineStr">
        <is>
          <t>7620/650</t>
        </is>
      </c>
      <c r="E5677" s="3" t="inlineStr">
        <is>
          <t>HF CIP Electrical</t>
        </is>
      </c>
      <c r="F5677" s="3" t="n">
        <v>0</v>
      </c>
      <c r="G5677" s="3" t="n">
        <v>985049.6800000001</v>
      </c>
    </row>
    <row r="5678">
      <c r="A5678" s="3" t="inlineStr">
        <is>
          <t>Heron View (Pty) Ltd</t>
        </is>
      </c>
      <c r="B5678" s="4" t="n">
        <v>45323</v>
      </c>
      <c r="C5678" s="3" t="inlineStr">
        <is>
          <t>Assets</t>
        </is>
      </c>
      <c r="D5678" s="3" t="inlineStr">
        <is>
          <t>7620/660</t>
        </is>
      </c>
      <c r="E5678" s="3" t="inlineStr">
        <is>
          <t>HV CIP Health &amp; Safety</t>
        </is>
      </c>
      <c r="F5678" s="3" t="n">
        <v>0</v>
      </c>
      <c r="G5678" s="3" t="n">
        <v>28600</v>
      </c>
    </row>
    <row r="5679">
      <c r="A5679" s="3" t="inlineStr">
        <is>
          <t>Heron View (Pty) Ltd</t>
        </is>
      </c>
      <c r="B5679" s="4" t="n">
        <v>45323</v>
      </c>
      <c r="C5679" s="3" t="inlineStr">
        <is>
          <t>Assets</t>
        </is>
      </c>
      <c r="D5679" s="3" t="inlineStr">
        <is>
          <t>7620/670</t>
        </is>
      </c>
      <c r="E5679" s="3" t="inlineStr">
        <is>
          <t>HV CIP - Project costs CPSD</t>
        </is>
      </c>
      <c r="F5679" s="3" t="n">
        <v>0</v>
      </c>
      <c r="G5679" s="3" t="n">
        <v>2358695.65</v>
      </c>
    </row>
    <row r="5680">
      <c r="A5680" s="3" t="inlineStr">
        <is>
          <t>Heron View (Pty) Ltd</t>
        </is>
      </c>
      <c r="B5680" s="4" t="n">
        <v>45323</v>
      </c>
      <c r="C5680" s="3" t="inlineStr">
        <is>
          <t>Assets</t>
        </is>
      </c>
      <c r="D5680" s="3" t="inlineStr">
        <is>
          <t>7620/680</t>
        </is>
      </c>
      <c r="E5680" s="3" t="inlineStr">
        <is>
          <t>HV CIP Elextrical</t>
        </is>
      </c>
      <c r="F5680" s="3" t="n">
        <v>0</v>
      </c>
      <c r="G5680" s="3" t="n">
        <v>1540502.11</v>
      </c>
    </row>
    <row r="5681">
      <c r="A5681" s="3" t="inlineStr">
        <is>
          <t>Heron View (Pty) Ltd</t>
        </is>
      </c>
      <c r="B5681" s="4" t="n">
        <v>45323</v>
      </c>
      <c r="C5681" s="3" t="inlineStr">
        <is>
          <t>Assets</t>
        </is>
      </c>
      <c r="D5681" s="3" t="inlineStr">
        <is>
          <t>7620/690</t>
        </is>
      </c>
      <c r="E5681" s="3" t="inlineStr">
        <is>
          <t>HV CIP Site Establishment</t>
        </is>
      </c>
      <c r="F5681" s="3" t="n">
        <v>0</v>
      </c>
      <c r="G5681" s="3" t="n">
        <v>16307183.05</v>
      </c>
    </row>
    <row r="5682">
      <c r="A5682" s="3" t="inlineStr">
        <is>
          <t>Heron Fields (Pty) Ltd</t>
        </is>
      </c>
      <c r="B5682" s="4" t="n">
        <v>45323</v>
      </c>
      <c r="C5682" s="3" t="inlineStr">
        <is>
          <t>Assets</t>
        </is>
      </c>
      <c r="D5682" s="3" t="inlineStr">
        <is>
          <t>7620/750</t>
        </is>
      </c>
      <c r="E5682" s="3" t="inlineStr">
        <is>
          <t>HF CIP Project costs CPSD</t>
        </is>
      </c>
      <c r="F5682" s="3" t="n">
        <v>0</v>
      </c>
      <c r="G5682" s="3" t="n">
        <v>2148883.15</v>
      </c>
    </row>
    <row r="5683">
      <c r="A5683" s="3" t="inlineStr">
        <is>
          <t>Heron Fields (Pty) Ltd</t>
        </is>
      </c>
      <c r="B5683" s="4" t="n">
        <v>45323</v>
      </c>
      <c r="C5683" s="3" t="inlineStr">
        <is>
          <t>Assets</t>
        </is>
      </c>
      <c r="D5683" s="3" t="inlineStr">
        <is>
          <t>7620/800</t>
        </is>
      </c>
      <c r="E5683" s="3" t="inlineStr">
        <is>
          <t>HF CIP GL Conradie</t>
        </is>
      </c>
      <c r="F5683" s="3" t="n">
        <v>0</v>
      </c>
      <c r="G5683" s="3" t="n">
        <v>1068455</v>
      </c>
    </row>
    <row r="5684">
      <c r="A5684" s="3" t="inlineStr">
        <is>
          <t>Heron View (Pty) Ltd</t>
        </is>
      </c>
      <c r="B5684" s="4" t="n">
        <v>45323</v>
      </c>
      <c r="C5684" s="3" t="inlineStr">
        <is>
          <t>Assets</t>
        </is>
      </c>
      <c r="D5684" s="3" t="inlineStr">
        <is>
          <t>7620/800</t>
        </is>
      </c>
      <c r="E5684" s="3" t="inlineStr">
        <is>
          <t>HV CIP GL Conradie</t>
        </is>
      </c>
      <c r="F5684" s="3" t="n">
        <v>0</v>
      </c>
      <c r="G5684" s="3" t="n">
        <v>2188325.96</v>
      </c>
    </row>
    <row r="5685">
      <c r="A5685" s="3" t="inlineStr">
        <is>
          <t>Heron Fields (Pty) Ltd</t>
        </is>
      </c>
      <c r="B5685" s="4" t="n">
        <v>45323</v>
      </c>
      <c r="C5685" s="3" t="inlineStr">
        <is>
          <t>Assets</t>
        </is>
      </c>
      <c r="D5685" s="3" t="inlineStr">
        <is>
          <t>7700/010</t>
        </is>
      </c>
      <c r="E5685" s="3" t="inlineStr">
        <is>
          <t>Construction 28 Feb 23 HF</t>
        </is>
      </c>
      <c r="F5685" s="3" t="n">
        <v>0</v>
      </c>
      <c r="G5685" s="3" t="n">
        <v>-24427668.44</v>
      </c>
    </row>
    <row r="5686">
      <c r="A5686" s="3" t="inlineStr">
        <is>
          <t>Cape Projects Construction (Pty) Ltd</t>
        </is>
      </c>
      <c r="B5686" s="4" t="n">
        <v>45323</v>
      </c>
      <c r="C5686" s="3" t="inlineStr">
        <is>
          <t>Assets</t>
        </is>
      </c>
      <c r="D5686" s="3" t="inlineStr">
        <is>
          <t>7800/000</t>
        </is>
      </c>
      <c r="E5686" s="3" t="inlineStr">
        <is>
          <t>Deposits paid</t>
        </is>
      </c>
      <c r="F5686" s="3" t="n">
        <v>0</v>
      </c>
      <c r="G5686" s="3" t="n">
        <v>29600</v>
      </c>
    </row>
    <row r="5687">
      <c r="A5687" s="3" t="inlineStr">
        <is>
          <t>Cape Projects Construction (Pty) Ltd</t>
        </is>
      </c>
      <c r="B5687" s="4" t="n">
        <v>45323</v>
      </c>
      <c r="C5687" s="3" t="inlineStr">
        <is>
          <t>Assets</t>
        </is>
      </c>
      <c r="D5687" s="3" t="inlineStr">
        <is>
          <t>8000/000</t>
        </is>
      </c>
      <c r="E5687" s="3" t="inlineStr">
        <is>
          <t>Customer Control Account</t>
        </is>
      </c>
      <c r="F5687" s="3" t="n">
        <v>0</v>
      </c>
      <c r="G5687" s="3" t="n">
        <v>5424127.74</v>
      </c>
    </row>
    <row r="5688">
      <c r="A5688" s="3" t="inlineStr">
        <is>
          <t>Heron Fields (Pty) Ltd</t>
        </is>
      </c>
      <c r="B5688" s="4" t="n">
        <v>45323</v>
      </c>
      <c r="C5688" s="3" t="inlineStr">
        <is>
          <t>Assets</t>
        </is>
      </c>
      <c r="D5688" s="3" t="inlineStr">
        <is>
          <t>8000/000</t>
        </is>
      </c>
      <c r="E5688" s="3" t="inlineStr">
        <is>
          <t>Customer Control Account</t>
        </is>
      </c>
      <c r="F5688" s="3" t="n">
        <v>0</v>
      </c>
      <c r="G5688" s="3" t="n">
        <v>371025.69</v>
      </c>
    </row>
    <row r="5689">
      <c r="A5689" s="3" t="inlineStr">
        <is>
          <t>Heron View (Pty) Ltd</t>
        </is>
      </c>
      <c r="B5689" s="4" t="n">
        <v>45323</v>
      </c>
      <c r="C5689" s="3" t="inlineStr">
        <is>
          <t>Assets</t>
        </is>
      </c>
      <c r="D5689" s="3" t="inlineStr">
        <is>
          <t>8000/000</t>
        </is>
      </c>
      <c r="E5689" s="3" t="inlineStr">
        <is>
          <t>Customer Control Account</t>
        </is>
      </c>
      <c r="F5689" s="3" t="n">
        <v>729265.62</v>
      </c>
      <c r="G5689" s="3" t="n">
        <v>729575.36</v>
      </c>
    </row>
    <row r="5690">
      <c r="A5690" s="3" t="inlineStr">
        <is>
          <t>Heron Fields (Pty) Ltd</t>
        </is>
      </c>
      <c r="B5690" s="4" t="n">
        <v>45323</v>
      </c>
      <c r="C5690" s="3" t="inlineStr">
        <is>
          <t>Assets</t>
        </is>
      </c>
      <c r="D5690" s="3" t="inlineStr">
        <is>
          <t>8400/000</t>
        </is>
      </c>
      <c r="E5690" s="3" t="inlineStr">
        <is>
          <t>RMB - 62882379087</t>
        </is>
      </c>
      <c r="F5690" s="3" t="n">
        <v>-399024.52</v>
      </c>
      <c r="G5690" s="3" t="n">
        <v>2794044.47</v>
      </c>
    </row>
    <row r="5691">
      <c r="A5691" s="3" t="inlineStr">
        <is>
          <t>Cape Projects Construction (Pty) Ltd</t>
        </is>
      </c>
      <c r="B5691" s="4" t="n">
        <v>45323</v>
      </c>
      <c r="C5691" s="3" t="inlineStr">
        <is>
          <t>Assets</t>
        </is>
      </c>
      <c r="D5691" s="3" t="inlineStr">
        <is>
          <t>8400/000</t>
        </is>
      </c>
      <c r="E5691" s="3" t="inlineStr">
        <is>
          <t>RMB 62275138470</t>
        </is>
      </c>
      <c r="F5691" s="3" t="n">
        <v>-13547.58</v>
      </c>
      <c r="G5691" s="3" t="n">
        <v>353576.79</v>
      </c>
    </row>
    <row r="5692">
      <c r="A5692" s="3" t="inlineStr">
        <is>
          <t>Cape Projects Construction (Pty) Ltd</t>
        </is>
      </c>
      <c r="B5692" s="4" t="n">
        <v>45323</v>
      </c>
      <c r="C5692" s="3" t="inlineStr">
        <is>
          <t>Assets</t>
        </is>
      </c>
      <c r="D5692" s="3" t="inlineStr">
        <is>
          <t>8410/000</t>
        </is>
      </c>
      <c r="E5692" s="3" t="inlineStr">
        <is>
          <t>Petty Cash</t>
        </is>
      </c>
      <c r="F5692" s="3" t="n">
        <v>0</v>
      </c>
      <c r="G5692" s="3" t="n">
        <v>-1188</v>
      </c>
    </row>
    <row r="5693">
      <c r="A5693" s="3" t="inlineStr">
        <is>
          <t>Cape Projects Construction (Pty) Ltd</t>
        </is>
      </c>
      <c r="B5693" s="4" t="n">
        <v>45323</v>
      </c>
      <c r="C5693" s="3" t="inlineStr">
        <is>
          <t>Assets</t>
        </is>
      </c>
      <c r="D5693" s="3" t="inlineStr">
        <is>
          <t>8420/000</t>
        </is>
      </c>
      <c r="E5693" s="3" t="inlineStr">
        <is>
          <t>Momentum Priv Acc RU502230981</t>
        </is>
      </c>
      <c r="F5693" s="3" t="n">
        <v>0</v>
      </c>
      <c r="G5693" s="3" t="n">
        <v>571.55</v>
      </c>
    </row>
    <row r="5694">
      <c r="A5694" s="3" t="inlineStr">
        <is>
          <t>Heron Fields (Pty) Ltd</t>
        </is>
      </c>
      <c r="B5694" s="4" t="n">
        <v>45323</v>
      </c>
      <c r="C5694" s="3" t="inlineStr">
        <is>
          <t>Assets</t>
        </is>
      </c>
      <c r="D5694" s="3" t="inlineStr">
        <is>
          <t>8420/000</t>
        </is>
      </c>
      <c r="E5694" s="3" t="inlineStr">
        <is>
          <t>Petty Cash</t>
        </is>
      </c>
      <c r="F5694" s="3" t="n">
        <v>0</v>
      </c>
      <c r="G5694" s="3" t="n">
        <v>8620</v>
      </c>
    </row>
    <row r="5695">
      <c r="A5695" s="3" t="inlineStr">
        <is>
          <t>Heron Fields (Pty) Ltd</t>
        </is>
      </c>
      <c r="B5695" s="4" t="n">
        <v>45323</v>
      </c>
      <c r="C5695" s="3" t="inlineStr">
        <is>
          <t>Assets</t>
        </is>
      </c>
      <c r="D5695" s="3" t="inlineStr">
        <is>
          <t>8430/000</t>
        </is>
      </c>
      <c r="E5695" s="3" t="inlineStr">
        <is>
          <t>Momentum Private Account RU502230151</t>
        </is>
      </c>
      <c r="F5695" s="3" t="n">
        <v>0</v>
      </c>
      <c r="G5695" s="3" t="n">
        <v>871.91</v>
      </c>
    </row>
    <row r="5696">
      <c r="A5696" s="3" t="inlineStr">
        <is>
          <t>Heron Fields (Pty) Ltd</t>
        </is>
      </c>
      <c r="B5696" s="4" t="n">
        <v>45323</v>
      </c>
      <c r="C5696" s="3" t="inlineStr">
        <is>
          <t>Assets</t>
        </is>
      </c>
      <c r="D5696" s="3" t="inlineStr">
        <is>
          <t>8440/000</t>
        </is>
      </c>
      <c r="E5696" s="3" t="inlineStr">
        <is>
          <t>Momentum Investors Account RU502229930</t>
        </is>
      </c>
      <c r="F5696" s="3" t="n">
        <v>0</v>
      </c>
      <c r="G5696" s="3" t="n">
        <v>12614876.37</v>
      </c>
    </row>
    <row r="5697">
      <c r="A5697" s="3" t="inlineStr">
        <is>
          <t>Heron Fields (Pty) Ltd</t>
        </is>
      </c>
      <c r="B5697" s="4" t="n">
        <v>45323</v>
      </c>
      <c r="C5697" s="3" t="inlineStr">
        <is>
          <t>Assets</t>
        </is>
      </c>
      <c r="D5697" s="3" t="inlineStr">
        <is>
          <t>8450/000</t>
        </is>
      </c>
      <c r="E5697" s="3" t="inlineStr">
        <is>
          <t>ABSA Current Acc : 4109071013</t>
        </is>
      </c>
      <c r="F5697" s="3" t="n">
        <v>0</v>
      </c>
      <c r="G5697" s="3" t="n">
        <v>150500</v>
      </c>
    </row>
    <row r="5698">
      <c r="A5698" s="3" t="inlineStr">
        <is>
          <t>Cape Projects Construction (Pty) Ltd</t>
        </is>
      </c>
      <c r="B5698" s="4" t="n">
        <v>45323</v>
      </c>
      <c r="C5698" s="3" t="inlineStr">
        <is>
          <t>Liabilities</t>
        </is>
      </c>
      <c r="D5698" s="3" t="inlineStr">
        <is>
          <t>860</t>
        </is>
      </c>
      <c r="E5698" s="3" t="inlineStr">
        <is>
          <t>Rounding</t>
        </is>
      </c>
      <c r="F5698" s="3" t="n">
        <v>0.01</v>
      </c>
      <c r="G5698" s="3" t="n">
        <v>-0.48</v>
      </c>
    </row>
    <row r="5699">
      <c r="A5699" s="3" t="inlineStr">
        <is>
          <t>Heron Fields (Pty) Ltd</t>
        </is>
      </c>
      <c r="B5699" s="4" t="n">
        <v>45323</v>
      </c>
      <c r="C5699" s="3" t="inlineStr">
        <is>
          <t>Liabilities</t>
        </is>
      </c>
      <c r="D5699" s="3" t="inlineStr">
        <is>
          <t>860</t>
        </is>
      </c>
      <c r="E5699" s="3" t="inlineStr">
        <is>
          <t>Rounding</t>
        </is>
      </c>
      <c r="F5699" s="3" t="n">
        <v>0</v>
      </c>
      <c r="G5699" s="3" t="n">
        <v>0.04</v>
      </c>
    </row>
    <row r="5700">
      <c r="A5700" s="3" t="inlineStr">
        <is>
          <t>Heron View (Pty) Ltd</t>
        </is>
      </c>
      <c r="B5700" s="4" t="n">
        <v>45323</v>
      </c>
      <c r="C5700" s="3" t="inlineStr">
        <is>
          <t>Liabilities</t>
        </is>
      </c>
      <c r="D5700" s="3" t="inlineStr">
        <is>
          <t>860</t>
        </is>
      </c>
      <c r="E5700" s="3" t="inlineStr">
        <is>
          <t>Rounding</t>
        </is>
      </c>
      <c r="F5700" s="3" t="n">
        <v>0</v>
      </c>
      <c r="G5700" s="3" t="n">
        <v>-0.03</v>
      </c>
    </row>
    <row r="5701">
      <c r="A5701" s="3" t="inlineStr">
        <is>
          <t>Cape Projects Construction (Pty) Ltd</t>
        </is>
      </c>
      <c r="B5701" s="4" t="n">
        <v>45323</v>
      </c>
      <c r="C5701" s="3" t="inlineStr">
        <is>
          <t>Liabilities</t>
        </is>
      </c>
      <c r="D5701" s="3" t="inlineStr">
        <is>
          <t>9000/000</t>
        </is>
      </c>
      <c r="E5701" s="3" t="inlineStr">
        <is>
          <t>Supplier Control Account</t>
        </is>
      </c>
      <c r="F5701" s="3" t="n">
        <v>-73004.16</v>
      </c>
      <c r="G5701" s="3" t="n">
        <v>-1083596.1</v>
      </c>
    </row>
    <row r="5702">
      <c r="A5702" s="3" t="inlineStr">
        <is>
          <t>Heron Fields (Pty) Ltd</t>
        </is>
      </c>
      <c r="B5702" s="4" t="n">
        <v>45323</v>
      </c>
      <c r="C5702" s="3" t="inlineStr">
        <is>
          <t>Liabilities</t>
        </is>
      </c>
      <c r="D5702" s="3" t="inlineStr">
        <is>
          <t>9000/000</t>
        </is>
      </c>
      <c r="E5702" s="3" t="inlineStr">
        <is>
          <t>Supplier Control Account</t>
        </is>
      </c>
      <c r="F5702" s="3" t="n">
        <v>1004720.51</v>
      </c>
      <c r="G5702" s="3" t="n">
        <v>-167365223.48</v>
      </c>
    </row>
    <row r="5703">
      <c r="A5703" s="3" t="inlineStr">
        <is>
          <t>Heron View (Pty) Ltd</t>
        </is>
      </c>
      <c r="B5703" s="4" t="n">
        <v>45323</v>
      </c>
      <c r="C5703" s="3" t="inlineStr">
        <is>
          <t>Liabilities</t>
        </is>
      </c>
      <c r="D5703" s="3" t="inlineStr">
        <is>
          <t>9000/000</t>
        </is>
      </c>
      <c r="E5703" s="3" t="inlineStr">
        <is>
          <t>Supplier Control Account</t>
        </is>
      </c>
      <c r="F5703" s="3" t="n">
        <v>-66779.67</v>
      </c>
      <c r="G5703" s="3" t="n">
        <v>-1814363.82</v>
      </c>
    </row>
    <row r="5704">
      <c r="A5704" s="3" t="inlineStr">
        <is>
          <t>Cape Projects Construction (Pty) Ltd</t>
        </is>
      </c>
      <c r="B5704" s="4" t="n">
        <v>45323</v>
      </c>
      <c r="C5704" s="3" t="inlineStr">
        <is>
          <t>Liabilities</t>
        </is>
      </c>
      <c r="D5704" s="3" t="inlineStr">
        <is>
          <t>9200/000</t>
        </is>
      </c>
      <c r="E5704" s="3" t="inlineStr">
        <is>
          <t>Sundry Suppliers</t>
        </is>
      </c>
      <c r="F5704" s="3" t="n">
        <v>0</v>
      </c>
      <c r="G5704" s="3" t="n">
        <v>1309</v>
      </c>
    </row>
    <row r="5705">
      <c r="A5705" s="3" t="inlineStr">
        <is>
          <t>Cape Projects Construction (Pty) Ltd</t>
        </is>
      </c>
      <c r="B5705" s="4" t="n">
        <v>45323</v>
      </c>
      <c r="C5705" s="3" t="inlineStr">
        <is>
          <t>Liabilities</t>
        </is>
      </c>
      <c r="D5705" s="3" t="inlineStr">
        <is>
          <t>9250/020</t>
        </is>
      </c>
      <c r="E5705" s="3" t="inlineStr">
        <is>
          <t>PAYE, UIF AND SDL CONTROL</t>
        </is>
      </c>
      <c r="F5705" s="3" t="n">
        <v>0</v>
      </c>
      <c r="G5705" s="3" t="n">
        <v>-107008.04</v>
      </c>
    </row>
    <row r="5706">
      <c r="A5706" s="3" t="inlineStr">
        <is>
          <t>Cape Projects Construction (Pty) Ltd</t>
        </is>
      </c>
      <c r="B5706" s="4" t="n">
        <v>45323</v>
      </c>
      <c r="C5706" s="3" t="inlineStr">
        <is>
          <t>Liabilities</t>
        </is>
      </c>
      <c r="D5706" s="3" t="inlineStr">
        <is>
          <t>9250/030</t>
        </is>
      </c>
      <c r="E5706" s="3" t="inlineStr">
        <is>
          <t>BIBC CONTROL</t>
        </is>
      </c>
      <c r="F5706" s="3" t="n">
        <v>0</v>
      </c>
      <c r="G5706" s="3" t="n">
        <v>-49413.95</v>
      </c>
    </row>
    <row r="5707">
      <c r="A5707" s="3" t="inlineStr">
        <is>
          <t>Cape Projects Construction (Pty) Ltd</t>
        </is>
      </c>
      <c r="B5707" s="4" t="n">
        <v>45323</v>
      </c>
      <c r="C5707" s="3" t="inlineStr">
        <is>
          <t>Liabilities</t>
        </is>
      </c>
      <c r="D5707" s="3" t="inlineStr">
        <is>
          <t>9350/000</t>
        </is>
      </c>
      <c r="E5707" s="3" t="inlineStr">
        <is>
          <t>Dividends Payable</t>
        </is>
      </c>
      <c r="F5707" s="3" t="n">
        <v>0</v>
      </c>
      <c r="G5707" s="3" t="n">
        <v>130000</v>
      </c>
    </row>
    <row r="5708">
      <c r="A5708" s="3" t="inlineStr">
        <is>
          <t>Cape Projects Construction (Pty) Ltd</t>
        </is>
      </c>
      <c r="B5708" s="4" t="n">
        <v>45323</v>
      </c>
      <c r="C5708" s="3" t="inlineStr">
        <is>
          <t>Liabilities</t>
        </is>
      </c>
      <c r="D5708" s="3" t="inlineStr">
        <is>
          <t>9500/000</t>
        </is>
      </c>
      <c r="E5708" s="3" t="inlineStr">
        <is>
          <t>VAT Control Account</t>
        </is>
      </c>
      <c r="F5708" s="3" t="n">
        <v>11121.11</v>
      </c>
      <c r="G5708" s="3" t="n">
        <v>-235772.08</v>
      </c>
    </row>
    <row r="5709">
      <c r="A5709" s="3" t="inlineStr">
        <is>
          <t>Heron Fields (Pty) Ltd</t>
        </is>
      </c>
      <c r="B5709" s="4" t="n">
        <v>45323</v>
      </c>
      <c r="C5709" s="3" t="inlineStr">
        <is>
          <t>Liabilities</t>
        </is>
      </c>
      <c r="D5709" s="3" t="inlineStr">
        <is>
          <t>9500/000</t>
        </is>
      </c>
      <c r="E5709" s="3" t="inlineStr">
        <is>
          <t>Vat / Tax Control Account</t>
        </is>
      </c>
      <c r="F5709" s="3" t="n">
        <v>2324.94</v>
      </c>
      <c r="G5709" s="3" t="n">
        <v>-3369300.18</v>
      </c>
    </row>
    <row r="5710">
      <c r="A5710" s="3" t="inlineStr">
        <is>
          <t>Heron View (Pty) Ltd</t>
        </is>
      </c>
      <c r="B5710" s="4" t="n">
        <v>45323</v>
      </c>
      <c r="C5710" s="3" t="inlineStr">
        <is>
          <t>Liabilities</t>
        </is>
      </c>
      <c r="D5710" s="3" t="inlineStr">
        <is>
          <t>9500/000</t>
        </is>
      </c>
      <c r="E5710" s="3" t="inlineStr">
        <is>
          <t>Vat / Tax Control Account</t>
        </is>
      </c>
      <c r="F5710" s="3" t="n">
        <v>-200327.72</v>
      </c>
      <c r="G5710" s="3" t="n">
        <v>6187972.12</v>
      </c>
    </row>
    <row r="5711">
      <c r="A5711" s="3" t="inlineStr">
        <is>
          <t>Cape Projects Construction (Pty) Ltd</t>
        </is>
      </c>
      <c r="B5711" s="4" t="n">
        <v>45323</v>
      </c>
      <c r="C5711" s="3" t="inlineStr">
        <is>
          <t>Liabilities</t>
        </is>
      </c>
      <c r="D5711" s="3" t="inlineStr">
        <is>
          <t>9510/000</t>
        </is>
      </c>
      <c r="E5711" s="3" t="inlineStr">
        <is>
          <t>Tax Provision Account</t>
        </is>
      </c>
      <c r="F5711" s="3" t="n">
        <v>0</v>
      </c>
      <c r="G5711" s="3" t="n">
        <v>-1869.8</v>
      </c>
    </row>
    <row r="5712">
      <c r="A5712" s="3" t="inlineStr">
        <is>
          <t>Heron Fields (Pty) Ltd</t>
        </is>
      </c>
      <c r="B5712" s="4" t="n">
        <v>45323</v>
      </c>
      <c r="C5712" s="3" t="inlineStr">
        <is>
          <t>Liabilities</t>
        </is>
      </c>
      <c r="D5712" s="3" t="inlineStr">
        <is>
          <t>9520/000</t>
        </is>
      </c>
      <c r="E5712" s="3" t="inlineStr">
        <is>
          <t>Income Tax Payable</t>
        </is>
      </c>
      <c r="F5712" s="3" t="n">
        <v>0</v>
      </c>
      <c r="G5712" s="3" t="n">
        <v>59039.93</v>
      </c>
    </row>
    <row r="5713">
      <c r="A5713" s="3" t="inlineStr">
        <is>
          <t>Heron View (Pty) Ltd</t>
        </is>
      </c>
      <c r="B5713" s="4" t="n">
        <v>45323</v>
      </c>
      <c r="C5713" s="3" t="inlineStr">
        <is>
          <t>Liabilities</t>
        </is>
      </c>
      <c r="D5713" s="3" t="inlineStr">
        <is>
          <t>9899/C102</t>
        </is>
      </c>
      <c r="E5713" s="3" t="inlineStr">
        <is>
          <t>Sales - Unit Reg Control C102</t>
        </is>
      </c>
      <c r="F5713" s="3" t="n">
        <v>0</v>
      </c>
      <c r="G5713" s="3" t="n">
        <v>-0.4</v>
      </c>
    </row>
    <row r="5714">
      <c r="A5714" s="3" t="inlineStr">
        <is>
          <t>Cape Projects Construction (Pty) Ltd</t>
        </is>
      </c>
      <c r="B5714" s="4" t="n">
        <v>45323</v>
      </c>
      <c r="C5714" s="3" t="inlineStr">
        <is>
          <t>Liabilities</t>
        </is>
      </c>
      <c r="D5714" s="3" t="inlineStr">
        <is>
          <t>B/S</t>
        </is>
      </c>
      <c r="E5714" s="3" t="inlineStr">
        <is>
          <t>Taxation Payable</t>
        </is>
      </c>
      <c r="F5714" s="3" t="n">
        <v>0</v>
      </c>
      <c r="G5714" s="3" t="n">
        <v>1869.8</v>
      </c>
    </row>
    <row r="5715">
      <c r="A5715" s="3" t="inlineStr">
        <is>
          <t>Cape Projects Construction (Pty) Ltd</t>
        </is>
      </c>
      <c r="B5715" s="4" t="n">
        <v>45323</v>
      </c>
      <c r="C5715" s="3" t="inlineStr">
        <is>
          <t>Assets</t>
        </is>
      </c>
      <c r="D5715" s="3" t="inlineStr">
        <is>
          <t>Blessing</t>
        </is>
      </c>
      <c r="E5715" s="3" t="inlineStr">
        <is>
          <t>Staff Loan - Ntuthuka</t>
        </is>
      </c>
      <c r="F5715" s="3" t="n">
        <v>0</v>
      </c>
      <c r="G5715" s="3" t="n">
        <v>-3510.34</v>
      </c>
    </row>
    <row r="5716">
      <c r="A5716" s="3" t="inlineStr">
        <is>
          <t>Cape Projects Construction (Pty) Ltd</t>
        </is>
      </c>
      <c r="B5716" s="4" t="n">
        <v>45323</v>
      </c>
      <c r="C5716" s="3" t="inlineStr">
        <is>
          <t>Liabilities</t>
        </is>
      </c>
      <c r="D5716" s="3" t="inlineStr">
        <is>
          <t>TEMP/ACC</t>
        </is>
      </c>
      <c r="E5716" s="3" t="inlineStr">
        <is>
          <t>Conversion Account</t>
        </is>
      </c>
      <c r="F5716" s="3" t="n">
        <v>0</v>
      </c>
      <c r="G5716" s="3" t="n">
        <v>-254.99</v>
      </c>
    </row>
    <row r="5717">
      <c r="A5717" s="3" t="inlineStr">
        <is>
          <t>Heron Fields (Pty) Ltd</t>
        </is>
      </c>
      <c r="B5717" s="4" t="n">
        <v>45351</v>
      </c>
      <c r="C5717" s="3" t="inlineStr">
        <is>
          <t>Revenue</t>
        </is>
      </c>
      <c r="D5717" s="3" t="inlineStr">
        <is>
          <t>1000/100</t>
        </is>
      </c>
      <c r="E5717" s="3" t="inlineStr">
        <is>
          <t>Sales - Heron Fields</t>
        </is>
      </c>
      <c r="F5717" s="3" t="n">
        <v>0</v>
      </c>
      <c r="G5717" s="3" t="n">
        <v>-28096347.83</v>
      </c>
    </row>
    <row r="5718">
      <c r="A5718" s="3" t="inlineStr">
        <is>
          <t>Heron View (Pty) Ltd</t>
        </is>
      </c>
      <c r="B5718" s="4" t="n">
        <v>45351</v>
      </c>
      <c r="C5718" s="3" t="inlineStr">
        <is>
          <t>Revenue</t>
        </is>
      </c>
      <c r="D5718" s="3" t="inlineStr">
        <is>
          <t>1000/100</t>
        </is>
      </c>
      <c r="E5718" s="3" t="inlineStr">
        <is>
          <t>Sales - Heron View Sales</t>
        </is>
      </c>
      <c r="F5718" s="3" t="n">
        <v>-11155043.48</v>
      </c>
      <c r="G5718" s="3" t="n">
        <v>-41027130.48</v>
      </c>
    </row>
    <row r="5719">
      <c r="A5719" s="3" t="inlineStr">
        <is>
          <t>Heron Fields (Pty) Ltd</t>
        </is>
      </c>
      <c r="B5719" s="4" t="n">
        <v>45351</v>
      </c>
      <c r="C5719" s="3" t="inlineStr">
        <is>
          <t>Revenue</t>
        </is>
      </c>
      <c r="D5719" s="3" t="inlineStr">
        <is>
          <t>1000/101</t>
        </is>
      </c>
      <c r="E5719" s="3" t="inlineStr">
        <is>
          <t>Sales - Heron Fields occupational rent</t>
        </is>
      </c>
      <c r="F5719" s="3" t="n">
        <v>0</v>
      </c>
      <c r="G5719" s="3" t="n">
        <v>-102388.85</v>
      </c>
    </row>
    <row r="5720">
      <c r="A5720" s="3" t="inlineStr">
        <is>
          <t>Heron View (Pty) Ltd</t>
        </is>
      </c>
      <c r="B5720" s="4" t="n">
        <v>45351</v>
      </c>
      <c r="C5720" s="3" t="inlineStr">
        <is>
          <t>Revenue</t>
        </is>
      </c>
      <c r="D5720" s="3" t="inlineStr">
        <is>
          <t>1000/101</t>
        </is>
      </c>
      <c r="E5720" s="3" t="inlineStr">
        <is>
          <t>Sales - Heron View Occupational Rent</t>
        </is>
      </c>
      <c r="F5720" s="3" t="n">
        <v>-8400</v>
      </c>
      <c r="G5720" s="3" t="n">
        <v>-97096.75999999999</v>
      </c>
    </row>
    <row r="5721">
      <c r="A5721" s="3" t="inlineStr">
        <is>
          <t>Cape Projects Construction (Pty) Ltd</t>
        </is>
      </c>
      <c r="B5721" s="4" t="n">
        <v>45351</v>
      </c>
      <c r="C5721" s="3" t="inlineStr">
        <is>
          <t>Revenue</t>
        </is>
      </c>
      <c r="D5721" s="3" t="inlineStr">
        <is>
          <t>1040/100</t>
        </is>
      </c>
      <c r="E5721" s="3" t="inlineStr">
        <is>
          <t>Fees - Construction - Heron</t>
        </is>
      </c>
      <c r="F5721" s="3" t="n">
        <v>-3921739.13</v>
      </c>
      <c r="G5721" s="3" t="n">
        <v>-59189331.98</v>
      </c>
    </row>
    <row r="5722">
      <c r="A5722" s="3" t="inlineStr">
        <is>
          <t>Cape Projects Construction (Pty) Ltd</t>
        </is>
      </c>
      <c r="B5722" s="4" t="n">
        <v>45351</v>
      </c>
      <c r="C5722" s="3" t="inlineStr">
        <is>
          <t>Revenue</t>
        </is>
      </c>
      <c r="D5722" s="3" t="inlineStr">
        <is>
          <t>1070/000</t>
        </is>
      </c>
      <c r="E5722" s="3" t="inlineStr">
        <is>
          <t>Rent - CT Office</t>
        </is>
      </c>
      <c r="F5722" s="3" t="n">
        <v>0</v>
      </c>
      <c r="G5722" s="3" t="n">
        <v>3490.94</v>
      </c>
    </row>
    <row r="5723">
      <c r="A5723" s="3" t="inlineStr">
        <is>
          <t>Heron Fields (Pty) Ltd</t>
        </is>
      </c>
      <c r="B5723" s="4" t="n">
        <v>45351</v>
      </c>
      <c r="C5723" s="3" t="inlineStr">
        <is>
          <t>Revenue</t>
        </is>
      </c>
      <c r="D5723" s="3" t="inlineStr">
        <is>
          <t>1500/002</t>
        </is>
      </c>
      <c r="E5723" s="3" t="inlineStr">
        <is>
          <t>Rental Income</t>
        </is>
      </c>
      <c r="F5723" s="3" t="n">
        <v>-86500</v>
      </c>
      <c r="G5723" s="3" t="n">
        <v>-420912.32</v>
      </c>
    </row>
    <row r="5724">
      <c r="A5724" s="3" t="inlineStr">
        <is>
          <t>Heron View (Pty) Ltd</t>
        </is>
      </c>
      <c r="B5724" s="4" t="n">
        <v>45351</v>
      </c>
      <c r="C5724" s="3" t="inlineStr">
        <is>
          <t>Revenue</t>
        </is>
      </c>
      <c r="D5724" s="3" t="inlineStr">
        <is>
          <t>1500/002</t>
        </is>
      </c>
      <c r="E5724" s="3" t="inlineStr">
        <is>
          <t>Rental Income</t>
        </is>
      </c>
      <c r="F5724" s="3" t="n">
        <v>0</v>
      </c>
      <c r="G5724" s="3" t="n">
        <v>-13883</v>
      </c>
    </row>
    <row r="5725">
      <c r="A5725" s="3" t="inlineStr">
        <is>
          <t>Heron Fields (Pty) Ltd</t>
        </is>
      </c>
      <c r="B5725" s="4" t="n">
        <v>45351</v>
      </c>
      <c r="C5725" s="3" t="inlineStr">
        <is>
          <t>Expenses</t>
        </is>
      </c>
      <c r="D5725" s="3" t="inlineStr">
        <is>
          <t>2000/011</t>
        </is>
      </c>
      <c r="E5725" s="3" t="inlineStr">
        <is>
          <t>COS - Heron View Showhouse</t>
        </is>
      </c>
      <c r="F5725" s="3" t="n">
        <v>0</v>
      </c>
      <c r="G5725" s="3" t="n">
        <v>45300.43</v>
      </c>
    </row>
    <row r="5726">
      <c r="A5726" s="3" t="inlineStr">
        <is>
          <t>Heron View (Pty) Ltd</t>
        </is>
      </c>
      <c r="B5726" s="4" t="n">
        <v>45351</v>
      </c>
      <c r="C5726" s="3" t="inlineStr">
        <is>
          <t>Expenses</t>
        </is>
      </c>
      <c r="D5726" s="3" t="inlineStr">
        <is>
          <t>2000/030</t>
        </is>
      </c>
      <c r="E5726" s="3" t="inlineStr">
        <is>
          <t>COS - HV COCT Rates clearance</t>
        </is>
      </c>
      <c r="F5726" s="3" t="n">
        <v>8890.959999999999</v>
      </c>
      <c r="G5726" s="3" t="n">
        <v>246033.9</v>
      </c>
    </row>
    <row r="5727">
      <c r="A5727" s="3" t="inlineStr">
        <is>
          <t>Heron Fields (Pty) Ltd</t>
        </is>
      </c>
      <c r="B5727" s="4" t="n">
        <v>45351</v>
      </c>
      <c r="C5727" s="3" t="inlineStr">
        <is>
          <t>Expenses</t>
        </is>
      </c>
      <c r="D5727" s="3" t="inlineStr">
        <is>
          <t>2000/040</t>
        </is>
      </c>
      <c r="E5727" s="3" t="inlineStr">
        <is>
          <t>COS - Legal Fees</t>
        </is>
      </c>
      <c r="F5727" s="3" t="n">
        <v>0</v>
      </c>
      <c r="G5727" s="3" t="n">
        <v>685713.49</v>
      </c>
    </row>
    <row r="5728">
      <c r="A5728" s="3" t="inlineStr">
        <is>
          <t>Heron View (Pty) Ltd</t>
        </is>
      </c>
      <c r="B5728" s="4" t="n">
        <v>45351</v>
      </c>
      <c r="C5728" s="3" t="inlineStr">
        <is>
          <t>Expenses</t>
        </is>
      </c>
      <c r="D5728" s="3" t="inlineStr">
        <is>
          <t>2000/040</t>
        </is>
      </c>
      <c r="E5728" s="3" t="inlineStr">
        <is>
          <t>COS - Legal Fees</t>
        </is>
      </c>
      <c r="F5728" s="3" t="n">
        <v>276922.46</v>
      </c>
      <c r="G5728" s="3" t="n">
        <v>947705.3100000001</v>
      </c>
    </row>
    <row r="5729">
      <c r="A5729" s="3" t="inlineStr">
        <is>
          <t>Heron View (Pty) Ltd</t>
        </is>
      </c>
      <c r="B5729" s="4" t="n">
        <v>45351</v>
      </c>
      <c r="C5729" s="3" t="inlineStr">
        <is>
          <t>Expenses</t>
        </is>
      </c>
      <c r="D5729" s="3" t="inlineStr">
        <is>
          <t>2000/041</t>
        </is>
      </c>
      <c r="E5729" s="3" t="inlineStr">
        <is>
          <t>COS - Legal Fees Opening of Sec Title Fees</t>
        </is>
      </c>
      <c r="F5729" s="3" t="n">
        <v>0</v>
      </c>
      <c r="G5729" s="3" t="n">
        <v>79174.94</v>
      </c>
    </row>
    <row r="5730">
      <c r="A5730" s="3" t="inlineStr">
        <is>
          <t>Heron Fields (Pty) Ltd</t>
        </is>
      </c>
      <c r="B5730" s="4" t="n">
        <v>45351</v>
      </c>
      <c r="C5730" s="3" t="inlineStr">
        <is>
          <t>Expenses</t>
        </is>
      </c>
      <c r="D5730" s="3" t="inlineStr">
        <is>
          <t>2000/041</t>
        </is>
      </c>
      <c r="E5730" s="3" t="inlineStr">
        <is>
          <t>COS - Legal Fees Opening of Sec Title Scheme</t>
        </is>
      </c>
      <c r="F5730" s="3" t="n">
        <v>0</v>
      </c>
      <c r="G5730" s="3" t="n">
        <v>10540</v>
      </c>
    </row>
    <row r="5731">
      <c r="A5731" s="3" t="inlineStr">
        <is>
          <t>Heron Fields (Pty) Ltd</t>
        </is>
      </c>
      <c r="B5731" s="4" t="n">
        <v>45351</v>
      </c>
      <c r="C5731" s="3" t="inlineStr">
        <is>
          <t>Expenses</t>
        </is>
      </c>
      <c r="D5731" s="3" t="inlineStr">
        <is>
          <t>2000/050</t>
        </is>
      </c>
      <c r="E5731" s="3" t="inlineStr">
        <is>
          <t>COS - Rates clearance</t>
        </is>
      </c>
      <c r="F5731" s="3" t="n">
        <v>0</v>
      </c>
      <c r="G5731" s="3" t="n">
        <v>44864.59</v>
      </c>
    </row>
    <row r="5732">
      <c r="A5732" s="3" t="inlineStr">
        <is>
          <t>Heron Fields (Pty) Ltd</t>
        </is>
      </c>
      <c r="B5732" s="4" t="n">
        <v>45351</v>
      </c>
      <c r="C5732" s="3" t="inlineStr">
        <is>
          <t>Expenses</t>
        </is>
      </c>
      <c r="D5732" s="3" t="inlineStr">
        <is>
          <t>2000/060</t>
        </is>
      </c>
      <c r="E5732" s="3" t="inlineStr">
        <is>
          <t>COS - Levies</t>
        </is>
      </c>
      <c r="F5732" s="3" t="n">
        <v>0</v>
      </c>
      <c r="G5732" s="3" t="n">
        <v>381069.48</v>
      </c>
    </row>
    <row r="5733">
      <c r="A5733" s="3" t="inlineStr">
        <is>
          <t>Heron Fields (Pty) Ltd</t>
        </is>
      </c>
      <c r="B5733" s="4" t="n">
        <v>45351</v>
      </c>
      <c r="C5733" s="3" t="inlineStr">
        <is>
          <t>Expenses</t>
        </is>
      </c>
      <c r="D5733" s="3" t="inlineStr">
        <is>
          <t>2000/070</t>
        </is>
      </c>
      <c r="E5733" s="3" t="inlineStr">
        <is>
          <t>COS - Commission HF Units</t>
        </is>
      </c>
      <c r="F5733" s="3" t="n">
        <v>0</v>
      </c>
      <c r="G5733" s="3" t="n">
        <v>1405686.97</v>
      </c>
    </row>
    <row r="5734">
      <c r="A5734" s="3" t="inlineStr">
        <is>
          <t>Heron View (Pty) Ltd</t>
        </is>
      </c>
      <c r="B5734" s="4" t="n">
        <v>45351</v>
      </c>
      <c r="C5734" s="3" t="inlineStr">
        <is>
          <t>Expenses</t>
        </is>
      </c>
      <c r="D5734" s="3" t="inlineStr">
        <is>
          <t>2000/070</t>
        </is>
      </c>
      <c r="E5734" s="3" t="inlineStr">
        <is>
          <t>COS - Commission HV Units</t>
        </is>
      </c>
      <c r="F5734" s="3" t="n">
        <v>556486.98</v>
      </c>
      <c r="G5734" s="3" t="n">
        <v>2051613.04</v>
      </c>
    </row>
    <row r="5735">
      <c r="A5735" s="3" t="inlineStr">
        <is>
          <t>Heron Fields (Pty) Ltd</t>
        </is>
      </c>
      <c r="B5735" s="4" t="n">
        <v>45351</v>
      </c>
      <c r="C5735" s="3" t="inlineStr">
        <is>
          <t>Expenses</t>
        </is>
      </c>
      <c r="D5735" s="3" t="inlineStr">
        <is>
          <t>2000/080</t>
        </is>
      </c>
      <c r="E5735" s="3" t="inlineStr">
        <is>
          <t>COS - Showhouse - HF</t>
        </is>
      </c>
      <c r="F5735" s="3" t="n">
        <v>0</v>
      </c>
      <c r="G5735" s="3" t="n">
        <v>1005.47</v>
      </c>
    </row>
    <row r="5736">
      <c r="A5736" s="3" t="inlineStr">
        <is>
          <t>Heron View (Pty) Ltd</t>
        </is>
      </c>
      <c r="B5736" s="4" t="n">
        <v>45351</v>
      </c>
      <c r="C5736" s="3" t="inlineStr">
        <is>
          <t>Expenses</t>
        </is>
      </c>
      <c r="D5736" s="3" t="inlineStr">
        <is>
          <t>2000/080</t>
        </is>
      </c>
      <c r="E5736" s="3" t="inlineStr">
        <is>
          <t>COS - Showhouse - HV</t>
        </is>
      </c>
      <c r="F5736" s="3" t="n">
        <v>0</v>
      </c>
      <c r="G5736" s="3" t="n">
        <v>6212.85</v>
      </c>
    </row>
    <row r="5737">
      <c r="A5737" s="3" t="inlineStr">
        <is>
          <t>Heron Fields (Pty) Ltd</t>
        </is>
      </c>
      <c r="B5737" s="4" t="n">
        <v>45351</v>
      </c>
      <c r="C5737" s="3" t="inlineStr">
        <is>
          <t>Expenses</t>
        </is>
      </c>
      <c r="D5737" s="3" t="inlineStr">
        <is>
          <t>2000/090</t>
        </is>
      </c>
      <c r="E5737" s="3" t="inlineStr">
        <is>
          <t>COS - Electricity</t>
        </is>
      </c>
      <c r="F5737" s="3" t="n">
        <v>0</v>
      </c>
      <c r="G5737" s="3" t="n">
        <v>250</v>
      </c>
    </row>
    <row r="5738">
      <c r="A5738" s="3" t="inlineStr">
        <is>
          <t>Heron View (Pty) Ltd</t>
        </is>
      </c>
      <c r="B5738" s="4" t="n">
        <v>45351</v>
      </c>
      <c r="C5738" s="3" t="inlineStr">
        <is>
          <t>Expenses</t>
        </is>
      </c>
      <c r="D5738" s="3" t="inlineStr">
        <is>
          <t>2000/090</t>
        </is>
      </c>
      <c r="E5738" s="3" t="inlineStr">
        <is>
          <t>COS - Electricity</t>
        </is>
      </c>
      <c r="F5738" s="3" t="n">
        <v>700</v>
      </c>
      <c r="G5738" s="3" t="n">
        <v>1173.92</v>
      </c>
    </row>
    <row r="5739">
      <c r="A5739" s="3" t="inlineStr">
        <is>
          <t>Heron Fields (Pty) Ltd</t>
        </is>
      </c>
      <c r="B5739" s="4" t="n">
        <v>45351</v>
      </c>
      <c r="C5739" s="3" t="inlineStr">
        <is>
          <t>Expenses</t>
        </is>
      </c>
      <c r="D5739" s="3" t="inlineStr">
        <is>
          <t>2000/100</t>
        </is>
      </c>
      <c r="E5739" s="3" t="inlineStr">
        <is>
          <t>COS - Inverters</t>
        </is>
      </c>
      <c r="F5739" s="3" t="n">
        <v>0</v>
      </c>
      <c r="G5739" s="3" t="n">
        <v>31600</v>
      </c>
    </row>
    <row r="5740">
      <c r="A5740" s="3" t="inlineStr">
        <is>
          <t>Cape Projects Construction (Pty) Ltd</t>
        </is>
      </c>
      <c r="B5740" s="4" t="n">
        <v>45351</v>
      </c>
      <c r="C5740" s="3" t="inlineStr">
        <is>
          <t>Expenses</t>
        </is>
      </c>
      <c r="D5740" s="3" t="inlineStr">
        <is>
          <t>2000/500</t>
        </is>
      </c>
      <c r="E5740" s="3" t="inlineStr">
        <is>
          <t>COS - Electricity Cost Endulini</t>
        </is>
      </c>
      <c r="F5740" s="3" t="n">
        <v>0</v>
      </c>
      <c r="G5740" s="3" t="n">
        <v>286.96</v>
      </c>
    </row>
    <row r="5741">
      <c r="A5741" s="3" t="inlineStr">
        <is>
          <t>Cape Projects Construction (Pty) Ltd</t>
        </is>
      </c>
      <c r="B5741" s="4" t="n">
        <v>45351</v>
      </c>
      <c r="C5741" s="3" t="inlineStr">
        <is>
          <t>Expenses</t>
        </is>
      </c>
      <c r="D5741" s="3" t="inlineStr">
        <is>
          <t>2000/501</t>
        </is>
      </c>
      <c r="E5741" s="3" t="inlineStr">
        <is>
          <t>COS - Electricity Cost Heron Field</t>
        </is>
      </c>
      <c r="F5741" s="3" t="n">
        <v>0</v>
      </c>
      <c r="G5741" s="3" t="n">
        <v>86.95999999999999</v>
      </c>
    </row>
    <row r="5742">
      <c r="A5742" s="3" t="inlineStr">
        <is>
          <t>Cape Projects Construction (Pty) Ltd</t>
        </is>
      </c>
      <c r="B5742" s="4" t="n">
        <v>45351</v>
      </c>
      <c r="C5742" s="3" t="inlineStr">
        <is>
          <t>Expenses</t>
        </is>
      </c>
      <c r="D5742" s="3" t="inlineStr">
        <is>
          <t>2001/000</t>
        </is>
      </c>
      <c r="E5742" s="3" t="inlineStr">
        <is>
          <t>Cost of Sales - SouthWark Project</t>
        </is>
      </c>
      <c r="F5742" s="3" t="n">
        <v>0</v>
      </c>
      <c r="G5742" s="3" t="n">
        <v>30620.97</v>
      </c>
    </row>
    <row r="5743">
      <c r="A5743" s="3" t="inlineStr">
        <is>
          <t>Cape Projects Construction (Pty) Ltd</t>
        </is>
      </c>
      <c r="B5743" s="4" t="n">
        <v>45351</v>
      </c>
      <c r="C5743" s="3" t="inlineStr">
        <is>
          <t>Expenses</t>
        </is>
      </c>
      <c r="D5743" s="3" t="inlineStr">
        <is>
          <t>2002/109</t>
        </is>
      </c>
      <c r="E5743" s="3" t="inlineStr">
        <is>
          <t>COS - SoHo External SITE LABOUR</t>
        </is>
      </c>
      <c r="F5743" s="3" t="n">
        <v>0</v>
      </c>
      <c r="G5743" s="3" t="n">
        <v>7408.46</v>
      </c>
    </row>
    <row r="5744">
      <c r="A5744" s="3" t="inlineStr">
        <is>
          <t>Cape Projects Construction (Pty) Ltd</t>
        </is>
      </c>
      <c r="B5744" s="4" t="n">
        <v>45351</v>
      </c>
      <c r="C5744" s="3" t="inlineStr">
        <is>
          <t>Expenses</t>
        </is>
      </c>
      <c r="D5744" s="3" t="inlineStr">
        <is>
          <t>2002/250</t>
        </is>
      </c>
      <c r="E5744" s="3" t="inlineStr">
        <is>
          <t>COS - Security</t>
        </is>
      </c>
      <c r="F5744" s="3" t="n">
        <v>0</v>
      </c>
      <c r="G5744" s="3" t="n">
        <v>10516.44</v>
      </c>
    </row>
    <row r="5745">
      <c r="A5745" s="3" t="inlineStr">
        <is>
          <t>Cape Projects Construction (Pty) Ltd</t>
        </is>
      </c>
      <c r="B5745" s="4" t="n">
        <v>45351</v>
      </c>
      <c r="C5745" s="3" t="inlineStr">
        <is>
          <t>Expenses</t>
        </is>
      </c>
      <c r="D5745" s="3" t="inlineStr">
        <is>
          <t>2002/252</t>
        </is>
      </c>
      <c r="E5745" s="3" t="inlineStr">
        <is>
          <t>COS - Security - Guarding</t>
        </is>
      </c>
      <c r="F5745" s="3" t="n">
        <v>0</v>
      </c>
      <c r="G5745" s="3" t="n">
        <v>152255.68</v>
      </c>
    </row>
    <row r="5746">
      <c r="A5746" s="3" t="inlineStr">
        <is>
          <t>Cape Projects Construction (Pty) Ltd</t>
        </is>
      </c>
      <c r="B5746" s="4" t="n">
        <v>45351</v>
      </c>
      <c r="C5746" s="3" t="inlineStr">
        <is>
          <t>Expenses</t>
        </is>
      </c>
      <c r="D5746" s="3" t="inlineStr">
        <is>
          <t>2006/000</t>
        </is>
      </c>
      <c r="E5746" s="3" t="inlineStr">
        <is>
          <t>COS - Endulini Construction</t>
        </is>
      </c>
      <c r="F5746" s="3" t="n">
        <v>1525</v>
      </c>
      <c r="G5746" s="3" t="n">
        <v>353672.74</v>
      </c>
    </row>
    <row r="5747">
      <c r="A5747" s="3" t="inlineStr">
        <is>
          <t>Cape Projects Construction (Pty) Ltd</t>
        </is>
      </c>
      <c r="B5747" s="4" t="n">
        <v>45351</v>
      </c>
      <c r="C5747" s="3" t="inlineStr">
        <is>
          <t>Expenses</t>
        </is>
      </c>
      <c r="D5747" s="3" t="inlineStr">
        <is>
          <t>2006/100</t>
        </is>
      </c>
      <c r="E5747" s="3" t="inlineStr">
        <is>
          <t>COS - Endulini P and G</t>
        </is>
      </c>
      <c r="F5747" s="3" t="n">
        <v>20.87</v>
      </c>
      <c r="G5747" s="3" t="n">
        <v>160526.57</v>
      </c>
    </row>
    <row r="5748">
      <c r="A5748" s="3" t="inlineStr">
        <is>
          <t>Cape Projects Construction (Pty) Ltd</t>
        </is>
      </c>
      <c r="B5748" s="4" t="n">
        <v>45351</v>
      </c>
      <c r="C5748" s="3" t="inlineStr">
        <is>
          <t>Expenses</t>
        </is>
      </c>
      <c r="D5748" s="3" t="inlineStr">
        <is>
          <t>2006/200</t>
        </is>
      </c>
      <c r="E5748" s="3" t="inlineStr">
        <is>
          <t>COS - Insurance</t>
        </is>
      </c>
      <c r="F5748" s="3" t="n">
        <v>0</v>
      </c>
      <c r="G5748" s="3" t="n">
        <v>19969.43</v>
      </c>
    </row>
    <row r="5749">
      <c r="A5749" s="3" t="inlineStr">
        <is>
          <t>Cape Projects Construction (Pty) Ltd</t>
        </is>
      </c>
      <c r="B5749" s="4" t="n">
        <v>45351</v>
      </c>
      <c r="C5749" s="3" t="inlineStr">
        <is>
          <t>Expenses</t>
        </is>
      </c>
      <c r="D5749" s="3" t="inlineStr">
        <is>
          <t>2006/450</t>
        </is>
      </c>
      <c r="E5749" s="3" t="inlineStr">
        <is>
          <t>COS - Endulini - Computer expenses</t>
        </is>
      </c>
      <c r="F5749" s="3" t="n">
        <v>0</v>
      </c>
      <c r="G5749" s="3" t="n">
        <v>26340.75</v>
      </c>
    </row>
    <row r="5750">
      <c r="A5750" s="3" t="inlineStr">
        <is>
          <t>Cape Projects Construction (Pty) Ltd</t>
        </is>
      </c>
      <c r="B5750" s="4" t="n">
        <v>45351</v>
      </c>
      <c r="C5750" s="3" t="inlineStr">
        <is>
          <t>Expenses</t>
        </is>
      </c>
      <c r="D5750" s="3" t="inlineStr">
        <is>
          <t>2006/700</t>
        </is>
      </c>
      <c r="E5750" s="3" t="inlineStr">
        <is>
          <t>COS - Endulini - Fuel</t>
        </is>
      </c>
      <c r="F5750" s="3" t="n">
        <v>300</v>
      </c>
      <c r="G5750" s="3" t="n">
        <v>300</v>
      </c>
    </row>
    <row r="5751">
      <c r="A5751" s="3" t="inlineStr">
        <is>
          <t>Cape Projects Construction (Pty) Ltd</t>
        </is>
      </c>
      <c r="B5751" s="4" t="n">
        <v>45351</v>
      </c>
      <c r="C5751" s="3" t="inlineStr">
        <is>
          <t>Expenses</t>
        </is>
      </c>
      <c r="D5751" s="3" t="inlineStr">
        <is>
          <t>2006/800</t>
        </is>
      </c>
      <c r="E5751" s="3" t="inlineStr">
        <is>
          <t>COS - Endulini - Telephone &amp; Internet</t>
        </is>
      </c>
      <c r="F5751" s="3" t="n">
        <v>0</v>
      </c>
      <c r="G5751" s="3" t="n">
        <v>760.87</v>
      </c>
    </row>
    <row r="5752">
      <c r="A5752" s="3" t="inlineStr">
        <is>
          <t>Cape Projects Construction (Pty) Ltd</t>
        </is>
      </c>
      <c r="B5752" s="4" t="n">
        <v>45351</v>
      </c>
      <c r="C5752" s="3" t="inlineStr">
        <is>
          <t>Expenses</t>
        </is>
      </c>
      <c r="D5752" s="3" t="inlineStr">
        <is>
          <t>2007/000</t>
        </is>
      </c>
      <c r="E5752" s="3" t="inlineStr">
        <is>
          <t>COS - Repairs &amp; Maintenance - SW Southwark</t>
        </is>
      </c>
      <c r="F5752" s="3" t="n">
        <v>848</v>
      </c>
      <c r="G5752" s="3" t="n">
        <v>28600.22</v>
      </c>
    </row>
    <row r="5753">
      <c r="A5753" s="3" t="inlineStr">
        <is>
          <t>Cape Projects Construction (Pty) Ltd</t>
        </is>
      </c>
      <c r="B5753" s="4" t="n">
        <v>45351</v>
      </c>
      <c r="C5753" s="3" t="inlineStr">
        <is>
          <t>Expenses</t>
        </is>
      </c>
      <c r="D5753" s="3" t="inlineStr">
        <is>
          <t>2008/000</t>
        </is>
      </c>
      <c r="E5753" s="3" t="inlineStr">
        <is>
          <t>COS - Repairs &amp; Maintenance - SH Soho</t>
        </is>
      </c>
      <c r="F5753" s="3" t="n">
        <v>0</v>
      </c>
      <c r="G5753" s="3" t="n">
        <v>7565.57</v>
      </c>
    </row>
    <row r="5754">
      <c r="A5754" s="3" t="inlineStr">
        <is>
          <t>Cape Projects Construction (Pty) Ltd</t>
        </is>
      </c>
      <c r="B5754" s="4" t="n">
        <v>45351</v>
      </c>
      <c r="C5754" s="3" t="inlineStr">
        <is>
          <t>Expenses</t>
        </is>
      </c>
      <c r="D5754" s="3" t="inlineStr">
        <is>
          <t>2011/100</t>
        </is>
      </c>
      <c r="E5754" s="3" t="inlineStr">
        <is>
          <t>COS - Heron Fields - Garden Services</t>
        </is>
      </c>
      <c r="F5754" s="3" t="n">
        <v>0</v>
      </c>
      <c r="G5754" s="3" t="n">
        <v>680</v>
      </c>
    </row>
    <row r="5755">
      <c r="A5755" s="3" t="inlineStr">
        <is>
          <t>Cape Projects Construction (Pty) Ltd</t>
        </is>
      </c>
      <c r="B5755" s="4" t="n">
        <v>45351</v>
      </c>
      <c r="C5755" s="3" t="inlineStr">
        <is>
          <t>Expenses</t>
        </is>
      </c>
      <c r="D5755" s="3" t="inlineStr">
        <is>
          <t>2011/300</t>
        </is>
      </c>
      <c r="E5755" s="3" t="inlineStr">
        <is>
          <t>COS - Heron Fields - Printing &amp; Stationary</t>
        </is>
      </c>
      <c r="F5755" s="3" t="n">
        <v>0</v>
      </c>
      <c r="G5755" s="3" t="n">
        <v>1129.57</v>
      </c>
    </row>
    <row r="5756">
      <c r="A5756" s="3" t="inlineStr">
        <is>
          <t>Cape Projects Construction (Pty) Ltd</t>
        </is>
      </c>
      <c r="B5756" s="4" t="n">
        <v>45351</v>
      </c>
      <c r="C5756" s="3" t="inlineStr">
        <is>
          <t>Expenses</t>
        </is>
      </c>
      <c r="D5756" s="3" t="inlineStr">
        <is>
          <t>2011/500</t>
        </is>
      </c>
      <c r="E5756" s="3" t="inlineStr">
        <is>
          <t>COS - Heron Fields - Construction</t>
        </is>
      </c>
      <c r="F5756" s="3" t="n">
        <v>390</v>
      </c>
      <c r="G5756" s="3" t="n">
        <v>1640229.08</v>
      </c>
    </row>
    <row r="5757">
      <c r="A5757" s="3" t="inlineStr">
        <is>
          <t>Cape Projects Construction (Pty) Ltd</t>
        </is>
      </c>
      <c r="B5757" s="4" t="n">
        <v>45351</v>
      </c>
      <c r="C5757" s="3" t="inlineStr">
        <is>
          <t>Expenses</t>
        </is>
      </c>
      <c r="D5757" s="3" t="inlineStr">
        <is>
          <t>2011/600</t>
        </is>
      </c>
      <c r="E5757" s="3" t="inlineStr">
        <is>
          <t>COS - Heron Fields - P &amp; G</t>
        </is>
      </c>
      <c r="F5757" s="3" t="n">
        <v>3282.19</v>
      </c>
      <c r="G5757" s="3" t="n">
        <v>347105.73</v>
      </c>
    </row>
    <row r="5758">
      <c r="A5758" s="3" t="inlineStr">
        <is>
          <t>Cape Projects Construction (Pty) Ltd</t>
        </is>
      </c>
      <c r="B5758" s="4" t="n">
        <v>45351</v>
      </c>
      <c r="C5758" s="3" t="inlineStr">
        <is>
          <t>Expenses</t>
        </is>
      </c>
      <c r="D5758" s="3" t="inlineStr">
        <is>
          <t>2011/700</t>
        </is>
      </c>
      <c r="E5758" s="3" t="inlineStr">
        <is>
          <t>COS - Heron Fields - Health &amp; Safety</t>
        </is>
      </c>
      <c r="F5758" s="3" t="n">
        <v>0</v>
      </c>
      <c r="G5758" s="3" t="n">
        <v>694.78</v>
      </c>
    </row>
    <row r="5759">
      <c r="A5759" s="3" t="inlineStr">
        <is>
          <t>Cape Projects Construction (Pty) Ltd</t>
        </is>
      </c>
      <c r="B5759" s="4" t="n">
        <v>45351</v>
      </c>
      <c r="C5759" s="3" t="inlineStr">
        <is>
          <t>Expenses</t>
        </is>
      </c>
      <c r="D5759" s="3" t="inlineStr">
        <is>
          <t>2011/800</t>
        </is>
      </c>
      <c r="E5759" s="3" t="inlineStr">
        <is>
          <t>COS - Heron - Small assets</t>
        </is>
      </c>
      <c r="F5759" s="3" t="n">
        <v>6144.78</v>
      </c>
      <c r="G5759" s="3" t="n">
        <v>6144.78</v>
      </c>
    </row>
    <row r="5760">
      <c r="A5760" s="3" t="inlineStr">
        <is>
          <t>Cape Projects Construction (Pty) Ltd</t>
        </is>
      </c>
      <c r="B5760" s="4" t="n">
        <v>45351</v>
      </c>
      <c r="C5760" s="3" t="inlineStr">
        <is>
          <t>Expenses</t>
        </is>
      </c>
      <c r="D5760" s="3" t="inlineStr">
        <is>
          <t>2011/900</t>
        </is>
      </c>
      <c r="E5760" s="3" t="inlineStr">
        <is>
          <t>COS - Heron - Internet</t>
        </is>
      </c>
      <c r="F5760" s="3" t="n">
        <v>1849.57</v>
      </c>
      <c r="G5760" s="3" t="n">
        <v>19178.81</v>
      </c>
    </row>
    <row r="5761">
      <c r="A5761" s="3" t="inlineStr">
        <is>
          <t>Cape Projects Construction (Pty) Ltd</t>
        </is>
      </c>
      <c r="B5761" s="4" t="n">
        <v>45351</v>
      </c>
      <c r="C5761" s="3" t="inlineStr">
        <is>
          <t>Expenses</t>
        </is>
      </c>
      <c r="D5761" s="3" t="inlineStr">
        <is>
          <t>2012/001</t>
        </is>
      </c>
      <c r="E5761" s="3" t="inlineStr">
        <is>
          <t>COS - Heron View - Printing &amp; Stationary</t>
        </is>
      </c>
      <c r="F5761" s="3" t="n">
        <v>2256.52</v>
      </c>
      <c r="G5761" s="3" t="n">
        <v>35788.9</v>
      </c>
    </row>
    <row r="5762">
      <c r="A5762" s="3" t="inlineStr">
        <is>
          <t>Cape Projects Construction (Pty) Ltd</t>
        </is>
      </c>
      <c r="B5762" s="4" t="n">
        <v>45351</v>
      </c>
      <c r="C5762" s="3" t="inlineStr">
        <is>
          <t>Expenses</t>
        </is>
      </c>
      <c r="D5762" s="3" t="inlineStr">
        <is>
          <t>2012/002</t>
        </is>
      </c>
      <c r="E5762" s="3" t="inlineStr">
        <is>
          <t>COS - Heron View - Construction</t>
        </is>
      </c>
      <c r="F5762" s="3" t="n">
        <v>4423042.03</v>
      </c>
      <c r="G5762" s="3" t="n">
        <v>47779319.81</v>
      </c>
    </row>
    <row r="5763">
      <c r="A5763" s="3" t="inlineStr">
        <is>
          <t>Cape Projects Construction (Pty) Ltd</t>
        </is>
      </c>
      <c r="B5763" s="4" t="n">
        <v>45351</v>
      </c>
      <c r="C5763" s="3" t="inlineStr">
        <is>
          <t>Expenses</t>
        </is>
      </c>
      <c r="D5763" s="3" t="inlineStr">
        <is>
          <t>2012/003</t>
        </is>
      </c>
      <c r="E5763" s="3" t="inlineStr">
        <is>
          <t>COS - Heron View - P&amp;G</t>
        </is>
      </c>
      <c r="F5763" s="3" t="n">
        <v>5069.8</v>
      </c>
      <c r="G5763" s="3" t="n">
        <v>554266.66</v>
      </c>
    </row>
    <row r="5764">
      <c r="A5764" s="3" t="inlineStr">
        <is>
          <t>Cape Projects Construction (Pty) Ltd</t>
        </is>
      </c>
      <c r="B5764" s="4" t="n">
        <v>45351</v>
      </c>
      <c r="C5764" s="3" t="inlineStr">
        <is>
          <t>Expenses</t>
        </is>
      </c>
      <c r="D5764" s="3" t="inlineStr">
        <is>
          <t>2013/000</t>
        </is>
      </c>
      <c r="E5764" s="3" t="inlineStr">
        <is>
          <t>COS - Bakhoven</t>
        </is>
      </c>
      <c r="F5764" s="3" t="n">
        <v>0</v>
      </c>
      <c r="G5764" s="3" t="n">
        <v>17292.48</v>
      </c>
    </row>
    <row r="5765">
      <c r="A5765" s="3" t="inlineStr">
        <is>
          <t>Cape Projects Construction (Pty) Ltd</t>
        </is>
      </c>
      <c r="B5765" s="4" t="n">
        <v>45351</v>
      </c>
      <c r="C5765" s="3" t="inlineStr">
        <is>
          <t>Expenses</t>
        </is>
      </c>
      <c r="D5765" s="3" t="inlineStr">
        <is>
          <t>2100/252</t>
        </is>
      </c>
      <c r="E5765" s="3" t="inlineStr">
        <is>
          <t>COS - Special - Furniture</t>
        </is>
      </c>
      <c r="F5765" s="3" t="n">
        <v>33121.74</v>
      </c>
      <c r="G5765" s="3" t="n">
        <v>33121.74</v>
      </c>
    </row>
    <row r="5766">
      <c r="A5766" s="3" t="inlineStr">
        <is>
          <t>Cape Projects Construction (Pty) Ltd</t>
        </is>
      </c>
      <c r="B5766" s="4" t="n">
        <v>45351</v>
      </c>
      <c r="C5766" s="3" t="inlineStr">
        <is>
          <t>Revenue</t>
        </is>
      </c>
      <c r="D5766" s="3" t="inlineStr">
        <is>
          <t>2750/000</t>
        </is>
      </c>
      <c r="E5766" s="3" t="inlineStr">
        <is>
          <t>Interest Received - FNB</t>
        </is>
      </c>
      <c r="F5766" s="3" t="n">
        <v>-70.13</v>
      </c>
      <c r="G5766" s="3" t="n">
        <v>-2669.86</v>
      </c>
    </row>
    <row r="5767">
      <c r="A5767" s="3" t="inlineStr">
        <is>
          <t>Cape Projects Construction (Pty) Ltd</t>
        </is>
      </c>
      <c r="B5767" s="4" t="n">
        <v>45351</v>
      </c>
      <c r="C5767" s="3" t="inlineStr">
        <is>
          <t>Revenue</t>
        </is>
      </c>
      <c r="D5767" s="3" t="inlineStr">
        <is>
          <t>2751/001</t>
        </is>
      </c>
      <c r="E5767" s="3" t="inlineStr">
        <is>
          <t>Interest received - Momentum</t>
        </is>
      </c>
      <c r="F5767" s="3" t="n">
        <v>0</v>
      </c>
      <c r="G5767" s="3" t="n">
        <v>-34.23</v>
      </c>
    </row>
    <row r="5768">
      <c r="A5768" s="3" t="inlineStr">
        <is>
          <t>Heron Fields (Pty) Ltd</t>
        </is>
      </c>
      <c r="B5768" s="4" t="n">
        <v>45351</v>
      </c>
      <c r="C5768" s="3" t="inlineStr">
        <is>
          <t>Revenue</t>
        </is>
      </c>
      <c r="D5768" s="3" t="inlineStr">
        <is>
          <t>2753/000</t>
        </is>
      </c>
      <c r="E5768" s="3" t="inlineStr">
        <is>
          <t>Interest Received - Deposits</t>
        </is>
      </c>
      <c r="F5768" s="3" t="n">
        <v>0</v>
      </c>
      <c r="G5768" s="3" t="n">
        <v>-5546.16</v>
      </c>
    </row>
    <row r="5769">
      <c r="A5769" s="3" t="inlineStr">
        <is>
          <t>Heron Fields (Pty) Ltd</t>
        </is>
      </c>
      <c r="B5769" s="4" t="n">
        <v>45351</v>
      </c>
      <c r="C5769" s="3" t="inlineStr">
        <is>
          <t>Revenue</t>
        </is>
      </c>
      <c r="D5769" s="3" t="inlineStr">
        <is>
          <t>2755/001</t>
        </is>
      </c>
      <c r="E5769" s="3" t="inlineStr">
        <is>
          <t>Interest Received - Momentum</t>
        </is>
      </c>
      <c r="F5769" s="3" t="n">
        <v>-98307.50999999999</v>
      </c>
      <c r="G5769" s="3" t="n">
        <v>-2753515.06</v>
      </c>
    </row>
    <row r="5770">
      <c r="A5770" s="3" t="inlineStr">
        <is>
          <t>Heron Fields (Pty) Ltd</t>
        </is>
      </c>
      <c r="B5770" s="4" t="n">
        <v>45351</v>
      </c>
      <c r="C5770" s="3" t="inlineStr">
        <is>
          <t>Expenses</t>
        </is>
      </c>
      <c r="D5770" s="3" t="inlineStr">
        <is>
          <t>3000/000</t>
        </is>
      </c>
      <c r="E5770" s="3" t="inlineStr">
        <is>
          <t>Accounting Fees</t>
        </is>
      </c>
      <c r="F5770" s="3" t="n">
        <v>0</v>
      </c>
      <c r="G5770" s="3" t="n">
        <v>15024.96</v>
      </c>
    </row>
    <row r="5771">
      <c r="A5771" s="3" t="inlineStr">
        <is>
          <t>Heron Fields (Pty) Ltd</t>
        </is>
      </c>
      <c r="B5771" s="4" t="n">
        <v>45351</v>
      </c>
      <c r="C5771" s="3" t="inlineStr">
        <is>
          <t>Expenses</t>
        </is>
      </c>
      <c r="D5771" s="3" t="inlineStr">
        <is>
          <t>3000/100</t>
        </is>
      </c>
      <c r="E5771" s="3" t="inlineStr">
        <is>
          <t>Accounting - CIPC</t>
        </is>
      </c>
      <c r="F5771" s="3" t="n">
        <v>0</v>
      </c>
      <c r="G5771" s="3" t="n">
        <v>3050</v>
      </c>
    </row>
    <row r="5772">
      <c r="A5772" s="3" t="inlineStr">
        <is>
          <t>Cape Projects Construction (Pty) Ltd</t>
        </is>
      </c>
      <c r="B5772" s="4" t="n">
        <v>45351</v>
      </c>
      <c r="C5772" s="3" t="inlineStr">
        <is>
          <t>Expenses</t>
        </is>
      </c>
      <c r="D5772" s="3" t="inlineStr">
        <is>
          <t>3001/000</t>
        </is>
      </c>
      <c r="E5772" s="3" t="inlineStr">
        <is>
          <t>Accounting Fees - Other</t>
        </is>
      </c>
      <c r="F5772" s="3" t="n">
        <v>0</v>
      </c>
      <c r="G5772" s="3" t="n">
        <v>1280</v>
      </c>
    </row>
    <row r="5773">
      <c r="A5773" s="3" t="inlineStr">
        <is>
          <t>Cape Projects Construction (Pty) Ltd</t>
        </is>
      </c>
      <c r="B5773" s="4" t="n">
        <v>45351</v>
      </c>
      <c r="C5773" s="3" t="inlineStr">
        <is>
          <t>Expenses</t>
        </is>
      </c>
      <c r="D5773" s="3" t="inlineStr">
        <is>
          <t>3002/000</t>
        </is>
      </c>
      <c r="E5773" s="3" t="inlineStr">
        <is>
          <t>Accounting Fees - Audit</t>
        </is>
      </c>
      <c r="F5773" s="3" t="n">
        <v>0</v>
      </c>
      <c r="G5773" s="3" t="n">
        <v>11170</v>
      </c>
    </row>
    <row r="5774">
      <c r="A5774" s="3" t="inlineStr">
        <is>
          <t>Cape Projects Construction (Pty) Ltd</t>
        </is>
      </c>
      <c r="B5774" s="4" t="n">
        <v>45351</v>
      </c>
      <c r="C5774" s="3" t="inlineStr">
        <is>
          <t>Expenses</t>
        </is>
      </c>
      <c r="D5774" s="3" t="inlineStr">
        <is>
          <t>3050/000</t>
        </is>
      </c>
      <c r="E5774" s="3" t="inlineStr">
        <is>
          <t>Advertising _AND_ Promotions</t>
        </is>
      </c>
      <c r="F5774" s="3" t="n">
        <v>0</v>
      </c>
      <c r="G5774" s="3" t="n">
        <v>10975</v>
      </c>
    </row>
    <row r="5775">
      <c r="A5775" s="3" t="inlineStr">
        <is>
          <t>Heron Fields (Pty) Ltd</t>
        </is>
      </c>
      <c r="B5775" s="4" t="n">
        <v>45351</v>
      </c>
      <c r="C5775" s="3" t="inlineStr">
        <is>
          <t>Expenses</t>
        </is>
      </c>
      <c r="D5775" s="3" t="inlineStr">
        <is>
          <t>3050/000</t>
        </is>
      </c>
      <c r="E5775" s="3" t="inlineStr">
        <is>
          <t>Advertising _AND_ Promotions</t>
        </is>
      </c>
      <c r="F5775" s="3" t="n">
        <v>22000</v>
      </c>
      <c r="G5775" s="3" t="n">
        <v>200914.34</v>
      </c>
    </row>
    <row r="5776">
      <c r="A5776" s="3" t="inlineStr">
        <is>
          <t>Heron View (Pty) Ltd</t>
        </is>
      </c>
      <c r="B5776" s="4" t="n">
        <v>45351</v>
      </c>
      <c r="C5776" s="3" t="inlineStr">
        <is>
          <t>Expenses</t>
        </is>
      </c>
      <c r="D5776" s="3" t="inlineStr">
        <is>
          <t>3050/000</t>
        </is>
      </c>
      <c r="E5776" s="3" t="inlineStr">
        <is>
          <t>Advertising _AND_ Promotions</t>
        </is>
      </c>
      <c r="F5776" s="3" t="n">
        <v>0</v>
      </c>
      <c r="G5776" s="3" t="n">
        <v>52857.72</v>
      </c>
    </row>
    <row r="5777">
      <c r="A5777" s="3" t="inlineStr">
        <is>
          <t>Heron Fields (Pty) Ltd</t>
        </is>
      </c>
      <c r="B5777" s="4" t="n">
        <v>45351</v>
      </c>
      <c r="C5777" s="3" t="inlineStr">
        <is>
          <t>Expenses</t>
        </is>
      </c>
      <c r="D5777" s="3" t="inlineStr">
        <is>
          <t>3050/100</t>
        </is>
      </c>
      <c r="E5777" s="3" t="inlineStr">
        <is>
          <t>Advertising - Property24</t>
        </is>
      </c>
      <c r="F5777" s="3" t="n">
        <v>0</v>
      </c>
      <c r="G5777" s="3" t="n">
        <v>12480</v>
      </c>
    </row>
    <row r="5778">
      <c r="A5778" s="3" t="inlineStr">
        <is>
          <t>Cape Projects Construction (Pty) Ltd</t>
        </is>
      </c>
      <c r="B5778" s="4" t="n">
        <v>45351</v>
      </c>
      <c r="C5778" s="3" t="inlineStr">
        <is>
          <t>Expenses</t>
        </is>
      </c>
      <c r="D5778" s="3" t="inlineStr">
        <is>
          <t>3050/150</t>
        </is>
      </c>
      <c r="E5778" s="3" t="inlineStr">
        <is>
          <t>Advertising - Design Fees</t>
        </is>
      </c>
      <c r="F5778" s="3" t="n">
        <v>0</v>
      </c>
      <c r="G5778" s="3" t="n">
        <v>295</v>
      </c>
    </row>
    <row r="5779">
      <c r="A5779" s="3" t="inlineStr">
        <is>
          <t>Heron Fields (Pty) Ltd</t>
        </is>
      </c>
      <c r="B5779" s="4" t="n">
        <v>45351</v>
      </c>
      <c r="C5779" s="3" t="inlineStr">
        <is>
          <t>Expenses</t>
        </is>
      </c>
      <c r="D5779" s="3" t="inlineStr">
        <is>
          <t>3050/300</t>
        </is>
      </c>
      <c r="E5779" s="3" t="inlineStr">
        <is>
          <t>Advertising - Real Marketing</t>
        </is>
      </c>
      <c r="F5779" s="3" t="n">
        <v>0</v>
      </c>
      <c r="G5779" s="3" t="n">
        <v>10250</v>
      </c>
    </row>
    <row r="5780">
      <c r="A5780" s="3" t="inlineStr">
        <is>
          <t>Heron View (Pty) Ltd</t>
        </is>
      </c>
      <c r="B5780" s="4" t="n">
        <v>45351</v>
      </c>
      <c r="C5780" s="3" t="inlineStr">
        <is>
          <t>Expenses</t>
        </is>
      </c>
      <c r="D5780" s="3" t="inlineStr">
        <is>
          <t>3050/300</t>
        </is>
      </c>
      <c r="E5780" s="3" t="inlineStr">
        <is>
          <t>Advertising - Thinkink</t>
        </is>
      </c>
      <c r="F5780" s="3" t="n">
        <v>0</v>
      </c>
      <c r="G5780" s="3" t="n">
        <v>17855</v>
      </c>
    </row>
    <row r="5781">
      <c r="A5781" s="3" t="inlineStr">
        <is>
          <t>Heron View (Pty) Ltd</t>
        </is>
      </c>
      <c r="B5781" s="4" t="n">
        <v>45351</v>
      </c>
      <c r="C5781" s="3" t="inlineStr">
        <is>
          <t>Expenses</t>
        </is>
      </c>
      <c r="D5781" s="3" t="inlineStr">
        <is>
          <t>3050/400</t>
        </is>
      </c>
      <c r="E5781" s="3" t="inlineStr">
        <is>
          <t>Advertising - Pure Brand Activation</t>
        </is>
      </c>
      <c r="F5781" s="3" t="n">
        <v>0</v>
      </c>
      <c r="G5781" s="3" t="n">
        <v>14569.1</v>
      </c>
    </row>
    <row r="5782">
      <c r="A5782" s="3" t="inlineStr">
        <is>
          <t>Cape Projects Construction (Pty) Ltd</t>
        </is>
      </c>
      <c r="B5782" s="4" t="n">
        <v>45351</v>
      </c>
      <c r="C5782" s="3" t="inlineStr">
        <is>
          <t>Expenses</t>
        </is>
      </c>
      <c r="D5782" s="3" t="inlineStr">
        <is>
          <t>3050/450</t>
        </is>
      </c>
      <c r="E5782" s="3" t="inlineStr">
        <is>
          <t>Advertising - Other</t>
        </is>
      </c>
      <c r="F5782" s="3" t="n">
        <v>0</v>
      </c>
      <c r="G5782" s="3" t="n">
        <v>1597</v>
      </c>
    </row>
    <row r="5783">
      <c r="A5783" s="3" t="inlineStr">
        <is>
          <t>Heron View (Pty) Ltd</t>
        </is>
      </c>
      <c r="B5783" s="4" t="n">
        <v>45351</v>
      </c>
      <c r="C5783" s="3" t="inlineStr">
        <is>
          <t>Expenses</t>
        </is>
      </c>
      <c r="D5783" s="3" t="inlineStr">
        <is>
          <t>3050/500</t>
        </is>
      </c>
      <c r="E5783" s="3" t="inlineStr">
        <is>
          <t>Advertising - Real Marketing</t>
        </is>
      </c>
      <c r="F5783" s="3" t="n">
        <v>0</v>
      </c>
      <c r="G5783" s="3" t="n">
        <v>18500</v>
      </c>
    </row>
    <row r="5784">
      <c r="A5784" s="3" t="inlineStr">
        <is>
          <t>Cape Projects Construction (Pty) Ltd</t>
        </is>
      </c>
      <c r="B5784" s="4" t="n">
        <v>45351</v>
      </c>
      <c r="C5784" s="3" t="inlineStr">
        <is>
          <t>Expenses</t>
        </is>
      </c>
      <c r="D5784" s="3" t="inlineStr">
        <is>
          <t>3200/000</t>
        </is>
      </c>
      <c r="E5784" s="3" t="inlineStr">
        <is>
          <t>Bank Charges</t>
        </is>
      </c>
      <c r="F5784" s="3" t="n">
        <v>1074.49</v>
      </c>
      <c r="G5784" s="3" t="n">
        <v>21936.54</v>
      </c>
    </row>
    <row r="5785">
      <c r="A5785" s="3" t="inlineStr">
        <is>
          <t>Heron Fields (Pty) Ltd</t>
        </is>
      </c>
      <c r="B5785" s="4" t="n">
        <v>45351</v>
      </c>
      <c r="C5785" s="3" t="inlineStr">
        <is>
          <t>Expenses</t>
        </is>
      </c>
      <c r="D5785" s="3" t="inlineStr">
        <is>
          <t>3200/000</t>
        </is>
      </c>
      <c r="E5785" s="3" t="inlineStr">
        <is>
          <t>Bank Charges</t>
        </is>
      </c>
      <c r="F5785" s="3" t="n">
        <v>259.69</v>
      </c>
      <c r="G5785" s="3" t="n">
        <v>5010.37</v>
      </c>
    </row>
    <row r="5786">
      <c r="A5786" s="3" t="inlineStr">
        <is>
          <t>Cape Projects Construction (Pty) Ltd</t>
        </is>
      </c>
      <c r="B5786" s="4" t="n">
        <v>45351</v>
      </c>
      <c r="C5786" s="3" t="inlineStr">
        <is>
          <t>Expenses</t>
        </is>
      </c>
      <c r="D5786" s="3" t="inlineStr">
        <is>
          <t>3250/000</t>
        </is>
      </c>
      <c r="E5786" s="3" t="inlineStr">
        <is>
          <t>Cleaning</t>
        </is>
      </c>
      <c r="F5786" s="3" t="n">
        <v>0</v>
      </c>
      <c r="G5786" s="3" t="n">
        <v>1211.89</v>
      </c>
    </row>
    <row r="5787">
      <c r="A5787" s="3" t="inlineStr">
        <is>
          <t>Cape Projects Construction (Pty) Ltd</t>
        </is>
      </c>
      <c r="B5787" s="4" t="n">
        <v>45351</v>
      </c>
      <c r="C5787" s="3" t="inlineStr">
        <is>
          <t>Expenses</t>
        </is>
      </c>
      <c r="D5787" s="3" t="inlineStr">
        <is>
          <t>3255/000</t>
        </is>
      </c>
      <c r="E5787" s="3" t="inlineStr">
        <is>
          <t>Cell Phone - CT Office</t>
        </is>
      </c>
      <c r="F5787" s="3" t="n">
        <v>0</v>
      </c>
      <c r="G5787" s="3" t="n">
        <v>4123</v>
      </c>
    </row>
    <row r="5788">
      <c r="A5788" s="3" t="inlineStr">
        <is>
          <t>Cape Projects Construction (Pty) Ltd</t>
        </is>
      </c>
      <c r="B5788" s="4" t="n">
        <v>45351</v>
      </c>
      <c r="C5788" s="3" t="inlineStr">
        <is>
          <t>Expenses</t>
        </is>
      </c>
      <c r="D5788" s="3" t="inlineStr">
        <is>
          <t>3256/000</t>
        </is>
      </c>
      <c r="E5788" s="3" t="inlineStr">
        <is>
          <t>Cell Phone - Nick Morgan</t>
        </is>
      </c>
      <c r="F5788" s="3" t="n">
        <v>0</v>
      </c>
      <c r="G5788" s="3" t="n">
        <v>26779.67</v>
      </c>
    </row>
    <row r="5789">
      <c r="A5789" s="3" t="inlineStr">
        <is>
          <t>Cape Projects Construction (Pty) Ltd</t>
        </is>
      </c>
      <c r="B5789" s="4" t="n">
        <v>45351</v>
      </c>
      <c r="C5789" s="3" t="inlineStr">
        <is>
          <t>Expenses</t>
        </is>
      </c>
      <c r="D5789" s="3" t="inlineStr">
        <is>
          <t>3300/000</t>
        </is>
      </c>
      <c r="E5789" s="3" t="inlineStr">
        <is>
          <t>Computer Expenses</t>
        </is>
      </c>
      <c r="F5789" s="3" t="n">
        <v>350</v>
      </c>
      <c r="G5789" s="3" t="n">
        <v>6752.65</v>
      </c>
    </row>
    <row r="5790">
      <c r="A5790" s="3" t="inlineStr">
        <is>
          <t>Cape Projects Construction (Pty) Ltd</t>
        </is>
      </c>
      <c r="B5790" s="4" t="n">
        <v>45351</v>
      </c>
      <c r="C5790" s="3" t="inlineStr">
        <is>
          <t>Expenses</t>
        </is>
      </c>
      <c r="D5790" s="3" t="inlineStr">
        <is>
          <t>3300/100</t>
        </is>
      </c>
      <c r="E5790" s="3" t="inlineStr">
        <is>
          <t>Computer Exp - IT, Internet/Hosting Fee</t>
        </is>
      </c>
      <c r="F5790" s="3" t="n">
        <v>4915</v>
      </c>
      <c r="G5790" s="3" t="n">
        <v>47989</v>
      </c>
    </row>
    <row r="5791">
      <c r="A5791" s="3" t="inlineStr">
        <is>
          <t>Heron Fields (Pty) Ltd</t>
        </is>
      </c>
      <c r="B5791" s="4" t="n">
        <v>45351</v>
      </c>
      <c r="C5791" s="3" t="inlineStr">
        <is>
          <t>Expenses</t>
        </is>
      </c>
      <c r="D5791" s="3" t="inlineStr">
        <is>
          <t>3350/100</t>
        </is>
      </c>
      <c r="E5791" s="3" t="inlineStr">
        <is>
          <t>Consulting Fees - Admin and Finance</t>
        </is>
      </c>
      <c r="F5791" s="3" t="n">
        <v>113979.47</v>
      </c>
      <c r="G5791" s="3" t="n">
        <v>1404770.61</v>
      </c>
    </row>
    <row r="5792">
      <c r="A5792" s="3" t="inlineStr">
        <is>
          <t>Cape Projects Construction (Pty) Ltd</t>
        </is>
      </c>
      <c r="B5792" s="4" t="n">
        <v>45351</v>
      </c>
      <c r="C5792" s="3" t="inlineStr">
        <is>
          <t>Expenses</t>
        </is>
      </c>
      <c r="D5792" s="3" t="inlineStr">
        <is>
          <t>3350/300</t>
        </is>
      </c>
      <c r="E5792" s="3" t="inlineStr">
        <is>
          <t>Consulting Fees - Admin and Finance</t>
        </is>
      </c>
      <c r="F5792" s="3" t="n">
        <v>123093.86</v>
      </c>
      <c r="G5792" s="3" t="n">
        <v>1484096.74</v>
      </c>
    </row>
    <row r="5793">
      <c r="A5793" s="3" t="inlineStr">
        <is>
          <t>Heron Fields (Pty) Ltd</t>
        </is>
      </c>
      <c r="B5793" s="4" t="n">
        <v>45351</v>
      </c>
      <c r="C5793" s="3" t="inlineStr">
        <is>
          <t>Expenses</t>
        </is>
      </c>
      <c r="D5793" s="3" t="inlineStr">
        <is>
          <t>3351/000</t>
        </is>
      </c>
      <c r="E5793" s="3" t="inlineStr">
        <is>
          <t>Consulting fees - Trustee</t>
        </is>
      </c>
      <c r="F5793" s="3" t="n">
        <v>4200</v>
      </c>
      <c r="G5793" s="3" t="n">
        <v>30500</v>
      </c>
    </row>
    <row r="5794">
      <c r="A5794" s="3" t="inlineStr">
        <is>
          <t>Heron View (Pty) Ltd</t>
        </is>
      </c>
      <c r="B5794" s="4" t="n">
        <v>45351</v>
      </c>
      <c r="C5794" s="3" t="inlineStr">
        <is>
          <t>Expenses</t>
        </is>
      </c>
      <c r="D5794" s="3" t="inlineStr">
        <is>
          <t>3351/000</t>
        </is>
      </c>
      <c r="E5794" s="3" t="inlineStr">
        <is>
          <t>Consulting fees - Trustee</t>
        </is>
      </c>
      <c r="F5794" s="3" t="n">
        <v>12750</v>
      </c>
      <c r="G5794" s="3" t="n">
        <v>89500</v>
      </c>
    </row>
    <row r="5795">
      <c r="A5795" s="3" t="inlineStr">
        <is>
          <t>Cape Projects Construction (Pty) Ltd</t>
        </is>
      </c>
      <c r="B5795" s="4" t="n">
        <v>45351</v>
      </c>
      <c r="C5795" s="3" t="inlineStr">
        <is>
          <t>Expenses</t>
        </is>
      </c>
      <c r="D5795" s="3" t="inlineStr">
        <is>
          <t>3400/000</t>
        </is>
      </c>
      <c r="E5795" s="3" t="inlineStr">
        <is>
          <t>Courier _AND_ Postage</t>
        </is>
      </c>
      <c r="F5795" s="3" t="n">
        <v>0</v>
      </c>
      <c r="G5795" s="3" t="n">
        <v>331.09</v>
      </c>
    </row>
    <row r="5796">
      <c r="A5796" s="3" t="inlineStr">
        <is>
          <t>Cape Projects Construction (Pty) Ltd</t>
        </is>
      </c>
      <c r="B5796" s="4" t="n">
        <v>45351</v>
      </c>
      <c r="C5796" s="3" t="inlineStr">
        <is>
          <t>Expenses</t>
        </is>
      </c>
      <c r="D5796" s="3" t="inlineStr">
        <is>
          <t>3450/001</t>
        </is>
      </c>
      <c r="E5796" s="3" t="inlineStr">
        <is>
          <t>Depreciation - Computer Equipment</t>
        </is>
      </c>
      <c r="F5796" s="3" t="n">
        <v>4705.18</v>
      </c>
      <c r="G5796" s="3" t="n">
        <v>46517.93</v>
      </c>
    </row>
    <row r="5797">
      <c r="A5797" s="3" t="inlineStr">
        <is>
          <t>Cape Projects Construction (Pty) Ltd</t>
        </is>
      </c>
      <c r="B5797" s="4" t="n">
        <v>45351</v>
      </c>
      <c r="C5797" s="3" t="inlineStr">
        <is>
          <t>Expenses</t>
        </is>
      </c>
      <c r="D5797" s="3" t="inlineStr">
        <is>
          <t>3450/002</t>
        </is>
      </c>
      <c r="E5797" s="3" t="inlineStr">
        <is>
          <t>Depreciation - Generator Fixed Asset</t>
        </is>
      </c>
      <c r="F5797" s="3" t="n">
        <v>1188.7</v>
      </c>
      <c r="G5797" s="3" t="n">
        <v>12273.67</v>
      </c>
    </row>
    <row r="5798">
      <c r="A5798" s="3" t="inlineStr">
        <is>
          <t>Cape Projects Construction (Pty) Ltd</t>
        </is>
      </c>
      <c r="B5798" s="4" t="n">
        <v>45351</v>
      </c>
      <c r="C5798" s="3" t="inlineStr">
        <is>
          <t>Expenses</t>
        </is>
      </c>
      <c r="D5798" s="3" t="inlineStr">
        <is>
          <t>3450/030</t>
        </is>
      </c>
      <c r="E5798" s="3" t="inlineStr">
        <is>
          <t>Depreciation - Furniture and Fittings</t>
        </is>
      </c>
      <c r="F5798" s="3" t="n">
        <v>547.67</v>
      </c>
      <c r="G5798" s="3" t="n">
        <v>6572.12</v>
      </c>
    </row>
    <row r="5799">
      <c r="A5799" s="3" t="inlineStr">
        <is>
          <t>Heron Fields (Pty) Ltd</t>
        </is>
      </c>
      <c r="B5799" s="4" t="n">
        <v>45351</v>
      </c>
      <c r="C5799" s="3" t="inlineStr">
        <is>
          <t>Expenses</t>
        </is>
      </c>
      <c r="D5799" s="3" t="inlineStr">
        <is>
          <t>3650/000</t>
        </is>
      </c>
      <c r="E5799" s="3" t="inlineStr">
        <is>
          <t>CoCT - Electricity</t>
        </is>
      </c>
      <c r="F5799" s="3" t="n">
        <v>0</v>
      </c>
      <c r="G5799" s="3" t="n">
        <v>223859.69</v>
      </c>
    </row>
    <row r="5800">
      <c r="A5800" s="3" t="inlineStr">
        <is>
          <t>Cape Projects Construction (Pty) Ltd</t>
        </is>
      </c>
      <c r="B5800" s="4" t="n">
        <v>45351</v>
      </c>
      <c r="C5800" s="3" t="inlineStr">
        <is>
          <t>Expenses</t>
        </is>
      </c>
      <c r="D5800" s="3" t="inlineStr">
        <is>
          <t>3650/000</t>
        </is>
      </c>
      <c r="E5800" s="3" t="inlineStr">
        <is>
          <t>Electricity _AND_ Water</t>
        </is>
      </c>
      <c r="F5800" s="3" t="n">
        <v>8076.25</v>
      </c>
      <c r="G5800" s="3" t="n">
        <v>84356.31</v>
      </c>
    </row>
    <row r="5801">
      <c r="A5801" s="3" t="inlineStr">
        <is>
          <t>Heron Fields (Pty) Ltd</t>
        </is>
      </c>
      <c r="B5801" s="4" t="n">
        <v>45351</v>
      </c>
      <c r="C5801" s="3" t="inlineStr">
        <is>
          <t>Expenses</t>
        </is>
      </c>
      <c r="D5801" s="3" t="inlineStr">
        <is>
          <t>3660/000</t>
        </is>
      </c>
      <c r="E5801" s="3" t="inlineStr">
        <is>
          <t>CoCT - Water</t>
        </is>
      </c>
      <c r="F5801" s="3" t="n">
        <v>0</v>
      </c>
      <c r="G5801" s="3" t="n">
        <v>94012.10000000001</v>
      </c>
    </row>
    <row r="5802">
      <c r="A5802" s="3" t="inlineStr">
        <is>
          <t>Heron View (Pty) Ltd</t>
        </is>
      </c>
      <c r="B5802" s="4" t="n">
        <v>45351</v>
      </c>
      <c r="C5802" s="3" t="inlineStr">
        <is>
          <t>Expenses</t>
        </is>
      </c>
      <c r="D5802" s="3" t="inlineStr">
        <is>
          <t>3660/000</t>
        </is>
      </c>
      <c r="E5802" s="3" t="inlineStr">
        <is>
          <t>Water</t>
        </is>
      </c>
      <c r="F5802" s="3" t="n">
        <v>127.69</v>
      </c>
      <c r="G5802" s="3" t="n">
        <v>147.33</v>
      </c>
    </row>
    <row r="5803">
      <c r="A5803" s="3" t="inlineStr">
        <is>
          <t>Heron Fields (Pty) Ltd</t>
        </is>
      </c>
      <c r="B5803" s="4" t="n">
        <v>45351</v>
      </c>
      <c r="C5803" s="3" t="inlineStr">
        <is>
          <t>Expenses</t>
        </is>
      </c>
      <c r="D5803" s="3" t="inlineStr">
        <is>
          <t>3670/000</t>
        </is>
      </c>
      <c r="E5803" s="3" t="inlineStr">
        <is>
          <t>CoCT - Refuse</t>
        </is>
      </c>
      <c r="F5803" s="3" t="n">
        <v>0</v>
      </c>
      <c r="G5803" s="3" t="n">
        <v>46978.37</v>
      </c>
    </row>
    <row r="5804">
      <c r="A5804" s="3" t="inlineStr">
        <is>
          <t>Cape Projects Construction (Pty) Ltd</t>
        </is>
      </c>
      <c r="B5804" s="4" t="n">
        <v>45351</v>
      </c>
      <c r="C5804" s="3" t="inlineStr">
        <is>
          <t>Expenses</t>
        </is>
      </c>
      <c r="D5804" s="3" t="inlineStr">
        <is>
          <t>3700/000</t>
        </is>
      </c>
      <c r="E5804" s="3" t="inlineStr">
        <is>
          <t>Entertainment Expenses</t>
        </is>
      </c>
      <c r="F5804" s="3" t="n">
        <v>84</v>
      </c>
      <c r="G5804" s="3" t="n">
        <v>84</v>
      </c>
    </row>
    <row r="5805">
      <c r="A5805" s="3" t="inlineStr">
        <is>
          <t>Heron Fields (Pty) Ltd</t>
        </is>
      </c>
      <c r="B5805" s="4" t="n">
        <v>45351</v>
      </c>
      <c r="C5805" s="3" t="inlineStr">
        <is>
          <t>Expenses</t>
        </is>
      </c>
      <c r="D5805" s="3" t="inlineStr">
        <is>
          <t>3700/000</t>
        </is>
      </c>
      <c r="E5805" s="3" t="inlineStr">
        <is>
          <t>Entertainment Expenses</t>
        </is>
      </c>
      <c r="F5805" s="3" t="n">
        <v>0</v>
      </c>
      <c r="G5805" s="3" t="n">
        <v>39.47</v>
      </c>
    </row>
    <row r="5806">
      <c r="A5806" s="3" t="inlineStr">
        <is>
          <t>Cape Projects Construction (Pty) Ltd</t>
        </is>
      </c>
      <c r="B5806" s="4" t="n">
        <v>45351</v>
      </c>
      <c r="C5806" s="3" t="inlineStr">
        <is>
          <t>Expenses</t>
        </is>
      </c>
      <c r="D5806" s="3" t="inlineStr">
        <is>
          <t>3800/000</t>
        </is>
      </c>
      <c r="E5806" s="3" t="inlineStr">
        <is>
          <t>General Expenses</t>
        </is>
      </c>
      <c r="F5806" s="3" t="n">
        <v>109.95</v>
      </c>
      <c r="G5806" s="3" t="n">
        <v>109.95</v>
      </c>
    </row>
    <row r="5807">
      <c r="A5807" s="3" t="inlineStr">
        <is>
          <t>Heron Fields (Pty) Ltd</t>
        </is>
      </c>
      <c r="B5807" s="4" t="n">
        <v>45351</v>
      </c>
      <c r="C5807" s="3" t="inlineStr">
        <is>
          <t>Expenses</t>
        </is>
      </c>
      <c r="D5807" s="3" t="inlineStr">
        <is>
          <t>3800/000</t>
        </is>
      </c>
      <c r="E5807" s="3" t="inlineStr">
        <is>
          <t>General Expenses</t>
        </is>
      </c>
      <c r="F5807" s="3" t="n">
        <v>0</v>
      </c>
      <c r="G5807" s="3" t="n">
        <v>3156.51</v>
      </c>
    </row>
    <row r="5808">
      <c r="A5808" s="3" t="inlineStr">
        <is>
          <t>Cape Projects Construction (Pty) Ltd</t>
        </is>
      </c>
      <c r="B5808" s="4" t="n">
        <v>45351</v>
      </c>
      <c r="C5808" s="3" t="inlineStr">
        <is>
          <t>Expenses</t>
        </is>
      </c>
      <c r="D5808" s="3" t="inlineStr">
        <is>
          <t>3800/010</t>
        </is>
      </c>
      <c r="E5808" s="3" t="inlineStr">
        <is>
          <t>General Expenses - Gifts</t>
        </is>
      </c>
      <c r="F5808" s="3" t="n">
        <v>3478.26</v>
      </c>
      <c r="G5808" s="3" t="n">
        <v>3583.26</v>
      </c>
    </row>
    <row r="5809">
      <c r="A5809" s="3" t="inlineStr">
        <is>
          <t>Heron Fields (Pty) Ltd</t>
        </is>
      </c>
      <c r="B5809" s="4" t="n">
        <v>45351</v>
      </c>
      <c r="C5809" s="3" t="inlineStr">
        <is>
          <t>Expenses</t>
        </is>
      </c>
      <c r="D5809" s="3" t="inlineStr">
        <is>
          <t>3850/000</t>
        </is>
      </c>
      <c r="E5809" s="3" t="inlineStr">
        <is>
          <t>Insurance</t>
        </is>
      </c>
      <c r="F5809" s="3" t="n">
        <v>15124.94</v>
      </c>
      <c r="G5809" s="3" t="n">
        <v>132571.96</v>
      </c>
    </row>
    <row r="5810">
      <c r="A5810" s="3" t="inlineStr">
        <is>
          <t>Cape Projects Construction (Pty) Ltd</t>
        </is>
      </c>
      <c r="B5810" s="4" t="n">
        <v>45351</v>
      </c>
      <c r="C5810" s="3" t="inlineStr">
        <is>
          <t>Expenses</t>
        </is>
      </c>
      <c r="D5810" s="3" t="inlineStr">
        <is>
          <t>3850/001</t>
        </is>
      </c>
      <c r="E5810" s="3" t="inlineStr">
        <is>
          <t>Insurance - Santam</t>
        </is>
      </c>
      <c r="F5810" s="3" t="n">
        <v>2828.34</v>
      </c>
      <c r="G5810" s="3" t="n">
        <v>27607.83</v>
      </c>
    </row>
    <row r="5811">
      <c r="A5811" s="3" t="inlineStr">
        <is>
          <t>Cape Projects Construction (Pty) Ltd</t>
        </is>
      </c>
      <c r="B5811" s="4" t="n">
        <v>45351</v>
      </c>
      <c r="C5811" s="3" t="inlineStr">
        <is>
          <t>Expenses</t>
        </is>
      </c>
      <c r="D5811" s="3" t="inlineStr">
        <is>
          <t>3850/004</t>
        </is>
      </c>
      <c r="E5811" s="3" t="inlineStr">
        <is>
          <t>Insurance - A_AND_G</t>
        </is>
      </c>
      <c r="F5811" s="3" t="n">
        <v>0</v>
      </c>
      <c r="G5811" s="3" t="n">
        <v>24242.76</v>
      </c>
    </row>
    <row r="5812">
      <c r="A5812" s="3" t="inlineStr">
        <is>
          <t>Heron Fields (Pty) Ltd</t>
        </is>
      </c>
      <c r="B5812" s="4" t="n">
        <v>45351</v>
      </c>
      <c r="C5812" s="3" t="inlineStr">
        <is>
          <t>Expenses</t>
        </is>
      </c>
      <c r="D5812" s="3" t="inlineStr">
        <is>
          <t>3900/000</t>
        </is>
      </c>
      <c r="E5812" s="3" t="inlineStr">
        <is>
          <t>Interest Paid</t>
        </is>
      </c>
      <c r="F5812" s="3" t="n">
        <v>0</v>
      </c>
      <c r="G5812" s="3" t="n">
        <v>-533.8</v>
      </c>
    </row>
    <row r="5813">
      <c r="A5813" s="3" t="inlineStr">
        <is>
          <t>Heron Fields (Pty) Ltd</t>
        </is>
      </c>
      <c r="B5813" s="4" t="n">
        <v>45351</v>
      </c>
      <c r="C5813" s="3" t="inlineStr">
        <is>
          <t>Expenses</t>
        </is>
      </c>
      <c r="D5813" s="3" t="inlineStr">
        <is>
          <t>3900/111</t>
        </is>
      </c>
      <c r="E5813" s="3" t="inlineStr">
        <is>
          <t>Interest Paid - Investors @ 6.25%</t>
        </is>
      </c>
      <c r="F5813" s="3" t="n">
        <v>0</v>
      </c>
      <c r="G5813" s="3" t="n">
        <v>167246.17</v>
      </c>
    </row>
    <row r="5814">
      <c r="A5814" s="3" t="inlineStr">
        <is>
          <t>Heron Fields (Pty) Ltd</t>
        </is>
      </c>
      <c r="B5814" s="4" t="n">
        <v>45351</v>
      </c>
      <c r="C5814" s="3" t="inlineStr">
        <is>
          <t>Expenses</t>
        </is>
      </c>
      <c r="D5814" s="3" t="inlineStr">
        <is>
          <t>3900/115</t>
        </is>
      </c>
      <c r="E5814" s="3" t="inlineStr">
        <is>
          <t>Interest Paid - Investors @ 6.5%</t>
        </is>
      </c>
      <c r="F5814" s="3" t="n">
        <v>0</v>
      </c>
      <c r="G5814" s="3" t="n">
        <v>72942.48</v>
      </c>
    </row>
    <row r="5815">
      <c r="A5815" s="3" t="inlineStr">
        <is>
          <t>Heron Fields (Pty) Ltd</t>
        </is>
      </c>
      <c r="B5815" s="4" t="n">
        <v>45351</v>
      </c>
      <c r="C5815" s="3" t="inlineStr">
        <is>
          <t>Expenses</t>
        </is>
      </c>
      <c r="D5815" s="3" t="inlineStr">
        <is>
          <t>3900/117</t>
        </is>
      </c>
      <c r="E5815" s="3" t="inlineStr">
        <is>
          <t>Interest Paid - Investors @ 6.75%</t>
        </is>
      </c>
      <c r="F5815" s="3" t="n">
        <v>0</v>
      </c>
      <c r="G5815" s="3" t="n">
        <v>44124.67</v>
      </c>
    </row>
    <row r="5816">
      <c r="A5816" s="3" t="inlineStr">
        <is>
          <t>Heron Fields (Pty) Ltd</t>
        </is>
      </c>
      <c r="B5816" s="4" t="n">
        <v>45351</v>
      </c>
      <c r="C5816" s="3" t="inlineStr">
        <is>
          <t>Expenses</t>
        </is>
      </c>
      <c r="D5816" s="3" t="inlineStr">
        <is>
          <t>3900/120</t>
        </is>
      </c>
      <c r="E5816" s="3" t="inlineStr">
        <is>
          <t>Interest Paid - Investors @ 7%</t>
        </is>
      </c>
      <c r="F5816" s="3" t="n">
        <v>0</v>
      </c>
      <c r="G5816" s="3" t="n">
        <v>11678.33</v>
      </c>
    </row>
    <row r="5817">
      <c r="A5817" s="3" t="inlineStr">
        <is>
          <t>Heron View (Pty) Ltd</t>
        </is>
      </c>
      <c r="B5817" s="4" t="n">
        <v>45351</v>
      </c>
      <c r="C5817" s="3" t="inlineStr">
        <is>
          <t>Expenses</t>
        </is>
      </c>
      <c r="D5817" s="3" t="inlineStr">
        <is>
          <t>3900/120</t>
        </is>
      </c>
      <c r="E5817" s="3" t="inlineStr">
        <is>
          <t>Interest Paid - Investors @ 7%</t>
        </is>
      </c>
      <c r="F5817" s="3" t="n">
        <v>15655.2</v>
      </c>
      <c r="G5817" s="3" t="n">
        <v>27582.91</v>
      </c>
    </row>
    <row r="5818">
      <c r="A5818" s="3" t="inlineStr">
        <is>
          <t>Heron Fields (Pty) Ltd</t>
        </is>
      </c>
      <c r="B5818" s="4" t="n">
        <v>45351</v>
      </c>
      <c r="C5818" s="3" t="inlineStr">
        <is>
          <t>Expenses</t>
        </is>
      </c>
      <c r="D5818" s="3" t="inlineStr">
        <is>
          <t>3900/126</t>
        </is>
      </c>
      <c r="E5818" s="3" t="inlineStr">
        <is>
          <t>Interest Paid - Investors @ 7.5%</t>
        </is>
      </c>
      <c r="F5818" s="3" t="n">
        <v>0</v>
      </c>
      <c r="G5818" s="3" t="n">
        <v>1252.24</v>
      </c>
    </row>
    <row r="5819">
      <c r="A5819" s="3" t="inlineStr">
        <is>
          <t>Heron View (Pty) Ltd</t>
        </is>
      </c>
      <c r="B5819" s="4" t="n">
        <v>45351</v>
      </c>
      <c r="C5819" s="3" t="inlineStr">
        <is>
          <t>Expenses</t>
        </is>
      </c>
      <c r="D5819" s="3" t="inlineStr">
        <is>
          <t>3900/126</t>
        </is>
      </c>
      <c r="E5819" s="3" t="inlineStr">
        <is>
          <t>Interest Paid - Investors @ 7.5%</t>
        </is>
      </c>
      <c r="F5819" s="3" t="n">
        <v>25147.09</v>
      </c>
      <c r="G5819" s="3" t="n">
        <v>56155.99</v>
      </c>
    </row>
    <row r="5820">
      <c r="A5820" s="3" t="inlineStr">
        <is>
          <t>Heron Fields (Pty) Ltd</t>
        </is>
      </c>
      <c r="B5820" s="4" t="n">
        <v>45351</v>
      </c>
      <c r="C5820" s="3" t="inlineStr">
        <is>
          <t>Expenses</t>
        </is>
      </c>
      <c r="D5820" s="3" t="inlineStr">
        <is>
          <t>3900/133</t>
        </is>
      </c>
      <c r="E5820" s="3" t="inlineStr">
        <is>
          <t>Interest Paid - Investors @ 8.25%</t>
        </is>
      </c>
      <c r="F5820" s="3" t="n">
        <v>0</v>
      </c>
      <c r="G5820" s="3" t="n">
        <v>5515.07</v>
      </c>
    </row>
    <row r="5821">
      <c r="A5821" s="3" t="inlineStr">
        <is>
          <t>Heron View (Pty) Ltd</t>
        </is>
      </c>
      <c r="B5821" s="4" t="n">
        <v>45351</v>
      </c>
      <c r="C5821" s="3" t="inlineStr">
        <is>
          <t>Expenses</t>
        </is>
      </c>
      <c r="D5821" s="3" t="inlineStr">
        <is>
          <t>3900/133</t>
        </is>
      </c>
      <c r="E5821" s="3" t="inlineStr">
        <is>
          <t>Interest Paid - Investors @ 8.25%</t>
        </is>
      </c>
      <c r="F5821" s="3" t="n">
        <v>4972.6</v>
      </c>
      <c r="G5821" s="3" t="n">
        <v>38706.9</v>
      </c>
    </row>
    <row r="5822">
      <c r="A5822" s="3" t="inlineStr">
        <is>
          <t>Heron Fields (Pty) Ltd</t>
        </is>
      </c>
      <c r="B5822" s="4" t="n">
        <v>45351</v>
      </c>
      <c r="C5822" s="3" t="inlineStr">
        <is>
          <t>Expenses</t>
        </is>
      </c>
      <c r="D5822" s="3" t="inlineStr">
        <is>
          <t>3900/140</t>
        </is>
      </c>
      <c r="E5822" s="3" t="inlineStr">
        <is>
          <t>Interest Paid - Investors @ 9%</t>
        </is>
      </c>
      <c r="F5822" s="3" t="n">
        <v>0</v>
      </c>
      <c r="G5822" s="3" t="n">
        <v>591.78</v>
      </c>
    </row>
    <row r="5823">
      <c r="A5823" s="3" t="inlineStr">
        <is>
          <t>Heron View (Pty) Ltd</t>
        </is>
      </c>
      <c r="B5823" s="4" t="n">
        <v>45351</v>
      </c>
      <c r="C5823" s="3" t="inlineStr">
        <is>
          <t>Expenses</t>
        </is>
      </c>
      <c r="D5823" s="3" t="inlineStr">
        <is>
          <t>3900/140</t>
        </is>
      </c>
      <c r="E5823" s="3" t="inlineStr">
        <is>
          <t>Interest Paid - Investors @ 9%</t>
        </is>
      </c>
      <c r="F5823" s="3" t="n">
        <v>0</v>
      </c>
      <c r="G5823" s="3" t="n">
        <v>69137.8</v>
      </c>
    </row>
    <row r="5824">
      <c r="A5824" s="3" t="inlineStr">
        <is>
          <t>Heron View (Pty) Ltd</t>
        </is>
      </c>
      <c r="B5824" s="4" t="n">
        <v>45351</v>
      </c>
      <c r="C5824" s="3" t="inlineStr">
        <is>
          <t>Expenses</t>
        </is>
      </c>
      <c r="D5824" s="3" t="inlineStr">
        <is>
          <t>3900/147</t>
        </is>
      </c>
      <c r="E5824" s="3" t="inlineStr">
        <is>
          <t>Interest Paid - Investors @ 9.75%</t>
        </is>
      </c>
      <c r="F5824" s="3" t="n">
        <v>1909.93</v>
      </c>
      <c r="G5824" s="3" t="n">
        <v>4447.83</v>
      </c>
    </row>
    <row r="5825">
      <c r="A5825" s="3" t="inlineStr">
        <is>
          <t>Heron View (Pty) Ltd</t>
        </is>
      </c>
      <c r="B5825" s="4" t="n">
        <v>45351</v>
      </c>
      <c r="C5825" s="3" t="inlineStr">
        <is>
          <t>Expenses</t>
        </is>
      </c>
      <c r="D5825" s="3" t="inlineStr">
        <is>
          <t>3900/150</t>
        </is>
      </c>
      <c r="E5825" s="3" t="inlineStr">
        <is>
          <t>Interest Paid - Investors @ 10%</t>
        </is>
      </c>
      <c r="F5825" s="3" t="n">
        <v>3821.92</v>
      </c>
      <c r="G5825" s="3" t="n">
        <v>9531.51</v>
      </c>
    </row>
    <row r="5826">
      <c r="A5826" s="3" t="inlineStr">
        <is>
          <t>Heron View (Pty) Ltd</t>
        </is>
      </c>
      <c r="B5826" s="4" t="n">
        <v>45351</v>
      </c>
      <c r="C5826" s="3" t="inlineStr">
        <is>
          <t>Expenses</t>
        </is>
      </c>
      <c r="D5826" s="3" t="inlineStr">
        <is>
          <t>3900/155</t>
        </is>
      </c>
      <c r="E5826" s="3" t="inlineStr">
        <is>
          <t>Interest Paid - Investors @ 10.5%</t>
        </is>
      </c>
      <c r="F5826" s="3" t="n">
        <v>0</v>
      </c>
      <c r="G5826" s="3" t="n">
        <v>19334.38</v>
      </c>
    </row>
    <row r="5827">
      <c r="A5827" s="3" t="inlineStr">
        <is>
          <t>Heron View (Pty) Ltd</t>
        </is>
      </c>
      <c r="B5827" s="4" t="n">
        <v>45351</v>
      </c>
      <c r="C5827" s="3" t="inlineStr">
        <is>
          <t>Expenses</t>
        </is>
      </c>
      <c r="D5827" s="3" t="inlineStr">
        <is>
          <t>3900/160</t>
        </is>
      </c>
      <c r="E5827" s="3" t="inlineStr">
        <is>
          <t>Interest Paid - Investors @ 11%</t>
        </is>
      </c>
      <c r="F5827" s="3" t="n">
        <v>0</v>
      </c>
      <c r="G5827" s="3" t="n">
        <v>9131.51</v>
      </c>
    </row>
    <row r="5828">
      <c r="A5828" s="3" t="inlineStr">
        <is>
          <t>Heron Fields (Pty) Ltd</t>
        </is>
      </c>
      <c r="B5828" s="4" t="n">
        <v>45351</v>
      </c>
      <c r="C5828" s="3" t="inlineStr">
        <is>
          <t>Expenses</t>
        </is>
      </c>
      <c r="D5828" s="3" t="inlineStr">
        <is>
          <t>3900/190</t>
        </is>
      </c>
      <c r="E5828" s="3" t="inlineStr">
        <is>
          <t>Interest Paid - Investors @ 14%</t>
        </is>
      </c>
      <c r="F5828" s="3" t="n">
        <v>0</v>
      </c>
      <c r="G5828" s="3" t="n">
        <v>400367.2</v>
      </c>
    </row>
    <row r="5829">
      <c r="A5829" s="3" t="inlineStr">
        <is>
          <t>Heron View (Pty) Ltd</t>
        </is>
      </c>
      <c r="B5829" s="4" t="n">
        <v>45351</v>
      </c>
      <c r="C5829" s="3" t="inlineStr">
        <is>
          <t>Expenses</t>
        </is>
      </c>
      <c r="D5829" s="3" t="inlineStr">
        <is>
          <t>3900/190</t>
        </is>
      </c>
      <c r="E5829" s="3" t="inlineStr">
        <is>
          <t>Interest Paid - Investors @ 14%</t>
        </is>
      </c>
      <c r="F5829" s="3" t="n">
        <v>262448.15</v>
      </c>
      <c r="G5829" s="3" t="n">
        <v>946346.78</v>
      </c>
    </row>
    <row r="5830">
      <c r="A5830" s="3" t="inlineStr">
        <is>
          <t>Heron Fields (Pty) Ltd</t>
        </is>
      </c>
      <c r="B5830" s="4" t="n">
        <v>45351</v>
      </c>
      <c r="C5830" s="3" t="inlineStr">
        <is>
          <t>Expenses</t>
        </is>
      </c>
      <c r="D5830" s="3" t="inlineStr">
        <is>
          <t>3900/200</t>
        </is>
      </c>
      <c r="E5830" s="3" t="inlineStr">
        <is>
          <t>Interest Paid - Investors @ 15%</t>
        </is>
      </c>
      <c r="F5830" s="3" t="n">
        <v>0</v>
      </c>
      <c r="G5830" s="3" t="n">
        <v>333349.31</v>
      </c>
    </row>
    <row r="5831">
      <c r="A5831" s="3" t="inlineStr">
        <is>
          <t>Heron Fields (Pty) Ltd</t>
        </is>
      </c>
      <c r="B5831" s="4" t="n">
        <v>45351</v>
      </c>
      <c r="C5831" s="3" t="inlineStr">
        <is>
          <t>Expenses</t>
        </is>
      </c>
      <c r="D5831" s="3" t="inlineStr">
        <is>
          <t>3900/210</t>
        </is>
      </c>
      <c r="E5831" s="3" t="inlineStr">
        <is>
          <t>Interest Paid - Investors @ 16%</t>
        </is>
      </c>
      <c r="F5831" s="3" t="n">
        <v>0</v>
      </c>
      <c r="G5831" s="3" t="n">
        <v>47473.98</v>
      </c>
    </row>
    <row r="5832">
      <c r="A5832" s="3" t="inlineStr">
        <is>
          <t>Heron View (Pty) Ltd</t>
        </is>
      </c>
      <c r="B5832" s="4" t="n">
        <v>45351</v>
      </c>
      <c r="C5832" s="3" t="inlineStr">
        <is>
          <t>Expenses</t>
        </is>
      </c>
      <c r="D5832" s="3" t="inlineStr">
        <is>
          <t>3900/210</t>
        </is>
      </c>
      <c r="E5832" s="3" t="inlineStr">
        <is>
          <t>Interest Paid - Investors @ 16%</t>
        </is>
      </c>
      <c r="F5832" s="3" t="n">
        <v>314189.8</v>
      </c>
      <c r="G5832" s="3" t="n">
        <v>587995.8199999999</v>
      </c>
    </row>
    <row r="5833">
      <c r="A5833" s="3" t="inlineStr">
        <is>
          <t>Heron Fields (Pty) Ltd</t>
        </is>
      </c>
      <c r="B5833" s="4" t="n">
        <v>45351</v>
      </c>
      <c r="C5833" s="3" t="inlineStr">
        <is>
          <t>Expenses</t>
        </is>
      </c>
      <c r="D5833" s="3" t="inlineStr">
        <is>
          <t>3900/230</t>
        </is>
      </c>
      <c r="E5833" s="3" t="inlineStr">
        <is>
          <t>Interest Paid - Investors @ 18%</t>
        </is>
      </c>
      <c r="F5833" s="3" t="n">
        <v>0</v>
      </c>
      <c r="G5833" s="3" t="n">
        <v>3197167.68</v>
      </c>
    </row>
    <row r="5834">
      <c r="A5834" s="3" t="inlineStr">
        <is>
          <t>Heron View (Pty) Ltd</t>
        </is>
      </c>
      <c r="B5834" s="4" t="n">
        <v>45351</v>
      </c>
      <c r="C5834" s="3" t="inlineStr">
        <is>
          <t>Expenses</t>
        </is>
      </c>
      <c r="D5834" s="3" t="inlineStr">
        <is>
          <t>3900/230</t>
        </is>
      </c>
      <c r="E5834" s="3" t="inlineStr">
        <is>
          <t>Interest Paid - Investors @ 18%</t>
        </is>
      </c>
      <c r="F5834" s="3" t="n">
        <v>1540729.37</v>
      </c>
      <c r="G5834" s="3" t="n">
        <v>4464355.09</v>
      </c>
    </row>
    <row r="5835">
      <c r="A5835" s="3" t="inlineStr">
        <is>
          <t>Cape Projects Construction (Pty) Ltd</t>
        </is>
      </c>
      <c r="B5835" s="4" t="n">
        <v>45351</v>
      </c>
      <c r="C5835" s="3" t="inlineStr">
        <is>
          <t>Expenses</t>
        </is>
      </c>
      <c r="D5835" s="3" t="inlineStr">
        <is>
          <t>4000/000</t>
        </is>
      </c>
      <c r="E5835" s="3" t="inlineStr">
        <is>
          <t>Legal Fees</t>
        </is>
      </c>
      <c r="F5835" s="3" t="n">
        <v>0</v>
      </c>
      <c r="G5835" s="3" t="n">
        <v>5202.88</v>
      </c>
    </row>
    <row r="5836">
      <c r="A5836" s="3" t="inlineStr">
        <is>
          <t>Heron View (Pty) Ltd</t>
        </is>
      </c>
      <c r="B5836" s="4" t="n">
        <v>45351</v>
      </c>
      <c r="C5836" s="3" t="inlineStr">
        <is>
          <t>Expenses</t>
        </is>
      </c>
      <c r="D5836" s="3" t="inlineStr">
        <is>
          <t>4040/000</t>
        </is>
      </c>
      <c r="E5836" s="3" t="inlineStr">
        <is>
          <t>Levies - Special Levies</t>
        </is>
      </c>
      <c r="F5836" s="3" t="n">
        <v>0</v>
      </c>
      <c r="G5836" s="3" t="n">
        <v>66011.50999999999</v>
      </c>
    </row>
    <row r="5837">
      <c r="A5837" s="3" t="inlineStr">
        <is>
          <t>Heron View (Pty) Ltd</t>
        </is>
      </c>
      <c r="B5837" s="4" t="n">
        <v>45351</v>
      </c>
      <c r="C5837" s="3" t="inlineStr">
        <is>
          <t>Expenses</t>
        </is>
      </c>
      <c r="D5837" s="3" t="inlineStr">
        <is>
          <t>4050/000</t>
        </is>
      </c>
      <c r="E5837" s="3" t="inlineStr">
        <is>
          <t>Levies</t>
        </is>
      </c>
      <c r="F5837" s="3" t="n">
        <v>5189</v>
      </c>
      <c r="G5837" s="3" t="n">
        <v>10049.54</v>
      </c>
    </row>
    <row r="5838">
      <c r="A5838" s="3" t="inlineStr">
        <is>
          <t>Heron Fields (Pty) Ltd</t>
        </is>
      </c>
      <c r="B5838" s="4" t="n">
        <v>45351</v>
      </c>
      <c r="C5838" s="3" t="inlineStr">
        <is>
          <t>Expenses</t>
        </is>
      </c>
      <c r="D5838" s="3" t="inlineStr">
        <is>
          <t>4050/100</t>
        </is>
      </c>
      <c r="E5838" s="3" t="inlineStr">
        <is>
          <t>Developers Levies</t>
        </is>
      </c>
      <c r="F5838" s="3" t="n">
        <v>0</v>
      </c>
      <c r="G5838" s="3" t="n">
        <v>76865.83</v>
      </c>
    </row>
    <row r="5839">
      <c r="A5839" s="3" t="inlineStr">
        <is>
          <t>Heron Fields (Pty) Ltd</t>
        </is>
      </c>
      <c r="B5839" s="4" t="n">
        <v>45351</v>
      </c>
      <c r="C5839" s="3" t="inlineStr">
        <is>
          <t>Expenses</t>
        </is>
      </c>
      <c r="D5839" s="3" t="inlineStr">
        <is>
          <t>4050/200</t>
        </is>
      </c>
      <c r="E5839" s="3" t="inlineStr">
        <is>
          <t>Levies - Amari</t>
        </is>
      </c>
      <c r="F5839" s="3" t="n">
        <v>96.59999999999999</v>
      </c>
      <c r="G5839" s="3" t="n">
        <v>28169.52</v>
      </c>
    </row>
    <row r="5840">
      <c r="A5840" s="3" t="inlineStr">
        <is>
          <t>Heron View (Pty) Ltd</t>
        </is>
      </c>
      <c r="B5840" s="4" t="n">
        <v>45351</v>
      </c>
      <c r="C5840" s="3" t="inlineStr">
        <is>
          <t>Expenses</t>
        </is>
      </c>
      <c r="D5840" s="3" t="inlineStr">
        <is>
          <t>4060/000</t>
        </is>
      </c>
      <c r="E5840" s="3" t="inlineStr">
        <is>
          <t>Levies - Developer</t>
        </is>
      </c>
      <c r="F5840" s="3" t="n">
        <v>0</v>
      </c>
      <c r="G5840" s="3" t="n">
        <v>11879.1</v>
      </c>
    </row>
    <row r="5841">
      <c r="A5841" s="3" t="inlineStr">
        <is>
          <t>Heron View (Pty) Ltd</t>
        </is>
      </c>
      <c r="B5841" s="4" t="n">
        <v>45351</v>
      </c>
      <c r="C5841" s="3" t="inlineStr">
        <is>
          <t>Expenses</t>
        </is>
      </c>
      <c r="D5841" s="3" t="inlineStr">
        <is>
          <t>4070/000</t>
        </is>
      </c>
      <c r="E5841" s="3" t="inlineStr">
        <is>
          <t>Management fees - OMH</t>
        </is>
      </c>
      <c r="F5841" s="3" t="n">
        <v>0</v>
      </c>
      <c r="G5841" s="3" t="n">
        <v>400000</v>
      </c>
    </row>
    <row r="5842">
      <c r="A5842" s="3" t="inlineStr">
        <is>
          <t>Heron Fields (Pty) Ltd</t>
        </is>
      </c>
      <c r="B5842" s="4" t="n">
        <v>45351</v>
      </c>
      <c r="C5842" s="3" t="inlineStr">
        <is>
          <t>Expenses</t>
        </is>
      </c>
      <c r="D5842" s="3" t="inlineStr">
        <is>
          <t>4100/001</t>
        </is>
      </c>
      <c r="E5842" s="3" t="inlineStr">
        <is>
          <t>Momentum Admin Fee</t>
        </is>
      </c>
      <c r="F5842" s="3" t="n">
        <v>6479.02</v>
      </c>
      <c r="G5842" s="3" t="n">
        <v>135135.09</v>
      </c>
    </row>
    <row r="5843">
      <c r="A5843" s="3" t="inlineStr">
        <is>
          <t>Cape Projects Construction (Pty) Ltd</t>
        </is>
      </c>
      <c r="B5843" s="4" t="n">
        <v>45351</v>
      </c>
      <c r="C5843" s="3" t="inlineStr">
        <is>
          <t>Expenses</t>
        </is>
      </c>
      <c r="D5843" s="3" t="inlineStr">
        <is>
          <t>4150/000</t>
        </is>
      </c>
      <c r="E5843" s="3" t="inlineStr">
        <is>
          <t>Motor Vehicle Expenses</t>
        </is>
      </c>
      <c r="F5843" s="3" t="n">
        <v>0</v>
      </c>
      <c r="G5843" s="3" t="n">
        <v>362</v>
      </c>
    </row>
    <row r="5844">
      <c r="A5844" s="3" t="inlineStr">
        <is>
          <t>Heron Fields (Pty) Ltd</t>
        </is>
      </c>
      <c r="B5844" s="4" t="n">
        <v>45351</v>
      </c>
      <c r="C5844" s="3" t="inlineStr">
        <is>
          <t>Expenses</t>
        </is>
      </c>
      <c r="D5844" s="3" t="inlineStr">
        <is>
          <t>4150/000</t>
        </is>
      </c>
      <c r="E5844" s="3" t="inlineStr">
        <is>
          <t>Motor Vehicle Expenses</t>
        </is>
      </c>
      <c r="F5844" s="3" t="n">
        <v>0</v>
      </c>
      <c r="G5844" s="3" t="n">
        <v>20</v>
      </c>
    </row>
    <row r="5845">
      <c r="A5845" s="3" t="inlineStr">
        <is>
          <t>Cape Projects Construction (Pty) Ltd</t>
        </is>
      </c>
      <c r="B5845" s="4" t="n">
        <v>45351</v>
      </c>
      <c r="C5845" s="3" t="inlineStr">
        <is>
          <t>Expenses</t>
        </is>
      </c>
      <c r="D5845" s="3" t="inlineStr">
        <is>
          <t>4150/010</t>
        </is>
      </c>
      <c r="E5845" s="3" t="inlineStr">
        <is>
          <t>Motor Vehicle - Petrol _AND_ Oil</t>
        </is>
      </c>
      <c r="F5845" s="3" t="n">
        <v>561.08</v>
      </c>
      <c r="G5845" s="3" t="n">
        <v>41056.39</v>
      </c>
    </row>
    <row r="5846">
      <c r="A5846" s="3" t="inlineStr">
        <is>
          <t>Cape Projects Construction (Pty) Ltd</t>
        </is>
      </c>
      <c r="B5846" s="4" t="n">
        <v>45351</v>
      </c>
      <c r="C5846" s="3" t="inlineStr">
        <is>
          <t>Expenses</t>
        </is>
      </c>
      <c r="D5846" s="3" t="inlineStr">
        <is>
          <t>4150/020</t>
        </is>
      </c>
      <c r="E5846" s="3" t="inlineStr">
        <is>
          <t>Motor Vehicle - Repairs _AND_ Maint.</t>
        </is>
      </c>
      <c r="F5846" s="3" t="n">
        <v>0</v>
      </c>
      <c r="G5846" s="3" t="n">
        <v>3668.3</v>
      </c>
    </row>
    <row r="5847">
      <c r="A5847" s="3" t="inlineStr">
        <is>
          <t>Cape Projects Construction (Pty) Ltd</t>
        </is>
      </c>
      <c r="B5847" s="4" t="n">
        <v>45351</v>
      </c>
      <c r="C5847" s="3" t="inlineStr">
        <is>
          <t>Expenses</t>
        </is>
      </c>
      <c r="D5847" s="3" t="inlineStr">
        <is>
          <t>4150/030</t>
        </is>
      </c>
      <c r="E5847" s="3" t="inlineStr">
        <is>
          <t>Motor Vehicle - Insurance _AND_ Licence</t>
        </is>
      </c>
      <c r="F5847" s="3" t="n">
        <v>0</v>
      </c>
      <c r="G5847" s="3" t="n">
        <v>1069</v>
      </c>
    </row>
    <row r="5848">
      <c r="A5848" s="3" t="inlineStr">
        <is>
          <t>Cape Projects Construction (Pty) Ltd</t>
        </is>
      </c>
      <c r="B5848" s="4" t="n">
        <v>45351</v>
      </c>
      <c r="C5848" s="3" t="inlineStr">
        <is>
          <t>Expenses</t>
        </is>
      </c>
      <c r="D5848" s="3" t="inlineStr">
        <is>
          <t>4200/000</t>
        </is>
      </c>
      <c r="E5848" s="3" t="inlineStr">
        <is>
          <t>Printing _AND_ Stationery</t>
        </is>
      </c>
      <c r="F5848" s="3" t="n">
        <v>3720.45</v>
      </c>
      <c r="G5848" s="3" t="n">
        <v>48868.39</v>
      </c>
    </row>
    <row r="5849">
      <c r="A5849" s="3" t="inlineStr">
        <is>
          <t>Cape Projects Construction (Pty) Ltd</t>
        </is>
      </c>
      <c r="B5849" s="4" t="n">
        <v>45351</v>
      </c>
      <c r="C5849" s="3" t="inlineStr">
        <is>
          <t>Expenses</t>
        </is>
      </c>
      <c r="D5849" s="3" t="inlineStr">
        <is>
          <t>4201/000</t>
        </is>
      </c>
      <c r="E5849" s="3" t="inlineStr">
        <is>
          <t>Printing - Printer rental</t>
        </is>
      </c>
      <c r="F5849" s="3" t="n">
        <v>2568.41</v>
      </c>
      <c r="G5849" s="3" t="n">
        <v>26257.92</v>
      </c>
    </row>
    <row r="5850">
      <c r="A5850" s="3" t="inlineStr">
        <is>
          <t>Cape Projects Construction (Pty) Ltd</t>
        </is>
      </c>
      <c r="B5850" s="4" t="n">
        <v>45351</v>
      </c>
      <c r="C5850" s="3" t="inlineStr">
        <is>
          <t>Expenses</t>
        </is>
      </c>
      <c r="D5850" s="3" t="inlineStr">
        <is>
          <t>4300/000</t>
        </is>
      </c>
      <c r="E5850" s="3" t="inlineStr">
        <is>
          <t>Rent Paid</t>
        </is>
      </c>
      <c r="F5850" s="3" t="n">
        <v>31820</v>
      </c>
      <c r="G5850" s="3" t="n">
        <v>364080</v>
      </c>
    </row>
    <row r="5851">
      <c r="A5851" s="3" t="inlineStr">
        <is>
          <t>Cape Projects Construction (Pty) Ltd</t>
        </is>
      </c>
      <c r="B5851" s="4" t="n">
        <v>45351</v>
      </c>
      <c r="C5851" s="3" t="inlineStr">
        <is>
          <t>Expenses</t>
        </is>
      </c>
      <c r="D5851" s="3" t="inlineStr">
        <is>
          <t>4310/000</t>
        </is>
      </c>
      <c r="E5851" s="3" t="inlineStr">
        <is>
          <t>Rates</t>
        </is>
      </c>
      <c r="F5851" s="3" t="n">
        <v>989.75</v>
      </c>
      <c r="G5851" s="3" t="n">
        <v>13027.54</v>
      </c>
    </row>
    <row r="5852">
      <c r="A5852" s="3" t="inlineStr">
        <is>
          <t>Heron Fields (Pty) Ltd</t>
        </is>
      </c>
      <c r="B5852" s="4" t="n">
        <v>45351</v>
      </c>
      <c r="C5852" s="3" t="inlineStr">
        <is>
          <t>Expenses</t>
        </is>
      </c>
      <c r="D5852" s="3" t="inlineStr">
        <is>
          <t>4310/000</t>
        </is>
      </c>
      <c r="E5852" s="3" t="inlineStr">
        <is>
          <t>Rates - Heron</t>
        </is>
      </c>
      <c r="F5852" s="3" t="n">
        <v>0</v>
      </c>
      <c r="G5852" s="3" t="n">
        <v>211633.66</v>
      </c>
    </row>
    <row r="5853">
      <c r="A5853" s="3" t="inlineStr">
        <is>
          <t>Cape Projects Construction (Pty) Ltd</t>
        </is>
      </c>
      <c r="B5853" s="4" t="n">
        <v>45351</v>
      </c>
      <c r="C5853" s="3" t="inlineStr">
        <is>
          <t>Expenses</t>
        </is>
      </c>
      <c r="D5853" s="3" t="inlineStr">
        <is>
          <t>4350/000</t>
        </is>
      </c>
      <c r="E5853" s="3" t="inlineStr">
        <is>
          <t>Repairs _AND_ Maintenance</t>
        </is>
      </c>
      <c r="F5853" s="3" t="n">
        <v>2870.3</v>
      </c>
      <c r="G5853" s="3" t="n">
        <v>18976.42</v>
      </c>
    </row>
    <row r="5854">
      <c r="A5854" s="3" t="inlineStr">
        <is>
          <t>Heron Fields (Pty) Ltd</t>
        </is>
      </c>
      <c r="B5854" s="4" t="n">
        <v>45351</v>
      </c>
      <c r="C5854" s="3" t="inlineStr">
        <is>
          <t>Expenses</t>
        </is>
      </c>
      <c r="D5854" s="3" t="inlineStr">
        <is>
          <t>4350/000</t>
        </is>
      </c>
      <c r="E5854" s="3" t="inlineStr">
        <is>
          <t>Repairs _AND_ Maintenance</t>
        </is>
      </c>
      <c r="F5854" s="3" t="n">
        <v>0</v>
      </c>
      <c r="G5854" s="3" t="n">
        <v>34547.28</v>
      </c>
    </row>
    <row r="5855">
      <c r="A5855" s="3" t="inlineStr">
        <is>
          <t>Heron View (Pty) Ltd</t>
        </is>
      </c>
      <c r="B5855" s="4" t="n">
        <v>45351</v>
      </c>
      <c r="C5855" s="3" t="inlineStr">
        <is>
          <t>Expenses</t>
        </is>
      </c>
      <c r="D5855" s="3" t="inlineStr">
        <is>
          <t>4350/000</t>
        </is>
      </c>
      <c r="E5855" s="3" t="inlineStr">
        <is>
          <t>Repairs _AND_ Maintenance</t>
        </is>
      </c>
      <c r="F5855" s="3" t="n">
        <v>0</v>
      </c>
      <c r="G5855" s="3" t="n">
        <v>23147.12</v>
      </c>
    </row>
    <row r="5856">
      <c r="A5856" s="3" t="inlineStr">
        <is>
          <t>Cape Projects Construction (Pty) Ltd</t>
        </is>
      </c>
      <c r="B5856" s="4" t="n">
        <v>45351</v>
      </c>
      <c r="C5856" s="3" t="inlineStr">
        <is>
          <t>Expenses</t>
        </is>
      </c>
      <c r="D5856" s="3" t="inlineStr">
        <is>
          <t>4400/000</t>
        </is>
      </c>
      <c r="E5856" s="3" t="inlineStr">
        <is>
          <t>Salaries _AND_ Wages</t>
        </is>
      </c>
      <c r="F5856" s="3" t="n">
        <v>426046.63</v>
      </c>
      <c r="G5856" s="3" t="n">
        <v>4662915.18</v>
      </c>
    </row>
    <row r="5857">
      <c r="A5857" s="3" t="inlineStr">
        <is>
          <t>Cape Projects Construction (Pty) Ltd</t>
        </is>
      </c>
      <c r="B5857" s="4" t="n">
        <v>45351</v>
      </c>
      <c r="C5857" s="3" t="inlineStr">
        <is>
          <t>Expenses</t>
        </is>
      </c>
      <c r="D5857" s="3" t="inlineStr">
        <is>
          <t>4402</t>
        </is>
      </c>
      <c r="E5857" s="3" t="inlineStr">
        <is>
          <t>Salaries &amp; Wages - WCA</t>
        </is>
      </c>
      <c r="F5857" s="3" t="n">
        <v>0</v>
      </c>
      <c r="G5857" s="3" t="n">
        <v>5192.13</v>
      </c>
    </row>
    <row r="5858">
      <c r="A5858" s="3" t="inlineStr">
        <is>
          <t>Cape Projects Construction (Pty) Ltd</t>
        </is>
      </c>
      <c r="B5858" s="4" t="n">
        <v>45351</v>
      </c>
      <c r="C5858" s="3" t="inlineStr">
        <is>
          <t>Expenses</t>
        </is>
      </c>
      <c r="D5858" s="3" t="inlineStr">
        <is>
          <t>4403/000</t>
        </is>
      </c>
      <c r="E5858" s="3" t="inlineStr">
        <is>
          <t>Security</t>
        </is>
      </c>
      <c r="F5858" s="3" t="n">
        <v>0</v>
      </c>
      <c r="G5858" s="3" t="n">
        <v>2005.99</v>
      </c>
    </row>
    <row r="5859">
      <c r="A5859" s="3" t="inlineStr">
        <is>
          <t>Heron Fields (Pty) Ltd</t>
        </is>
      </c>
      <c r="B5859" s="4" t="n">
        <v>45351</v>
      </c>
      <c r="C5859" s="3" t="inlineStr">
        <is>
          <t>Expenses</t>
        </is>
      </c>
      <c r="D5859" s="3" t="inlineStr">
        <is>
          <t>4420/000</t>
        </is>
      </c>
      <c r="E5859" s="3" t="inlineStr">
        <is>
          <t>Security</t>
        </is>
      </c>
      <c r="F5859" s="3" t="n">
        <v>0</v>
      </c>
      <c r="G5859" s="3" t="n">
        <v>7198.71</v>
      </c>
    </row>
    <row r="5860">
      <c r="A5860" s="3" t="inlineStr">
        <is>
          <t>Cape Projects Construction (Pty) Ltd</t>
        </is>
      </c>
      <c r="B5860" s="4" t="n">
        <v>45351</v>
      </c>
      <c r="C5860" s="3" t="inlineStr">
        <is>
          <t>Expenses</t>
        </is>
      </c>
      <c r="D5860" s="3" t="inlineStr">
        <is>
          <t>4420/000</t>
        </is>
      </c>
      <c r="E5860" s="3" t="inlineStr">
        <is>
          <t>Small Assets</t>
        </is>
      </c>
      <c r="F5860" s="3" t="n">
        <v>1129.57</v>
      </c>
      <c r="G5860" s="3" t="n">
        <v>34571.56</v>
      </c>
    </row>
    <row r="5861">
      <c r="A5861" s="3" t="inlineStr">
        <is>
          <t>Heron Fields (Pty) Ltd</t>
        </is>
      </c>
      <c r="B5861" s="4" t="n">
        <v>45351</v>
      </c>
      <c r="C5861" s="3" t="inlineStr">
        <is>
          <t>Expenses</t>
        </is>
      </c>
      <c r="D5861" s="3" t="inlineStr">
        <is>
          <t>4420/001</t>
        </is>
      </c>
      <c r="E5861" s="3" t="inlineStr">
        <is>
          <t>Security - ADT</t>
        </is>
      </c>
      <c r="F5861" s="3" t="n">
        <v>374.64</v>
      </c>
      <c r="G5861" s="3" t="n">
        <v>4676.39</v>
      </c>
    </row>
    <row r="5862">
      <c r="A5862" s="3" t="inlineStr">
        <is>
          <t>Cape Projects Construction (Pty) Ltd</t>
        </is>
      </c>
      <c r="B5862" s="4" t="n">
        <v>45351</v>
      </c>
      <c r="C5862" s="3" t="inlineStr">
        <is>
          <t>Expenses</t>
        </is>
      </c>
      <c r="D5862" s="3" t="inlineStr">
        <is>
          <t>4420/100</t>
        </is>
      </c>
      <c r="E5862" s="3" t="inlineStr">
        <is>
          <t>Small Assets - Show Unit O101</t>
        </is>
      </c>
      <c r="F5862" s="3" t="n">
        <v>79787.21000000001</v>
      </c>
      <c r="G5862" s="3" t="n">
        <v>79787.21000000001</v>
      </c>
    </row>
    <row r="5863">
      <c r="A5863" s="3" t="inlineStr">
        <is>
          <t>Cape Projects Construction (Pty) Ltd</t>
        </is>
      </c>
      <c r="B5863" s="4" t="n">
        <v>45351</v>
      </c>
      <c r="C5863" s="3" t="inlineStr">
        <is>
          <t>Expenses</t>
        </is>
      </c>
      <c r="D5863" s="3" t="inlineStr">
        <is>
          <t>4450/000</t>
        </is>
      </c>
      <c r="E5863" s="3" t="inlineStr">
        <is>
          <t>Staff Training</t>
        </is>
      </c>
      <c r="F5863" s="3" t="n">
        <v>0</v>
      </c>
      <c r="G5863" s="3" t="n">
        <v>3452.7</v>
      </c>
    </row>
    <row r="5864">
      <c r="A5864" s="3" t="inlineStr">
        <is>
          <t>Cape Projects Construction (Pty) Ltd</t>
        </is>
      </c>
      <c r="B5864" s="4" t="n">
        <v>45351</v>
      </c>
      <c r="C5864" s="3" t="inlineStr">
        <is>
          <t>Expenses</t>
        </is>
      </c>
      <c r="D5864" s="3" t="inlineStr">
        <is>
          <t>4500/000</t>
        </is>
      </c>
      <c r="E5864" s="3" t="inlineStr">
        <is>
          <t>Staff Welfare _AND_ Refreshmts</t>
        </is>
      </c>
      <c r="F5864" s="3" t="n">
        <v>3056.21</v>
      </c>
      <c r="G5864" s="3" t="n">
        <v>39843.46</v>
      </c>
    </row>
    <row r="5865">
      <c r="A5865" s="3" t="inlineStr">
        <is>
          <t>Cape Projects Construction (Pty) Ltd</t>
        </is>
      </c>
      <c r="B5865" s="4" t="n">
        <v>45351</v>
      </c>
      <c r="C5865" s="3" t="inlineStr">
        <is>
          <t>Expenses</t>
        </is>
      </c>
      <c r="D5865" s="3" t="inlineStr">
        <is>
          <t>4550/000</t>
        </is>
      </c>
      <c r="E5865" s="3" t="inlineStr">
        <is>
          <t>Subscriptions / Licenses</t>
        </is>
      </c>
      <c r="F5865" s="3" t="n">
        <v>0</v>
      </c>
      <c r="G5865" s="3" t="n">
        <v>13527.97</v>
      </c>
    </row>
    <row r="5866">
      <c r="A5866" s="3" t="inlineStr">
        <is>
          <t>Cape Projects Construction (Pty) Ltd</t>
        </is>
      </c>
      <c r="B5866" s="4" t="n">
        <v>45351</v>
      </c>
      <c r="C5866" s="3" t="inlineStr">
        <is>
          <t>Expenses</t>
        </is>
      </c>
      <c r="D5866" s="3" t="inlineStr">
        <is>
          <t>4550/001</t>
        </is>
      </c>
      <c r="E5866" s="3" t="inlineStr">
        <is>
          <t>Subscriptions &amp; Licenses - Sage payroll</t>
        </is>
      </c>
      <c r="F5866" s="3" t="n">
        <v>0</v>
      </c>
      <c r="G5866" s="3" t="n">
        <v>7470</v>
      </c>
    </row>
    <row r="5867">
      <c r="A5867" s="3" t="inlineStr">
        <is>
          <t>Cape Projects Construction (Pty) Ltd</t>
        </is>
      </c>
      <c r="B5867" s="4" t="n">
        <v>45351</v>
      </c>
      <c r="C5867" s="3" t="inlineStr">
        <is>
          <t>Expenses</t>
        </is>
      </c>
      <c r="D5867" s="3" t="inlineStr">
        <is>
          <t>4550/002</t>
        </is>
      </c>
      <c r="E5867" s="3" t="inlineStr">
        <is>
          <t>Subscriptions &amp; Licenses - Caseware</t>
        </is>
      </c>
      <c r="F5867" s="3" t="n">
        <v>0</v>
      </c>
      <c r="G5867" s="3" t="n">
        <v>10825.49</v>
      </c>
    </row>
    <row r="5868">
      <c r="A5868" s="3" t="inlineStr">
        <is>
          <t>Cape Projects Construction (Pty) Ltd</t>
        </is>
      </c>
      <c r="B5868" s="4" t="n">
        <v>45351</v>
      </c>
      <c r="C5868" s="3" t="inlineStr">
        <is>
          <t>Expenses</t>
        </is>
      </c>
      <c r="D5868" s="3" t="inlineStr">
        <is>
          <t>4550/003</t>
        </is>
      </c>
      <c r="E5868" s="3" t="inlineStr">
        <is>
          <t>Subscriptions &amp; Licenses - Xero</t>
        </is>
      </c>
      <c r="F5868" s="3" t="n">
        <v>600</v>
      </c>
      <c r="G5868" s="3" t="n">
        <v>7200</v>
      </c>
    </row>
    <row r="5869">
      <c r="A5869" s="3" t="inlineStr">
        <is>
          <t>Cape Projects Construction (Pty) Ltd</t>
        </is>
      </c>
      <c r="B5869" s="4" t="n">
        <v>45351</v>
      </c>
      <c r="C5869" s="3" t="inlineStr">
        <is>
          <t>Expenses</t>
        </is>
      </c>
      <c r="D5869" s="3" t="inlineStr">
        <is>
          <t>4550/004</t>
        </is>
      </c>
      <c r="E5869" s="3" t="inlineStr">
        <is>
          <t>Subscriptions - Smartsheet</t>
        </is>
      </c>
      <c r="F5869" s="3" t="n">
        <v>1089</v>
      </c>
      <c r="G5869" s="3" t="n">
        <v>12152.41</v>
      </c>
    </row>
    <row r="5870">
      <c r="A5870" s="3" t="inlineStr">
        <is>
          <t>Cape Projects Construction (Pty) Ltd</t>
        </is>
      </c>
      <c r="B5870" s="4" t="n">
        <v>45351</v>
      </c>
      <c r="C5870" s="3" t="inlineStr">
        <is>
          <t>Expenses</t>
        </is>
      </c>
      <c r="D5870" s="3" t="inlineStr">
        <is>
          <t>4550/007</t>
        </is>
      </c>
      <c r="E5870" s="3" t="inlineStr">
        <is>
          <t>Subscription &amp; Licenses - ERS Bio</t>
        </is>
      </c>
      <c r="F5870" s="3" t="n">
        <v>718.9299999999999</v>
      </c>
      <c r="G5870" s="3" t="n">
        <v>3594.65</v>
      </c>
    </row>
    <row r="5871">
      <c r="A5871" s="3" t="inlineStr">
        <is>
          <t>Cape Projects Construction (Pty) Ltd</t>
        </is>
      </c>
      <c r="B5871" s="4" t="n">
        <v>45351</v>
      </c>
      <c r="C5871" s="3" t="inlineStr">
        <is>
          <t>Expenses</t>
        </is>
      </c>
      <c r="D5871" s="3" t="inlineStr">
        <is>
          <t>4550/008</t>
        </is>
      </c>
      <c r="E5871" s="3" t="inlineStr">
        <is>
          <t>Subscriptions  - Adobe</t>
        </is>
      </c>
      <c r="F5871" s="3" t="n">
        <v>0</v>
      </c>
      <c r="G5871" s="3" t="n">
        <v>4498.72</v>
      </c>
    </row>
    <row r="5872">
      <c r="A5872" s="3" t="inlineStr">
        <is>
          <t>Heron Fields (Pty) Ltd</t>
        </is>
      </c>
      <c r="B5872" s="4" t="n">
        <v>45351</v>
      </c>
      <c r="C5872" s="3" t="inlineStr">
        <is>
          <t>Expenses</t>
        </is>
      </c>
      <c r="D5872" s="3" t="inlineStr">
        <is>
          <t>4550/100</t>
        </is>
      </c>
      <c r="E5872" s="3" t="inlineStr">
        <is>
          <t>Subscriptions - Xero</t>
        </is>
      </c>
      <c r="F5872" s="3" t="n">
        <v>600</v>
      </c>
      <c r="G5872" s="3" t="n">
        <v>7200</v>
      </c>
    </row>
    <row r="5873">
      <c r="A5873" s="3" t="inlineStr">
        <is>
          <t>Heron View (Pty) Ltd</t>
        </is>
      </c>
      <c r="B5873" s="4" t="n">
        <v>45351</v>
      </c>
      <c r="C5873" s="3" t="inlineStr">
        <is>
          <t>Expenses</t>
        </is>
      </c>
      <c r="D5873" s="3" t="inlineStr">
        <is>
          <t>4550/100</t>
        </is>
      </c>
      <c r="E5873" s="3" t="inlineStr">
        <is>
          <t>Subscriptions - Xero</t>
        </is>
      </c>
      <c r="F5873" s="3" t="n">
        <v>600</v>
      </c>
      <c r="G5873" s="3" t="n">
        <v>7200</v>
      </c>
    </row>
    <row r="5874">
      <c r="A5874" s="3" t="inlineStr">
        <is>
          <t>Heron Fields (Pty) Ltd</t>
        </is>
      </c>
      <c r="B5874" s="4" t="n">
        <v>45351</v>
      </c>
      <c r="C5874" s="3" t="inlineStr">
        <is>
          <t>Expenses</t>
        </is>
      </c>
      <c r="D5874" s="3" t="inlineStr">
        <is>
          <t>4550/200</t>
        </is>
      </c>
      <c r="E5874" s="3" t="inlineStr">
        <is>
          <t>Subscription - NHBRC</t>
        </is>
      </c>
      <c r="F5874" s="3" t="n">
        <v>0</v>
      </c>
      <c r="G5874" s="3" t="n">
        <v>526.3200000000001</v>
      </c>
    </row>
    <row r="5875">
      <c r="A5875" s="3" t="inlineStr">
        <is>
          <t>Cape Projects Construction (Pty) Ltd</t>
        </is>
      </c>
      <c r="B5875" s="4" t="n">
        <v>45351</v>
      </c>
      <c r="C5875" s="3" t="inlineStr">
        <is>
          <t>Expenses</t>
        </is>
      </c>
      <c r="D5875" s="3" t="inlineStr">
        <is>
          <t>4560</t>
        </is>
      </c>
      <c r="E5875" s="3" t="inlineStr">
        <is>
          <t>Secretarial fees - CIPC</t>
        </is>
      </c>
      <c r="F5875" s="3" t="n">
        <v>0</v>
      </c>
      <c r="G5875" s="3" t="n">
        <v>4000</v>
      </c>
    </row>
    <row r="5876">
      <c r="A5876" s="3" t="inlineStr">
        <is>
          <t>Cape Projects Construction (Pty) Ltd</t>
        </is>
      </c>
      <c r="B5876" s="4" t="n">
        <v>45351</v>
      </c>
      <c r="C5876" s="3" t="inlineStr">
        <is>
          <t>Expenses</t>
        </is>
      </c>
      <c r="D5876" s="3" t="inlineStr">
        <is>
          <t>4600/000</t>
        </is>
      </c>
      <c r="E5876" s="3" t="inlineStr">
        <is>
          <t>Telephone _AND_ Fax</t>
        </is>
      </c>
      <c r="F5876" s="3" t="n">
        <v>0</v>
      </c>
      <c r="G5876" s="3" t="n">
        <v>11566.33</v>
      </c>
    </row>
    <row r="5877">
      <c r="A5877" s="3" t="inlineStr">
        <is>
          <t>Cape Projects Construction (Pty) Ltd</t>
        </is>
      </c>
      <c r="B5877" s="4" t="n">
        <v>45351</v>
      </c>
      <c r="C5877" s="3" t="inlineStr">
        <is>
          <t>Expenses</t>
        </is>
      </c>
      <c r="D5877" s="3" t="inlineStr">
        <is>
          <t>4700/000</t>
        </is>
      </c>
      <c r="E5877" s="3" t="inlineStr">
        <is>
          <t>PAYE Contributions</t>
        </is>
      </c>
      <c r="F5877" s="3" t="n">
        <v>95150.91</v>
      </c>
      <c r="G5877" s="3" t="n">
        <v>1039223.98</v>
      </c>
    </row>
    <row r="5878">
      <c r="A5878" s="3" t="inlineStr">
        <is>
          <t>Cape Projects Construction (Pty) Ltd</t>
        </is>
      </c>
      <c r="B5878" s="4" t="n">
        <v>45351</v>
      </c>
      <c r="C5878" s="3" t="inlineStr">
        <is>
          <t>Expenses</t>
        </is>
      </c>
      <c r="D5878" s="3" t="inlineStr">
        <is>
          <t>4720/000</t>
        </is>
      </c>
      <c r="E5878" s="3" t="inlineStr">
        <is>
          <t>SDL Contributions</t>
        </is>
      </c>
      <c r="F5878" s="3" t="n">
        <v>5118.73</v>
      </c>
      <c r="G5878" s="3" t="n">
        <v>55587.1</v>
      </c>
    </row>
    <row r="5879">
      <c r="A5879" s="3" t="inlineStr">
        <is>
          <t>Cape Projects Construction (Pty) Ltd</t>
        </is>
      </c>
      <c r="B5879" s="4" t="n">
        <v>45351</v>
      </c>
      <c r="C5879" s="3" t="inlineStr">
        <is>
          <t>Expenses</t>
        </is>
      </c>
      <c r="D5879" s="3" t="inlineStr">
        <is>
          <t>4730/000</t>
        </is>
      </c>
      <c r="E5879" s="3" t="inlineStr">
        <is>
          <t>UIF Company Contributions</t>
        </is>
      </c>
      <c r="F5879" s="3" t="n">
        <v>2925.01</v>
      </c>
      <c r="G5879" s="3" t="n">
        <v>30932.91</v>
      </c>
    </row>
    <row r="5880">
      <c r="A5880" s="3" t="inlineStr">
        <is>
          <t>Cape Projects Construction (Pty) Ltd</t>
        </is>
      </c>
      <c r="B5880" s="4" t="n">
        <v>45351</v>
      </c>
      <c r="C5880" s="3" t="inlineStr">
        <is>
          <t>Expenses</t>
        </is>
      </c>
      <c r="D5880" s="3" t="inlineStr">
        <is>
          <t>4731/000</t>
        </is>
      </c>
      <c r="E5880" s="3" t="inlineStr">
        <is>
          <t>UIF Employee Contribution</t>
        </is>
      </c>
      <c r="F5880" s="3" t="n">
        <v>2925.01</v>
      </c>
      <c r="G5880" s="3" t="n">
        <v>30932.91</v>
      </c>
    </row>
    <row r="5881">
      <c r="A5881" s="3" t="inlineStr">
        <is>
          <t>Cape Projects Construction (Pty) Ltd</t>
        </is>
      </c>
      <c r="B5881" s="4" t="n">
        <v>45351</v>
      </c>
      <c r="C5881" s="3" t="inlineStr">
        <is>
          <t>Expenses</t>
        </is>
      </c>
      <c r="D5881" s="3" t="inlineStr">
        <is>
          <t>4740/000</t>
        </is>
      </c>
      <c r="E5881" s="3" t="inlineStr">
        <is>
          <t>BIBC Company Contribution</t>
        </is>
      </c>
      <c r="F5881" s="3" t="n">
        <v>0</v>
      </c>
      <c r="G5881" s="3" t="n">
        <v>15075.35</v>
      </c>
    </row>
    <row r="5882">
      <c r="A5882" s="3" t="inlineStr">
        <is>
          <t>Cape Projects Construction (Pty) Ltd</t>
        </is>
      </c>
      <c r="B5882" s="4" t="n">
        <v>45351</v>
      </c>
      <c r="C5882" s="3" t="inlineStr">
        <is>
          <t>Expenses</t>
        </is>
      </c>
      <c r="D5882" s="3" t="inlineStr">
        <is>
          <t>4741/000</t>
        </is>
      </c>
      <c r="E5882" s="3" t="inlineStr">
        <is>
          <t>BIBC Employee Contribution</t>
        </is>
      </c>
      <c r="F5882" s="3" t="n">
        <v>0</v>
      </c>
      <c r="G5882" s="3" t="n">
        <v>4562.1</v>
      </c>
    </row>
    <row r="5883">
      <c r="A5883" s="3" t="inlineStr">
        <is>
          <t>Heron Fields (Pty) Ltd</t>
        </is>
      </c>
      <c r="B5883" s="4" t="n">
        <v>45351</v>
      </c>
      <c r="C5883" s="3" t="inlineStr">
        <is>
          <t>Equity</t>
        </is>
      </c>
      <c r="D5883" s="3" t="inlineStr">
        <is>
          <t>5100-000</t>
        </is>
      </c>
      <c r="E5883" s="3" t="inlineStr">
        <is>
          <t>Share Capital</t>
        </is>
      </c>
      <c r="F5883" s="3" t="n">
        <v>0</v>
      </c>
      <c r="G5883" s="3" t="n">
        <v>-100</v>
      </c>
    </row>
    <row r="5884">
      <c r="A5884" s="3" t="inlineStr">
        <is>
          <t>Cape Projects Construction (Pty) Ltd</t>
        </is>
      </c>
      <c r="B5884" s="4" t="n">
        <v>45351</v>
      </c>
      <c r="C5884" s="3" t="inlineStr">
        <is>
          <t>Equity</t>
        </is>
      </c>
      <c r="D5884" s="3" t="inlineStr">
        <is>
          <t>5100/000</t>
        </is>
      </c>
      <c r="E5884" s="3" t="inlineStr">
        <is>
          <t>Share Capital / Members Contribution</t>
        </is>
      </c>
      <c r="F5884" s="3" t="n">
        <v>0</v>
      </c>
      <c r="G5884" s="3" t="n">
        <v>-120</v>
      </c>
    </row>
    <row r="5885">
      <c r="A5885" s="3" t="inlineStr">
        <is>
          <t>Cape Projects Construction (Pty) Ltd</t>
        </is>
      </c>
      <c r="B5885" s="4" t="n">
        <v>45351</v>
      </c>
      <c r="C5885" s="3" t="inlineStr">
        <is>
          <t>Equity</t>
        </is>
      </c>
      <c r="D5885" s="3" t="inlineStr">
        <is>
          <t>5200/000</t>
        </is>
      </c>
      <c r="E5885" s="3" t="inlineStr">
        <is>
          <t>Retained Earnings / Loss</t>
        </is>
      </c>
      <c r="F5885" s="3" t="n">
        <v>0</v>
      </c>
      <c r="G5885" s="3" t="n">
        <v>-296075.58</v>
      </c>
    </row>
    <row r="5886">
      <c r="A5886" s="3" t="inlineStr">
        <is>
          <t>Heron Fields (Pty) Ltd</t>
        </is>
      </c>
      <c r="B5886" s="4" t="n">
        <v>45351</v>
      </c>
      <c r="C5886" s="3" t="inlineStr">
        <is>
          <t>Equity</t>
        </is>
      </c>
      <c r="D5886" s="3" t="inlineStr">
        <is>
          <t>5200/000</t>
        </is>
      </c>
      <c r="E5886" s="3" t="inlineStr">
        <is>
          <t>Retained Earnings / Loss</t>
        </is>
      </c>
      <c r="F5886" s="3" t="n">
        <v>0</v>
      </c>
      <c r="G5886" s="3" t="n">
        <v>-17843179.58</v>
      </c>
    </row>
    <row r="5887">
      <c r="A5887" s="3" t="inlineStr">
        <is>
          <t>Heron View (Pty) Ltd</t>
        </is>
      </c>
      <c r="B5887" s="4" t="n">
        <v>45351</v>
      </c>
      <c r="C5887" s="3" t="inlineStr">
        <is>
          <t>Equity</t>
        </is>
      </c>
      <c r="D5887" s="3" t="inlineStr">
        <is>
          <t>5200/000</t>
        </is>
      </c>
      <c r="E5887" s="3" t="inlineStr">
        <is>
          <t>Retained Earnings / Loss</t>
        </is>
      </c>
      <c r="F5887" s="3" t="n">
        <v>0</v>
      </c>
      <c r="G5887" s="3" t="n">
        <v>70398.12</v>
      </c>
    </row>
    <row r="5888">
      <c r="A5888" s="3" t="inlineStr">
        <is>
          <t>Heron Fields (Pty) Ltd</t>
        </is>
      </c>
      <c r="B5888" s="4" t="n">
        <v>45351</v>
      </c>
      <c r="C5888" s="3" t="inlineStr">
        <is>
          <t>Assets</t>
        </is>
      </c>
      <c r="D5888" s="3" t="inlineStr">
        <is>
          <t>5300/001</t>
        </is>
      </c>
      <c r="E5888" s="3" t="inlineStr">
        <is>
          <t>Revaluation of Land stock</t>
        </is>
      </c>
      <c r="F5888" s="3" t="n">
        <v>0</v>
      </c>
      <c r="G5888" s="3" t="n">
        <v>17562360.85</v>
      </c>
    </row>
    <row r="5889">
      <c r="A5889" s="3" t="inlineStr">
        <is>
          <t>Heron Fields (Pty) Ltd</t>
        </is>
      </c>
      <c r="B5889" s="4" t="n">
        <v>45351</v>
      </c>
      <c r="C5889" s="3" t="inlineStr">
        <is>
          <t>Assets</t>
        </is>
      </c>
      <c r="D5889" s="3" t="inlineStr">
        <is>
          <t>5400/000</t>
        </is>
      </c>
      <c r="E5889" s="3" t="inlineStr">
        <is>
          <t>Deposit: Ruiterwacht development</t>
        </is>
      </c>
      <c r="F5889" s="3" t="n">
        <v>0</v>
      </c>
      <c r="G5889" s="3" t="n">
        <v>13457359</v>
      </c>
    </row>
    <row r="5890">
      <c r="A5890" s="3" t="inlineStr">
        <is>
          <t>Cape Projects Construction (Pty) Ltd</t>
        </is>
      </c>
      <c r="B5890" s="4" t="n">
        <v>45351</v>
      </c>
      <c r="C5890" s="3" t="inlineStr">
        <is>
          <t>Assets</t>
        </is>
      </c>
      <c r="D5890" s="3" t="inlineStr">
        <is>
          <t>5400/150</t>
        </is>
      </c>
      <c r="E5890" s="3" t="inlineStr">
        <is>
          <t>Loan - Quinate</t>
        </is>
      </c>
      <c r="F5890" s="3" t="n">
        <v>40000</v>
      </c>
      <c r="G5890" s="3" t="n">
        <v>-4017423.63</v>
      </c>
    </row>
    <row r="5891">
      <c r="A5891" s="3" t="inlineStr">
        <is>
          <t>Cape Projects Construction (Pty) Ltd</t>
        </is>
      </c>
      <c r="B5891" s="4" t="n">
        <v>45351</v>
      </c>
      <c r="C5891" s="3" t="inlineStr">
        <is>
          <t>Assets</t>
        </is>
      </c>
      <c r="D5891" s="3" t="inlineStr">
        <is>
          <t>5400/220</t>
        </is>
      </c>
      <c r="E5891" s="3" t="inlineStr">
        <is>
          <t>Members Loan - WH</t>
        </is>
      </c>
      <c r="F5891" s="3" t="n">
        <v>0</v>
      </c>
      <c r="G5891" s="3" t="n">
        <v>-4342.5</v>
      </c>
    </row>
    <row r="5892">
      <c r="A5892" s="3" t="inlineStr">
        <is>
          <t>Cape Projects Construction (Pty) Ltd</t>
        </is>
      </c>
      <c r="B5892" s="4" t="n">
        <v>45351</v>
      </c>
      <c r="C5892" s="3" t="inlineStr">
        <is>
          <t>Assets</t>
        </is>
      </c>
      <c r="D5892" s="3" t="inlineStr">
        <is>
          <t>5400/300</t>
        </is>
      </c>
      <c r="E5892" s="3" t="inlineStr">
        <is>
          <t>Loan - Opportunity ResidentialCUST ACC</t>
        </is>
      </c>
      <c r="F5892" s="3" t="n">
        <v>0</v>
      </c>
      <c r="G5892" s="3" t="n">
        <v>4702.35</v>
      </c>
    </row>
    <row r="5893">
      <c r="A5893" s="3" t="inlineStr">
        <is>
          <t>Cape Projects Construction (Pty) Ltd</t>
        </is>
      </c>
      <c r="B5893" s="4" t="n">
        <v>45351</v>
      </c>
      <c r="C5893" s="3" t="inlineStr">
        <is>
          <t>Assets</t>
        </is>
      </c>
      <c r="D5893" s="3" t="inlineStr">
        <is>
          <t>5400/450</t>
        </is>
      </c>
      <c r="E5893" s="3" t="inlineStr">
        <is>
          <t>Loan - Opportunity Investment</t>
        </is>
      </c>
      <c r="F5893" s="3" t="n">
        <v>-185000</v>
      </c>
      <c r="G5893" s="3" t="n">
        <v>-1756000</v>
      </c>
    </row>
    <row r="5894">
      <c r="A5894" s="3" t="inlineStr">
        <is>
          <t>Cape Projects Construction (Pty) Ltd</t>
        </is>
      </c>
      <c r="B5894" s="4" t="n">
        <v>45351</v>
      </c>
      <c r="C5894" s="3" t="inlineStr">
        <is>
          <t>Assets</t>
        </is>
      </c>
      <c r="D5894" s="3" t="inlineStr">
        <is>
          <t>5400/500</t>
        </is>
      </c>
      <c r="E5894" s="3" t="inlineStr">
        <is>
          <t>Loan - Blou Mamba Trust</t>
        </is>
      </c>
      <c r="F5894" s="3" t="n">
        <v>0</v>
      </c>
      <c r="G5894" s="3" t="n">
        <v>4342.5</v>
      </c>
    </row>
    <row r="5895">
      <c r="A5895" s="3" t="inlineStr">
        <is>
          <t>Cape Projects Construction (Pty) Ltd</t>
        </is>
      </c>
      <c r="B5895" s="4" t="n">
        <v>45351</v>
      </c>
      <c r="C5895" s="3" t="inlineStr">
        <is>
          <t>Assets</t>
        </is>
      </c>
      <c r="D5895" s="3" t="inlineStr">
        <is>
          <t>5400/550</t>
        </is>
      </c>
      <c r="E5895" s="3" t="inlineStr">
        <is>
          <t>Loan - Trademark</t>
        </is>
      </c>
      <c r="F5895" s="3" t="n">
        <v>600</v>
      </c>
      <c r="G5895" s="3" t="n">
        <v>-17600</v>
      </c>
    </row>
    <row r="5896">
      <c r="A5896" s="3" t="inlineStr">
        <is>
          <t>Cape Projects Construction (Pty) Ltd</t>
        </is>
      </c>
      <c r="B5896" s="4" t="n">
        <v>45351</v>
      </c>
      <c r="C5896" s="3" t="inlineStr">
        <is>
          <t>Assets</t>
        </is>
      </c>
      <c r="D5896" s="3" t="inlineStr">
        <is>
          <t>5400/600</t>
        </is>
      </c>
      <c r="E5896" s="3" t="inlineStr">
        <is>
          <t>Loan - Heron Projects</t>
        </is>
      </c>
      <c r="F5896" s="3" t="n">
        <v>-3450000</v>
      </c>
      <c r="G5896" s="3" t="n">
        <v>-26224738.42</v>
      </c>
    </row>
    <row r="5897">
      <c r="A5897" s="3" t="inlineStr">
        <is>
          <t>Cape Projects Construction (Pty) Ltd</t>
        </is>
      </c>
      <c r="B5897" s="4" t="n">
        <v>45351</v>
      </c>
      <c r="C5897" s="3" t="inlineStr">
        <is>
          <t>Assets</t>
        </is>
      </c>
      <c r="D5897" s="3" t="inlineStr">
        <is>
          <t>5400/650</t>
        </is>
      </c>
      <c r="E5897" s="3" t="inlineStr">
        <is>
          <t>Loan - Noble Shield</t>
        </is>
      </c>
      <c r="F5897" s="3" t="n">
        <v>600</v>
      </c>
      <c r="G5897" s="3" t="n">
        <v>-200189.44</v>
      </c>
    </row>
    <row r="5898">
      <c r="A5898" s="3" t="inlineStr">
        <is>
          <t>Cape Projects Construction (Pty) Ltd</t>
        </is>
      </c>
      <c r="B5898" s="4" t="n">
        <v>45351</v>
      </c>
      <c r="C5898" s="3" t="inlineStr">
        <is>
          <t>Assets</t>
        </is>
      </c>
      <c r="D5898" s="3" t="inlineStr">
        <is>
          <t>5400/750</t>
        </is>
      </c>
      <c r="E5898" s="3" t="inlineStr">
        <is>
          <t>Loan - Endulini</t>
        </is>
      </c>
      <c r="F5898" s="3" t="n">
        <v>2580000</v>
      </c>
      <c r="G5898" s="3" t="n">
        <v>27542687.4</v>
      </c>
    </row>
    <row r="5899">
      <c r="A5899" s="3" t="inlineStr">
        <is>
          <t>Cape Projects Construction (Pty) Ltd</t>
        </is>
      </c>
      <c r="B5899" s="4" t="n">
        <v>45351</v>
      </c>
      <c r="C5899" s="3" t="inlineStr">
        <is>
          <t>Assets</t>
        </is>
      </c>
      <c r="D5899" s="3" t="inlineStr">
        <is>
          <t>5400/800</t>
        </is>
      </c>
      <c r="E5899" s="3" t="inlineStr">
        <is>
          <t>Loan - Opportunity Management Holdings</t>
        </is>
      </c>
      <c r="F5899" s="3" t="n">
        <v>130000</v>
      </c>
      <c r="G5899" s="3" t="n">
        <v>267399</v>
      </c>
    </row>
    <row r="5900">
      <c r="A5900" s="3" t="inlineStr">
        <is>
          <t>Heron View (Pty) Ltd</t>
        </is>
      </c>
      <c r="B5900" s="4" t="n">
        <v>45351</v>
      </c>
      <c r="C5900" s="3" t="inlineStr">
        <is>
          <t>Liabilities</t>
        </is>
      </c>
      <c r="D5900" s="3" t="inlineStr">
        <is>
          <t>5500/001</t>
        </is>
      </c>
      <c r="E5900" s="3" t="inlineStr">
        <is>
          <t>Loan - Heron Fields</t>
        </is>
      </c>
      <c r="F5900" s="3" t="n">
        <v>8537480.220000001</v>
      </c>
      <c r="G5900" s="3" t="n">
        <v>-48100642.8</v>
      </c>
    </row>
    <row r="5901">
      <c r="A5901" s="3" t="inlineStr">
        <is>
          <t>Heron Fields (Pty) Ltd</t>
        </is>
      </c>
      <c r="B5901" s="4" t="n">
        <v>45351</v>
      </c>
      <c r="C5901" s="3" t="inlineStr">
        <is>
          <t>Liabilities</t>
        </is>
      </c>
      <c r="D5901" s="3" t="inlineStr">
        <is>
          <t>5500/010</t>
        </is>
      </c>
      <c r="E5901" s="3" t="inlineStr">
        <is>
          <t>Loan - Quinate</t>
        </is>
      </c>
      <c r="F5901" s="3" t="n">
        <v>1800000</v>
      </c>
      <c r="G5901" s="3" t="n">
        <v>1800000</v>
      </c>
    </row>
    <row r="5902">
      <c r="A5902" s="3" t="inlineStr">
        <is>
          <t>Heron Fields (Pty) Ltd</t>
        </is>
      </c>
      <c r="B5902" s="4" t="n">
        <v>45351</v>
      </c>
      <c r="C5902" s="3" t="inlineStr">
        <is>
          <t>Liabilities</t>
        </is>
      </c>
      <c r="D5902" s="3" t="inlineStr">
        <is>
          <t>5500/020</t>
        </is>
      </c>
      <c r="E5902" s="3" t="inlineStr">
        <is>
          <t>Loan - Cape Projects Construction</t>
        </is>
      </c>
      <c r="F5902" s="3" t="n">
        <v>3200000</v>
      </c>
      <c r="G5902" s="3" t="n">
        <v>25974738.42</v>
      </c>
    </row>
    <row r="5903">
      <c r="A5903" s="3" t="inlineStr">
        <is>
          <t>Heron Fields (Pty) Ltd</t>
        </is>
      </c>
      <c r="B5903" s="4" t="n">
        <v>45351</v>
      </c>
      <c r="C5903" s="3" t="inlineStr">
        <is>
          <t>Liabilities</t>
        </is>
      </c>
      <c r="D5903" s="3" t="inlineStr">
        <is>
          <t>5500/030</t>
        </is>
      </c>
      <c r="E5903" s="3" t="inlineStr">
        <is>
          <t>Loan - Opportunity Global Investments</t>
        </is>
      </c>
      <c r="F5903" s="3" t="n">
        <v>80000</v>
      </c>
      <c r="G5903" s="3" t="n">
        <v>4174275</v>
      </c>
    </row>
    <row r="5904">
      <c r="A5904" s="3" t="inlineStr">
        <is>
          <t>Heron Fields (Pty) Ltd</t>
        </is>
      </c>
      <c r="B5904" s="4" t="n">
        <v>45351</v>
      </c>
      <c r="C5904" s="3" t="inlineStr">
        <is>
          <t>Liabilities</t>
        </is>
      </c>
      <c r="D5904" s="3" t="inlineStr">
        <is>
          <t>5500/050</t>
        </is>
      </c>
      <c r="E5904" s="3" t="inlineStr">
        <is>
          <t>Loan - Heron View</t>
        </is>
      </c>
      <c r="F5904" s="3" t="n">
        <v>-8924258.369999999</v>
      </c>
      <c r="G5904" s="3" t="n">
        <v>47712664.12</v>
      </c>
    </row>
    <row r="5905">
      <c r="A5905" s="3" t="inlineStr">
        <is>
          <t>Heron Fields (Pty) Ltd</t>
        </is>
      </c>
      <c r="B5905" s="4" t="n">
        <v>45351</v>
      </c>
      <c r="C5905" s="3" t="inlineStr">
        <is>
          <t>Liabilities</t>
        </is>
      </c>
      <c r="D5905" s="3" t="inlineStr">
        <is>
          <t>5500/051</t>
        </is>
      </c>
      <c r="E5905" s="3" t="inlineStr">
        <is>
          <t>Loan - HV N204</t>
        </is>
      </c>
      <c r="F5905" s="3" t="n">
        <v>0</v>
      </c>
      <c r="G5905" s="3" t="n">
        <v>10000</v>
      </c>
    </row>
    <row r="5906">
      <c r="A5906" s="3" t="inlineStr">
        <is>
          <t>Heron Fields (Pty) Ltd</t>
        </is>
      </c>
      <c r="B5906" s="4" t="n">
        <v>45351</v>
      </c>
      <c r="C5906" s="3" t="inlineStr">
        <is>
          <t>Liabilities</t>
        </is>
      </c>
      <c r="D5906" s="3" t="inlineStr">
        <is>
          <t>5500/060</t>
        </is>
      </c>
      <c r="E5906" s="3" t="inlineStr">
        <is>
          <t>Loan - Opportunity Management Holdings</t>
        </is>
      </c>
      <c r="F5906" s="3" t="n">
        <v>-140000</v>
      </c>
      <c r="G5906" s="3" t="n">
        <v>-107900</v>
      </c>
    </row>
    <row r="5907">
      <c r="A5907" s="3" t="inlineStr">
        <is>
          <t>Heron Fields (Pty) Ltd</t>
        </is>
      </c>
      <c r="B5907" s="4" t="n">
        <v>45351</v>
      </c>
      <c r="C5907" s="3" t="inlineStr">
        <is>
          <t>Liabilities</t>
        </is>
      </c>
      <c r="D5907" s="3" t="inlineStr">
        <is>
          <t>5500/080</t>
        </is>
      </c>
      <c r="E5907" s="3" t="inlineStr">
        <is>
          <t>Loan - NSST2 Trust</t>
        </is>
      </c>
      <c r="F5907" s="3" t="n">
        <v>0</v>
      </c>
      <c r="G5907" s="3" t="n">
        <v>500</v>
      </c>
    </row>
    <row r="5908">
      <c r="A5908" s="3" t="inlineStr">
        <is>
          <t>Heron Fields (Pty) Ltd</t>
        </is>
      </c>
      <c r="B5908" s="4" t="n">
        <v>45351</v>
      </c>
      <c r="C5908" s="3" t="inlineStr">
        <is>
          <t>Assets</t>
        </is>
      </c>
      <c r="D5908" s="3" t="inlineStr">
        <is>
          <t>6150/010</t>
        </is>
      </c>
      <c r="E5908" s="3" t="inlineStr">
        <is>
          <t>Endulini -  A204</t>
        </is>
      </c>
      <c r="F5908" s="3" t="n">
        <v>0</v>
      </c>
      <c r="G5908" s="3" t="n">
        <v>1304260.87</v>
      </c>
    </row>
    <row r="5909">
      <c r="A5909" s="3" t="inlineStr">
        <is>
          <t>Heron Fields (Pty) Ltd</t>
        </is>
      </c>
      <c r="B5909" s="4" t="n">
        <v>45351</v>
      </c>
      <c r="C5909" s="3" t="inlineStr">
        <is>
          <t>Assets</t>
        </is>
      </c>
      <c r="D5909" s="3" t="inlineStr">
        <is>
          <t>6150/020</t>
        </is>
      </c>
      <c r="E5909" s="3" t="inlineStr">
        <is>
          <t>Endulini - A304</t>
        </is>
      </c>
      <c r="F5909" s="3" t="n">
        <v>0</v>
      </c>
      <c r="G5909" s="3" t="n">
        <v>1356434.78</v>
      </c>
    </row>
    <row r="5910">
      <c r="A5910" s="3" t="inlineStr">
        <is>
          <t>Heron Fields (Pty) Ltd</t>
        </is>
      </c>
      <c r="B5910" s="4" t="n">
        <v>45351</v>
      </c>
      <c r="C5910" s="3" t="inlineStr">
        <is>
          <t>Assets</t>
        </is>
      </c>
      <c r="D5910" s="3" t="inlineStr">
        <is>
          <t>6150/030</t>
        </is>
      </c>
      <c r="E5910" s="3" t="inlineStr">
        <is>
          <t>Endulini - B101</t>
        </is>
      </c>
      <c r="F5910" s="3" t="n">
        <v>0</v>
      </c>
      <c r="G5910" s="3" t="n">
        <v>1373826.09</v>
      </c>
    </row>
    <row r="5911">
      <c r="A5911" s="3" t="inlineStr">
        <is>
          <t>Heron Fields (Pty) Ltd</t>
        </is>
      </c>
      <c r="B5911" s="4" t="n">
        <v>45351</v>
      </c>
      <c r="C5911" s="3" t="inlineStr">
        <is>
          <t>Assets</t>
        </is>
      </c>
      <c r="D5911" s="3" t="inlineStr">
        <is>
          <t>6150/040</t>
        </is>
      </c>
      <c r="E5911" s="3" t="inlineStr">
        <is>
          <t>Endulini - A306</t>
        </is>
      </c>
      <c r="F5911" s="3" t="n">
        <v>0</v>
      </c>
      <c r="G5911" s="3" t="n">
        <v>1391217.39</v>
      </c>
    </row>
    <row r="5912">
      <c r="A5912" s="3" t="inlineStr">
        <is>
          <t>Heron Fields (Pty) Ltd</t>
        </is>
      </c>
      <c r="B5912" s="4" t="n">
        <v>45351</v>
      </c>
      <c r="C5912" s="3" t="inlineStr">
        <is>
          <t>Assets</t>
        </is>
      </c>
      <c r="D5912" s="3" t="inlineStr">
        <is>
          <t>6150/050</t>
        </is>
      </c>
      <c r="E5912" s="3" t="inlineStr">
        <is>
          <t>Endulini - C301</t>
        </is>
      </c>
      <c r="F5912" s="3" t="n">
        <v>0</v>
      </c>
      <c r="G5912" s="3" t="n">
        <v>1304260.87</v>
      </c>
    </row>
    <row r="5913">
      <c r="A5913" s="3" t="inlineStr">
        <is>
          <t>Cape Projects Construction (Pty) Ltd</t>
        </is>
      </c>
      <c r="B5913" s="4" t="n">
        <v>45351</v>
      </c>
      <c r="C5913" s="3" t="inlineStr">
        <is>
          <t>Assets</t>
        </is>
      </c>
      <c r="D5913" s="3" t="inlineStr">
        <is>
          <t>6200/010</t>
        </is>
      </c>
      <c r="E5913" s="3" t="inlineStr">
        <is>
          <t>Motor Vehicles - @ Cost</t>
        </is>
      </c>
      <c r="F5913" s="3" t="n">
        <v>0</v>
      </c>
      <c r="G5913" s="3" t="n">
        <v>216064.1</v>
      </c>
    </row>
    <row r="5914">
      <c r="A5914" s="3" t="inlineStr">
        <is>
          <t>Cape Projects Construction (Pty) Ltd</t>
        </is>
      </c>
      <c r="B5914" s="4" t="n">
        <v>45351</v>
      </c>
      <c r="C5914" s="3" t="inlineStr">
        <is>
          <t>Assets</t>
        </is>
      </c>
      <c r="D5914" s="3" t="inlineStr">
        <is>
          <t>6200/020</t>
        </is>
      </c>
      <c r="E5914" s="3" t="inlineStr">
        <is>
          <t>Motor Vehicles - Accum Depre</t>
        </is>
      </c>
      <c r="F5914" s="3" t="n">
        <v>0</v>
      </c>
      <c r="G5914" s="3" t="n">
        <v>-216063.1</v>
      </c>
    </row>
    <row r="5915">
      <c r="A5915" s="3" t="inlineStr">
        <is>
          <t>Cape Projects Construction (Pty) Ltd</t>
        </is>
      </c>
      <c r="B5915" s="4" t="n">
        <v>45351</v>
      </c>
      <c r="C5915" s="3" t="inlineStr">
        <is>
          <t>Assets</t>
        </is>
      </c>
      <c r="D5915" s="3" t="inlineStr">
        <is>
          <t>6250/010</t>
        </is>
      </c>
      <c r="E5915" s="3" t="inlineStr">
        <is>
          <t>Computer Equipment - @ Cost</t>
        </is>
      </c>
      <c r="F5915" s="3" t="n">
        <v>6086.09</v>
      </c>
      <c r="G5915" s="3" t="n">
        <v>184238.57</v>
      </c>
    </row>
    <row r="5916">
      <c r="A5916" s="3" t="inlineStr">
        <is>
          <t>Cape Projects Construction (Pty) Ltd</t>
        </is>
      </c>
      <c r="B5916" s="4" t="n">
        <v>45351</v>
      </c>
      <c r="C5916" s="3" t="inlineStr">
        <is>
          <t>Assets</t>
        </is>
      </c>
      <c r="D5916" s="3" t="inlineStr">
        <is>
          <t>6250/020</t>
        </is>
      </c>
      <c r="E5916" s="3" t="inlineStr">
        <is>
          <t>Computer Equipment - Accum Depre</t>
        </is>
      </c>
      <c r="F5916" s="3" t="n">
        <v>-4705.18</v>
      </c>
      <c r="G5916" s="3" t="n">
        <v>-89440.92</v>
      </c>
    </row>
    <row r="5917">
      <c r="A5917" s="3" t="inlineStr">
        <is>
          <t>Cape Projects Construction (Pty) Ltd</t>
        </is>
      </c>
      <c r="B5917" s="4" t="n">
        <v>45351</v>
      </c>
      <c r="C5917" s="3" t="inlineStr">
        <is>
          <t>Assets</t>
        </is>
      </c>
      <c r="D5917" s="3" t="inlineStr">
        <is>
          <t>6350/010</t>
        </is>
      </c>
      <c r="E5917" s="3" t="inlineStr">
        <is>
          <t>Furniture _AND_ Fittings - @ Cost</t>
        </is>
      </c>
      <c r="F5917" s="3" t="n">
        <v>0</v>
      </c>
      <c r="G5917" s="3" t="n">
        <v>37955.3</v>
      </c>
    </row>
    <row r="5918">
      <c r="A5918" s="3" t="inlineStr">
        <is>
          <t>Cape Projects Construction (Pty) Ltd</t>
        </is>
      </c>
      <c r="B5918" s="4" t="n">
        <v>45351</v>
      </c>
      <c r="C5918" s="3" t="inlineStr">
        <is>
          <t>Assets</t>
        </is>
      </c>
      <c r="D5918" s="3" t="inlineStr">
        <is>
          <t>6350/020</t>
        </is>
      </c>
      <c r="E5918" s="3" t="inlineStr">
        <is>
          <t>Furniture _AND_ Fittings - Accum Depre</t>
        </is>
      </c>
      <c r="F5918" s="3" t="n">
        <v>-547.67</v>
      </c>
      <c r="G5918" s="3" t="n">
        <v>-12466.67</v>
      </c>
    </row>
    <row r="5919">
      <c r="A5919" s="3" t="inlineStr">
        <is>
          <t>Cape Projects Construction (Pty) Ltd</t>
        </is>
      </c>
      <c r="B5919" s="4" t="n">
        <v>45351</v>
      </c>
      <c r="C5919" s="3" t="inlineStr">
        <is>
          <t>Assets</t>
        </is>
      </c>
      <c r="D5919" s="3" t="inlineStr">
        <is>
          <t>6600/010</t>
        </is>
      </c>
      <c r="E5919" s="3" t="inlineStr">
        <is>
          <t>Generator Fixed Asset - @ Cost</t>
        </is>
      </c>
      <c r="F5919" s="3" t="n">
        <v>0</v>
      </c>
      <c r="G5919" s="3" t="n">
        <v>71322</v>
      </c>
    </row>
    <row r="5920">
      <c r="A5920" s="3" t="inlineStr">
        <is>
          <t>Cape Projects Construction (Pty) Ltd</t>
        </is>
      </c>
      <c r="B5920" s="4" t="n">
        <v>45351</v>
      </c>
      <c r="C5920" s="3" t="inlineStr">
        <is>
          <t>Assets</t>
        </is>
      </c>
      <c r="D5920" s="3" t="inlineStr">
        <is>
          <t>6600/020</t>
        </is>
      </c>
      <c r="E5920" s="3" t="inlineStr">
        <is>
          <t>Generator Fixed Asset - Accum Depre</t>
        </is>
      </c>
      <c r="F5920" s="3" t="n">
        <v>-1188.7</v>
      </c>
      <c r="G5920" s="3" t="n">
        <v>-15399.23</v>
      </c>
    </row>
    <row r="5921">
      <c r="A5921" s="3" t="inlineStr">
        <is>
          <t>Heron Fields (Pty) Ltd</t>
        </is>
      </c>
      <c r="B5921" s="4" t="n">
        <v>45351</v>
      </c>
      <c r="C5921" s="3" t="inlineStr">
        <is>
          <t>Assets</t>
        </is>
      </c>
      <c r="D5921" s="3" t="inlineStr">
        <is>
          <t>7610/395</t>
        </is>
      </c>
      <c r="E5921" s="3" t="inlineStr">
        <is>
          <t>HF CIP NHBRC</t>
        </is>
      </c>
      <c r="F5921" s="3" t="n">
        <v>0</v>
      </c>
      <c r="G5921" s="3" t="n">
        <v>874505.75</v>
      </c>
    </row>
    <row r="5922">
      <c r="A5922" s="3" t="inlineStr">
        <is>
          <t>Heron View (Pty) Ltd</t>
        </is>
      </c>
      <c r="B5922" s="4" t="n">
        <v>45351</v>
      </c>
      <c r="C5922" s="3" t="inlineStr">
        <is>
          <t>Assets</t>
        </is>
      </c>
      <c r="D5922" s="3" t="inlineStr">
        <is>
          <t>7610/395</t>
        </is>
      </c>
      <c r="E5922" s="3" t="inlineStr">
        <is>
          <t>Heron CIP NHBRC</t>
        </is>
      </c>
      <c r="F5922" s="3" t="n">
        <v>0</v>
      </c>
      <c r="G5922" s="3" t="n">
        <v>2472501.08</v>
      </c>
    </row>
    <row r="5923">
      <c r="A5923" s="3" t="inlineStr">
        <is>
          <t>Heron Fields (Pty) Ltd</t>
        </is>
      </c>
      <c r="B5923" s="4" t="n">
        <v>45351</v>
      </c>
      <c r="C5923" s="3" t="inlineStr">
        <is>
          <t>Assets</t>
        </is>
      </c>
      <c r="D5923" s="3" t="inlineStr">
        <is>
          <t>7620/100</t>
        </is>
      </c>
      <c r="E5923" s="3" t="inlineStr">
        <is>
          <t>Heron View Land</t>
        </is>
      </c>
      <c r="F5923" s="3" t="n">
        <v>0</v>
      </c>
      <c r="G5923" s="3" t="n">
        <v>26200000</v>
      </c>
    </row>
    <row r="5924">
      <c r="A5924" s="3" t="inlineStr">
        <is>
          <t>Heron Fields (Pty) Ltd</t>
        </is>
      </c>
      <c r="B5924" s="4" t="n">
        <v>45351</v>
      </c>
      <c r="C5924" s="3" t="inlineStr">
        <is>
          <t>Assets</t>
        </is>
      </c>
      <c r="D5924" s="3" t="inlineStr">
        <is>
          <t>7620/101</t>
        </is>
      </c>
      <c r="E5924" s="3" t="inlineStr">
        <is>
          <t>HF CIP Bond Registration Fee</t>
        </is>
      </c>
      <c r="F5924" s="3" t="n">
        <v>0</v>
      </c>
      <c r="G5924" s="3" t="n">
        <v>68427</v>
      </c>
    </row>
    <row r="5925">
      <c r="A5925" s="3" t="inlineStr">
        <is>
          <t>Heron Fields (Pty) Ltd</t>
        </is>
      </c>
      <c r="B5925" s="4" t="n">
        <v>45351</v>
      </c>
      <c r="C5925" s="3" t="inlineStr">
        <is>
          <t>Assets</t>
        </is>
      </c>
      <c r="D5925" s="3" t="inlineStr">
        <is>
          <t>7620/102</t>
        </is>
      </c>
      <c r="E5925" s="3" t="inlineStr">
        <is>
          <t>HF CIP Transfer Fee</t>
        </is>
      </c>
      <c r="F5925" s="3" t="n">
        <v>0</v>
      </c>
      <c r="G5925" s="3" t="n">
        <v>103812</v>
      </c>
    </row>
    <row r="5926">
      <c r="A5926" s="3" t="inlineStr">
        <is>
          <t>Heron Fields (Pty) Ltd</t>
        </is>
      </c>
      <c r="B5926" s="4" t="n">
        <v>45351</v>
      </c>
      <c r="C5926" s="3" t="inlineStr">
        <is>
          <t>Assets</t>
        </is>
      </c>
      <c r="D5926" s="3" t="inlineStr">
        <is>
          <t>7620/220</t>
        </is>
      </c>
      <c r="E5926" s="3" t="inlineStr">
        <is>
          <t>HF CIP Architectural Designs</t>
        </is>
      </c>
      <c r="F5926" s="3" t="n">
        <v>0</v>
      </c>
      <c r="G5926" s="3" t="n">
        <v>314087</v>
      </c>
    </row>
    <row r="5927">
      <c r="A5927" s="3" t="inlineStr">
        <is>
          <t>Heron View (Pty) Ltd</t>
        </is>
      </c>
      <c r="B5927" s="4" t="n">
        <v>45351</v>
      </c>
      <c r="C5927" s="3" t="inlineStr">
        <is>
          <t>Assets</t>
        </is>
      </c>
      <c r="D5927" s="3" t="inlineStr">
        <is>
          <t>7620/220</t>
        </is>
      </c>
      <c r="E5927" s="3" t="inlineStr">
        <is>
          <t>Heron View CIP Architectural Designs</t>
        </is>
      </c>
      <c r="F5927" s="3" t="n">
        <v>25315.69</v>
      </c>
      <c r="G5927" s="3" t="n">
        <v>715552.6</v>
      </c>
    </row>
    <row r="5928">
      <c r="A5928" s="3" t="inlineStr">
        <is>
          <t>Heron Fields (Pty) Ltd</t>
        </is>
      </c>
      <c r="B5928" s="4" t="n">
        <v>45351</v>
      </c>
      <c r="C5928" s="3" t="inlineStr">
        <is>
          <t>Assets</t>
        </is>
      </c>
      <c r="D5928" s="3" t="inlineStr">
        <is>
          <t>7620/230</t>
        </is>
      </c>
      <c r="E5928" s="3" t="inlineStr">
        <is>
          <t>HF CIP Construction Management</t>
        </is>
      </c>
      <c r="F5928" s="3" t="n">
        <v>0</v>
      </c>
      <c r="G5928" s="3" t="n">
        <v>139500</v>
      </c>
    </row>
    <row r="5929">
      <c r="A5929" s="3" t="inlineStr">
        <is>
          <t>Heron Fields (Pty) Ltd</t>
        </is>
      </c>
      <c r="B5929" s="4" t="n">
        <v>45351</v>
      </c>
      <c r="C5929" s="3" t="inlineStr">
        <is>
          <t>Assets</t>
        </is>
      </c>
      <c r="D5929" s="3" t="inlineStr">
        <is>
          <t>7620/240</t>
        </is>
      </c>
      <c r="E5929" s="3" t="inlineStr">
        <is>
          <t>HF CIP Civil Engineering</t>
        </is>
      </c>
      <c r="F5929" s="3" t="n">
        <v>0</v>
      </c>
      <c r="G5929" s="3" t="n">
        <v>8557641.800000001</v>
      </c>
    </row>
    <row r="5930">
      <c r="A5930" s="3" t="inlineStr">
        <is>
          <t>Heron Fields (Pty) Ltd</t>
        </is>
      </c>
      <c r="B5930" s="4" t="n">
        <v>45351</v>
      </c>
      <c r="C5930" s="3" t="inlineStr">
        <is>
          <t>Assets</t>
        </is>
      </c>
      <c r="D5930" s="3" t="inlineStr">
        <is>
          <t>7620/245</t>
        </is>
      </c>
      <c r="E5930" s="3" t="inlineStr">
        <is>
          <t>HF CIP Development fee</t>
        </is>
      </c>
      <c r="F5930" s="3" t="n">
        <v>0</v>
      </c>
      <c r="G5930" s="3" t="n">
        <v>13807.78</v>
      </c>
    </row>
    <row r="5931">
      <c r="A5931" s="3" t="inlineStr">
        <is>
          <t>Heron Fields (Pty) Ltd</t>
        </is>
      </c>
      <c r="B5931" s="4" t="n">
        <v>45351</v>
      </c>
      <c r="C5931" s="3" t="inlineStr">
        <is>
          <t>Assets</t>
        </is>
      </c>
      <c r="D5931" s="3" t="inlineStr">
        <is>
          <t>7620/250</t>
        </is>
      </c>
      <c r="E5931" s="3" t="inlineStr">
        <is>
          <t>HF CIP Land Surveyor</t>
        </is>
      </c>
      <c r="F5931" s="3" t="n">
        <v>0</v>
      </c>
      <c r="G5931" s="3" t="n">
        <v>197060.09</v>
      </c>
    </row>
    <row r="5932">
      <c r="A5932" s="3" t="inlineStr">
        <is>
          <t>Heron View (Pty) Ltd</t>
        </is>
      </c>
      <c r="B5932" s="4" t="n">
        <v>45351</v>
      </c>
      <c r="C5932" s="3" t="inlineStr">
        <is>
          <t>Assets</t>
        </is>
      </c>
      <c r="D5932" s="3" t="inlineStr">
        <is>
          <t>7620/250</t>
        </is>
      </c>
      <c r="E5932" s="3" t="inlineStr">
        <is>
          <t>Heron View CIP Land Surveyor</t>
        </is>
      </c>
      <c r="F5932" s="3" t="n">
        <v>0</v>
      </c>
      <c r="G5932" s="3" t="n">
        <v>321942.47</v>
      </c>
    </row>
    <row r="5933">
      <c r="A5933" s="3" t="inlineStr">
        <is>
          <t>Heron Fields (Pty) Ltd</t>
        </is>
      </c>
      <c r="B5933" s="4" t="n">
        <v>45351</v>
      </c>
      <c r="C5933" s="3" t="inlineStr">
        <is>
          <t>Assets</t>
        </is>
      </c>
      <c r="D5933" s="3" t="inlineStr">
        <is>
          <t>7620/255</t>
        </is>
      </c>
      <c r="E5933" s="3" t="inlineStr">
        <is>
          <t>HF CIP Landscaping</t>
        </is>
      </c>
      <c r="F5933" s="3" t="n">
        <v>0</v>
      </c>
      <c r="G5933" s="3" t="n">
        <v>7500</v>
      </c>
    </row>
    <row r="5934">
      <c r="A5934" s="3" t="inlineStr">
        <is>
          <t>Heron View (Pty) Ltd</t>
        </is>
      </c>
      <c r="B5934" s="4" t="n">
        <v>45351</v>
      </c>
      <c r="C5934" s="3" t="inlineStr">
        <is>
          <t>Assets</t>
        </is>
      </c>
      <c r="D5934" s="3" t="inlineStr">
        <is>
          <t>7620/255</t>
        </is>
      </c>
      <c r="E5934" s="3" t="inlineStr">
        <is>
          <t>Heron View CIP Landscaping</t>
        </is>
      </c>
      <c r="F5934" s="3" t="n">
        <v>0</v>
      </c>
      <c r="G5934" s="3" t="n">
        <v>114370.5</v>
      </c>
    </row>
    <row r="5935">
      <c r="A5935" s="3" t="inlineStr">
        <is>
          <t>Heron Fields (Pty) Ltd</t>
        </is>
      </c>
      <c r="B5935" s="4" t="n">
        <v>45351</v>
      </c>
      <c r="C5935" s="3" t="inlineStr">
        <is>
          <t>Assets</t>
        </is>
      </c>
      <c r="D5935" s="3" t="inlineStr">
        <is>
          <t>7620/260</t>
        </is>
      </c>
      <c r="E5935" s="3" t="inlineStr">
        <is>
          <t>HF CIP Mechanical Engineers</t>
        </is>
      </c>
      <c r="F5935" s="3" t="n">
        <v>0</v>
      </c>
      <c r="G5935" s="3" t="n">
        <v>146256.38</v>
      </c>
    </row>
    <row r="5936">
      <c r="A5936" s="3" t="inlineStr">
        <is>
          <t>Heron Fields (Pty) Ltd</t>
        </is>
      </c>
      <c r="B5936" s="4" t="n">
        <v>45351</v>
      </c>
      <c r="C5936" s="3" t="inlineStr">
        <is>
          <t>Assets</t>
        </is>
      </c>
      <c r="D5936" s="3" t="inlineStr">
        <is>
          <t>7620/265</t>
        </is>
      </c>
      <c r="E5936" s="3" t="inlineStr">
        <is>
          <t>HF CIP Health &amp; Safety</t>
        </is>
      </c>
      <c r="F5936" s="3" t="n">
        <v>0</v>
      </c>
      <c r="G5936" s="3" t="n">
        <v>20600</v>
      </c>
    </row>
    <row r="5937">
      <c r="A5937" s="3" t="inlineStr">
        <is>
          <t>Heron Fields (Pty) Ltd</t>
        </is>
      </c>
      <c r="B5937" s="4" t="n">
        <v>45351</v>
      </c>
      <c r="C5937" s="3" t="inlineStr">
        <is>
          <t>Assets</t>
        </is>
      </c>
      <c r="D5937" s="3" t="inlineStr">
        <is>
          <t>7620/270</t>
        </is>
      </c>
      <c r="E5937" s="3" t="inlineStr">
        <is>
          <t>HF CIP Geotechnical</t>
        </is>
      </c>
      <c r="F5937" s="3" t="n">
        <v>0</v>
      </c>
      <c r="G5937" s="3" t="n">
        <v>15175</v>
      </c>
    </row>
    <row r="5938">
      <c r="A5938" s="3" t="inlineStr">
        <is>
          <t>Heron Fields (Pty) Ltd</t>
        </is>
      </c>
      <c r="B5938" s="4" t="n">
        <v>45351</v>
      </c>
      <c r="C5938" s="3" t="inlineStr">
        <is>
          <t>Assets</t>
        </is>
      </c>
      <c r="D5938" s="3" t="inlineStr">
        <is>
          <t>7620/275</t>
        </is>
      </c>
      <c r="E5938" s="3" t="inlineStr">
        <is>
          <t>HF CIP Retaining Wall</t>
        </is>
      </c>
      <c r="F5938" s="3" t="n">
        <v>0</v>
      </c>
      <c r="G5938" s="3" t="n">
        <v>570856.08</v>
      </c>
    </row>
    <row r="5939">
      <c r="A5939" s="3" t="inlineStr">
        <is>
          <t>Heron Fields (Pty) Ltd</t>
        </is>
      </c>
      <c r="B5939" s="4" t="n">
        <v>45351</v>
      </c>
      <c r="C5939" s="3" t="inlineStr">
        <is>
          <t>Assets</t>
        </is>
      </c>
      <c r="D5939" s="3" t="inlineStr">
        <is>
          <t>7620/280</t>
        </is>
      </c>
      <c r="E5939" s="3" t="inlineStr">
        <is>
          <t>HF CIP Site Establishment</t>
        </is>
      </c>
      <c r="F5939" s="3" t="n">
        <v>0</v>
      </c>
      <c r="G5939" s="3" t="n">
        <v>47748851.51</v>
      </c>
    </row>
    <row r="5940">
      <c r="A5940" s="3" t="inlineStr">
        <is>
          <t>Heron View (Pty) Ltd</t>
        </is>
      </c>
      <c r="B5940" s="4" t="n">
        <v>45351</v>
      </c>
      <c r="C5940" s="3" t="inlineStr">
        <is>
          <t>Assets</t>
        </is>
      </c>
      <c r="D5940" s="3" t="inlineStr">
        <is>
          <t>7620/280</t>
        </is>
      </c>
      <c r="E5940" s="3" t="inlineStr">
        <is>
          <t>Heron View CIP Site Establishment</t>
        </is>
      </c>
      <c r="F5940" s="3" t="n">
        <v>3921739.13</v>
      </c>
      <c r="G5940" s="3" t="n">
        <v>48025790.91</v>
      </c>
    </row>
    <row r="5941">
      <c r="A5941" s="3" t="inlineStr">
        <is>
          <t>Heron Fields (Pty) Ltd</t>
        </is>
      </c>
      <c r="B5941" s="4" t="n">
        <v>45351</v>
      </c>
      <c r="C5941" s="3" t="inlineStr">
        <is>
          <t>Assets</t>
        </is>
      </c>
      <c r="D5941" s="3" t="inlineStr">
        <is>
          <t>7620/285</t>
        </is>
      </c>
      <c r="E5941" s="3" t="inlineStr">
        <is>
          <t>HF CIP Structuring Fee - Invest</t>
        </is>
      </c>
      <c r="F5941" s="3" t="n">
        <v>0</v>
      </c>
      <c r="G5941" s="3" t="n">
        <v>3850818.04</v>
      </c>
    </row>
    <row r="5942">
      <c r="A5942" s="3" t="inlineStr">
        <is>
          <t>Heron View (Pty) Ltd</t>
        </is>
      </c>
      <c r="B5942" s="4" t="n">
        <v>45351</v>
      </c>
      <c r="C5942" s="3" t="inlineStr">
        <is>
          <t>Assets</t>
        </is>
      </c>
      <c r="D5942" s="3" t="inlineStr">
        <is>
          <t>7620/285</t>
        </is>
      </c>
      <c r="E5942" s="3" t="inlineStr">
        <is>
          <t>Heron View CIP Structuring Fee - Invest</t>
        </is>
      </c>
      <c r="F5942" s="3" t="n">
        <v>0</v>
      </c>
      <c r="G5942" s="3" t="n">
        <v>1826086.96</v>
      </c>
    </row>
    <row r="5943">
      <c r="A5943" s="3" t="inlineStr">
        <is>
          <t>Heron Fields (Pty) Ltd</t>
        </is>
      </c>
      <c r="B5943" s="4" t="n">
        <v>45351</v>
      </c>
      <c r="C5943" s="3" t="inlineStr">
        <is>
          <t>Assets</t>
        </is>
      </c>
      <c r="D5943" s="3" t="inlineStr">
        <is>
          <t>7620/287</t>
        </is>
      </c>
      <c r="E5943" s="3" t="inlineStr">
        <is>
          <t>HF CIP Structuring Fee - Development</t>
        </is>
      </c>
      <c r="F5943" s="3" t="n">
        <v>0</v>
      </c>
      <c r="G5943" s="3" t="n">
        <v>782608.0699999999</v>
      </c>
    </row>
    <row r="5944">
      <c r="A5944" s="3" t="inlineStr">
        <is>
          <t>Heron View (Pty) Ltd</t>
        </is>
      </c>
      <c r="B5944" s="4" t="n">
        <v>45351</v>
      </c>
      <c r="C5944" s="3" t="inlineStr">
        <is>
          <t>Assets</t>
        </is>
      </c>
      <c r="D5944" s="3" t="inlineStr">
        <is>
          <t>7620/287</t>
        </is>
      </c>
      <c r="E5944" s="3" t="inlineStr">
        <is>
          <t>Heron View CIP Structuring Fee - Development</t>
        </is>
      </c>
      <c r="F5944" s="3" t="n">
        <v>0</v>
      </c>
      <c r="G5944" s="3" t="n">
        <v>217391.3</v>
      </c>
    </row>
    <row r="5945">
      <c r="A5945" s="3" t="inlineStr">
        <is>
          <t>Heron Fields (Pty) Ltd</t>
        </is>
      </c>
      <c r="B5945" s="4" t="n">
        <v>45351</v>
      </c>
      <c r="C5945" s="3" t="inlineStr">
        <is>
          <t>Assets</t>
        </is>
      </c>
      <c r="D5945" s="3" t="inlineStr">
        <is>
          <t>7620/290</t>
        </is>
      </c>
      <c r="E5945" s="3" t="inlineStr">
        <is>
          <t>HF CIP Town Planning</t>
        </is>
      </c>
      <c r="F5945" s="3" t="n">
        <v>0</v>
      </c>
      <c r="G5945" s="3" t="n">
        <v>166550</v>
      </c>
    </row>
    <row r="5946">
      <c r="A5946" s="3" t="inlineStr">
        <is>
          <t>Heron View (Pty) Ltd</t>
        </is>
      </c>
      <c r="B5946" s="4" t="n">
        <v>45351</v>
      </c>
      <c r="C5946" s="3" t="inlineStr">
        <is>
          <t>Assets</t>
        </is>
      </c>
      <c r="D5946" s="3" t="inlineStr">
        <is>
          <t>7620/290</t>
        </is>
      </c>
      <c r="E5946" s="3" t="inlineStr">
        <is>
          <t>Heron View CIP Town Planning</t>
        </is>
      </c>
      <c r="F5946" s="3" t="n">
        <v>0</v>
      </c>
      <c r="G5946" s="3" t="n">
        <v>2834.7</v>
      </c>
    </row>
    <row r="5947">
      <c r="A5947" s="3" t="inlineStr">
        <is>
          <t>Heron Fields (Pty) Ltd</t>
        </is>
      </c>
      <c r="B5947" s="4" t="n">
        <v>45351</v>
      </c>
      <c r="C5947" s="3" t="inlineStr">
        <is>
          <t>Assets</t>
        </is>
      </c>
      <c r="D5947" s="3" t="inlineStr">
        <is>
          <t>7620/295</t>
        </is>
      </c>
      <c r="E5947" s="3" t="inlineStr">
        <is>
          <t>HF CIP Traffic Planning</t>
        </is>
      </c>
      <c r="F5947" s="3" t="n">
        <v>0</v>
      </c>
      <c r="G5947" s="3" t="n">
        <v>45000</v>
      </c>
    </row>
    <row r="5948">
      <c r="A5948" s="3" t="inlineStr">
        <is>
          <t>Heron Fields (Pty) Ltd</t>
        </is>
      </c>
      <c r="B5948" s="4" t="n">
        <v>45351</v>
      </c>
      <c r="C5948" s="3" t="inlineStr">
        <is>
          <t>Assets</t>
        </is>
      </c>
      <c r="D5948" s="3" t="inlineStr">
        <is>
          <t>7620/600</t>
        </is>
      </c>
      <c r="E5948" s="3" t="inlineStr">
        <is>
          <t>HF CIP Eco work</t>
        </is>
      </c>
      <c r="F5948" s="3" t="n">
        <v>6000</v>
      </c>
      <c r="G5948" s="3" t="n">
        <v>203000</v>
      </c>
    </row>
    <row r="5949">
      <c r="A5949" s="3" t="inlineStr">
        <is>
          <t>Heron View (Pty) Ltd</t>
        </is>
      </c>
      <c r="B5949" s="4" t="n">
        <v>45351</v>
      </c>
      <c r="C5949" s="3" t="inlineStr">
        <is>
          <t>Assets</t>
        </is>
      </c>
      <c r="D5949" s="3" t="inlineStr">
        <is>
          <t>7620/605</t>
        </is>
      </c>
      <c r="E5949" s="3" t="inlineStr">
        <is>
          <t>Heron View CIP Structural Engineers</t>
        </is>
      </c>
      <c r="F5949" s="3" t="n">
        <v>0</v>
      </c>
      <c r="G5949" s="3" t="n">
        <v>666877.14</v>
      </c>
    </row>
    <row r="5950">
      <c r="A5950" s="3" t="inlineStr">
        <is>
          <t>Heron View (Pty) Ltd</t>
        </is>
      </c>
      <c r="B5950" s="4" t="n">
        <v>45351</v>
      </c>
      <c r="C5950" s="3" t="inlineStr">
        <is>
          <t>Assets</t>
        </is>
      </c>
      <c r="D5950" s="3" t="inlineStr">
        <is>
          <t>7620/610</t>
        </is>
      </c>
      <c r="E5950" s="3" t="inlineStr">
        <is>
          <t>HV CIP Retaining wall</t>
        </is>
      </c>
      <c r="F5950" s="3" t="n">
        <v>0</v>
      </c>
      <c r="G5950" s="3" t="n">
        <v>66190.11</v>
      </c>
    </row>
    <row r="5951">
      <c r="A5951" s="3" t="inlineStr">
        <is>
          <t>Heron Fields (Pty) Ltd</t>
        </is>
      </c>
      <c r="B5951" s="4" t="n">
        <v>45351</v>
      </c>
      <c r="C5951" s="3" t="inlineStr">
        <is>
          <t>Assets</t>
        </is>
      </c>
      <c r="D5951" s="3" t="inlineStr">
        <is>
          <t>7620/630</t>
        </is>
      </c>
      <c r="E5951" s="3" t="inlineStr">
        <is>
          <t>HF CIP CoCT development contribution</t>
        </is>
      </c>
      <c r="F5951" s="3" t="n">
        <v>0</v>
      </c>
      <c r="G5951" s="3" t="n">
        <v>3252759.95</v>
      </c>
    </row>
    <row r="5952">
      <c r="A5952" s="3" t="inlineStr">
        <is>
          <t>Heron View (Pty) Ltd</t>
        </is>
      </c>
      <c r="B5952" s="4" t="n">
        <v>45351</v>
      </c>
      <c r="C5952" s="3" t="inlineStr">
        <is>
          <t>Assets</t>
        </is>
      </c>
      <c r="D5952" s="3" t="inlineStr">
        <is>
          <t>7620/630</t>
        </is>
      </c>
      <c r="E5952" s="3" t="inlineStr">
        <is>
          <t>Heron CIP - CoCT development contribution</t>
        </is>
      </c>
      <c r="F5952" s="3" t="n">
        <v>0</v>
      </c>
      <c r="G5952" s="3" t="n">
        <v>1673231.19</v>
      </c>
    </row>
    <row r="5953">
      <c r="A5953" s="3" t="inlineStr">
        <is>
          <t>Heron Fields (Pty) Ltd</t>
        </is>
      </c>
      <c r="B5953" s="4" t="n">
        <v>45351</v>
      </c>
      <c r="C5953" s="3" t="inlineStr">
        <is>
          <t>Assets</t>
        </is>
      </c>
      <c r="D5953" s="3" t="inlineStr">
        <is>
          <t>7620/640</t>
        </is>
      </c>
      <c r="E5953" s="3" t="inlineStr">
        <is>
          <t>HF CIP Project costs</t>
        </is>
      </c>
      <c r="F5953" s="3" t="n">
        <v>0</v>
      </c>
      <c r="G5953" s="3" t="n">
        <v>622274.51</v>
      </c>
    </row>
    <row r="5954">
      <c r="A5954" s="3" t="inlineStr">
        <is>
          <t>Heron View (Pty) Ltd</t>
        </is>
      </c>
      <c r="B5954" s="4" t="n">
        <v>45351</v>
      </c>
      <c r="C5954" s="3" t="inlineStr">
        <is>
          <t>Assets</t>
        </is>
      </c>
      <c r="D5954" s="3" t="inlineStr">
        <is>
          <t>7620/650</t>
        </is>
      </c>
      <c r="E5954" s="3" t="inlineStr">
        <is>
          <t>CIP - Construction Management</t>
        </is>
      </c>
      <c r="F5954" s="3" t="n">
        <v>0</v>
      </c>
      <c r="G5954" s="3" t="n">
        <v>76530</v>
      </c>
    </row>
    <row r="5955">
      <c r="A5955" s="3" t="inlineStr">
        <is>
          <t>Heron Fields (Pty) Ltd</t>
        </is>
      </c>
      <c r="B5955" s="4" t="n">
        <v>45351</v>
      </c>
      <c r="C5955" s="3" t="inlineStr">
        <is>
          <t>Assets</t>
        </is>
      </c>
      <c r="D5955" s="3" t="inlineStr">
        <is>
          <t>7620/650</t>
        </is>
      </c>
      <c r="E5955" s="3" t="inlineStr">
        <is>
          <t>HF CIP Electrical</t>
        </is>
      </c>
      <c r="F5955" s="3" t="n">
        <v>0</v>
      </c>
      <c r="G5955" s="3" t="n">
        <v>985049.6800000001</v>
      </c>
    </row>
    <row r="5956">
      <c r="A5956" s="3" t="inlineStr">
        <is>
          <t>Heron View (Pty) Ltd</t>
        </is>
      </c>
      <c r="B5956" s="4" t="n">
        <v>45351</v>
      </c>
      <c r="C5956" s="3" t="inlineStr">
        <is>
          <t>Assets</t>
        </is>
      </c>
      <c r="D5956" s="3" t="inlineStr">
        <is>
          <t>7620/660</t>
        </is>
      </c>
      <c r="E5956" s="3" t="inlineStr">
        <is>
          <t>HV CIP Health &amp; Safety</t>
        </is>
      </c>
      <c r="F5956" s="3" t="n">
        <v>1400</v>
      </c>
      <c r="G5956" s="3" t="n">
        <v>30000</v>
      </c>
    </row>
    <row r="5957">
      <c r="A5957" s="3" t="inlineStr">
        <is>
          <t>Heron View (Pty) Ltd</t>
        </is>
      </c>
      <c r="B5957" s="4" t="n">
        <v>45351</v>
      </c>
      <c r="C5957" s="3" t="inlineStr">
        <is>
          <t>Assets</t>
        </is>
      </c>
      <c r="D5957" s="3" t="inlineStr">
        <is>
          <t>7620/670</t>
        </is>
      </c>
      <c r="E5957" s="3" t="inlineStr">
        <is>
          <t>HV CIP - Project costs CPSD</t>
        </is>
      </c>
      <c r="F5957" s="3" t="n">
        <v>334782.61</v>
      </c>
      <c r="G5957" s="3" t="n">
        <v>2693478.26</v>
      </c>
    </row>
    <row r="5958">
      <c r="A5958" s="3" t="inlineStr">
        <is>
          <t>Heron View (Pty) Ltd</t>
        </is>
      </c>
      <c r="B5958" s="4" t="n">
        <v>45351</v>
      </c>
      <c r="C5958" s="3" t="inlineStr">
        <is>
          <t>Assets</t>
        </is>
      </c>
      <c r="D5958" s="3" t="inlineStr">
        <is>
          <t>7620/680</t>
        </is>
      </c>
      <c r="E5958" s="3" t="inlineStr">
        <is>
          <t>HV CIP Elextrical</t>
        </is>
      </c>
      <c r="F5958" s="3" t="n">
        <v>0</v>
      </c>
      <c r="G5958" s="3" t="n">
        <v>1540502.11</v>
      </c>
    </row>
    <row r="5959">
      <c r="A5959" s="3" t="inlineStr">
        <is>
          <t>Heron View (Pty) Ltd</t>
        </is>
      </c>
      <c r="B5959" s="4" t="n">
        <v>45351</v>
      </c>
      <c r="C5959" s="3" t="inlineStr">
        <is>
          <t>Assets</t>
        </is>
      </c>
      <c r="D5959" s="3" t="inlineStr">
        <is>
          <t>7620/690</t>
        </is>
      </c>
      <c r="E5959" s="3" t="inlineStr">
        <is>
          <t>HV CIP Site Establishment</t>
        </is>
      </c>
      <c r="F5959" s="3" t="n">
        <v>0</v>
      </c>
      <c r="G5959" s="3" t="n">
        <v>16307183.05</v>
      </c>
    </row>
    <row r="5960">
      <c r="A5960" s="3" t="inlineStr">
        <is>
          <t>Heron Fields (Pty) Ltd</t>
        </is>
      </c>
      <c r="B5960" s="4" t="n">
        <v>45351</v>
      </c>
      <c r="C5960" s="3" t="inlineStr">
        <is>
          <t>Assets</t>
        </is>
      </c>
      <c r="D5960" s="3" t="inlineStr">
        <is>
          <t>7620/750</t>
        </is>
      </c>
      <c r="E5960" s="3" t="inlineStr">
        <is>
          <t>HF CIP Project costs CPSD</t>
        </is>
      </c>
      <c r="F5960" s="3" t="n">
        <v>0</v>
      </c>
      <c r="G5960" s="3" t="n">
        <v>2148883.15</v>
      </c>
    </row>
    <row r="5961">
      <c r="A5961" s="3" t="inlineStr">
        <is>
          <t>Heron Fields (Pty) Ltd</t>
        </is>
      </c>
      <c r="B5961" s="4" t="n">
        <v>45351</v>
      </c>
      <c r="C5961" s="3" t="inlineStr">
        <is>
          <t>Assets</t>
        </is>
      </c>
      <c r="D5961" s="3" t="inlineStr">
        <is>
          <t>7620/800</t>
        </is>
      </c>
      <c r="E5961" s="3" t="inlineStr">
        <is>
          <t>HF CIP GL Conradie</t>
        </is>
      </c>
      <c r="F5961" s="3" t="n">
        <v>0</v>
      </c>
      <c r="G5961" s="3" t="n">
        <v>1068455</v>
      </c>
    </row>
    <row r="5962">
      <c r="A5962" s="3" t="inlineStr">
        <is>
          <t>Heron View (Pty) Ltd</t>
        </is>
      </c>
      <c r="B5962" s="4" t="n">
        <v>45351</v>
      </c>
      <c r="C5962" s="3" t="inlineStr">
        <is>
          <t>Assets</t>
        </is>
      </c>
      <c r="D5962" s="3" t="inlineStr">
        <is>
          <t>7620/800</t>
        </is>
      </c>
      <c r="E5962" s="3" t="inlineStr">
        <is>
          <t>HV CIP GL Conradie</t>
        </is>
      </c>
      <c r="F5962" s="3" t="n">
        <v>0</v>
      </c>
      <c r="G5962" s="3" t="n">
        <v>2188325.96</v>
      </c>
    </row>
    <row r="5963">
      <c r="A5963" s="3" t="inlineStr">
        <is>
          <t>Heron Fields (Pty) Ltd</t>
        </is>
      </c>
      <c r="B5963" s="4" t="n">
        <v>45351</v>
      </c>
      <c r="C5963" s="3" t="inlineStr">
        <is>
          <t>Assets</t>
        </is>
      </c>
      <c r="D5963" s="3" t="inlineStr">
        <is>
          <t>7700/010</t>
        </is>
      </c>
      <c r="E5963" s="3" t="inlineStr">
        <is>
          <t>Construction 28 Feb 23 HF</t>
        </is>
      </c>
      <c r="F5963" s="3" t="n">
        <v>0</v>
      </c>
      <c r="G5963" s="3" t="n">
        <v>-24427668.44</v>
      </c>
    </row>
    <row r="5964">
      <c r="A5964" s="3" t="inlineStr">
        <is>
          <t>Cape Projects Construction (Pty) Ltd</t>
        </is>
      </c>
      <c r="B5964" s="4" t="n">
        <v>45351</v>
      </c>
      <c r="C5964" s="3" t="inlineStr">
        <is>
          <t>Assets</t>
        </is>
      </c>
      <c r="D5964" s="3" t="inlineStr">
        <is>
          <t>7800/000</t>
        </is>
      </c>
      <c r="E5964" s="3" t="inlineStr">
        <is>
          <t>Deposits paid</t>
        </is>
      </c>
      <c r="F5964" s="3" t="n">
        <v>0</v>
      </c>
      <c r="G5964" s="3" t="n">
        <v>29600</v>
      </c>
    </row>
    <row r="5965">
      <c r="A5965" s="3" t="inlineStr">
        <is>
          <t>Cape Projects Construction (Pty) Ltd</t>
        </is>
      </c>
      <c r="B5965" s="4" t="n">
        <v>45351</v>
      </c>
      <c r="C5965" s="3" t="inlineStr">
        <is>
          <t>Assets</t>
        </is>
      </c>
      <c r="D5965" s="3" t="inlineStr">
        <is>
          <t>8000/000</t>
        </is>
      </c>
      <c r="E5965" s="3" t="inlineStr">
        <is>
          <t>Customer Control Account</t>
        </is>
      </c>
      <c r="F5965" s="3" t="n">
        <v>110000</v>
      </c>
      <c r="G5965" s="3" t="n">
        <v>5534127.74</v>
      </c>
    </row>
    <row r="5966">
      <c r="A5966" s="3" t="inlineStr">
        <is>
          <t>Heron Fields (Pty) Ltd</t>
        </is>
      </c>
      <c r="B5966" s="4" t="n">
        <v>45351</v>
      </c>
      <c r="C5966" s="3" t="inlineStr">
        <is>
          <t>Assets</t>
        </is>
      </c>
      <c r="D5966" s="3" t="inlineStr">
        <is>
          <t>8000/000</t>
        </is>
      </c>
      <c r="E5966" s="3" t="inlineStr">
        <is>
          <t>Customer Control Account</t>
        </is>
      </c>
      <c r="F5966" s="3" t="n">
        <v>-967.88</v>
      </c>
      <c r="G5966" s="3" t="n">
        <v>370057.81</v>
      </c>
    </row>
    <row r="5967">
      <c r="A5967" s="3" t="inlineStr">
        <is>
          <t>Heron View (Pty) Ltd</t>
        </is>
      </c>
      <c r="B5967" s="4" t="n">
        <v>45351</v>
      </c>
      <c r="C5967" s="3" t="inlineStr">
        <is>
          <t>Assets</t>
        </is>
      </c>
      <c r="D5967" s="3" t="inlineStr">
        <is>
          <t>8000/000</t>
        </is>
      </c>
      <c r="E5967" s="3" t="inlineStr">
        <is>
          <t>Customer Control Account</t>
        </is>
      </c>
      <c r="F5967" s="3" t="n">
        <v>387.11</v>
      </c>
      <c r="G5967" s="3" t="n">
        <v>696.85</v>
      </c>
    </row>
    <row r="5968">
      <c r="A5968" s="3" t="inlineStr">
        <is>
          <t>Cape Projects Construction (Pty) Ltd</t>
        </is>
      </c>
      <c r="B5968" s="4" t="n">
        <v>45351</v>
      </c>
      <c r="C5968" s="3" t="inlineStr">
        <is>
          <t>Assets</t>
        </is>
      </c>
      <c r="D5968" s="3" t="inlineStr">
        <is>
          <t>8200/030</t>
        </is>
      </c>
      <c r="E5968" s="3" t="inlineStr">
        <is>
          <t>Staff Loan - Ntuthuka</t>
        </is>
      </c>
      <c r="F5968" s="3" t="n">
        <v>0</v>
      </c>
      <c r="G5968" s="3" t="n">
        <v>-3510.34</v>
      </c>
    </row>
    <row r="5969">
      <c r="A5969" s="3" t="inlineStr">
        <is>
          <t>Cape Projects Construction (Pty) Ltd</t>
        </is>
      </c>
      <c r="B5969" s="4" t="n">
        <v>45351</v>
      </c>
      <c r="C5969" s="3" t="inlineStr">
        <is>
          <t>Assets</t>
        </is>
      </c>
      <c r="D5969" s="3" t="inlineStr">
        <is>
          <t>8300/000</t>
        </is>
      </c>
      <c r="E5969" s="3" t="inlineStr">
        <is>
          <t>FNB Credit Card 8812 7100 446 6006</t>
        </is>
      </c>
      <c r="F5969" s="3" t="n">
        <v>-173</v>
      </c>
      <c r="G5969" s="3" t="n">
        <v>-1935</v>
      </c>
    </row>
    <row r="5970">
      <c r="A5970" s="3" t="inlineStr">
        <is>
          <t>Heron Fields (Pty) Ltd</t>
        </is>
      </c>
      <c r="B5970" s="4" t="n">
        <v>45351</v>
      </c>
      <c r="C5970" s="3" t="inlineStr">
        <is>
          <t>Assets</t>
        </is>
      </c>
      <c r="D5970" s="3" t="inlineStr">
        <is>
          <t>8400/000</t>
        </is>
      </c>
      <c r="E5970" s="3" t="inlineStr">
        <is>
          <t>RMB - 62882379087</t>
        </is>
      </c>
      <c r="F5970" s="3" t="n">
        <v>-3050995.26</v>
      </c>
      <c r="G5970" s="3" t="n">
        <v>142073.73</v>
      </c>
    </row>
    <row r="5971">
      <c r="A5971" s="3" t="inlineStr">
        <is>
          <t>Cape Projects Construction (Pty) Ltd</t>
        </is>
      </c>
      <c r="B5971" s="4" t="n">
        <v>45351</v>
      </c>
      <c r="C5971" s="3" t="inlineStr">
        <is>
          <t>Assets</t>
        </is>
      </c>
      <c r="D5971" s="3" t="inlineStr">
        <is>
          <t>8400/000</t>
        </is>
      </c>
      <c r="E5971" s="3" t="inlineStr">
        <is>
          <t>RMB 62275138470</t>
        </is>
      </c>
      <c r="F5971" s="3" t="n">
        <v>-77195.53999999999</v>
      </c>
      <c r="G5971" s="3" t="n">
        <v>291690.83</v>
      </c>
    </row>
    <row r="5972">
      <c r="A5972" s="3" t="inlineStr">
        <is>
          <t>Cape Projects Construction (Pty) Ltd</t>
        </is>
      </c>
      <c r="B5972" s="4" t="n">
        <v>45351</v>
      </c>
      <c r="C5972" s="3" t="inlineStr">
        <is>
          <t>Assets</t>
        </is>
      </c>
      <c r="D5972" s="3" t="inlineStr">
        <is>
          <t>8410/000</t>
        </is>
      </c>
      <c r="E5972" s="3" t="inlineStr">
        <is>
          <t>Petty Cash</t>
        </is>
      </c>
      <c r="F5972" s="3" t="n">
        <v>0</v>
      </c>
      <c r="G5972" s="3" t="n">
        <v>-1188</v>
      </c>
    </row>
    <row r="5973">
      <c r="A5973" s="3" t="inlineStr">
        <is>
          <t>Cape Projects Construction (Pty) Ltd</t>
        </is>
      </c>
      <c r="B5973" s="4" t="n">
        <v>45351</v>
      </c>
      <c r="C5973" s="3" t="inlineStr">
        <is>
          <t>Assets</t>
        </is>
      </c>
      <c r="D5973" s="3" t="inlineStr">
        <is>
          <t>8420/000</t>
        </is>
      </c>
      <c r="E5973" s="3" t="inlineStr">
        <is>
          <t>Momentum Priv Acc RU502230981</t>
        </is>
      </c>
      <c r="F5973" s="3" t="n">
        <v>0</v>
      </c>
      <c r="G5973" s="3" t="n">
        <v>571.55</v>
      </c>
    </row>
    <row r="5974">
      <c r="A5974" s="3" t="inlineStr">
        <is>
          <t>Heron Fields (Pty) Ltd</t>
        </is>
      </c>
      <c r="B5974" s="4" t="n">
        <v>45351</v>
      </c>
      <c r="C5974" s="3" t="inlineStr">
        <is>
          <t>Assets</t>
        </is>
      </c>
      <c r="D5974" s="3" t="inlineStr">
        <is>
          <t>8420/000</t>
        </is>
      </c>
      <c r="E5974" s="3" t="inlineStr">
        <is>
          <t>Petty Cash</t>
        </is>
      </c>
      <c r="F5974" s="3" t="n">
        <v>0</v>
      </c>
      <c r="G5974" s="3" t="n">
        <v>8620</v>
      </c>
    </row>
    <row r="5975">
      <c r="A5975" s="3" t="inlineStr">
        <is>
          <t>Heron Fields (Pty) Ltd</t>
        </is>
      </c>
      <c r="B5975" s="4" t="n">
        <v>45351</v>
      </c>
      <c r="C5975" s="3" t="inlineStr">
        <is>
          <t>Assets</t>
        </is>
      </c>
      <c r="D5975" s="3" t="inlineStr">
        <is>
          <t>8430/000</t>
        </is>
      </c>
      <c r="E5975" s="3" t="inlineStr">
        <is>
          <t>Momentum Private Account RU502230151</t>
        </is>
      </c>
      <c r="F5975" s="3" t="n">
        <v>17.22</v>
      </c>
      <c r="G5975" s="3" t="n">
        <v>889.13</v>
      </c>
    </row>
    <row r="5976">
      <c r="A5976" s="3" t="inlineStr">
        <is>
          <t>Heron Fields (Pty) Ltd</t>
        </is>
      </c>
      <c r="B5976" s="4" t="n">
        <v>45351</v>
      </c>
      <c r="C5976" s="3" t="inlineStr">
        <is>
          <t>Assets</t>
        </is>
      </c>
      <c r="D5976" s="3" t="inlineStr">
        <is>
          <t>8440/000</t>
        </is>
      </c>
      <c r="E5976" s="3" t="inlineStr">
        <is>
          <t>Momentum Investors Account RU502229930</t>
        </is>
      </c>
      <c r="F5976" s="3" t="n">
        <v>324114.3</v>
      </c>
      <c r="G5976" s="3" t="n">
        <v>12938990.67</v>
      </c>
    </row>
    <row r="5977">
      <c r="A5977" s="3" t="inlineStr">
        <is>
          <t>Heron Fields (Pty) Ltd</t>
        </is>
      </c>
      <c r="B5977" s="4" t="n">
        <v>45351</v>
      </c>
      <c r="C5977" s="3" t="inlineStr">
        <is>
          <t>Assets</t>
        </is>
      </c>
      <c r="D5977" s="3" t="inlineStr">
        <is>
          <t>8450/000</t>
        </is>
      </c>
      <c r="E5977" s="3" t="inlineStr">
        <is>
          <t>ABSA Current Acc : 4109071013</t>
        </is>
      </c>
      <c r="F5977" s="3" t="n">
        <v>0</v>
      </c>
      <c r="G5977" s="3" t="n">
        <v>150500</v>
      </c>
    </row>
    <row r="5978">
      <c r="A5978" s="3" t="inlineStr">
        <is>
          <t>Cape Projects Construction (Pty) Ltd</t>
        </is>
      </c>
      <c r="B5978" s="4" t="n">
        <v>45351</v>
      </c>
      <c r="C5978" s="3" t="inlineStr">
        <is>
          <t>Liabilities</t>
        </is>
      </c>
      <c r="D5978" s="3" t="inlineStr">
        <is>
          <t>860</t>
        </is>
      </c>
      <c r="E5978" s="3" t="inlineStr">
        <is>
          <t>Rounding</t>
        </is>
      </c>
      <c r="F5978" s="3" t="n">
        <v>-12.49</v>
      </c>
      <c r="G5978" s="3" t="n">
        <v>-13.04</v>
      </c>
    </row>
    <row r="5979">
      <c r="A5979" s="3" t="inlineStr">
        <is>
          <t>Heron Fields (Pty) Ltd</t>
        </is>
      </c>
      <c r="B5979" s="4" t="n">
        <v>45351</v>
      </c>
      <c r="C5979" s="3" t="inlineStr">
        <is>
          <t>Liabilities</t>
        </is>
      </c>
      <c r="D5979" s="3" t="inlineStr">
        <is>
          <t>860</t>
        </is>
      </c>
      <c r="E5979" s="3" t="inlineStr">
        <is>
          <t>Rounding</t>
        </is>
      </c>
      <c r="F5979" s="3" t="n">
        <v>0</v>
      </c>
      <c r="G5979" s="3" t="n">
        <v>0.04</v>
      </c>
    </row>
    <row r="5980">
      <c r="A5980" s="3" t="inlineStr">
        <is>
          <t>Heron View (Pty) Ltd</t>
        </is>
      </c>
      <c r="B5980" s="4" t="n">
        <v>45351</v>
      </c>
      <c r="C5980" s="3" t="inlineStr">
        <is>
          <t>Liabilities</t>
        </is>
      </c>
      <c r="D5980" s="3" t="inlineStr">
        <is>
          <t>860</t>
        </is>
      </c>
      <c r="E5980" s="3" t="inlineStr">
        <is>
          <t>Rounding</t>
        </is>
      </c>
      <c r="F5980" s="3" t="n">
        <v>0</v>
      </c>
      <c r="G5980" s="3" t="n">
        <v>-0.03</v>
      </c>
    </row>
    <row r="5981">
      <c r="A5981" s="3" t="inlineStr">
        <is>
          <t>Cape Projects Construction (Pty) Ltd</t>
        </is>
      </c>
      <c r="B5981" s="4" t="n">
        <v>45351</v>
      </c>
      <c r="C5981" s="3" t="inlineStr">
        <is>
          <t>Liabilities</t>
        </is>
      </c>
      <c r="D5981" s="3" t="inlineStr">
        <is>
          <t>9000/000</t>
        </is>
      </c>
      <c r="E5981" s="3" t="inlineStr">
        <is>
          <t>Supplier Control Account</t>
        </is>
      </c>
      <c r="F5981" s="3" t="n">
        <v>-984574.13</v>
      </c>
      <c r="G5981" s="3" t="n">
        <v>-1995166.07</v>
      </c>
    </row>
    <row r="5982">
      <c r="A5982" s="3" t="inlineStr">
        <is>
          <t>Heron Fields (Pty) Ltd</t>
        </is>
      </c>
      <c r="B5982" s="4" t="n">
        <v>45351</v>
      </c>
      <c r="C5982" s="3" t="inlineStr">
        <is>
          <t>Liabilities</t>
        </is>
      </c>
      <c r="D5982" s="3" t="inlineStr">
        <is>
          <t>9000/000</t>
        </is>
      </c>
      <c r="E5982" s="3" t="inlineStr">
        <is>
          <t>Supplier Control Account</t>
        </is>
      </c>
      <c r="F5982" s="3" t="n">
        <v>6703120.47</v>
      </c>
      <c r="G5982" s="3" t="n">
        <v>-161666823.52</v>
      </c>
    </row>
    <row r="5983">
      <c r="A5983" s="3" t="inlineStr">
        <is>
          <t>Heron View (Pty) Ltd</t>
        </is>
      </c>
      <c r="B5983" s="4" t="n">
        <v>45351</v>
      </c>
      <c r="C5983" s="3" t="inlineStr">
        <is>
          <t>Liabilities</t>
        </is>
      </c>
      <c r="D5983" s="3" t="inlineStr">
        <is>
          <t>9000/000</t>
        </is>
      </c>
      <c r="E5983" s="3" t="inlineStr">
        <is>
          <t>Supplier Control Account</t>
        </is>
      </c>
      <c r="F5983" s="3" t="n">
        <v>-3776617.38</v>
      </c>
      <c r="G5983" s="3" t="n">
        <v>-5524201.53</v>
      </c>
    </row>
    <row r="5984">
      <c r="A5984" s="3" t="inlineStr">
        <is>
          <t>Cape Projects Construction (Pty) Ltd</t>
        </is>
      </c>
      <c r="B5984" s="4" t="n">
        <v>45351</v>
      </c>
      <c r="C5984" s="3" t="inlineStr">
        <is>
          <t>Liabilities</t>
        </is>
      </c>
      <c r="D5984" s="3" t="inlineStr">
        <is>
          <t>9200/000</t>
        </is>
      </c>
      <c r="E5984" s="3" t="inlineStr">
        <is>
          <t>Sundry Suppliers</t>
        </is>
      </c>
      <c r="F5984" s="3" t="n">
        <v>0</v>
      </c>
      <c r="G5984" s="3" t="n">
        <v>1309</v>
      </c>
    </row>
    <row r="5985">
      <c r="A5985" s="3" t="inlineStr">
        <is>
          <t>Cape Projects Construction (Pty) Ltd</t>
        </is>
      </c>
      <c r="B5985" s="4" t="n">
        <v>45351</v>
      </c>
      <c r="C5985" s="3" t="inlineStr">
        <is>
          <t>Liabilities</t>
        </is>
      </c>
      <c r="D5985" s="3" t="inlineStr">
        <is>
          <t>9250/020</t>
        </is>
      </c>
      <c r="E5985" s="3" t="inlineStr">
        <is>
          <t>PAYE, UIF AND SDL CONTROL</t>
        </is>
      </c>
      <c r="F5985" s="3" t="n">
        <v>888.38</v>
      </c>
      <c r="G5985" s="3" t="n">
        <v>-106119.66</v>
      </c>
    </row>
    <row r="5986">
      <c r="A5986" s="3" t="inlineStr">
        <is>
          <t>Cape Projects Construction (Pty) Ltd</t>
        </is>
      </c>
      <c r="B5986" s="4" t="n">
        <v>45351</v>
      </c>
      <c r="C5986" s="3" t="inlineStr">
        <is>
          <t>Liabilities</t>
        </is>
      </c>
      <c r="D5986" s="3" t="inlineStr">
        <is>
          <t>9250/030</t>
        </is>
      </c>
      <c r="E5986" s="3" t="inlineStr">
        <is>
          <t>BIBC CONTROL</t>
        </is>
      </c>
      <c r="F5986" s="3" t="n">
        <v>0</v>
      </c>
      <c r="G5986" s="3" t="n">
        <v>-49413.95</v>
      </c>
    </row>
    <row r="5987">
      <c r="A5987" s="3" t="inlineStr">
        <is>
          <t>Cape Projects Construction (Pty) Ltd</t>
        </is>
      </c>
      <c r="B5987" s="4" t="n">
        <v>45351</v>
      </c>
      <c r="C5987" s="3" t="inlineStr">
        <is>
          <t>Liabilities</t>
        </is>
      </c>
      <c r="D5987" s="3" t="inlineStr">
        <is>
          <t>9350/000</t>
        </is>
      </c>
      <c r="E5987" s="3" t="inlineStr">
        <is>
          <t>Dividends Payable</t>
        </is>
      </c>
      <c r="F5987" s="3" t="n">
        <v>0</v>
      </c>
      <c r="G5987" s="3" t="n">
        <v>130000</v>
      </c>
    </row>
    <row r="5988">
      <c r="A5988" s="3" t="inlineStr">
        <is>
          <t>Cape Projects Construction (Pty) Ltd</t>
        </is>
      </c>
      <c r="B5988" s="4" t="n">
        <v>45351</v>
      </c>
      <c r="C5988" s="3" t="inlineStr">
        <is>
          <t>Liabilities</t>
        </is>
      </c>
      <c r="D5988" s="3" t="inlineStr">
        <is>
          <t>9500/000</t>
        </is>
      </c>
      <c r="E5988" s="3" t="inlineStr">
        <is>
          <t>VAT Control Account</t>
        </is>
      </c>
      <c r="F5988" s="3" t="n">
        <v>72211.91</v>
      </c>
      <c r="G5988" s="3" t="n">
        <v>-174681.28</v>
      </c>
    </row>
    <row r="5989">
      <c r="A5989" s="3" t="inlineStr">
        <is>
          <t>Heron Fields (Pty) Ltd</t>
        </is>
      </c>
      <c r="B5989" s="4" t="n">
        <v>45351</v>
      </c>
      <c r="C5989" s="3" t="inlineStr">
        <is>
          <t>Liabilities</t>
        </is>
      </c>
      <c r="D5989" s="3" t="inlineStr">
        <is>
          <t>9500/000</t>
        </is>
      </c>
      <c r="E5989" s="3" t="inlineStr">
        <is>
          <t>Vat / Tax Control Account</t>
        </is>
      </c>
      <c r="F5989" s="3" t="n">
        <v>24662.67</v>
      </c>
      <c r="G5989" s="3" t="n">
        <v>-3346962.45</v>
      </c>
    </row>
    <row r="5990">
      <c r="A5990" s="3" t="inlineStr">
        <is>
          <t>Heron View (Pty) Ltd</t>
        </is>
      </c>
      <c r="B5990" s="4" t="n">
        <v>45351</v>
      </c>
      <c r="C5990" s="3" t="inlineStr">
        <is>
          <t>Liabilities</t>
        </is>
      </c>
      <c r="D5990" s="3" t="inlineStr">
        <is>
          <t>9500/000</t>
        </is>
      </c>
      <c r="E5990" s="3" t="inlineStr">
        <is>
          <t>Vat / Tax Control Account</t>
        </is>
      </c>
      <c r="F5990" s="3" t="n">
        <v>-911585.05</v>
      </c>
      <c r="G5990" s="3" t="n">
        <v>5476714.79</v>
      </c>
    </row>
    <row r="5991">
      <c r="A5991" s="3" t="inlineStr">
        <is>
          <t>Cape Projects Construction (Pty) Ltd</t>
        </is>
      </c>
      <c r="B5991" s="4" t="n">
        <v>45351</v>
      </c>
      <c r="C5991" s="3" t="inlineStr">
        <is>
          <t>Liabilities</t>
        </is>
      </c>
      <c r="D5991" s="3" t="inlineStr">
        <is>
          <t>9510/000</t>
        </is>
      </c>
      <c r="E5991" s="3" t="inlineStr">
        <is>
          <t>Tax Provision Account</t>
        </is>
      </c>
      <c r="F5991" s="3" t="n">
        <v>0</v>
      </c>
      <c r="G5991" s="3" t="n">
        <v>-1869.8</v>
      </c>
    </row>
    <row r="5992">
      <c r="A5992" s="3" t="inlineStr">
        <is>
          <t>Heron Fields (Pty) Ltd</t>
        </is>
      </c>
      <c r="B5992" s="4" t="n">
        <v>45351</v>
      </c>
      <c r="C5992" s="3" t="inlineStr">
        <is>
          <t>Liabilities</t>
        </is>
      </c>
      <c r="D5992" s="3" t="inlineStr">
        <is>
          <t>9520/000</t>
        </is>
      </c>
      <c r="E5992" s="3" t="inlineStr">
        <is>
          <t>Income Tax Payable</t>
        </is>
      </c>
      <c r="F5992" s="3" t="n">
        <v>0</v>
      </c>
      <c r="G5992" s="3" t="n">
        <v>59039.93</v>
      </c>
    </row>
    <row r="5993">
      <c r="A5993" s="3" t="inlineStr">
        <is>
          <t>Heron View (Pty) Ltd</t>
        </is>
      </c>
      <c r="B5993" s="4" t="n">
        <v>45351</v>
      </c>
      <c r="C5993" s="3" t="inlineStr">
        <is>
          <t>Liabilities</t>
        </is>
      </c>
      <c r="D5993" s="3" t="inlineStr">
        <is>
          <t>9899/C102</t>
        </is>
      </c>
      <c r="E5993" s="3" t="inlineStr">
        <is>
          <t>Sales - Unit Reg Control C102</t>
        </is>
      </c>
      <c r="F5993" s="3" t="n">
        <v>0</v>
      </c>
      <c r="G5993" s="3" t="n">
        <v>-0.4</v>
      </c>
    </row>
    <row r="5994">
      <c r="A5994" s="3" t="inlineStr">
        <is>
          <t>Cape Projects Construction (Pty) Ltd</t>
        </is>
      </c>
      <c r="B5994" s="4" t="n">
        <v>45351</v>
      </c>
      <c r="C5994" s="3" t="inlineStr">
        <is>
          <t>Liabilities</t>
        </is>
      </c>
      <c r="D5994" s="3" t="inlineStr">
        <is>
          <t>B/S</t>
        </is>
      </c>
      <c r="E5994" s="3" t="inlineStr">
        <is>
          <t>Taxation Payable</t>
        </is>
      </c>
      <c r="F5994" s="3" t="n">
        <v>391929.81</v>
      </c>
      <c r="G5994" s="3" t="n">
        <v>393799.61</v>
      </c>
    </row>
    <row r="5995">
      <c r="A5995" s="3" t="inlineStr">
        <is>
          <t>Cape Projects Construction (Pty) Ltd</t>
        </is>
      </c>
      <c r="B5995" s="4" t="n">
        <v>45351</v>
      </c>
      <c r="C5995" s="3" t="inlineStr">
        <is>
          <t>Assets</t>
        </is>
      </c>
      <c r="D5995" s="3" t="inlineStr">
        <is>
          <t>Blessing</t>
        </is>
      </c>
      <c r="E5995" s="3" t="inlineStr">
        <is>
          <t>Staff Loan - Ntuthuka</t>
        </is>
      </c>
      <c r="F5995" s="3" t="n">
        <v>3510.34</v>
      </c>
      <c r="G5995" s="3" t="n">
        <v>0</v>
      </c>
    </row>
    <row r="5996">
      <c r="A5996" s="3" t="inlineStr">
        <is>
          <t>Cape Projects Construction (Pty) Ltd</t>
        </is>
      </c>
      <c r="B5996" s="4" t="n">
        <v>45351</v>
      </c>
      <c r="C5996" s="3" t="inlineStr">
        <is>
          <t>Liabilities</t>
        </is>
      </c>
      <c r="D5996" s="3" t="inlineStr">
        <is>
          <t>TEMP/ACC</t>
        </is>
      </c>
      <c r="E5996" s="3" t="inlineStr">
        <is>
          <t>Conversion Account</t>
        </is>
      </c>
      <c r="F5996" s="3" t="n">
        <v>0</v>
      </c>
      <c r="G5996" s="3" t="n">
        <v>-254.99</v>
      </c>
    </row>
    <row r="5997">
      <c r="A5997" s="3" t="inlineStr">
        <is>
          <t>Cape Projects Construction (Pty) Ltd</t>
        </is>
      </c>
      <c r="B5997" s="4" t="n">
        <v>45382</v>
      </c>
      <c r="C5997" s="3" t="inlineStr">
        <is>
          <t>Revenue</t>
        </is>
      </c>
      <c r="D5997" s="3" t="inlineStr">
        <is>
          <t>1040/100</t>
        </is>
      </c>
      <c r="E5997" s="3" t="inlineStr">
        <is>
          <t>Fees - Construction - Heron</t>
        </is>
      </c>
      <c r="F5997" s="3" t="n">
        <v>-7021091.6</v>
      </c>
      <c r="G5997" s="3" t="n">
        <v>-7021091.6</v>
      </c>
    </row>
    <row r="5998">
      <c r="A5998" s="3" t="inlineStr">
        <is>
          <t>Heron Fields (Pty) Ltd</t>
        </is>
      </c>
      <c r="B5998" s="4" t="n">
        <v>45382</v>
      </c>
      <c r="C5998" s="3" t="inlineStr">
        <is>
          <t>Revenue</t>
        </is>
      </c>
      <c r="D5998" s="3" t="inlineStr">
        <is>
          <t>1500/002</t>
        </is>
      </c>
      <c r="E5998" s="3" t="inlineStr">
        <is>
          <t>Rental Income</t>
        </is>
      </c>
      <c r="F5998" s="3" t="n">
        <v>-49758.3</v>
      </c>
      <c r="G5998" s="3" t="n">
        <v>-49758.3</v>
      </c>
    </row>
    <row r="5999">
      <c r="A5999" s="3" t="inlineStr">
        <is>
          <t>Heron View (Pty) Ltd</t>
        </is>
      </c>
      <c r="B5999" s="4" t="n">
        <v>45382</v>
      </c>
      <c r="C5999" s="3" t="inlineStr">
        <is>
          <t>Expenses</t>
        </is>
      </c>
      <c r="D5999" s="3" t="inlineStr">
        <is>
          <t>2000/030</t>
        </is>
      </c>
      <c r="E5999" s="3" t="inlineStr">
        <is>
          <t>COS - HV COCT Rates clearance</t>
        </is>
      </c>
      <c r="F5999" s="3" t="n">
        <v>5141.17</v>
      </c>
      <c r="G5999" s="3" t="n">
        <v>5141.17</v>
      </c>
    </row>
    <row r="6000">
      <c r="A6000" s="3" t="inlineStr">
        <is>
          <t>Heron Fields (Pty) Ltd</t>
        </is>
      </c>
      <c r="B6000" s="4" t="n">
        <v>45382</v>
      </c>
      <c r="C6000" s="3" t="inlineStr">
        <is>
          <t>Expenses</t>
        </is>
      </c>
      <c r="D6000" s="3" t="inlineStr">
        <is>
          <t>2000/050</t>
        </is>
      </c>
      <c r="E6000" s="3" t="inlineStr">
        <is>
          <t>COS - Rates clearance</t>
        </is>
      </c>
      <c r="F6000" s="3" t="n">
        <v>8386.200000000001</v>
      </c>
      <c r="G6000" s="3" t="n">
        <v>8386.200000000001</v>
      </c>
    </row>
    <row r="6001">
      <c r="A6001" s="3" t="inlineStr">
        <is>
          <t>Cape Projects Construction (Pty) Ltd</t>
        </is>
      </c>
      <c r="B6001" s="4" t="n">
        <v>45382</v>
      </c>
      <c r="C6001" s="3" t="inlineStr">
        <is>
          <t>Expenses</t>
        </is>
      </c>
      <c r="D6001" s="3" t="inlineStr">
        <is>
          <t>2006/000</t>
        </is>
      </c>
      <c r="E6001" s="3" t="inlineStr">
        <is>
          <t>COS - Endulini Construction</t>
        </is>
      </c>
      <c r="F6001" s="3" t="n">
        <v>3000</v>
      </c>
      <c r="G6001" s="3" t="n">
        <v>3000</v>
      </c>
    </row>
    <row r="6002">
      <c r="A6002" s="3" t="inlineStr">
        <is>
          <t>Cape Projects Construction (Pty) Ltd</t>
        </is>
      </c>
      <c r="B6002" s="4" t="n">
        <v>45382</v>
      </c>
      <c r="C6002" s="3" t="inlineStr">
        <is>
          <t>Expenses</t>
        </is>
      </c>
      <c r="D6002" s="3" t="inlineStr">
        <is>
          <t>2007/000</t>
        </is>
      </c>
      <c r="E6002" s="3" t="inlineStr">
        <is>
          <t>COS - Repairs &amp; Maintenance - SW Southwark</t>
        </is>
      </c>
      <c r="F6002" s="3" t="n">
        <v>8355.959999999999</v>
      </c>
      <c r="G6002" s="3" t="n">
        <v>8355.959999999999</v>
      </c>
    </row>
    <row r="6003">
      <c r="A6003" s="3" t="inlineStr">
        <is>
          <t>Cape Projects Construction (Pty) Ltd</t>
        </is>
      </c>
      <c r="B6003" s="4" t="n">
        <v>45382</v>
      </c>
      <c r="C6003" s="3" t="inlineStr">
        <is>
          <t>Expenses</t>
        </is>
      </c>
      <c r="D6003" s="3" t="inlineStr">
        <is>
          <t>2011/500</t>
        </is>
      </c>
      <c r="E6003" s="3" t="inlineStr">
        <is>
          <t>COS - Heron Fields - Construction</t>
        </is>
      </c>
      <c r="F6003" s="3" t="n">
        <v>10959.05</v>
      </c>
      <c r="G6003" s="3" t="n">
        <v>10959.05</v>
      </c>
    </row>
    <row r="6004">
      <c r="A6004" s="3" t="inlineStr">
        <is>
          <t>Cape Projects Construction (Pty) Ltd</t>
        </is>
      </c>
      <c r="B6004" s="4" t="n">
        <v>45382</v>
      </c>
      <c r="C6004" s="3" t="inlineStr">
        <is>
          <t>Expenses</t>
        </is>
      </c>
      <c r="D6004" s="3" t="inlineStr">
        <is>
          <t>2011/600</t>
        </is>
      </c>
      <c r="E6004" s="3" t="inlineStr">
        <is>
          <t>COS - Heron Fields - P &amp; G</t>
        </is>
      </c>
      <c r="F6004" s="3" t="n">
        <v>380.43</v>
      </c>
      <c r="G6004" s="3" t="n">
        <v>380.43</v>
      </c>
    </row>
    <row r="6005">
      <c r="A6005" s="3" t="inlineStr">
        <is>
          <t>Cape Projects Construction (Pty) Ltd</t>
        </is>
      </c>
      <c r="B6005" s="4" t="n">
        <v>45382</v>
      </c>
      <c r="C6005" s="3" t="inlineStr">
        <is>
          <t>Expenses</t>
        </is>
      </c>
      <c r="D6005" s="3" t="inlineStr">
        <is>
          <t>2011/900</t>
        </is>
      </c>
      <c r="E6005" s="3" t="inlineStr">
        <is>
          <t>COS - Heron - Internet</t>
        </is>
      </c>
      <c r="F6005" s="3" t="n">
        <v>1849.57</v>
      </c>
      <c r="G6005" s="3" t="n">
        <v>1849.57</v>
      </c>
    </row>
    <row r="6006">
      <c r="A6006" s="3" t="inlineStr">
        <is>
          <t>Cape Projects Construction (Pty) Ltd</t>
        </is>
      </c>
      <c r="B6006" s="4" t="n">
        <v>45382</v>
      </c>
      <c r="C6006" s="3" t="inlineStr">
        <is>
          <t>Expenses</t>
        </is>
      </c>
      <c r="D6006" s="3" t="inlineStr">
        <is>
          <t>2012/002</t>
        </is>
      </c>
      <c r="E6006" s="3" t="inlineStr">
        <is>
          <t>COS - Heron View - Construction</t>
        </is>
      </c>
      <c r="F6006" s="3" t="n">
        <v>4448935.07</v>
      </c>
      <c r="G6006" s="3" t="n">
        <v>4448935.07</v>
      </c>
    </row>
    <row r="6007">
      <c r="A6007" s="3" t="inlineStr">
        <is>
          <t>Cape Projects Construction (Pty) Ltd</t>
        </is>
      </c>
      <c r="B6007" s="4" t="n">
        <v>45382</v>
      </c>
      <c r="C6007" s="3" t="inlineStr">
        <is>
          <t>Expenses</t>
        </is>
      </c>
      <c r="D6007" s="3" t="inlineStr">
        <is>
          <t>2012/003</t>
        </is>
      </c>
      <c r="E6007" s="3" t="inlineStr">
        <is>
          <t>COS - Heron View - P&amp;G</t>
        </is>
      </c>
      <c r="F6007" s="3" t="n">
        <v>10800</v>
      </c>
      <c r="G6007" s="3" t="n">
        <v>10800</v>
      </c>
    </row>
    <row r="6008">
      <c r="A6008" s="3" t="inlineStr">
        <is>
          <t>Cape Projects Construction (Pty) Ltd</t>
        </is>
      </c>
      <c r="B6008" s="4" t="n">
        <v>45382</v>
      </c>
      <c r="C6008" s="3" t="inlineStr">
        <is>
          <t>Revenue</t>
        </is>
      </c>
      <c r="D6008" s="3" t="inlineStr">
        <is>
          <t>2750/000</t>
        </is>
      </c>
      <c r="E6008" s="3" t="inlineStr">
        <is>
          <t>Interest Received - FNB</t>
        </is>
      </c>
      <c r="F6008" s="3" t="n">
        <v>-66.06</v>
      </c>
      <c r="G6008" s="3" t="n">
        <v>-66.06</v>
      </c>
    </row>
    <row r="6009">
      <c r="A6009" s="3" t="inlineStr">
        <is>
          <t>Heron Fields (Pty) Ltd</t>
        </is>
      </c>
      <c r="B6009" s="4" t="n">
        <v>45382</v>
      </c>
      <c r="C6009" s="3" t="inlineStr">
        <is>
          <t>Expenses</t>
        </is>
      </c>
      <c r="D6009" s="3" t="inlineStr">
        <is>
          <t>3050/000</t>
        </is>
      </c>
      <c r="E6009" s="3" t="inlineStr">
        <is>
          <t>Advertising _AND_ Promotions</t>
        </is>
      </c>
      <c r="F6009" s="3" t="n">
        <v>1513.96</v>
      </c>
      <c r="G6009" s="3" t="n">
        <v>1513.96</v>
      </c>
    </row>
    <row r="6010">
      <c r="A6010" s="3" t="inlineStr">
        <is>
          <t>Heron View (Pty) Ltd</t>
        </is>
      </c>
      <c r="B6010" s="4" t="n">
        <v>45382</v>
      </c>
      <c r="C6010" s="3" t="inlineStr">
        <is>
          <t>Expenses</t>
        </is>
      </c>
      <c r="D6010" s="3" t="inlineStr">
        <is>
          <t>3050/000</t>
        </is>
      </c>
      <c r="E6010" s="3" t="inlineStr">
        <is>
          <t>Advertising _AND_ Promotions</t>
        </is>
      </c>
      <c r="F6010" s="3" t="n">
        <v>2300</v>
      </c>
      <c r="G6010" s="3" t="n">
        <v>2300</v>
      </c>
    </row>
    <row r="6011">
      <c r="A6011" s="3" t="inlineStr">
        <is>
          <t>Cape Projects Construction (Pty) Ltd</t>
        </is>
      </c>
      <c r="B6011" s="4" t="n">
        <v>45382</v>
      </c>
      <c r="C6011" s="3" t="inlineStr">
        <is>
          <t>Expenses</t>
        </is>
      </c>
      <c r="D6011" s="3" t="inlineStr">
        <is>
          <t>3050/450</t>
        </is>
      </c>
      <c r="E6011" s="3" t="inlineStr">
        <is>
          <t>Advertising - Other</t>
        </is>
      </c>
      <c r="F6011" s="3" t="n">
        <v>150</v>
      </c>
      <c r="G6011" s="3" t="n">
        <v>150</v>
      </c>
    </row>
    <row r="6012">
      <c r="A6012" s="3" t="inlineStr">
        <is>
          <t>Cape Projects Construction (Pty) Ltd</t>
        </is>
      </c>
      <c r="B6012" s="4" t="n">
        <v>45382</v>
      </c>
      <c r="C6012" s="3" t="inlineStr">
        <is>
          <t>Expenses</t>
        </is>
      </c>
      <c r="D6012" s="3" t="inlineStr">
        <is>
          <t>3200/000</t>
        </is>
      </c>
      <c r="E6012" s="3" t="inlineStr">
        <is>
          <t>Bank Charges</t>
        </is>
      </c>
      <c r="F6012" s="3" t="n">
        <v>1923.15</v>
      </c>
      <c r="G6012" s="3" t="n">
        <v>1923.15</v>
      </c>
    </row>
    <row r="6013">
      <c r="A6013" s="3" t="inlineStr">
        <is>
          <t>Heron Fields (Pty) Ltd</t>
        </is>
      </c>
      <c r="B6013" s="4" t="n">
        <v>45382</v>
      </c>
      <c r="C6013" s="3" t="inlineStr">
        <is>
          <t>Expenses</t>
        </is>
      </c>
      <c r="D6013" s="3" t="inlineStr">
        <is>
          <t>3200/000</t>
        </is>
      </c>
      <c r="E6013" s="3" t="inlineStr">
        <is>
          <t>Bank Charges</t>
        </is>
      </c>
      <c r="F6013" s="3" t="n">
        <v>399.8</v>
      </c>
      <c r="G6013" s="3" t="n">
        <v>399.8</v>
      </c>
    </row>
    <row r="6014">
      <c r="A6014" s="3" t="inlineStr">
        <is>
          <t>Cape Projects Construction (Pty) Ltd</t>
        </is>
      </c>
      <c r="B6014" s="4" t="n">
        <v>45382</v>
      </c>
      <c r="C6014" s="3" t="inlineStr">
        <is>
          <t>Expenses</t>
        </is>
      </c>
      <c r="D6014" s="3" t="inlineStr">
        <is>
          <t>3300/100</t>
        </is>
      </c>
      <c r="E6014" s="3" t="inlineStr">
        <is>
          <t>Computer Exp - IT, Internet/Hosting Fee</t>
        </is>
      </c>
      <c r="F6014" s="3" t="n">
        <v>3725</v>
      </c>
      <c r="G6014" s="3" t="n">
        <v>3725</v>
      </c>
    </row>
    <row r="6015">
      <c r="A6015" s="3" t="inlineStr">
        <is>
          <t>Heron Fields (Pty) Ltd</t>
        </is>
      </c>
      <c r="B6015" s="4" t="n">
        <v>45382</v>
      </c>
      <c r="C6015" s="3" t="inlineStr">
        <is>
          <t>Expenses</t>
        </is>
      </c>
      <c r="D6015" s="3" t="inlineStr">
        <is>
          <t>3351/000</t>
        </is>
      </c>
      <c r="E6015" s="3" t="inlineStr">
        <is>
          <t>Consulting fees - Trustee</t>
        </is>
      </c>
      <c r="F6015" s="3" t="n">
        <v>4200</v>
      </c>
      <c r="G6015" s="3" t="n">
        <v>4200</v>
      </c>
    </row>
    <row r="6016">
      <c r="A6016" s="3" t="inlineStr">
        <is>
          <t>Heron View (Pty) Ltd</t>
        </is>
      </c>
      <c r="B6016" s="4" t="n">
        <v>45382</v>
      </c>
      <c r="C6016" s="3" t="inlineStr">
        <is>
          <t>Expenses</t>
        </is>
      </c>
      <c r="D6016" s="3" t="inlineStr">
        <is>
          <t>3351/000</t>
        </is>
      </c>
      <c r="E6016" s="3" t="inlineStr">
        <is>
          <t>Consulting fees - Trustee</t>
        </is>
      </c>
      <c r="F6016" s="3" t="n">
        <v>12750</v>
      </c>
      <c r="G6016" s="3" t="n">
        <v>12750</v>
      </c>
    </row>
    <row r="6017">
      <c r="A6017" s="3" t="inlineStr">
        <is>
          <t>Heron Fields (Pty) Ltd</t>
        </is>
      </c>
      <c r="B6017" s="4" t="n">
        <v>45382</v>
      </c>
      <c r="C6017" s="3" t="inlineStr">
        <is>
          <t>Expenses</t>
        </is>
      </c>
      <c r="D6017" s="3" t="inlineStr">
        <is>
          <t>3640/000</t>
        </is>
      </c>
      <c r="E6017" s="3" t="inlineStr">
        <is>
          <t>COCT: Developers Rates &amp; Refuse Acc: 236356811</t>
        </is>
      </c>
      <c r="F6017" s="3" t="n">
        <v>124268.36</v>
      </c>
      <c r="G6017" s="3" t="n">
        <v>124268.36</v>
      </c>
    </row>
    <row r="6018">
      <c r="A6018" s="3" t="inlineStr">
        <is>
          <t>Heron Fields (Pty) Ltd</t>
        </is>
      </c>
      <c r="B6018" s="4" t="n">
        <v>45382</v>
      </c>
      <c r="C6018" s="3" t="inlineStr">
        <is>
          <t>Expenses</t>
        </is>
      </c>
      <c r="D6018" s="3" t="inlineStr">
        <is>
          <t>3650/000</t>
        </is>
      </c>
      <c r="E6018" s="3" t="inlineStr">
        <is>
          <t>CoCT - Electricity</t>
        </is>
      </c>
      <c r="F6018" s="3" t="n">
        <v>-3484.49</v>
      </c>
      <c r="G6018" s="3" t="n">
        <v>-3484.49</v>
      </c>
    </row>
    <row r="6019">
      <c r="A6019" s="3" t="inlineStr">
        <is>
          <t>Heron Fields (Pty) Ltd</t>
        </is>
      </c>
      <c r="B6019" s="4" t="n">
        <v>45382</v>
      </c>
      <c r="C6019" s="3" t="inlineStr">
        <is>
          <t>Expenses</t>
        </is>
      </c>
      <c r="D6019" s="3" t="inlineStr">
        <is>
          <t>3660/000</t>
        </is>
      </c>
      <c r="E6019" s="3" t="inlineStr">
        <is>
          <t>CoCT - Water</t>
        </is>
      </c>
      <c r="F6019" s="3" t="n">
        <v>3484.49</v>
      </c>
      <c r="G6019" s="3" t="n">
        <v>3484.49</v>
      </c>
    </row>
    <row r="6020">
      <c r="A6020" s="3" t="inlineStr">
        <is>
          <t>Heron View (Pty) Ltd</t>
        </is>
      </c>
      <c r="B6020" s="4" t="n">
        <v>45382</v>
      </c>
      <c r="C6020" s="3" t="inlineStr">
        <is>
          <t>Expenses</t>
        </is>
      </c>
      <c r="D6020" s="3" t="inlineStr">
        <is>
          <t>3660/000</t>
        </is>
      </c>
      <c r="E6020" s="3" t="inlineStr">
        <is>
          <t>Water</t>
        </is>
      </c>
      <c r="F6020" s="3" t="n">
        <v>75.7</v>
      </c>
      <c r="G6020" s="3" t="n">
        <v>75.7</v>
      </c>
    </row>
    <row r="6021">
      <c r="A6021" s="3" t="inlineStr">
        <is>
          <t>Cape Projects Construction (Pty) Ltd</t>
        </is>
      </c>
      <c r="B6021" s="4" t="n">
        <v>45382</v>
      </c>
      <c r="C6021" s="3" t="inlineStr">
        <is>
          <t>Expenses</t>
        </is>
      </c>
      <c r="D6021" s="3" t="inlineStr">
        <is>
          <t>3850/001</t>
        </is>
      </c>
      <c r="E6021" s="3" t="inlineStr">
        <is>
          <t>Insurance - Santam</t>
        </is>
      </c>
      <c r="F6021" s="3" t="n">
        <v>13056.36</v>
      </c>
      <c r="G6021" s="3" t="n">
        <v>13056.36</v>
      </c>
    </row>
    <row r="6022">
      <c r="A6022" s="3" t="inlineStr">
        <is>
          <t>Heron Fields (Pty) Ltd</t>
        </is>
      </c>
      <c r="B6022" s="4" t="n">
        <v>45382</v>
      </c>
      <c r="C6022" s="3" t="inlineStr">
        <is>
          <t>Expenses</t>
        </is>
      </c>
      <c r="D6022" s="3" t="inlineStr">
        <is>
          <t>3900/000</t>
        </is>
      </c>
      <c r="E6022" s="3" t="inlineStr">
        <is>
          <t>Interest Paid</t>
        </is>
      </c>
      <c r="F6022" s="3" t="n">
        <v>5281.4</v>
      </c>
      <c r="G6022" s="3" t="n">
        <v>5281.4</v>
      </c>
    </row>
    <row r="6023">
      <c r="A6023" s="3" t="inlineStr">
        <is>
          <t>Heron View (Pty) Ltd</t>
        </is>
      </c>
      <c r="B6023" s="4" t="n">
        <v>45382</v>
      </c>
      <c r="C6023" s="3" t="inlineStr">
        <is>
          <t>Expenses</t>
        </is>
      </c>
      <c r="D6023" s="3" t="inlineStr">
        <is>
          <t>4050/000</t>
        </is>
      </c>
      <c r="E6023" s="3" t="inlineStr">
        <is>
          <t>Levies</t>
        </is>
      </c>
      <c r="F6023" s="3" t="n">
        <v>6638.93</v>
      </c>
      <c r="G6023" s="3" t="n">
        <v>6638.93</v>
      </c>
    </row>
    <row r="6024">
      <c r="A6024" s="3" t="inlineStr">
        <is>
          <t>Heron Fields (Pty) Ltd</t>
        </is>
      </c>
      <c r="B6024" s="4" t="n">
        <v>45382</v>
      </c>
      <c r="C6024" s="3" t="inlineStr">
        <is>
          <t>Expenses</t>
        </is>
      </c>
      <c r="D6024" s="3" t="inlineStr">
        <is>
          <t>4050/200</t>
        </is>
      </c>
      <c r="E6024" s="3" t="inlineStr">
        <is>
          <t>Levies - Amari</t>
        </is>
      </c>
      <c r="F6024" s="3" t="n">
        <v>15641.09</v>
      </c>
      <c r="G6024" s="3" t="n">
        <v>15641.09</v>
      </c>
    </row>
    <row r="6025">
      <c r="A6025" s="3" t="inlineStr">
        <is>
          <t>Cape Projects Construction (Pty) Ltd</t>
        </is>
      </c>
      <c r="B6025" s="4" t="n">
        <v>45382</v>
      </c>
      <c r="C6025" s="3" t="inlineStr">
        <is>
          <t>Expenses</t>
        </is>
      </c>
      <c r="D6025" s="3" t="inlineStr">
        <is>
          <t>4150/010</t>
        </is>
      </c>
      <c r="E6025" s="3" t="inlineStr">
        <is>
          <t>Motor Vehicle - Petrol _AND_ Oil</t>
        </is>
      </c>
      <c r="F6025" s="3" t="n">
        <v>1570.3</v>
      </c>
      <c r="G6025" s="3" t="n">
        <v>1570.3</v>
      </c>
    </row>
    <row r="6026">
      <c r="A6026" s="3" t="inlineStr">
        <is>
          <t>Cape Projects Construction (Pty) Ltd</t>
        </is>
      </c>
      <c r="B6026" s="4" t="n">
        <v>45382</v>
      </c>
      <c r="C6026" s="3" t="inlineStr">
        <is>
          <t>Expenses</t>
        </is>
      </c>
      <c r="D6026" s="3" t="inlineStr">
        <is>
          <t>4200/000</t>
        </is>
      </c>
      <c r="E6026" s="3" t="inlineStr">
        <is>
          <t>Printing _AND_ Stationery</t>
        </is>
      </c>
      <c r="F6026" s="3" t="n">
        <v>115</v>
      </c>
      <c r="G6026" s="3" t="n">
        <v>115</v>
      </c>
    </row>
    <row r="6027">
      <c r="A6027" s="3" t="inlineStr">
        <is>
          <t>Cape Projects Construction (Pty) Ltd</t>
        </is>
      </c>
      <c r="B6027" s="4" t="n">
        <v>45382</v>
      </c>
      <c r="C6027" s="3" t="inlineStr">
        <is>
          <t>Expenses</t>
        </is>
      </c>
      <c r="D6027" s="3" t="inlineStr">
        <is>
          <t>4201/000</t>
        </is>
      </c>
      <c r="E6027" s="3" t="inlineStr">
        <is>
          <t>Printing - Printer rental</t>
        </is>
      </c>
      <c r="F6027" s="3" t="n">
        <v>1506.47</v>
      </c>
      <c r="G6027" s="3" t="n">
        <v>1506.47</v>
      </c>
    </row>
    <row r="6028">
      <c r="A6028" s="3" t="inlineStr">
        <is>
          <t>Cape Projects Construction (Pty) Ltd</t>
        </is>
      </c>
      <c r="B6028" s="4" t="n">
        <v>45382</v>
      </c>
      <c r="C6028" s="3" t="inlineStr">
        <is>
          <t>Expenses</t>
        </is>
      </c>
      <c r="D6028" s="3" t="inlineStr">
        <is>
          <t>4300/000</t>
        </is>
      </c>
      <c r="E6028" s="3" t="inlineStr">
        <is>
          <t>Rent Paid</t>
        </is>
      </c>
      <c r="F6028" s="3" t="n">
        <v>42181.43</v>
      </c>
      <c r="G6028" s="3" t="n">
        <v>42181.43</v>
      </c>
    </row>
    <row r="6029">
      <c r="A6029" s="3" t="inlineStr">
        <is>
          <t>Cape Projects Construction (Pty) Ltd</t>
        </is>
      </c>
      <c r="B6029" s="4" t="n">
        <v>45382</v>
      </c>
      <c r="C6029" s="3" t="inlineStr">
        <is>
          <t>Expenses</t>
        </is>
      </c>
      <c r="D6029" s="3" t="inlineStr">
        <is>
          <t>4310/000</t>
        </is>
      </c>
      <c r="E6029" s="3" t="inlineStr">
        <is>
          <t>Rates</t>
        </is>
      </c>
      <c r="F6029" s="3" t="n">
        <v>989.75</v>
      </c>
      <c r="G6029" s="3" t="n">
        <v>989.75</v>
      </c>
    </row>
    <row r="6030">
      <c r="A6030" s="3" t="inlineStr">
        <is>
          <t>Cape Projects Construction (Pty) Ltd</t>
        </is>
      </c>
      <c r="B6030" s="4" t="n">
        <v>45382</v>
      </c>
      <c r="C6030" s="3" t="inlineStr">
        <is>
          <t>Expenses</t>
        </is>
      </c>
      <c r="D6030" s="3" t="inlineStr">
        <is>
          <t>4350/000</t>
        </is>
      </c>
      <c r="E6030" s="3" t="inlineStr">
        <is>
          <t>Repairs _AND_ Maintenance</t>
        </is>
      </c>
      <c r="F6030" s="3" t="n">
        <v>95</v>
      </c>
      <c r="G6030" s="3" t="n">
        <v>95</v>
      </c>
    </row>
    <row r="6031">
      <c r="A6031" s="3" t="inlineStr">
        <is>
          <t>Heron Fields (Pty) Ltd</t>
        </is>
      </c>
      <c r="B6031" s="4" t="n">
        <v>45382</v>
      </c>
      <c r="C6031" s="3" t="inlineStr">
        <is>
          <t>Expenses</t>
        </is>
      </c>
      <c r="D6031" s="3" t="inlineStr">
        <is>
          <t>4420/001</t>
        </is>
      </c>
      <c r="E6031" s="3" t="inlineStr">
        <is>
          <t>Security - ADT</t>
        </is>
      </c>
      <c r="F6031" s="3" t="n">
        <v>749.28</v>
      </c>
      <c r="G6031" s="3" t="n">
        <v>749.28</v>
      </c>
    </row>
    <row r="6032">
      <c r="A6032" s="3" t="inlineStr">
        <is>
          <t>Cape Projects Construction (Pty) Ltd</t>
        </is>
      </c>
      <c r="B6032" s="4" t="n">
        <v>45382</v>
      </c>
      <c r="C6032" s="3" t="inlineStr">
        <is>
          <t>Expenses</t>
        </is>
      </c>
      <c r="D6032" s="3" t="inlineStr">
        <is>
          <t>4420/100</t>
        </is>
      </c>
      <c r="E6032" s="3" t="inlineStr">
        <is>
          <t>Small Assets - Show Unit O101</t>
        </is>
      </c>
      <c r="F6032" s="3" t="n">
        <v>4356.7</v>
      </c>
      <c r="G6032" s="3" t="n">
        <v>4356.7</v>
      </c>
    </row>
    <row r="6033">
      <c r="A6033" s="3" t="inlineStr">
        <is>
          <t>Cape Projects Construction (Pty) Ltd</t>
        </is>
      </c>
      <c r="B6033" s="4" t="n">
        <v>45382</v>
      </c>
      <c r="C6033" s="3" t="inlineStr">
        <is>
          <t>Expenses</t>
        </is>
      </c>
      <c r="D6033" s="3" t="inlineStr">
        <is>
          <t>4550/000</t>
        </is>
      </c>
      <c r="E6033" s="3" t="inlineStr">
        <is>
          <t>Subscriptions / Licenses</t>
        </is>
      </c>
      <c r="F6033" s="3" t="n">
        <v>1150</v>
      </c>
      <c r="G6033" s="3" t="n">
        <v>1150</v>
      </c>
    </row>
    <row r="6034">
      <c r="A6034" s="3" t="inlineStr">
        <is>
          <t>Cape Projects Construction (Pty) Ltd</t>
        </is>
      </c>
      <c r="B6034" s="4" t="n">
        <v>45382</v>
      </c>
      <c r="C6034" s="3" t="inlineStr">
        <is>
          <t>Expenses</t>
        </is>
      </c>
      <c r="D6034" s="3" t="inlineStr">
        <is>
          <t>4550/004</t>
        </is>
      </c>
      <c r="E6034" s="3" t="inlineStr">
        <is>
          <t>Subscriptions - Smartsheet</t>
        </is>
      </c>
      <c r="F6034" s="3" t="n">
        <v>1089</v>
      </c>
      <c r="G6034" s="3" t="n">
        <v>1089</v>
      </c>
    </row>
    <row r="6035">
      <c r="A6035" s="3" t="inlineStr">
        <is>
          <t>Cape Projects Construction (Pty) Ltd</t>
        </is>
      </c>
      <c r="B6035" s="4" t="n">
        <v>45382</v>
      </c>
      <c r="C6035" s="3" t="inlineStr">
        <is>
          <t>Expenses</t>
        </is>
      </c>
      <c r="D6035" s="3" t="inlineStr">
        <is>
          <t>4550/007</t>
        </is>
      </c>
      <c r="E6035" s="3" t="inlineStr">
        <is>
          <t>Subscription &amp; Licenses - ERS Bio</t>
        </is>
      </c>
      <c r="F6035" s="3" t="n">
        <v>718.9299999999999</v>
      </c>
      <c r="G6035" s="3" t="n">
        <v>718.9299999999999</v>
      </c>
    </row>
    <row r="6036">
      <c r="A6036" s="3" t="inlineStr">
        <is>
          <t>Heron Fields (Pty) Ltd</t>
        </is>
      </c>
      <c r="B6036" s="4" t="n">
        <v>45382</v>
      </c>
      <c r="C6036" s="3" t="inlineStr">
        <is>
          <t>Equity</t>
        </is>
      </c>
      <c r="D6036" s="3" t="inlineStr">
        <is>
          <t>5100-000</t>
        </is>
      </c>
      <c r="E6036" s="3" t="inlineStr">
        <is>
          <t>Share Capital</t>
        </is>
      </c>
      <c r="F6036" s="3" t="n">
        <v>0</v>
      </c>
      <c r="G6036" s="3" t="n">
        <v>-100</v>
      </c>
    </row>
    <row r="6037">
      <c r="A6037" s="3" t="inlineStr">
        <is>
          <t>Cape Projects Construction (Pty) Ltd</t>
        </is>
      </c>
      <c r="B6037" s="4" t="n">
        <v>45382</v>
      </c>
      <c r="C6037" s="3" t="inlineStr">
        <is>
          <t>Equity</t>
        </is>
      </c>
      <c r="D6037" s="3" t="inlineStr">
        <is>
          <t>5100/000</t>
        </is>
      </c>
      <c r="E6037" s="3" t="inlineStr">
        <is>
          <t>Share Capital / Members Contribution</t>
        </is>
      </c>
      <c r="F6037" s="3" t="n">
        <v>0</v>
      </c>
      <c r="G6037" s="3" t="n">
        <v>-120</v>
      </c>
    </row>
    <row r="6038">
      <c r="A6038" s="3" t="inlineStr">
        <is>
          <t>Cape Projects Construction (Pty) Ltd</t>
        </is>
      </c>
      <c r="B6038" s="4" t="n">
        <v>45382</v>
      </c>
      <c r="C6038" s="3" t="inlineStr">
        <is>
          <t>Equity</t>
        </is>
      </c>
      <c r="D6038" s="3" t="inlineStr">
        <is>
          <t>5200/000</t>
        </is>
      </c>
      <c r="E6038" s="3" t="inlineStr">
        <is>
          <t>Retained Earnings / Loss</t>
        </is>
      </c>
      <c r="F6038" s="3" t="n">
        <v>0</v>
      </c>
      <c r="G6038" s="3" t="n">
        <v>174615.65</v>
      </c>
    </row>
    <row r="6039">
      <c r="A6039" s="3" t="inlineStr">
        <is>
          <t>Heron Fields (Pty) Ltd</t>
        </is>
      </c>
      <c r="B6039" s="4" t="n">
        <v>45382</v>
      </c>
      <c r="C6039" s="3" t="inlineStr">
        <is>
          <t>Equity</t>
        </is>
      </c>
      <c r="D6039" s="3" t="inlineStr">
        <is>
          <t>5200/000</t>
        </is>
      </c>
      <c r="E6039" s="3" t="inlineStr">
        <is>
          <t>Retained Earnings / Loss</t>
        </is>
      </c>
      <c r="F6039" s="3" t="n">
        <v>0</v>
      </c>
      <c r="G6039" s="3" t="n">
        <v>-39646093.08</v>
      </c>
    </row>
    <row r="6040">
      <c r="A6040" s="3" t="inlineStr">
        <is>
          <t>Heron View (Pty) Ltd</t>
        </is>
      </c>
      <c r="B6040" s="4" t="n">
        <v>45382</v>
      </c>
      <c r="C6040" s="3" t="inlineStr">
        <is>
          <t>Equity</t>
        </is>
      </c>
      <c r="D6040" s="3" t="inlineStr">
        <is>
          <t>5200/000</t>
        </is>
      </c>
      <c r="E6040" s="3" t="inlineStr">
        <is>
          <t>Retained Earnings / Loss</t>
        </is>
      </c>
      <c r="F6040" s="3" t="n">
        <v>0</v>
      </c>
      <c r="G6040" s="3" t="n">
        <v>-30791355.22</v>
      </c>
    </row>
    <row r="6041">
      <c r="A6041" s="3" t="inlineStr">
        <is>
          <t>Heron Fields (Pty) Ltd</t>
        </is>
      </c>
      <c r="B6041" s="4" t="n">
        <v>45382</v>
      </c>
      <c r="C6041" s="3" t="inlineStr">
        <is>
          <t>Assets</t>
        </is>
      </c>
      <c r="D6041" s="3" t="inlineStr">
        <is>
          <t>5300/001</t>
        </is>
      </c>
      <c r="E6041" s="3" t="inlineStr">
        <is>
          <t>Revaluation of Land stock</t>
        </is>
      </c>
      <c r="F6041" s="3" t="n">
        <v>0</v>
      </c>
      <c r="G6041" s="3" t="n">
        <v>17562360.85</v>
      </c>
    </row>
    <row r="6042">
      <c r="A6042" s="3" t="inlineStr">
        <is>
          <t>Heron Fields (Pty) Ltd</t>
        </is>
      </c>
      <c r="B6042" s="4" t="n">
        <v>45382</v>
      </c>
      <c r="C6042" s="3" t="inlineStr">
        <is>
          <t>Assets</t>
        </is>
      </c>
      <c r="D6042" s="3" t="inlineStr">
        <is>
          <t>5400/000</t>
        </is>
      </c>
      <c r="E6042" s="3" t="inlineStr">
        <is>
          <t>Deposit: Ruiterwacht development</t>
        </is>
      </c>
      <c r="F6042" s="3" t="n">
        <v>0</v>
      </c>
      <c r="G6042" s="3" t="n">
        <v>13457359</v>
      </c>
    </row>
    <row r="6043">
      <c r="A6043" s="3" t="inlineStr">
        <is>
          <t>Cape Projects Construction (Pty) Ltd</t>
        </is>
      </c>
      <c r="B6043" s="4" t="n">
        <v>45382</v>
      </c>
      <c r="C6043" s="3" t="inlineStr">
        <is>
          <t>Assets</t>
        </is>
      </c>
      <c r="D6043" s="3" t="inlineStr">
        <is>
          <t>5400/150</t>
        </is>
      </c>
      <c r="E6043" s="3" t="inlineStr">
        <is>
          <t>Loan - Quinate</t>
        </is>
      </c>
      <c r="F6043" s="3" t="n">
        <v>0</v>
      </c>
      <c r="G6043" s="3" t="n">
        <v>-4017423.63</v>
      </c>
    </row>
    <row r="6044">
      <c r="A6044" s="3" t="inlineStr">
        <is>
          <t>Cape Projects Construction (Pty) Ltd</t>
        </is>
      </c>
      <c r="B6044" s="4" t="n">
        <v>45382</v>
      </c>
      <c r="C6044" s="3" t="inlineStr">
        <is>
          <t>Assets</t>
        </is>
      </c>
      <c r="D6044" s="3" t="inlineStr">
        <is>
          <t>5400/220</t>
        </is>
      </c>
      <c r="E6044" s="3" t="inlineStr">
        <is>
          <t>Members Loan - WH</t>
        </is>
      </c>
      <c r="F6044" s="3" t="n">
        <v>0</v>
      </c>
      <c r="G6044" s="3" t="n">
        <v>-4342.5</v>
      </c>
    </row>
    <row r="6045">
      <c r="A6045" s="3" t="inlineStr">
        <is>
          <t>Cape Projects Construction (Pty) Ltd</t>
        </is>
      </c>
      <c r="B6045" s="4" t="n">
        <v>45382</v>
      </c>
      <c r="C6045" s="3" t="inlineStr">
        <is>
          <t>Assets</t>
        </is>
      </c>
      <c r="D6045" s="3" t="inlineStr">
        <is>
          <t>5400/300</t>
        </is>
      </c>
      <c r="E6045" s="3" t="inlineStr">
        <is>
          <t>Loan - Opportunity ResidentialCUST ACC</t>
        </is>
      </c>
      <c r="F6045" s="3" t="n">
        <v>0</v>
      </c>
      <c r="G6045" s="3" t="n">
        <v>4702.35</v>
      </c>
    </row>
    <row r="6046">
      <c r="A6046" s="3" t="inlineStr">
        <is>
          <t>Cape Projects Construction (Pty) Ltd</t>
        </is>
      </c>
      <c r="B6046" s="4" t="n">
        <v>45382</v>
      </c>
      <c r="C6046" s="3" t="inlineStr">
        <is>
          <t>Assets</t>
        </is>
      </c>
      <c r="D6046" s="3" t="inlineStr">
        <is>
          <t>5400/450</t>
        </is>
      </c>
      <c r="E6046" s="3" t="inlineStr">
        <is>
          <t>Loan - Opportunity Investment</t>
        </is>
      </c>
      <c r="F6046" s="3" t="n">
        <v>350000</v>
      </c>
      <c r="G6046" s="3" t="n">
        <v>-1406000</v>
      </c>
    </row>
    <row r="6047">
      <c r="A6047" s="3" t="inlineStr">
        <is>
          <t>Cape Projects Construction (Pty) Ltd</t>
        </is>
      </c>
      <c r="B6047" s="4" t="n">
        <v>45382</v>
      </c>
      <c r="C6047" s="3" t="inlineStr">
        <is>
          <t>Assets</t>
        </is>
      </c>
      <c r="D6047" s="3" t="inlineStr">
        <is>
          <t>5400/500</t>
        </is>
      </c>
      <c r="E6047" s="3" t="inlineStr">
        <is>
          <t>Loan - Blou Mamba Trust</t>
        </is>
      </c>
      <c r="F6047" s="3" t="n">
        <v>0</v>
      </c>
      <c r="G6047" s="3" t="n">
        <v>4342.5</v>
      </c>
    </row>
    <row r="6048">
      <c r="A6048" s="3" t="inlineStr">
        <is>
          <t>Cape Projects Construction (Pty) Ltd</t>
        </is>
      </c>
      <c r="B6048" s="4" t="n">
        <v>45382</v>
      </c>
      <c r="C6048" s="3" t="inlineStr">
        <is>
          <t>Assets</t>
        </is>
      </c>
      <c r="D6048" s="3" t="inlineStr">
        <is>
          <t>5400/550</t>
        </is>
      </c>
      <c r="E6048" s="3" t="inlineStr">
        <is>
          <t>Loan - Trademark</t>
        </is>
      </c>
      <c r="F6048" s="3" t="n">
        <v>-40000</v>
      </c>
      <c r="G6048" s="3" t="n">
        <v>-57600</v>
      </c>
    </row>
    <row r="6049">
      <c r="A6049" s="3" t="inlineStr">
        <is>
          <t>Cape Projects Construction (Pty) Ltd</t>
        </is>
      </c>
      <c r="B6049" s="4" t="n">
        <v>45382</v>
      </c>
      <c r="C6049" s="3" t="inlineStr">
        <is>
          <t>Assets</t>
        </is>
      </c>
      <c r="D6049" s="3" t="inlineStr">
        <is>
          <t>5400/600</t>
        </is>
      </c>
      <c r="E6049" s="3" t="inlineStr">
        <is>
          <t>Loan - Heron Projects</t>
        </is>
      </c>
      <c r="F6049" s="3" t="n">
        <v>-950000</v>
      </c>
      <c r="G6049" s="3" t="n">
        <v>-27174738.42</v>
      </c>
    </row>
    <row r="6050">
      <c r="A6050" s="3" t="inlineStr">
        <is>
          <t>Cape Projects Construction (Pty) Ltd</t>
        </is>
      </c>
      <c r="B6050" s="4" t="n">
        <v>45382</v>
      </c>
      <c r="C6050" s="3" t="inlineStr">
        <is>
          <t>Assets</t>
        </is>
      </c>
      <c r="D6050" s="3" t="inlineStr">
        <is>
          <t>5400/650</t>
        </is>
      </c>
      <c r="E6050" s="3" t="inlineStr">
        <is>
          <t>Loan - Noble Shield</t>
        </is>
      </c>
      <c r="F6050" s="3" t="n">
        <v>0</v>
      </c>
      <c r="G6050" s="3" t="n">
        <v>-200189.44</v>
      </c>
    </row>
    <row r="6051">
      <c r="A6051" s="3" t="inlineStr">
        <is>
          <t>Cape Projects Construction (Pty) Ltd</t>
        </is>
      </c>
      <c r="B6051" s="4" t="n">
        <v>45382</v>
      </c>
      <c r="C6051" s="3" t="inlineStr">
        <is>
          <t>Assets</t>
        </is>
      </c>
      <c r="D6051" s="3" t="inlineStr">
        <is>
          <t>5400/750</t>
        </is>
      </c>
      <c r="E6051" s="3" t="inlineStr">
        <is>
          <t>Loan - Endulini</t>
        </is>
      </c>
      <c r="F6051" s="3" t="n">
        <v>-900000</v>
      </c>
      <c r="G6051" s="3" t="n">
        <v>26642687.4</v>
      </c>
    </row>
    <row r="6052">
      <c r="A6052" s="3" t="inlineStr">
        <is>
          <t>Cape Projects Construction (Pty) Ltd</t>
        </is>
      </c>
      <c r="B6052" s="4" t="n">
        <v>45382</v>
      </c>
      <c r="C6052" s="3" t="inlineStr">
        <is>
          <t>Assets</t>
        </is>
      </c>
      <c r="D6052" s="3" t="inlineStr">
        <is>
          <t>5400/800</t>
        </is>
      </c>
      <c r="E6052" s="3" t="inlineStr">
        <is>
          <t>Loan - Opportunity Management Holdings</t>
        </is>
      </c>
      <c r="F6052" s="3" t="n">
        <v>50000</v>
      </c>
      <c r="G6052" s="3" t="n">
        <v>317399</v>
      </c>
    </row>
    <row r="6053">
      <c r="A6053" s="3" t="inlineStr">
        <is>
          <t>Heron View (Pty) Ltd</t>
        </is>
      </c>
      <c r="B6053" s="4" t="n">
        <v>45382</v>
      </c>
      <c r="C6053" s="3" t="inlineStr">
        <is>
          <t>Liabilities</t>
        </is>
      </c>
      <c r="D6053" s="3" t="inlineStr">
        <is>
          <t>5500/001</t>
        </is>
      </c>
      <c r="E6053" s="3" t="inlineStr">
        <is>
          <t>Loan - Heron Fields</t>
        </is>
      </c>
      <c r="F6053" s="3" t="n">
        <v>-4809646.05</v>
      </c>
      <c r="G6053" s="3" t="n">
        <v>-52910288.85</v>
      </c>
    </row>
    <row r="6054">
      <c r="A6054" s="3" t="inlineStr">
        <is>
          <t>Heron Fields (Pty) Ltd</t>
        </is>
      </c>
      <c r="B6054" s="4" t="n">
        <v>45382</v>
      </c>
      <c r="C6054" s="3" t="inlineStr">
        <is>
          <t>Liabilities</t>
        </is>
      </c>
      <c r="D6054" s="3" t="inlineStr">
        <is>
          <t>5500/010</t>
        </is>
      </c>
      <c r="E6054" s="3" t="inlineStr">
        <is>
          <t>Loan - Quinate</t>
        </is>
      </c>
      <c r="F6054" s="3" t="n">
        <v>0</v>
      </c>
      <c r="G6054" s="3" t="n">
        <v>1800000</v>
      </c>
    </row>
    <row r="6055">
      <c r="A6055" s="3" t="inlineStr">
        <is>
          <t>Heron Fields (Pty) Ltd</t>
        </is>
      </c>
      <c r="B6055" s="4" t="n">
        <v>45382</v>
      </c>
      <c r="C6055" s="3" t="inlineStr">
        <is>
          <t>Liabilities</t>
        </is>
      </c>
      <c r="D6055" s="3" t="inlineStr">
        <is>
          <t>5500/020</t>
        </is>
      </c>
      <c r="E6055" s="3" t="inlineStr">
        <is>
          <t>Loan - Cape Projects Construction</t>
        </is>
      </c>
      <c r="F6055" s="3" t="n">
        <v>1150000</v>
      </c>
      <c r="G6055" s="3" t="n">
        <v>27124738.42</v>
      </c>
    </row>
    <row r="6056">
      <c r="A6056" s="3" t="inlineStr">
        <is>
          <t>Heron Fields (Pty) Ltd</t>
        </is>
      </c>
      <c r="B6056" s="4" t="n">
        <v>45382</v>
      </c>
      <c r="C6056" s="3" t="inlineStr">
        <is>
          <t>Liabilities</t>
        </is>
      </c>
      <c r="D6056" s="3" t="inlineStr">
        <is>
          <t>5500/030</t>
        </is>
      </c>
      <c r="E6056" s="3" t="inlineStr">
        <is>
          <t>Loan - Opportunity Global Investments</t>
        </is>
      </c>
      <c r="F6056" s="3" t="n">
        <v>410000</v>
      </c>
      <c r="G6056" s="3" t="n">
        <v>4584275</v>
      </c>
    </row>
    <row r="6057">
      <c r="A6057" s="3" t="inlineStr">
        <is>
          <t>Heron Fields (Pty) Ltd</t>
        </is>
      </c>
      <c r="B6057" s="4" t="n">
        <v>45382</v>
      </c>
      <c r="C6057" s="3" t="inlineStr">
        <is>
          <t>Liabilities</t>
        </is>
      </c>
      <c r="D6057" s="3" t="inlineStr">
        <is>
          <t>5500/050</t>
        </is>
      </c>
      <c r="E6057" s="3" t="inlineStr">
        <is>
          <t>Loan - Heron View</t>
        </is>
      </c>
      <c r="F6057" s="3" t="n">
        <v>5311946.05</v>
      </c>
      <c r="G6057" s="3" t="n">
        <v>53024610.17</v>
      </c>
    </row>
    <row r="6058">
      <c r="A6058" s="3" t="inlineStr">
        <is>
          <t>Heron Fields (Pty) Ltd</t>
        </is>
      </c>
      <c r="B6058" s="4" t="n">
        <v>45382</v>
      </c>
      <c r="C6058" s="3" t="inlineStr">
        <is>
          <t>Liabilities</t>
        </is>
      </c>
      <c r="D6058" s="3" t="inlineStr">
        <is>
          <t>5500/051</t>
        </is>
      </c>
      <c r="E6058" s="3" t="inlineStr">
        <is>
          <t>Loan - HV N204</t>
        </is>
      </c>
      <c r="F6058" s="3" t="n">
        <v>-2500</v>
      </c>
      <c r="G6058" s="3" t="n">
        <v>7500</v>
      </c>
    </row>
    <row r="6059">
      <c r="A6059" s="3" t="inlineStr">
        <is>
          <t>Heron Fields (Pty) Ltd</t>
        </is>
      </c>
      <c r="B6059" s="4" t="n">
        <v>45382</v>
      </c>
      <c r="C6059" s="3" t="inlineStr">
        <is>
          <t>Liabilities</t>
        </is>
      </c>
      <c r="D6059" s="3" t="inlineStr">
        <is>
          <t>5500/060</t>
        </is>
      </c>
      <c r="E6059" s="3" t="inlineStr">
        <is>
          <t>Loan - Opportunity Management Holdings</t>
        </is>
      </c>
      <c r="F6059" s="3" t="n">
        <v>0</v>
      </c>
      <c r="G6059" s="3" t="n">
        <v>-107900</v>
      </c>
    </row>
    <row r="6060">
      <c r="A6060" s="3" t="inlineStr">
        <is>
          <t>Heron Fields (Pty) Ltd</t>
        </is>
      </c>
      <c r="B6060" s="4" t="n">
        <v>45382</v>
      </c>
      <c r="C6060" s="3" t="inlineStr">
        <is>
          <t>Liabilities</t>
        </is>
      </c>
      <c r="D6060" s="3" t="inlineStr">
        <is>
          <t>5500/080</t>
        </is>
      </c>
      <c r="E6060" s="3" t="inlineStr">
        <is>
          <t>Loan - NSST2 Trust</t>
        </is>
      </c>
      <c r="F6060" s="3" t="n">
        <v>0</v>
      </c>
      <c r="G6060" s="3" t="n">
        <v>500</v>
      </c>
    </row>
    <row r="6061">
      <c r="A6061" s="3" t="inlineStr">
        <is>
          <t>Heron Fields (Pty) Ltd</t>
        </is>
      </c>
      <c r="B6061" s="4" t="n">
        <v>45382</v>
      </c>
      <c r="C6061" s="3" t="inlineStr">
        <is>
          <t>Liabilities</t>
        </is>
      </c>
      <c r="D6061" s="3" t="inlineStr">
        <is>
          <t>5500/090</t>
        </is>
      </c>
      <c r="E6061" s="3" t="inlineStr">
        <is>
          <t>Loan - Purple Block</t>
        </is>
      </c>
      <c r="F6061" s="3" t="n">
        <v>-300000</v>
      </c>
      <c r="G6061" s="3" t="n">
        <v>-300000</v>
      </c>
    </row>
    <row r="6062">
      <c r="A6062" s="3" t="inlineStr">
        <is>
          <t>Heron Fields (Pty) Ltd</t>
        </is>
      </c>
      <c r="B6062" s="4" t="n">
        <v>45382</v>
      </c>
      <c r="C6062" s="3" t="inlineStr">
        <is>
          <t>Assets</t>
        </is>
      </c>
      <c r="D6062" s="3" t="inlineStr">
        <is>
          <t>6150/010</t>
        </is>
      </c>
      <c r="E6062" s="3" t="inlineStr">
        <is>
          <t>Endulini -  A204</t>
        </is>
      </c>
      <c r="F6062" s="3" t="n">
        <v>0</v>
      </c>
      <c r="G6062" s="3" t="n">
        <v>1304260.87</v>
      </c>
    </row>
    <row r="6063">
      <c r="A6063" s="3" t="inlineStr">
        <is>
          <t>Heron Fields (Pty) Ltd</t>
        </is>
      </c>
      <c r="B6063" s="4" t="n">
        <v>45382</v>
      </c>
      <c r="C6063" s="3" t="inlineStr">
        <is>
          <t>Assets</t>
        </is>
      </c>
      <c r="D6063" s="3" t="inlineStr">
        <is>
          <t>6150/020</t>
        </is>
      </c>
      <c r="E6063" s="3" t="inlineStr">
        <is>
          <t>Endulini - A304</t>
        </is>
      </c>
      <c r="F6063" s="3" t="n">
        <v>0</v>
      </c>
      <c r="G6063" s="3" t="n">
        <v>1356434.78</v>
      </c>
    </row>
    <row r="6064">
      <c r="A6064" s="3" t="inlineStr">
        <is>
          <t>Heron Fields (Pty) Ltd</t>
        </is>
      </c>
      <c r="B6064" s="4" t="n">
        <v>45382</v>
      </c>
      <c r="C6064" s="3" t="inlineStr">
        <is>
          <t>Assets</t>
        </is>
      </c>
      <c r="D6064" s="3" t="inlineStr">
        <is>
          <t>6150/030</t>
        </is>
      </c>
      <c r="E6064" s="3" t="inlineStr">
        <is>
          <t>Endulini - B101</t>
        </is>
      </c>
      <c r="F6064" s="3" t="n">
        <v>0</v>
      </c>
      <c r="G6064" s="3" t="n">
        <v>1373826.09</v>
      </c>
    </row>
    <row r="6065">
      <c r="A6065" s="3" t="inlineStr">
        <is>
          <t>Heron Fields (Pty) Ltd</t>
        </is>
      </c>
      <c r="B6065" s="4" t="n">
        <v>45382</v>
      </c>
      <c r="C6065" s="3" t="inlineStr">
        <is>
          <t>Assets</t>
        </is>
      </c>
      <c r="D6065" s="3" t="inlineStr">
        <is>
          <t>6150/040</t>
        </is>
      </c>
      <c r="E6065" s="3" t="inlineStr">
        <is>
          <t>Endulini - A306</t>
        </is>
      </c>
      <c r="F6065" s="3" t="n">
        <v>0</v>
      </c>
      <c r="G6065" s="3" t="n">
        <v>1391217.39</v>
      </c>
    </row>
    <row r="6066">
      <c r="A6066" s="3" t="inlineStr">
        <is>
          <t>Heron Fields (Pty) Ltd</t>
        </is>
      </c>
      <c r="B6066" s="4" t="n">
        <v>45382</v>
      </c>
      <c r="C6066" s="3" t="inlineStr">
        <is>
          <t>Assets</t>
        </is>
      </c>
      <c r="D6066" s="3" t="inlineStr">
        <is>
          <t>6150/050</t>
        </is>
      </c>
      <c r="E6066" s="3" t="inlineStr">
        <is>
          <t>Endulini - C301</t>
        </is>
      </c>
      <c r="F6066" s="3" t="n">
        <v>0</v>
      </c>
      <c r="G6066" s="3" t="n">
        <v>1304260.87</v>
      </c>
    </row>
    <row r="6067">
      <c r="A6067" s="3" t="inlineStr">
        <is>
          <t>Cape Projects Construction (Pty) Ltd</t>
        </is>
      </c>
      <c r="B6067" s="4" t="n">
        <v>45382</v>
      </c>
      <c r="C6067" s="3" t="inlineStr">
        <is>
          <t>Assets</t>
        </is>
      </c>
      <c r="D6067" s="3" t="inlineStr">
        <is>
          <t>6200/010</t>
        </is>
      </c>
      <c r="E6067" s="3" t="inlineStr">
        <is>
          <t>Motor Vehicles - @ Cost</t>
        </is>
      </c>
      <c r="F6067" s="3" t="n">
        <v>0</v>
      </c>
      <c r="G6067" s="3" t="n">
        <v>216064.1</v>
      </c>
    </row>
    <row r="6068">
      <c r="A6068" s="3" t="inlineStr">
        <is>
          <t>Cape Projects Construction (Pty) Ltd</t>
        </is>
      </c>
      <c r="B6068" s="4" t="n">
        <v>45382</v>
      </c>
      <c r="C6068" s="3" t="inlineStr">
        <is>
          <t>Assets</t>
        </is>
      </c>
      <c r="D6068" s="3" t="inlineStr">
        <is>
          <t>6200/020</t>
        </is>
      </c>
      <c r="E6068" s="3" t="inlineStr">
        <is>
          <t>Motor Vehicles - Accum Depre</t>
        </is>
      </c>
      <c r="F6068" s="3" t="n">
        <v>0</v>
      </c>
      <c r="G6068" s="3" t="n">
        <v>-216063.1</v>
      </c>
    </row>
    <row r="6069">
      <c r="A6069" s="3" t="inlineStr">
        <is>
          <t>Cape Projects Construction (Pty) Ltd</t>
        </is>
      </c>
      <c r="B6069" s="4" t="n">
        <v>45382</v>
      </c>
      <c r="C6069" s="3" t="inlineStr">
        <is>
          <t>Assets</t>
        </is>
      </c>
      <c r="D6069" s="3" t="inlineStr">
        <is>
          <t>6250/010</t>
        </is>
      </c>
      <c r="E6069" s="3" t="inlineStr">
        <is>
          <t>Computer Equipment - @ Cost</t>
        </is>
      </c>
      <c r="F6069" s="3" t="n">
        <v>0</v>
      </c>
      <c r="G6069" s="3" t="n">
        <v>184238.57</v>
      </c>
    </row>
    <row r="6070">
      <c r="A6070" s="3" t="inlineStr">
        <is>
          <t>Cape Projects Construction (Pty) Ltd</t>
        </is>
      </c>
      <c r="B6070" s="4" t="n">
        <v>45382</v>
      </c>
      <c r="C6070" s="3" t="inlineStr">
        <is>
          <t>Assets</t>
        </is>
      </c>
      <c r="D6070" s="3" t="inlineStr">
        <is>
          <t>6250/020</t>
        </is>
      </c>
      <c r="E6070" s="3" t="inlineStr">
        <is>
          <t>Computer Equipment - Accum Depre</t>
        </is>
      </c>
      <c r="F6070" s="3" t="n">
        <v>0</v>
      </c>
      <c r="G6070" s="3" t="n">
        <v>-89440.92</v>
      </c>
    </row>
    <row r="6071">
      <c r="A6071" s="3" t="inlineStr">
        <is>
          <t>Cape Projects Construction (Pty) Ltd</t>
        </is>
      </c>
      <c r="B6071" s="4" t="n">
        <v>45382</v>
      </c>
      <c r="C6071" s="3" t="inlineStr">
        <is>
          <t>Assets</t>
        </is>
      </c>
      <c r="D6071" s="3" t="inlineStr">
        <is>
          <t>6350/010</t>
        </is>
      </c>
      <c r="E6071" s="3" t="inlineStr">
        <is>
          <t>Furniture _AND_ Fittings - @ Cost</t>
        </is>
      </c>
      <c r="F6071" s="3" t="n">
        <v>0</v>
      </c>
      <c r="G6071" s="3" t="n">
        <v>37955.3</v>
      </c>
    </row>
    <row r="6072">
      <c r="A6072" s="3" t="inlineStr">
        <is>
          <t>Cape Projects Construction (Pty) Ltd</t>
        </is>
      </c>
      <c r="B6072" s="4" t="n">
        <v>45382</v>
      </c>
      <c r="C6072" s="3" t="inlineStr">
        <is>
          <t>Assets</t>
        </is>
      </c>
      <c r="D6072" s="3" t="inlineStr">
        <is>
          <t>6350/020</t>
        </is>
      </c>
      <c r="E6072" s="3" t="inlineStr">
        <is>
          <t>Furniture _AND_ Fittings - Accum Depre</t>
        </is>
      </c>
      <c r="F6072" s="3" t="n">
        <v>0</v>
      </c>
      <c r="G6072" s="3" t="n">
        <v>-12466.67</v>
      </c>
    </row>
    <row r="6073">
      <c r="A6073" s="3" t="inlineStr">
        <is>
          <t>Cape Projects Construction (Pty) Ltd</t>
        </is>
      </c>
      <c r="B6073" s="4" t="n">
        <v>45382</v>
      </c>
      <c r="C6073" s="3" t="inlineStr">
        <is>
          <t>Assets</t>
        </is>
      </c>
      <c r="D6073" s="3" t="inlineStr">
        <is>
          <t>6600/010</t>
        </is>
      </c>
      <c r="E6073" s="3" t="inlineStr">
        <is>
          <t>Generator Fixed Asset - @ Cost</t>
        </is>
      </c>
      <c r="F6073" s="3" t="n">
        <v>0</v>
      </c>
      <c r="G6073" s="3" t="n">
        <v>71322</v>
      </c>
    </row>
    <row r="6074">
      <c r="A6074" s="3" t="inlineStr">
        <is>
          <t>Cape Projects Construction (Pty) Ltd</t>
        </is>
      </c>
      <c r="B6074" s="4" t="n">
        <v>45382</v>
      </c>
      <c r="C6074" s="3" t="inlineStr">
        <is>
          <t>Assets</t>
        </is>
      </c>
      <c r="D6074" s="3" t="inlineStr">
        <is>
          <t>6600/020</t>
        </is>
      </c>
      <c r="E6074" s="3" t="inlineStr">
        <is>
          <t>Generator Fixed Asset - Accum Depre</t>
        </is>
      </c>
      <c r="F6074" s="3" t="n">
        <v>0</v>
      </c>
      <c r="G6074" s="3" t="n">
        <v>-15399.23</v>
      </c>
    </row>
    <row r="6075">
      <c r="A6075" s="3" t="inlineStr">
        <is>
          <t>Heron Fields (Pty) Ltd</t>
        </is>
      </c>
      <c r="B6075" s="4" t="n">
        <v>45382</v>
      </c>
      <c r="C6075" s="3" t="inlineStr">
        <is>
          <t>Assets</t>
        </is>
      </c>
      <c r="D6075" s="3" t="inlineStr">
        <is>
          <t>7610/395</t>
        </is>
      </c>
      <c r="E6075" s="3" t="inlineStr">
        <is>
          <t>HF CIP NHBRC</t>
        </is>
      </c>
      <c r="F6075" s="3" t="n">
        <v>0</v>
      </c>
      <c r="G6075" s="3" t="n">
        <v>874505.75</v>
      </c>
    </row>
    <row r="6076">
      <c r="A6076" s="3" t="inlineStr">
        <is>
          <t>Heron View (Pty) Ltd</t>
        </is>
      </c>
      <c r="B6076" s="4" t="n">
        <v>45382</v>
      </c>
      <c r="C6076" s="3" t="inlineStr">
        <is>
          <t>Assets</t>
        </is>
      </c>
      <c r="D6076" s="3" t="inlineStr">
        <is>
          <t>7610/395</t>
        </is>
      </c>
      <c r="E6076" s="3" t="inlineStr">
        <is>
          <t>Heron CIP NHBRC</t>
        </is>
      </c>
      <c r="F6076" s="3" t="n">
        <v>0</v>
      </c>
      <c r="G6076" s="3" t="n">
        <v>2472501.08</v>
      </c>
    </row>
    <row r="6077">
      <c r="A6077" s="3" t="inlineStr">
        <is>
          <t>Heron Fields (Pty) Ltd</t>
        </is>
      </c>
      <c r="B6077" s="4" t="n">
        <v>45382</v>
      </c>
      <c r="C6077" s="3" t="inlineStr">
        <is>
          <t>Assets</t>
        </is>
      </c>
      <c r="D6077" s="3" t="inlineStr">
        <is>
          <t>7620/100</t>
        </is>
      </c>
      <c r="E6077" s="3" t="inlineStr">
        <is>
          <t>Heron View Land</t>
        </is>
      </c>
      <c r="F6077" s="3" t="n">
        <v>0</v>
      </c>
      <c r="G6077" s="3" t="n">
        <v>26200000</v>
      </c>
    </row>
    <row r="6078">
      <c r="A6078" s="3" t="inlineStr">
        <is>
          <t>Heron Fields (Pty) Ltd</t>
        </is>
      </c>
      <c r="B6078" s="4" t="n">
        <v>45382</v>
      </c>
      <c r="C6078" s="3" t="inlineStr">
        <is>
          <t>Assets</t>
        </is>
      </c>
      <c r="D6078" s="3" t="inlineStr">
        <is>
          <t>7620/101</t>
        </is>
      </c>
      <c r="E6078" s="3" t="inlineStr">
        <is>
          <t>HF CIP Bond Registration Fee</t>
        </is>
      </c>
      <c r="F6078" s="3" t="n">
        <v>0</v>
      </c>
      <c r="G6078" s="3" t="n">
        <v>68427</v>
      </c>
    </row>
    <row r="6079">
      <c r="A6079" s="3" t="inlineStr">
        <is>
          <t>Heron Fields (Pty) Ltd</t>
        </is>
      </c>
      <c r="B6079" s="4" t="n">
        <v>45382</v>
      </c>
      <c r="C6079" s="3" t="inlineStr">
        <is>
          <t>Assets</t>
        </is>
      </c>
      <c r="D6079" s="3" t="inlineStr">
        <is>
          <t>7620/102</t>
        </is>
      </c>
      <c r="E6079" s="3" t="inlineStr">
        <is>
          <t>HF CIP Transfer Fee</t>
        </is>
      </c>
      <c r="F6079" s="3" t="n">
        <v>0</v>
      </c>
      <c r="G6079" s="3" t="n">
        <v>103812</v>
      </c>
    </row>
    <row r="6080">
      <c r="A6080" s="3" t="inlineStr">
        <is>
          <t>Heron Fields (Pty) Ltd</t>
        </is>
      </c>
      <c r="B6080" s="4" t="n">
        <v>45382</v>
      </c>
      <c r="C6080" s="3" t="inlineStr">
        <is>
          <t>Assets</t>
        </is>
      </c>
      <c r="D6080" s="3" t="inlineStr">
        <is>
          <t>7620/220</t>
        </is>
      </c>
      <c r="E6080" s="3" t="inlineStr">
        <is>
          <t>HF CIP Architectural Designs</t>
        </is>
      </c>
      <c r="F6080" s="3" t="n">
        <v>0</v>
      </c>
      <c r="G6080" s="3" t="n">
        <v>314087</v>
      </c>
    </row>
    <row r="6081">
      <c r="A6081" s="3" t="inlineStr">
        <is>
          <t>Heron View (Pty) Ltd</t>
        </is>
      </c>
      <c r="B6081" s="4" t="n">
        <v>45382</v>
      </c>
      <c r="C6081" s="3" t="inlineStr">
        <is>
          <t>Assets</t>
        </is>
      </c>
      <c r="D6081" s="3" t="inlineStr">
        <is>
          <t>7620/220</t>
        </is>
      </c>
      <c r="E6081" s="3" t="inlineStr">
        <is>
          <t>Heron View CIP Architectural Designs</t>
        </is>
      </c>
      <c r="F6081" s="3" t="n">
        <v>4000</v>
      </c>
      <c r="G6081" s="3" t="n">
        <v>719552.6</v>
      </c>
    </row>
    <row r="6082">
      <c r="A6082" s="3" t="inlineStr">
        <is>
          <t>Heron Fields (Pty) Ltd</t>
        </is>
      </c>
      <c r="B6082" s="4" t="n">
        <v>45382</v>
      </c>
      <c r="C6082" s="3" t="inlineStr">
        <is>
          <t>Assets</t>
        </is>
      </c>
      <c r="D6082" s="3" t="inlineStr">
        <is>
          <t>7620/230</t>
        </is>
      </c>
      <c r="E6082" s="3" t="inlineStr">
        <is>
          <t>HF CIP Construction Management</t>
        </is>
      </c>
      <c r="F6082" s="3" t="n">
        <v>0</v>
      </c>
      <c r="G6082" s="3" t="n">
        <v>139500</v>
      </c>
    </row>
    <row r="6083">
      <c r="A6083" s="3" t="inlineStr">
        <is>
          <t>Heron Fields (Pty) Ltd</t>
        </is>
      </c>
      <c r="B6083" s="4" t="n">
        <v>45382</v>
      </c>
      <c r="C6083" s="3" t="inlineStr">
        <is>
          <t>Assets</t>
        </is>
      </c>
      <c r="D6083" s="3" t="inlineStr">
        <is>
          <t>7620/240</t>
        </is>
      </c>
      <c r="E6083" s="3" t="inlineStr">
        <is>
          <t>HF CIP Civil Engineering</t>
        </is>
      </c>
      <c r="F6083" s="3" t="n">
        <v>0</v>
      </c>
      <c r="G6083" s="3" t="n">
        <v>8557641.800000001</v>
      </c>
    </row>
    <row r="6084">
      <c r="A6084" s="3" t="inlineStr">
        <is>
          <t>Heron Fields (Pty) Ltd</t>
        </is>
      </c>
      <c r="B6084" s="4" t="n">
        <v>45382</v>
      </c>
      <c r="C6084" s="3" t="inlineStr">
        <is>
          <t>Assets</t>
        </is>
      </c>
      <c r="D6084" s="3" t="inlineStr">
        <is>
          <t>7620/245</t>
        </is>
      </c>
      <c r="E6084" s="3" t="inlineStr">
        <is>
          <t>HF CIP Development fee</t>
        </is>
      </c>
      <c r="F6084" s="3" t="n">
        <v>0</v>
      </c>
      <c r="G6084" s="3" t="n">
        <v>13807.78</v>
      </c>
    </row>
    <row r="6085">
      <c r="A6085" s="3" t="inlineStr">
        <is>
          <t>Heron Fields (Pty) Ltd</t>
        </is>
      </c>
      <c r="B6085" s="4" t="n">
        <v>45382</v>
      </c>
      <c r="C6085" s="3" t="inlineStr">
        <is>
          <t>Assets</t>
        </is>
      </c>
      <c r="D6085" s="3" t="inlineStr">
        <is>
          <t>7620/250</t>
        </is>
      </c>
      <c r="E6085" s="3" t="inlineStr">
        <is>
          <t>HF CIP Land Surveyor</t>
        </is>
      </c>
      <c r="F6085" s="3" t="n">
        <v>0</v>
      </c>
      <c r="G6085" s="3" t="n">
        <v>197060.09</v>
      </c>
    </row>
    <row r="6086">
      <c r="A6086" s="3" t="inlineStr">
        <is>
          <t>Heron View (Pty) Ltd</t>
        </is>
      </c>
      <c r="B6086" s="4" t="n">
        <v>45382</v>
      </c>
      <c r="C6086" s="3" t="inlineStr">
        <is>
          <t>Assets</t>
        </is>
      </c>
      <c r="D6086" s="3" t="inlineStr">
        <is>
          <t>7620/250</t>
        </is>
      </c>
      <c r="E6086" s="3" t="inlineStr">
        <is>
          <t>Heron View CIP Land Surveyor</t>
        </is>
      </c>
      <c r="F6086" s="3" t="n">
        <v>0</v>
      </c>
      <c r="G6086" s="3" t="n">
        <v>321942.47</v>
      </c>
    </row>
    <row r="6087">
      <c r="A6087" s="3" t="inlineStr">
        <is>
          <t>Heron Fields (Pty) Ltd</t>
        </is>
      </c>
      <c r="B6087" s="4" t="n">
        <v>45382</v>
      </c>
      <c r="C6087" s="3" t="inlineStr">
        <is>
          <t>Assets</t>
        </is>
      </c>
      <c r="D6087" s="3" t="inlineStr">
        <is>
          <t>7620/255</t>
        </is>
      </c>
      <c r="E6087" s="3" t="inlineStr">
        <is>
          <t>HF CIP Landscaping</t>
        </is>
      </c>
      <c r="F6087" s="3" t="n">
        <v>0</v>
      </c>
      <c r="G6087" s="3" t="n">
        <v>7500</v>
      </c>
    </row>
    <row r="6088">
      <c r="A6088" s="3" t="inlineStr">
        <is>
          <t>Heron View (Pty) Ltd</t>
        </is>
      </c>
      <c r="B6088" s="4" t="n">
        <v>45382</v>
      </c>
      <c r="C6088" s="3" t="inlineStr">
        <is>
          <t>Assets</t>
        </is>
      </c>
      <c r="D6088" s="3" t="inlineStr">
        <is>
          <t>7620/255</t>
        </is>
      </c>
      <c r="E6088" s="3" t="inlineStr">
        <is>
          <t>Heron View CIP Landscaping</t>
        </is>
      </c>
      <c r="F6088" s="3" t="n">
        <v>0</v>
      </c>
      <c r="G6088" s="3" t="n">
        <v>114370.5</v>
      </c>
    </row>
    <row r="6089">
      <c r="A6089" s="3" t="inlineStr">
        <is>
          <t>Heron Fields (Pty) Ltd</t>
        </is>
      </c>
      <c r="B6089" s="4" t="n">
        <v>45382</v>
      </c>
      <c r="C6089" s="3" t="inlineStr">
        <is>
          <t>Assets</t>
        </is>
      </c>
      <c r="D6089" s="3" t="inlineStr">
        <is>
          <t>7620/260</t>
        </is>
      </c>
      <c r="E6089" s="3" t="inlineStr">
        <is>
          <t>HF CIP Mechanical Engineers</t>
        </is>
      </c>
      <c r="F6089" s="3" t="n">
        <v>0</v>
      </c>
      <c r="G6089" s="3" t="n">
        <v>146256.38</v>
      </c>
    </row>
    <row r="6090">
      <c r="A6090" s="3" t="inlineStr">
        <is>
          <t>Heron Fields (Pty) Ltd</t>
        </is>
      </c>
      <c r="B6090" s="4" t="n">
        <v>45382</v>
      </c>
      <c r="C6090" s="3" t="inlineStr">
        <is>
          <t>Assets</t>
        </is>
      </c>
      <c r="D6090" s="3" t="inlineStr">
        <is>
          <t>7620/265</t>
        </is>
      </c>
      <c r="E6090" s="3" t="inlineStr">
        <is>
          <t>HF CIP Health &amp; Safety</t>
        </is>
      </c>
      <c r="F6090" s="3" t="n">
        <v>0</v>
      </c>
      <c r="G6090" s="3" t="n">
        <v>20600</v>
      </c>
    </row>
    <row r="6091">
      <c r="A6091" s="3" t="inlineStr">
        <is>
          <t>Heron Fields (Pty) Ltd</t>
        </is>
      </c>
      <c r="B6091" s="4" t="n">
        <v>45382</v>
      </c>
      <c r="C6091" s="3" t="inlineStr">
        <is>
          <t>Assets</t>
        </is>
      </c>
      <c r="D6091" s="3" t="inlineStr">
        <is>
          <t>7620/270</t>
        </is>
      </c>
      <c r="E6091" s="3" t="inlineStr">
        <is>
          <t>HF CIP Geotechnical</t>
        </is>
      </c>
      <c r="F6091" s="3" t="n">
        <v>0</v>
      </c>
      <c r="G6091" s="3" t="n">
        <v>15175</v>
      </c>
    </row>
    <row r="6092">
      <c r="A6092" s="3" t="inlineStr">
        <is>
          <t>Heron Fields (Pty) Ltd</t>
        </is>
      </c>
      <c r="B6092" s="4" t="n">
        <v>45382</v>
      </c>
      <c r="C6092" s="3" t="inlineStr">
        <is>
          <t>Assets</t>
        </is>
      </c>
      <c r="D6092" s="3" t="inlineStr">
        <is>
          <t>7620/275</t>
        </is>
      </c>
      <c r="E6092" s="3" t="inlineStr">
        <is>
          <t>HF CIP Retaining Wall</t>
        </is>
      </c>
      <c r="F6092" s="3" t="n">
        <v>0</v>
      </c>
      <c r="G6092" s="3" t="n">
        <v>570856.08</v>
      </c>
    </row>
    <row r="6093">
      <c r="A6093" s="3" t="inlineStr">
        <is>
          <t>Heron Fields (Pty) Ltd</t>
        </is>
      </c>
      <c r="B6093" s="4" t="n">
        <v>45382</v>
      </c>
      <c r="C6093" s="3" t="inlineStr">
        <is>
          <t>Assets</t>
        </is>
      </c>
      <c r="D6093" s="3" t="inlineStr">
        <is>
          <t>7620/280</t>
        </is>
      </c>
      <c r="E6093" s="3" t="inlineStr">
        <is>
          <t>HF CIP Site Establishment</t>
        </is>
      </c>
      <c r="F6093" s="3" t="n">
        <v>0</v>
      </c>
      <c r="G6093" s="3" t="n">
        <v>47748851.51</v>
      </c>
    </row>
    <row r="6094">
      <c r="A6094" s="3" t="inlineStr">
        <is>
          <t>Heron View (Pty) Ltd</t>
        </is>
      </c>
      <c r="B6094" s="4" t="n">
        <v>45382</v>
      </c>
      <c r="C6094" s="3" t="inlineStr">
        <is>
          <t>Assets</t>
        </is>
      </c>
      <c r="D6094" s="3" t="inlineStr">
        <is>
          <t>7620/280</t>
        </is>
      </c>
      <c r="E6094" s="3" t="inlineStr">
        <is>
          <t>Heron View CIP Site Establishment</t>
        </is>
      </c>
      <c r="F6094" s="3" t="n">
        <v>7021091.6</v>
      </c>
      <c r="G6094" s="3" t="n">
        <v>55046882.51</v>
      </c>
    </row>
    <row r="6095">
      <c r="A6095" s="3" t="inlineStr">
        <is>
          <t>Heron Fields (Pty) Ltd</t>
        </is>
      </c>
      <c r="B6095" s="4" t="n">
        <v>45382</v>
      </c>
      <c r="C6095" s="3" t="inlineStr">
        <is>
          <t>Assets</t>
        </is>
      </c>
      <c r="D6095" s="3" t="inlineStr">
        <is>
          <t>7620/285</t>
        </is>
      </c>
      <c r="E6095" s="3" t="inlineStr">
        <is>
          <t>HF CIP Structuring Fee - Invest</t>
        </is>
      </c>
      <c r="F6095" s="3" t="n">
        <v>0</v>
      </c>
      <c r="G6095" s="3" t="n">
        <v>3850818.04</v>
      </c>
    </row>
    <row r="6096">
      <c r="A6096" s="3" t="inlineStr">
        <is>
          <t>Heron View (Pty) Ltd</t>
        </is>
      </c>
      <c r="B6096" s="4" t="n">
        <v>45382</v>
      </c>
      <c r="C6096" s="3" t="inlineStr">
        <is>
          <t>Assets</t>
        </is>
      </c>
      <c r="D6096" s="3" t="inlineStr">
        <is>
          <t>7620/285</t>
        </is>
      </c>
      <c r="E6096" s="3" t="inlineStr">
        <is>
          <t>Heron View CIP Structuring Fee - Invest</t>
        </is>
      </c>
      <c r="F6096" s="3" t="n">
        <v>0</v>
      </c>
      <c r="G6096" s="3" t="n">
        <v>1826086.96</v>
      </c>
    </row>
    <row r="6097">
      <c r="A6097" s="3" t="inlineStr">
        <is>
          <t>Heron Fields (Pty) Ltd</t>
        </is>
      </c>
      <c r="B6097" s="4" t="n">
        <v>45382</v>
      </c>
      <c r="C6097" s="3" t="inlineStr">
        <is>
          <t>Assets</t>
        </is>
      </c>
      <c r="D6097" s="3" t="inlineStr">
        <is>
          <t>7620/287</t>
        </is>
      </c>
      <c r="E6097" s="3" t="inlineStr">
        <is>
          <t>HF CIP Structuring Fee - Development</t>
        </is>
      </c>
      <c r="F6097" s="3" t="n">
        <v>0</v>
      </c>
      <c r="G6097" s="3" t="n">
        <v>782608.0699999999</v>
      </c>
    </row>
    <row r="6098">
      <c r="A6098" s="3" t="inlineStr">
        <is>
          <t>Heron View (Pty) Ltd</t>
        </is>
      </c>
      <c r="B6098" s="4" t="n">
        <v>45382</v>
      </c>
      <c r="C6098" s="3" t="inlineStr">
        <is>
          <t>Assets</t>
        </is>
      </c>
      <c r="D6098" s="3" t="inlineStr">
        <is>
          <t>7620/287</t>
        </is>
      </c>
      <c r="E6098" s="3" t="inlineStr">
        <is>
          <t>Heron View CIP Structuring Fee - Development</t>
        </is>
      </c>
      <c r="F6098" s="3" t="n">
        <v>0</v>
      </c>
      <c r="G6098" s="3" t="n">
        <v>217391.3</v>
      </c>
    </row>
    <row r="6099">
      <c r="A6099" s="3" t="inlineStr">
        <is>
          <t>Heron Fields (Pty) Ltd</t>
        </is>
      </c>
      <c r="B6099" s="4" t="n">
        <v>45382</v>
      </c>
      <c r="C6099" s="3" t="inlineStr">
        <is>
          <t>Assets</t>
        </is>
      </c>
      <c r="D6099" s="3" t="inlineStr">
        <is>
          <t>7620/290</t>
        </is>
      </c>
      <c r="E6099" s="3" t="inlineStr">
        <is>
          <t>HF CIP Town Planning</t>
        </is>
      </c>
      <c r="F6099" s="3" t="n">
        <v>0</v>
      </c>
      <c r="G6099" s="3" t="n">
        <v>166550</v>
      </c>
    </row>
    <row r="6100">
      <c r="A6100" s="3" t="inlineStr">
        <is>
          <t>Heron View (Pty) Ltd</t>
        </is>
      </c>
      <c r="B6100" s="4" t="n">
        <v>45382</v>
      </c>
      <c r="C6100" s="3" t="inlineStr">
        <is>
          <t>Assets</t>
        </is>
      </c>
      <c r="D6100" s="3" t="inlineStr">
        <is>
          <t>7620/290</t>
        </is>
      </c>
      <c r="E6100" s="3" t="inlineStr">
        <is>
          <t>Heron View CIP Town Planning</t>
        </is>
      </c>
      <c r="F6100" s="3" t="n">
        <v>0</v>
      </c>
      <c r="G6100" s="3" t="n">
        <v>2834.7</v>
      </c>
    </row>
    <row r="6101">
      <c r="A6101" s="3" t="inlineStr">
        <is>
          <t>Heron Fields (Pty) Ltd</t>
        </is>
      </c>
      <c r="B6101" s="4" t="n">
        <v>45382</v>
      </c>
      <c r="C6101" s="3" t="inlineStr">
        <is>
          <t>Assets</t>
        </is>
      </c>
      <c r="D6101" s="3" t="inlineStr">
        <is>
          <t>7620/295</t>
        </is>
      </c>
      <c r="E6101" s="3" t="inlineStr">
        <is>
          <t>HF CIP Traffic Planning</t>
        </is>
      </c>
      <c r="F6101" s="3" t="n">
        <v>0</v>
      </c>
      <c r="G6101" s="3" t="n">
        <v>45000</v>
      </c>
    </row>
    <row r="6102">
      <c r="A6102" s="3" t="inlineStr">
        <is>
          <t>Heron Fields (Pty) Ltd</t>
        </is>
      </c>
      <c r="B6102" s="4" t="n">
        <v>45382</v>
      </c>
      <c r="C6102" s="3" t="inlineStr">
        <is>
          <t>Assets</t>
        </is>
      </c>
      <c r="D6102" s="3" t="inlineStr">
        <is>
          <t>7620/600</t>
        </is>
      </c>
      <c r="E6102" s="3" t="inlineStr">
        <is>
          <t>HF CIP Eco work</t>
        </is>
      </c>
      <c r="F6102" s="3" t="n">
        <v>6000</v>
      </c>
      <c r="G6102" s="3" t="n">
        <v>209000</v>
      </c>
    </row>
    <row r="6103">
      <c r="A6103" s="3" t="inlineStr">
        <is>
          <t>Heron View (Pty) Ltd</t>
        </is>
      </c>
      <c r="B6103" s="4" t="n">
        <v>45382</v>
      </c>
      <c r="C6103" s="3" t="inlineStr">
        <is>
          <t>Assets</t>
        </is>
      </c>
      <c r="D6103" s="3" t="inlineStr">
        <is>
          <t>7620/605</t>
        </is>
      </c>
      <c r="E6103" s="3" t="inlineStr">
        <is>
          <t>Heron View CIP Structural Engineers</t>
        </is>
      </c>
      <c r="F6103" s="3" t="n">
        <v>28875</v>
      </c>
      <c r="G6103" s="3" t="n">
        <v>695752.14</v>
      </c>
    </row>
    <row r="6104">
      <c r="A6104" s="3" t="inlineStr">
        <is>
          <t>Heron View (Pty) Ltd</t>
        </is>
      </c>
      <c r="B6104" s="4" t="n">
        <v>45382</v>
      </c>
      <c r="C6104" s="3" t="inlineStr">
        <is>
          <t>Assets</t>
        </is>
      </c>
      <c r="D6104" s="3" t="inlineStr">
        <is>
          <t>7620/610</t>
        </is>
      </c>
      <c r="E6104" s="3" t="inlineStr">
        <is>
          <t>HV CIP Retaining wall</t>
        </is>
      </c>
      <c r="F6104" s="3" t="n">
        <v>0</v>
      </c>
      <c r="G6104" s="3" t="n">
        <v>66190.11</v>
      </c>
    </row>
    <row r="6105">
      <c r="A6105" s="3" t="inlineStr">
        <is>
          <t>Heron Fields (Pty) Ltd</t>
        </is>
      </c>
      <c r="B6105" s="4" t="n">
        <v>45382</v>
      </c>
      <c r="C6105" s="3" t="inlineStr">
        <is>
          <t>Assets</t>
        </is>
      </c>
      <c r="D6105" s="3" t="inlineStr">
        <is>
          <t>7620/630</t>
        </is>
      </c>
      <c r="E6105" s="3" t="inlineStr">
        <is>
          <t>HF CIP CoCT development contribution</t>
        </is>
      </c>
      <c r="F6105" s="3" t="n">
        <v>0</v>
      </c>
      <c r="G6105" s="3" t="n">
        <v>3252759.95</v>
      </c>
    </row>
    <row r="6106">
      <c r="A6106" s="3" t="inlineStr">
        <is>
          <t>Heron View (Pty) Ltd</t>
        </is>
      </c>
      <c r="B6106" s="4" t="n">
        <v>45382</v>
      </c>
      <c r="C6106" s="3" t="inlineStr">
        <is>
          <t>Assets</t>
        </is>
      </c>
      <c r="D6106" s="3" t="inlineStr">
        <is>
          <t>7620/630</t>
        </is>
      </c>
      <c r="E6106" s="3" t="inlineStr">
        <is>
          <t>Heron CIP - CoCT development contribution</t>
        </is>
      </c>
      <c r="F6106" s="3" t="n">
        <v>0</v>
      </c>
      <c r="G6106" s="3" t="n">
        <v>1673231.19</v>
      </c>
    </row>
    <row r="6107">
      <c r="A6107" s="3" t="inlineStr">
        <is>
          <t>Heron Fields (Pty) Ltd</t>
        </is>
      </c>
      <c r="B6107" s="4" t="n">
        <v>45382</v>
      </c>
      <c r="C6107" s="3" t="inlineStr">
        <is>
          <t>Assets</t>
        </is>
      </c>
      <c r="D6107" s="3" t="inlineStr">
        <is>
          <t>7620/640</t>
        </is>
      </c>
      <c r="E6107" s="3" t="inlineStr">
        <is>
          <t>HF CIP Project costs</t>
        </is>
      </c>
      <c r="F6107" s="3" t="n">
        <v>0</v>
      </c>
      <c r="G6107" s="3" t="n">
        <v>622274.51</v>
      </c>
    </row>
    <row r="6108">
      <c r="A6108" s="3" t="inlineStr">
        <is>
          <t>Heron View (Pty) Ltd</t>
        </is>
      </c>
      <c r="B6108" s="4" t="n">
        <v>45382</v>
      </c>
      <c r="C6108" s="3" t="inlineStr">
        <is>
          <t>Assets</t>
        </is>
      </c>
      <c r="D6108" s="3" t="inlineStr">
        <is>
          <t>7620/650</t>
        </is>
      </c>
      <c r="E6108" s="3" t="inlineStr">
        <is>
          <t>CIP - Construction Management</t>
        </is>
      </c>
      <c r="F6108" s="3" t="n">
        <v>0</v>
      </c>
      <c r="G6108" s="3" t="n">
        <v>76530</v>
      </c>
    </row>
    <row r="6109">
      <c r="A6109" s="3" t="inlineStr">
        <is>
          <t>Heron Fields (Pty) Ltd</t>
        </is>
      </c>
      <c r="B6109" s="4" t="n">
        <v>45382</v>
      </c>
      <c r="C6109" s="3" t="inlineStr">
        <is>
          <t>Assets</t>
        </is>
      </c>
      <c r="D6109" s="3" t="inlineStr">
        <is>
          <t>7620/650</t>
        </is>
      </c>
      <c r="E6109" s="3" t="inlineStr">
        <is>
          <t>HF CIP Electrical</t>
        </is>
      </c>
      <c r="F6109" s="3" t="n">
        <v>0</v>
      </c>
      <c r="G6109" s="3" t="n">
        <v>985049.6800000001</v>
      </c>
    </row>
    <row r="6110">
      <c r="A6110" s="3" t="inlineStr">
        <is>
          <t>Heron View (Pty) Ltd</t>
        </is>
      </c>
      <c r="B6110" s="4" t="n">
        <v>45382</v>
      </c>
      <c r="C6110" s="3" t="inlineStr">
        <is>
          <t>Assets</t>
        </is>
      </c>
      <c r="D6110" s="3" t="inlineStr">
        <is>
          <t>7620/660</t>
        </is>
      </c>
      <c r="E6110" s="3" t="inlineStr">
        <is>
          <t>HV CIP Health &amp; Safety</t>
        </is>
      </c>
      <c r="F6110" s="3" t="n">
        <v>1400</v>
      </c>
      <c r="G6110" s="3" t="n">
        <v>31400</v>
      </c>
    </row>
    <row r="6111">
      <c r="A6111" s="3" t="inlineStr">
        <is>
          <t>Heron View (Pty) Ltd</t>
        </is>
      </c>
      <c r="B6111" s="4" t="n">
        <v>45382</v>
      </c>
      <c r="C6111" s="3" t="inlineStr">
        <is>
          <t>Assets</t>
        </is>
      </c>
      <c r="D6111" s="3" t="inlineStr">
        <is>
          <t>7620/670</t>
        </is>
      </c>
      <c r="E6111" s="3" t="inlineStr">
        <is>
          <t>HV CIP - Project costs CPSD</t>
        </is>
      </c>
      <c r="F6111" s="3" t="n">
        <v>0</v>
      </c>
      <c r="G6111" s="3" t="n">
        <v>2693478.26</v>
      </c>
    </row>
    <row r="6112">
      <c r="A6112" s="3" t="inlineStr">
        <is>
          <t>Heron View (Pty) Ltd</t>
        </is>
      </c>
      <c r="B6112" s="4" t="n">
        <v>45382</v>
      </c>
      <c r="C6112" s="3" t="inlineStr">
        <is>
          <t>Assets</t>
        </is>
      </c>
      <c r="D6112" s="3" t="inlineStr">
        <is>
          <t>7620/680</t>
        </is>
      </c>
      <c r="E6112" s="3" t="inlineStr">
        <is>
          <t>HV CIP Elextrical</t>
        </is>
      </c>
      <c r="F6112" s="3" t="n">
        <v>0</v>
      </c>
      <c r="G6112" s="3" t="n">
        <v>1540502.11</v>
      </c>
    </row>
    <row r="6113">
      <c r="A6113" s="3" t="inlineStr">
        <is>
          <t>Heron View (Pty) Ltd</t>
        </is>
      </c>
      <c r="B6113" s="4" t="n">
        <v>45382</v>
      </c>
      <c r="C6113" s="3" t="inlineStr">
        <is>
          <t>Assets</t>
        </is>
      </c>
      <c r="D6113" s="3" t="inlineStr">
        <is>
          <t>7620/690</t>
        </is>
      </c>
      <c r="E6113" s="3" t="inlineStr">
        <is>
          <t>HV CIP Site Establishment</t>
        </is>
      </c>
      <c r="F6113" s="3" t="n">
        <v>0</v>
      </c>
      <c r="G6113" s="3" t="n">
        <v>16307183.05</v>
      </c>
    </row>
    <row r="6114">
      <c r="A6114" s="3" t="inlineStr">
        <is>
          <t>Heron Fields (Pty) Ltd</t>
        </is>
      </c>
      <c r="B6114" s="4" t="n">
        <v>45382</v>
      </c>
      <c r="C6114" s="3" t="inlineStr">
        <is>
          <t>Assets</t>
        </is>
      </c>
      <c r="D6114" s="3" t="inlineStr">
        <is>
          <t>7620/750</t>
        </is>
      </c>
      <c r="E6114" s="3" t="inlineStr">
        <is>
          <t>HF CIP Project costs CPSD</t>
        </is>
      </c>
      <c r="F6114" s="3" t="n">
        <v>0</v>
      </c>
      <c r="G6114" s="3" t="n">
        <v>2148883.15</v>
      </c>
    </row>
    <row r="6115">
      <c r="A6115" s="3" t="inlineStr">
        <is>
          <t>Heron Fields (Pty) Ltd</t>
        </is>
      </c>
      <c r="B6115" s="4" t="n">
        <v>45382</v>
      </c>
      <c r="C6115" s="3" t="inlineStr">
        <is>
          <t>Assets</t>
        </is>
      </c>
      <c r="D6115" s="3" t="inlineStr">
        <is>
          <t>7620/800</t>
        </is>
      </c>
      <c r="E6115" s="3" t="inlineStr">
        <is>
          <t>HF CIP GL Conradie</t>
        </is>
      </c>
      <c r="F6115" s="3" t="n">
        <v>0</v>
      </c>
      <c r="G6115" s="3" t="n">
        <v>1068455</v>
      </c>
    </row>
    <row r="6116">
      <c r="A6116" s="3" t="inlineStr">
        <is>
          <t>Heron View (Pty) Ltd</t>
        </is>
      </c>
      <c r="B6116" s="4" t="n">
        <v>45382</v>
      </c>
      <c r="C6116" s="3" t="inlineStr">
        <is>
          <t>Assets</t>
        </is>
      </c>
      <c r="D6116" s="3" t="inlineStr">
        <is>
          <t>7620/800</t>
        </is>
      </c>
      <c r="E6116" s="3" t="inlineStr">
        <is>
          <t>HV CIP GL Conradie</t>
        </is>
      </c>
      <c r="F6116" s="3" t="n">
        <v>0</v>
      </c>
      <c r="G6116" s="3" t="n">
        <v>2188325.96</v>
      </c>
    </row>
    <row r="6117">
      <c r="A6117" s="3" t="inlineStr">
        <is>
          <t>Heron Fields (Pty) Ltd</t>
        </is>
      </c>
      <c r="B6117" s="4" t="n">
        <v>45382</v>
      </c>
      <c r="C6117" s="3" t="inlineStr">
        <is>
          <t>Assets</t>
        </is>
      </c>
      <c r="D6117" s="3" t="inlineStr">
        <is>
          <t>7700/010</t>
        </is>
      </c>
      <c r="E6117" s="3" t="inlineStr">
        <is>
          <t>Construction 28 Feb 23 HF</t>
        </is>
      </c>
      <c r="F6117" s="3" t="n">
        <v>0</v>
      </c>
      <c r="G6117" s="3" t="n">
        <v>-24427668.44</v>
      </c>
    </row>
    <row r="6118">
      <c r="A6118" s="3" t="inlineStr">
        <is>
          <t>Cape Projects Construction (Pty) Ltd</t>
        </is>
      </c>
      <c r="B6118" s="4" t="n">
        <v>45382</v>
      </c>
      <c r="C6118" s="3" t="inlineStr">
        <is>
          <t>Assets</t>
        </is>
      </c>
      <c r="D6118" s="3" t="inlineStr">
        <is>
          <t>7800/000</t>
        </is>
      </c>
      <c r="E6118" s="3" t="inlineStr">
        <is>
          <t>Deposits paid</t>
        </is>
      </c>
      <c r="F6118" s="3" t="n">
        <v>0</v>
      </c>
      <c r="G6118" s="3" t="n">
        <v>29600</v>
      </c>
    </row>
    <row r="6119">
      <c r="A6119" s="3" t="inlineStr">
        <is>
          <t>Cape Projects Construction (Pty) Ltd</t>
        </is>
      </c>
      <c r="B6119" s="4" t="n">
        <v>45382</v>
      </c>
      <c r="C6119" s="3" t="inlineStr">
        <is>
          <t>Assets</t>
        </is>
      </c>
      <c r="D6119" s="3" t="inlineStr">
        <is>
          <t>8000/000</t>
        </is>
      </c>
      <c r="E6119" s="3" t="inlineStr">
        <is>
          <t>Customer Control Account</t>
        </is>
      </c>
      <c r="F6119" s="3" t="n">
        <v>2674255.34</v>
      </c>
      <c r="G6119" s="3" t="n">
        <v>8208383.08</v>
      </c>
    </row>
    <row r="6120">
      <c r="A6120" s="3" t="inlineStr">
        <is>
          <t>Heron Fields (Pty) Ltd</t>
        </is>
      </c>
      <c r="B6120" s="4" t="n">
        <v>45382</v>
      </c>
      <c r="C6120" s="3" t="inlineStr">
        <is>
          <t>Assets</t>
        </is>
      </c>
      <c r="D6120" s="3" t="inlineStr">
        <is>
          <t>8000/000</t>
        </is>
      </c>
      <c r="E6120" s="3" t="inlineStr">
        <is>
          <t>Customer Control Account</t>
        </is>
      </c>
      <c r="F6120" s="3" t="n">
        <v>4800.32</v>
      </c>
      <c r="G6120" s="3" t="n">
        <v>374858.13</v>
      </c>
    </row>
    <row r="6121">
      <c r="A6121" s="3" t="inlineStr">
        <is>
          <t>Heron View (Pty) Ltd</t>
        </is>
      </c>
      <c r="B6121" s="4" t="n">
        <v>45382</v>
      </c>
      <c r="C6121" s="3" t="inlineStr">
        <is>
          <t>Assets</t>
        </is>
      </c>
      <c r="D6121" s="3" t="inlineStr">
        <is>
          <t>8000/000</t>
        </is>
      </c>
      <c r="E6121" s="3" t="inlineStr">
        <is>
          <t>Customer Control Account</t>
        </is>
      </c>
      <c r="F6121" s="3" t="n">
        <v>674.77</v>
      </c>
      <c r="G6121" s="3" t="n">
        <v>1371.62</v>
      </c>
    </row>
    <row r="6122">
      <c r="A6122" s="3" t="inlineStr">
        <is>
          <t>Cape Projects Construction (Pty) Ltd</t>
        </is>
      </c>
      <c r="B6122" s="4" t="n">
        <v>45382</v>
      </c>
      <c r="C6122" s="3" t="inlineStr">
        <is>
          <t>Assets</t>
        </is>
      </c>
      <c r="D6122" s="3" t="inlineStr">
        <is>
          <t>8300/000</t>
        </is>
      </c>
      <c r="E6122" s="3" t="inlineStr">
        <is>
          <t>FNB Credit Card 8812 7100 446 6006</t>
        </is>
      </c>
      <c r="F6122" s="3" t="n">
        <v>0</v>
      </c>
      <c r="G6122" s="3" t="n">
        <v>-1935</v>
      </c>
    </row>
    <row r="6123">
      <c r="A6123" s="3" t="inlineStr">
        <is>
          <t>Heron Fields (Pty) Ltd</t>
        </is>
      </c>
      <c r="B6123" s="4" t="n">
        <v>45382</v>
      </c>
      <c r="C6123" s="3" t="inlineStr">
        <is>
          <t>Assets</t>
        </is>
      </c>
      <c r="D6123" s="3" t="inlineStr">
        <is>
          <t>8400/000</t>
        </is>
      </c>
      <c r="E6123" s="3" t="inlineStr">
        <is>
          <t>RMB - 62882379087</t>
        </is>
      </c>
      <c r="F6123" s="3" t="n">
        <v>382241.13</v>
      </c>
      <c r="G6123" s="3" t="n">
        <v>524314.86</v>
      </c>
    </row>
    <row r="6124">
      <c r="A6124" s="3" t="inlineStr">
        <is>
          <t>Cape Projects Construction (Pty) Ltd</t>
        </is>
      </c>
      <c r="B6124" s="4" t="n">
        <v>45382</v>
      </c>
      <c r="C6124" s="3" t="inlineStr">
        <is>
          <t>Assets</t>
        </is>
      </c>
      <c r="D6124" s="3" t="inlineStr">
        <is>
          <t>8400/000</t>
        </is>
      </c>
      <c r="E6124" s="3" t="inlineStr">
        <is>
          <t>RMB 62275138470</t>
        </is>
      </c>
      <c r="F6124" s="3" t="n">
        <v>84506.50999999999</v>
      </c>
      <c r="G6124" s="3" t="n">
        <v>376197.34</v>
      </c>
    </row>
    <row r="6125">
      <c r="A6125" s="3" t="inlineStr">
        <is>
          <t>Cape Projects Construction (Pty) Ltd</t>
        </is>
      </c>
      <c r="B6125" s="4" t="n">
        <v>45382</v>
      </c>
      <c r="C6125" s="3" t="inlineStr">
        <is>
          <t>Assets</t>
        </is>
      </c>
      <c r="D6125" s="3" t="inlineStr">
        <is>
          <t>8410/000</t>
        </is>
      </c>
      <c r="E6125" s="3" t="inlineStr">
        <is>
          <t>Petty Cash</t>
        </is>
      </c>
      <c r="F6125" s="3" t="n">
        <v>0</v>
      </c>
      <c r="G6125" s="3" t="n">
        <v>-1188</v>
      </c>
    </row>
    <row r="6126">
      <c r="A6126" s="3" t="inlineStr">
        <is>
          <t>Cape Projects Construction (Pty) Ltd</t>
        </is>
      </c>
      <c r="B6126" s="4" t="n">
        <v>45382</v>
      </c>
      <c r="C6126" s="3" t="inlineStr">
        <is>
          <t>Assets</t>
        </is>
      </c>
      <c r="D6126" s="3" t="inlineStr">
        <is>
          <t>8420/000</t>
        </is>
      </c>
      <c r="E6126" s="3" t="inlineStr">
        <is>
          <t>Momentum Priv Acc RU502230981</t>
        </is>
      </c>
      <c r="F6126" s="3" t="n">
        <v>0</v>
      </c>
      <c r="G6126" s="3" t="n">
        <v>571.55</v>
      </c>
    </row>
    <row r="6127">
      <c r="A6127" s="3" t="inlineStr">
        <is>
          <t>Heron Fields (Pty) Ltd</t>
        </is>
      </c>
      <c r="B6127" s="4" t="n">
        <v>45382</v>
      </c>
      <c r="C6127" s="3" t="inlineStr">
        <is>
          <t>Assets</t>
        </is>
      </c>
      <c r="D6127" s="3" t="inlineStr">
        <is>
          <t>8420/000</t>
        </is>
      </c>
      <c r="E6127" s="3" t="inlineStr">
        <is>
          <t>Petty Cash</t>
        </is>
      </c>
      <c r="F6127" s="3" t="n">
        <v>0</v>
      </c>
      <c r="G6127" s="3" t="n">
        <v>8620</v>
      </c>
    </row>
    <row r="6128">
      <c r="A6128" s="3" t="inlineStr">
        <is>
          <t>Heron Fields (Pty) Ltd</t>
        </is>
      </c>
      <c r="B6128" s="4" t="n">
        <v>45382</v>
      </c>
      <c r="C6128" s="3" t="inlineStr">
        <is>
          <t>Assets</t>
        </is>
      </c>
      <c r="D6128" s="3" t="inlineStr">
        <is>
          <t>8430/000</t>
        </is>
      </c>
      <c r="E6128" s="3" t="inlineStr">
        <is>
          <t>Momentum Private Account RU502230151</t>
        </is>
      </c>
      <c r="F6128" s="3" t="n">
        <v>0</v>
      </c>
      <c r="G6128" s="3" t="n">
        <v>889.13</v>
      </c>
    </row>
    <row r="6129">
      <c r="A6129" s="3" t="inlineStr">
        <is>
          <t>Heron Fields (Pty) Ltd</t>
        </is>
      </c>
      <c r="B6129" s="4" t="n">
        <v>45382</v>
      </c>
      <c r="C6129" s="3" t="inlineStr">
        <is>
          <t>Assets</t>
        </is>
      </c>
      <c r="D6129" s="3" t="inlineStr">
        <is>
          <t>8440/000</t>
        </is>
      </c>
      <c r="E6129" s="3" t="inlineStr">
        <is>
          <t>Momentum Investors Account RU502229930</t>
        </is>
      </c>
      <c r="F6129" s="3" t="n">
        <v>-8074255.34</v>
      </c>
      <c r="G6129" s="3" t="n">
        <v>4864735.33</v>
      </c>
    </row>
    <row r="6130">
      <c r="A6130" s="3" t="inlineStr">
        <is>
          <t>Heron Fields (Pty) Ltd</t>
        </is>
      </c>
      <c r="B6130" s="4" t="n">
        <v>45382</v>
      </c>
      <c r="C6130" s="3" t="inlineStr">
        <is>
          <t>Assets</t>
        </is>
      </c>
      <c r="D6130" s="3" t="inlineStr">
        <is>
          <t>8450/000</t>
        </is>
      </c>
      <c r="E6130" s="3" t="inlineStr">
        <is>
          <t>ABSA Current Acc : 4109071013</t>
        </is>
      </c>
      <c r="F6130" s="3" t="n">
        <v>0</v>
      </c>
      <c r="G6130" s="3" t="n">
        <v>150500</v>
      </c>
    </row>
    <row r="6131">
      <c r="A6131" s="3" t="inlineStr">
        <is>
          <t>Cape Projects Construction (Pty) Ltd</t>
        </is>
      </c>
      <c r="B6131" s="4" t="n">
        <v>45382</v>
      </c>
      <c r="C6131" s="3" t="inlineStr">
        <is>
          <t>Liabilities</t>
        </is>
      </c>
      <c r="D6131" s="3" t="inlineStr">
        <is>
          <t>860</t>
        </is>
      </c>
      <c r="E6131" s="3" t="inlineStr">
        <is>
          <t>Rounding</t>
        </is>
      </c>
      <c r="F6131" s="3" t="n">
        <v>-0.12</v>
      </c>
      <c r="G6131" s="3" t="n">
        <v>-13.06</v>
      </c>
    </row>
    <row r="6132">
      <c r="A6132" s="3" t="inlineStr">
        <is>
          <t>Heron Fields (Pty) Ltd</t>
        </is>
      </c>
      <c r="B6132" s="4" t="n">
        <v>45382</v>
      </c>
      <c r="C6132" s="3" t="inlineStr">
        <is>
          <t>Liabilities</t>
        </is>
      </c>
      <c r="D6132" s="3" t="inlineStr">
        <is>
          <t>860</t>
        </is>
      </c>
      <c r="E6132" s="3" t="inlineStr">
        <is>
          <t>Rounding</t>
        </is>
      </c>
      <c r="F6132" s="3" t="n">
        <v>0</v>
      </c>
      <c r="G6132" s="3" t="n">
        <v>0.04</v>
      </c>
    </row>
    <row r="6133">
      <c r="A6133" s="3" t="inlineStr">
        <is>
          <t>Heron View (Pty) Ltd</t>
        </is>
      </c>
      <c r="B6133" s="4" t="n">
        <v>45382</v>
      </c>
      <c r="C6133" s="3" t="inlineStr">
        <is>
          <t>Liabilities</t>
        </is>
      </c>
      <c r="D6133" s="3" t="inlineStr">
        <is>
          <t>860</t>
        </is>
      </c>
      <c r="E6133" s="3" t="inlineStr">
        <is>
          <t>Rounding</t>
        </is>
      </c>
      <c r="F6133" s="3" t="n">
        <v>0</v>
      </c>
      <c r="G6133" s="3" t="n">
        <v>-0.03</v>
      </c>
    </row>
    <row r="6134">
      <c r="A6134" s="3" t="inlineStr">
        <is>
          <t>Cape Projects Construction (Pty) Ltd</t>
        </is>
      </c>
      <c r="B6134" s="4" t="n">
        <v>45382</v>
      </c>
      <c r="C6134" s="3" t="inlineStr">
        <is>
          <t>Liabilities</t>
        </is>
      </c>
      <c r="D6134" s="3" t="inlineStr">
        <is>
          <t>9000/000</t>
        </is>
      </c>
      <c r="E6134" s="3" t="inlineStr">
        <is>
          <t>Supplier Control Account</t>
        </is>
      </c>
      <c r="F6134" s="3" t="n">
        <v>1130065.29</v>
      </c>
      <c r="G6134" s="3" t="n">
        <v>-865100.78</v>
      </c>
    </row>
    <row r="6135">
      <c r="A6135" s="3" t="inlineStr">
        <is>
          <t>Heron Fields (Pty) Ltd</t>
        </is>
      </c>
      <c r="B6135" s="4" t="n">
        <v>45382</v>
      </c>
      <c r="C6135" s="3" t="inlineStr">
        <is>
          <t>Liabilities</t>
        </is>
      </c>
      <c r="D6135" s="3" t="inlineStr">
        <is>
          <t>9000/000</t>
        </is>
      </c>
      <c r="E6135" s="3" t="inlineStr">
        <is>
          <t>Supplier Control Account</t>
        </is>
      </c>
      <c r="F6135" s="3" t="n">
        <v>-116354.22</v>
      </c>
      <c r="G6135" s="3" t="n">
        <v>-161783177.74</v>
      </c>
    </row>
    <row r="6136">
      <c r="A6136" s="3" t="inlineStr">
        <is>
          <t>Heron View (Pty) Ltd</t>
        </is>
      </c>
      <c r="B6136" s="4" t="n">
        <v>45382</v>
      </c>
      <c r="C6136" s="3" t="inlineStr">
        <is>
          <t>Liabilities</t>
        </is>
      </c>
      <c r="D6136" s="3" t="inlineStr">
        <is>
          <t>9000/000</t>
        </is>
      </c>
      <c r="E6136" s="3" t="inlineStr">
        <is>
          <t>Supplier Control Account</t>
        </is>
      </c>
      <c r="F6136" s="3" t="n">
        <v>-3330796.11</v>
      </c>
      <c r="G6136" s="3" t="n">
        <v>-8854997.640000001</v>
      </c>
    </row>
    <row r="6137">
      <c r="A6137" s="3" t="inlineStr">
        <is>
          <t>Cape Projects Construction (Pty) Ltd</t>
        </is>
      </c>
      <c r="B6137" s="4" t="n">
        <v>45382</v>
      </c>
      <c r="C6137" s="3" t="inlineStr">
        <is>
          <t>Liabilities</t>
        </is>
      </c>
      <c r="D6137" s="3" t="inlineStr">
        <is>
          <t>9200/000</t>
        </is>
      </c>
      <c r="E6137" s="3" t="inlineStr">
        <is>
          <t>Sundry Suppliers</t>
        </is>
      </c>
      <c r="F6137" s="3" t="n">
        <v>0</v>
      </c>
      <c r="G6137" s="3" t="n">
        <v>1309</v>
      </c>
    </row>
    <row r="6138">
      <c r="A6138" s="3" t="inlineStr">
        <is>
          <t>Cape Projects Construction (Pty) Ltd</t>
        </is>
      </c>
      <c r="B6138" s="4" t="n">
        <v>45382</v>
      </c>
      <c r="C6138" s="3" t="inlineStr">
        <is>
          <t>Liabilities</t>
        </is>
      </c>
      <c r="D6138" s="3" t="inlineStr">
        <is>
          <t>9250/010</t>
        </is>
      </c>
      <c r="E6138" s="3" t="inlineStr">
        <is>
          <t>SALARY CONTROL</t>
        </is>
      </c>
      <c r="F6138" s="3" t="n">
        <v>392992.71</v>
      </c>
      <c r="G6138" s="3" t="n">
        <v>392992.71</v>
      </c>
    </row>
    <row r="6139">
      <c r="A6139" s="3" t="inlineStr">
        <is>
          <t>Cape Projects Construction (Pty) Ltd</t>
        </is>
      </c>
      <c r="B6139" s="4" t="n">
        <v>45382</v>
      </c>
      <c r="C6139" s="3" t="inlineStr">
        <is>
          <t>Liabilities</t>
        </is>
      </c>
      <c r="D6139" s="3" t="inlineStr">
        <is>
          <t>9250/020</t>
        </is>
      </c>
      <c r="E6139" s="3" t="inlineStr">
        <is>
          <t>PAYE, UIF AND SDL CONTROL</t>
        </is>
      </c>
      <c r="F6139" s="3" t="n">
        <v>106119.66</v>
      </c>
      <c r="G6139" s="3" t="n">
        <v>0</v>
      </c>
    </row>
    <row r="6140">
      <c r="A6140" s="3" t="inlineStr">
        <is>
          <t>Cape Projects Construction (Pty) Ltd</t>
        </is>
      </c>
      <c r="B6140" s="4" t="n">
        <v>45382</v>
      </c>
      <c r="C6140" s="3" t="inlineStr">
        <is>
          <t>Liabilities</t>
        </is>
      </c>
      <c r="D6140" s="3" t="inlineStr">
        <is>
          <t>9250/030</t>
        </is>
      </c>
      <c r="E6140" s="3" t="inlineStr">
        <is>
          <t>BIBC CONTROL</t>
        </is>
      </c>
      <c r="F6140" s="3" t="n">
        <v>0</v>
      </c>
      <c r="G6140" s="3" t="n">
        <v>-49413.95</v>
      </c>
    </row>
    <row r="6141">
      <c r="A6141" s="3" t="inlineStr">
        <is>
          <t>Cape Projects Construction (Pty) Ltd</t>
        </is>
      </c>
      <c r="B6141" s="4" t="n">
        <v>45382</v>
      </c>
      <c r="C6141" s="3" t="inlineStr">
        <is>
          <t>Liabilities</t>
        </is>
      </c>
      <c r="D6141" s="3" t="inlineStr">
        <is>
          <t>9350/000</t>
        </is>
      </c>
      <c r="E6141" s="3" t="inlineStr">
        <is>
          <t>Dividends Payable</t>
        </is>
      </c>
      <c r="F6141" s="3" t="n">
        <v>0</v>
      </c>
      <c r="G6141" s="3" t="n">
        <v>130000</v>
      </c>
    </row>
    <row r="6142">
      <c r="A6142" s="3" t="inlineStr">
        <is>
          <t>Cape Projects Construction (Pty) Ltd</t>
        </is>
      </c>
      <c r="B6142" s="4" t="n">
        <v>45382</v>
      </c>
      <c r="C6142" s="3" t="inlineStr">
        <is>
          <t>Liabilities</t>
        </is>
      </c>
      <c r="D6142" s="3" t="inlineStr">
        <is>
          <t>9500/000</t>
        </is>
      </c>
      <c r="E6142" s="3" t="inlineStr">
        <is>
          <t>VAT Control Account</t>
        </is>
      </c>
      <c r="F6142" s="3" t="n">
        <v>-433688.9</v>
      </c>
      <c r="G6142" s="3" t="n">
        <v>-608370.1800000001</v>
      </c>
    </row>
    <row r="6143">
      <c r="A6143" s="3" t="inlineStr">
        <is>
          <t>Heron Fields (Pty) Ltd</t>
        </is>
      </c>
      <c r="B6143" s="4" t="n">
        <v>45382</v>
      </c>
      <c r="C6143" s="3" t="inlineStr">
        <is>
          <t>Liabilities</t>
        </is>
      </c>
      <c r="D6143" s="3" t="inlineStr">
        <is>
          <t>9500/000</t>
        </is>
      </c>
      <c r="E6143" s="3" t="inlineStr">
        <is>
          <t>Vat / Tax Control Account</t>
        </is>
      </c>
      <c r="F6143" s="3" t="n">
        <v>1117440.27</v>
      </c>
      <c r="G6143" s="3" t="n">
        <v>-2229522.18</v>
      </c>
    </row>
    <row r="6144">
      <c r="A6144" s="3" t="inlineStr">
        <is>
          <t>Heron View (Pty) Ltd</t>
        </is>
      </c>
      <c r="B6144" s="4" t="n">
        <v>45382</v>
      </c>
      <c r="C6144" s="3" t="inlineStr">
        <is>
          <t>Liabilities</t>
        </is>
      </c>
      <c r="D6144" s="3" t="inlineStr">
        <is>
          <t>9500/000</t>
        </is>
      </c>
      <c r="E6144" s="3" t="inlineStr">
        <is>
          <t>Vat / Tax Control Account</t>
        </is>
      </c>
      <c r="F6144" s="3" t="n">
        <v>1057494.99</v>
      </c>
      <c r="G6144" s="3" t="n">
        <v>6534209.78</v>
      </c>
    </row>
    <row r="6145">
      <c r="A6145" s="3" t="inlineStr">
        <is>
          <t>Cape Projects Construction (Pty) Ltd</t>
        </is>
      </c>
      <c r="B6145" s="4" t="n">
        <v>45382</v>
      </c>
      <c r="C6145" s="3" t="inlineStr">
        <is>
          <t>Liabilities</t>
        </is>
      </c>
      <c r="D6145" s="3" t="inlineStr">
        <is>
          <t>9510/000</t>
        </is>
      </c>
      <c r="E6145" s="3" t="inlineStr">
        <is>
          <t>Tax Provision Account</t>
        </is>
      </c>
      <c r="F6145" s="3" t="n">
        <v>0</v>
      </c>
      <c r="G6145" s="3" t="n">
        <v>-1869.8</v>
      </c>
    </row>
    <row r="6146">
      <c r="A6146" s="3" t="inlineStr">
        <is>
          <t>Heron Fields (Pty) Ltd</t>
        </is>
      </c>
      <c r="B6146" s="4" t="n">
        <v>45382</v>
      </c>
      <c r="C6146" s="3" t="inlineStr">
        <is>
          <t>Liabilities</t>
        </is>
      </c>
      <c r="D6146" s="3" t="inlineStr">
        <is>
          <t>9520/000</t>
        </is>
      </c>
      <c r="E6146" s="3" t="inlineStr">
        <is>
          <t>Income Tax Payable</t>
        </is>
      </c>
      <c r="F6146" s="3" t="n">
        <v>0</v>
      </c>
      <c r="G6146" s="3" t="n">
        <v>59039.93</v>
      </c>
    </row>
    <row r="6147">
      <c r="A6147" s="3" t="inlineStr">
        <is>
          <t>Heron View (Pty) Ltd</t>
        </is>
      </c>
      <c r="B6147" s="4" t="n">
        <v>45382</v>
      </c>
      <c r="C6147" s="3" t="inlineStr">
        <is>
          <t>Liabilities</t>
        </is>
      </c>
      <c r="D6147" s="3" t="inlineStr">
        <is>
          <t>9899/C102</t>
        </is>
      </c>
      <c r="E6147" s="3" t="inlineStr">
        <is>
          <t>Sales - Unit Reg Control C102</t>
        </is>
      </c>
      <c r="F6147" s="3" t="n">
        <v>0</v>
      </c>
      <c r="G6147" s="3" t="n">
        <v>-0.4</v>
      </c>
    </row>
    <row r="6148">
      <c r="A6148" s="3" t="inlineStr">
        <is>
          <t>Cape Projects Construction (Pty) Ltd</t>
        </is>
      </c>
      <c r="B6148" s="4" t="n">
        <v>45382</v>
      </c>
      <c r="C6148" s="3" t="inlineStr">
        <is>
          <t>Liabilities</t>
        </is>
      </c>
      <c r="D6148" s="3" t="inlineStr">
        <is>
          <t>B/S</t>
        </is>
      </c>
      <c r="E6148" s="3" t="inlineStr">
        <is>
          <t>Taxation Payable</t>
        </is>
      </c>
      <c r="F6148" s="3" t="n">
        <v>0</v>
      </c>
      <c r="G6148" s="3" t="n">
        <v>393799.61</v>
      </c>
    </row>
    <row r="6149">
      <c r="A6149" s="3" t="inlineStr">
        <is>
          <t>Cape Projects Construction (Pty) Ltd</t>
        </is>
      </c>
      <c r="B6149" s="4" t="n">
        <v>45382</v>
      </c>
      <c r="C6149" s="3" t="inlineStr">
        <is>
          <t>Liabilities</t>
        </is>
      </c>
      <c r="D6149" s="3" t="inlineStr">
        <is>
          <t>TEMP/ACC</t>
        </is>
      </c>
      <c r="E6149" s="3" t="inlineStr">
        <is>
          <t>Conversion Account</t>
        </is>
      </c>
      <c r="F6149" s="3" t="n">
        <v>0</v>
      </c>
      <c r="G6149" s="3" t="n">
        <v>-254.99</v>
      </c>
    </row>
    <row r="6150">
      <c r="A6150" s="3" t="inlineStr">
        <is>
          <t>Opportunity Global Investment (PTY) LTD</t>
        </is>
      </c>
      <c r="B6150" s="4" t="n">
        <v>44561</v>
      </c>
      <c r="C6150" s="3" t="inlineStr">
        <is>
          <t>Assets</t>
        </is>
      </c>
      <c r="D6150" s="3" t="inlineStr">
        <is>
          <t>8400/000</t>
        </is>
      </c>
      <c r="E6150" s="3" t="inlineStr">
        <is>
          <t>FNB 62093491696</t>
        </is>
      </c>
      <c r="F6150" s="3" t="n">
        <v>100228.16</v>
      </c>
      <c r="G6150" s="3" t="n">
        <v>112865.05</v>
      </c>
    </row>
    <row r="6151">
      <c r="A6151" s="3" t="inlineStr">
        <is>
          <t>Opportunity Global Sales (PTY) LTD</t>
        </is>
      </c>
      <c r="B6151" s="4" t="n">
        <v>44561</v>
      </c>
      <c r="C6151" s="3" t="inlineStr">
        <is>
          <t>Assets</t>
        </is>
      </c>
      <c r="D6151" s="3" t="inlineStr">
        <is>
          <t>8400/000</t>
        </is>
      </c>
      <c r="E6151" s="3" t="inlineStr">
        <is>
          <t>FNB 62835620875</t>
        </is>
      </c>
      <c r="F6151" s="3" t="n">
        <v>21535.56</v>
      </c>
      <c r="G6151" s="3" t="n">
        <v>34051.47</v>
      </c>
    </row>
    <row r="6152">
      <c r="A6152" s="3" t="inlineStr">
        <is>
          <t>Quinate Consulting (Pty) Ltd</t>
        </is>
      </c>
      <c r="B6152" s="4" t="n">
        <v>44561</v>
      </c>
      <c r="C6152" s="3" t="inlineStr">
        <is>
          <t>Assets</t>
        </is>
      </c>
      <c r="D6152" s="3" t="inlineStr">
        <is>
          <t>8400/000</t>
        </is>
      </c>
      <c r="E6152" s="3" t="inlineStr">
        <is>
          <t>RMB - 62736659189 - Call Acc</t>
        </is>
      </c>
      <c r="F6152" s="3" t="n">
        <v>22.63</v>
      </c>
      <c r="G6152" s="3" t="n">
        <v>152828.91</v>
      </c>
    </row>
    <row r="6153">
      <c r="A6153" s="3" t="inlineStr">
        <is>
          <t>Trademark Holdings (Pty) Ltd</t>
        </is>
      </c>
      <c r="B6153" s="4" t="n">
        <v>44561</v>
      </c>
      <c r="C6153" s="3" t="inlineStr">
        <is>
          <t>Assets</t>
        </is>
      </c>
      <c r="D6153" s="3" t="inlineStr">
        <is>
          <t>8400/000</t>
        </is>
      </c>
      <c r="E6153" s="3" t="inlineStr">
        <is>
          <t>RMB 623 693 03640</t>
        </is>
      </c>
      <c r="F6153" s="3" t="n">
        <v>43487.34</v>
      </c>
      <c r="G6153" s="3" t="n">
        <v>61453.25</v>
      </c>
    </row>
    <row r="6154">
      <c r="A6154" s="3" t="inlineStr">
        <is>
          <t>Noble Shield (Pty) Ltd ta Go Letting</t>
        </is>
      </c>
      <c r="B6154" s="4" t="n">
        <v>44561</v>
      </c>
      <c r="C6154" s="3" t="inlineStr">
        <is>
          <t>Assets</t>
        </is>
      </c>
      <c r="D6154" s="3" t="inlineStr">
        <is>
          <t>8400/000</t>
        </is>
      </c>
      <c r="E6154" s="3" t="inlineStr">
        <is>
          <t>RMB 6250 573 3833</t>
        </is>
      </c>
      <c r="F6154" s="3" t="n">
        <v>6164.74</v>
      </c>
      <c r="G6154" s="3" t="n">
        <v>36778.65</v>
      </c>
    </row>
    <row r="6155">
      <c r="A6155" s="3" t="inlineStr">
        <is>
          <t>Endulini (Pty) Ltd</t>
        </is>
      </c>
      <c r="B6155" s="4" t="n">
        <v>44561</v>
      </c>
      <c r="C6155" s="3" t="inlineStr">
        <is>
          <t>Assets</t>
        </is>
      </c>
      <c r="D6155" s="3" t="inlineStr">
        <is>
          <t>8400/000</t>
        </is>
      </c>
      <c r="E6155" s="3" t="inlineStr">
        <is>
          <t>RMB 62906944576</t>
        </is>
      </c>
      <c r="F6155" s="3" t="n">
        <v>1686.66</v>
      </c>
      <c r="G6155" s="3" t="n">
        <v>3743.29</v>
      </c>
    </row>
    <row r="6156">
      <c r="A6156" s="3" t="inlineStr">
        <is>
          <t>Opportunity Management Holdings (PTY) LTD</t>
        </is>
      </c>
      <c r="B6156" s="4" t="n">
        <v>44561</v>
      </c>
      <c r="C6156" s="3" t="inlineStr">
        <is>
          <t>Assets</t>
        </is>
      </c>
      <c r="D6156" s="3" t="inlineStr">
        <is>
          <t>8400/000</t>
        </is>
      </c>
      <c r="E6156" s="3" t="inlineStr">
        <is>
          <t>RMB Cheq - 62312246920</t>
        </is>
      </c>
      <c r="F6156" s="3" t="n">
        <v>63110.09</v>
      </c>
      <c r="G6156" s="3" t="n">
        <v>64999.74</v>
      </c>
    </row>
    <row r="6157">
      <c r="A6157" s="3" t="inlineStr">
        <is>
          <t>Opportunity Global Investment (PTY) LTD</t>
        </is>
      </c>
      <c r="B6157" s="4" t="n">
        <v>44561</v>
      </c>
      <c r="C6157" s="3" t="inlineStr">
        <is>
          <t>Assets</t>
        </is>
      </c>
      <c r="D6157" s="3" t="inlineStr">
        <is>
          <t>8405/000</t>
        </is>
      </c>
      <c r="E6157" s="3" t="inlineStr">
        <is>
          <t>FNB Trust 62762449265</t>
        </is>
      </c>
      <c r="F6157" s="3" t="n">
        <v>650.86</v>
      </c>
      <c r="G6157" s="3" t="n">
        <v>727.46</v>
      </c>
    </row>
    <row r="6158">
      <c r="A6158" s="3" t="inlineStr">
        <is>
          <t>Endulini (Pty) Ltd</t>
        </is>
      </c>
      <c r="B6158" s="4" t="n">
        <v>44561</v>
      </c>
      <c r="C6158" s="3" t="inlineStr">
        <is>
          <t>Assets</t>
        </is>
      </c>
      <c r="D6158" s="3" t="inlineStr">
        <is>
          <t>8410/000</t>
        </is>
      </c>
      <c r="E6158" s="3" t="inlineStr">
        <is>
          <t>Momentum Investor Account : RU 502229883</t>
        </is>
      </c>
      <c r="F6158" s="3" t="n">
        <v>-3643862</v>
      </c>
      <c r="G6158" s="3" t="n">
        <v>822937.7</v>
      </c>
    </row>
    <row r="6159">
      <c r="A6159" s="3" t="inlineStr">
        <is>
          <t>Opportunity Management Holdings (PTY) LTD</t>
        </is>
      </c>
      <c r="B6159" s="4" t="n">
        <v>44561</v>
      </c>
      <c r="C6159" s="3" t="inlineStr">
        <is>
          <t>Assets</t>
        </is>
      </c>
      <c r="D6159" s="3" t="inlineStr">
        <is>
          <t>8410/000</t>
        </is>
      </c>
      <c r="E6159" s="3" t="inlineStr">
        <is>
          <t>RMB Call Acc - 62312248851</t>
        </is>
      </c>
      <c r="F6159" s="3" t="n">
        <v>-259.12</v>
      </c>
      <c r="G6159" s="3" t="n">
        <v>141.03</v>
      </c>
    </row>
    <row r="6160">
      <c r="A6160" s="3" t="inlineStr">
        <is>
          <t>Noble Shield (Pty) Ltd ta Go Letting</t>
        </is>
      </c>
      <c r="B6160" s="4" t="n">
        <v>44561</v>
      </c>
      <c r="C6160" s="3" t="inlineStr">
        <is>
          <t>Assets</t>
        </is>
      </c>
      <c r="D6160" s="3" t="inlineStr">
        <is>
          <t>8410/000</t>
        </is>
      </c>
      <c r="E6160" s="3" t="inlineStr">
        <is>
          <t>RMB Trust Acc - 6250 615 1365</t>
        </is>
      </c>
      <c r="F6160" s="3" t="n">
        <v>644.54</v>
      </c>
      <c r="G6160" s="3" t="n">
        <v>681.5599999999999</v>
      </c>
    </row>
    <row r="6161">
      <c r="A6161" s="3" t="inlineStr">
        <is>
          <t>Quinate Consulting (Pty) Ltd</t>
        </is>
      </c>
      <c r="B6161" s="4" t="n">
        <v>44561</v>
      </c>
      <c r="C6161" s="3" t="inlineStr">
        <is>
          <t>Assets</t>
        </is>
      </c>
      <c r="D6161" s="3" t="inlineStr">
        <is>
          <t>8415/000</t>
        </is>
      </c>
      <c r="E6161" s="3" t="inlineStr">
        <is>
          <t>STD Acc 071 958 959 - Facility Acc</t>
        </is>
      </c>
      <c r="F6161" s="3" t="n">
        <v>-85</v>
      </c>
      <c r="G6161" s="3" t="n">
        <v>4486.21</v>
      </c>
    </row>
    <row r="6162">
      <c r="A6162" s="3" t="inlineStr">
        <is>
          <t>Quinate Consulting (Pty) Ltd</t>
        </is>
      </c>
      <c r="B6162" s="4" t="n">
        <v>44561</v>
      </c>
      <c r="C6162" s="3" t="inlineStr">
        <is>
          <t>Assets</t>
        </is>
      </c>
      <c r="D6162" s="3" t="inlineStr">
        <is>
          <t>8430/000</t>
        </is>
      </c>
      <c r="E6162" s="3" t="inlineStr">
        <is>
          <t>Momentum Investment Acc - RU502230185</t>
        </is>
      </c>
      <c r="F6162" s="3" t="n">
        <v>0</v>
      </c>
      <c r="G6162" s="3" t="n">
        <v>500</v>
      </c>
    </row>
    <row r="6163">
      <c r="A6163" s="3" t="inlineStr">
        <is>
          <t>Opportunity Global Investment (PTY) LTD</t>
        </is>
      </c>
      <c r="B6163" s="4" t="n">
        <v>44561</v>
      </c>
      <c r="C6163" s="3" t="inlineStr">
        <is>
          <t>Assets</t>
        </is>
      </c>
      <c r="D6163" s="3" t="inlineStr">
        <is>
          <t>8440/000</t>
        </is>
      </c>
      <c r="E6163" s="3" t="inlineStr">
        <is>
          <t>FNB - Call 627602764438</t>
        </is>
      </c>
      <c r="F6163" s="3" t="n">
        <v>-268.6</v>
      </c>
      <c r="G6163" s="3" t="n">
        <v>818.0700000000001</v>
      </c>
    </row>
    <row r="6164">
      <c r="A6164" s="3" t="inlineStr">
        <is>
          <t>Opportunity Global Investment (PTY) LTD</t>
        </is>
      </c>
      <c r="B6164" s="4" t="n">
        <v>44561</v>
      </c>
      <c r="C6164" s="3" t="inlineStr">
        <is>
          <t>Assets</t>
        </is>
      </c>
      <c r="D6164" s="3" t="inlineStr">
        <is>
          <t>8445/000</t>
        </is>
      </c>
      <c r="E6164" s="3" t="inlineStr">
        <is>
          <t>Momentum RU502230096</t>
        </is>
      </c>
      <c r="F6164" s="3" t="n">
        <v>48.56</v>
      </c>
      <c r="G6164" s="3" t="n">
        <v>4402.21</v>
      </c>
    </row>
    <row r="6165">
      <c r="A6165" s="3" t="inlineStr">
        <is>
          <t>Quinate Consulting (Pty) Ltd</t>
        </is>
      </c>
      <c r="B6165" s="4" t="n">
        <v>44561</v>
      </c>
      <c r="C6165" s="3" t="inlineStr">
        <is>
          <t>Assets</t>
        </is>
      </c>
      <c r="D6165" s="3" t="inlineStr">
        <is>
          <t>8450/000</t>
        </is>
      </c>
      <c r="E6165" s="3" t="inlineStr">
        <is>
          <t>A RMB 62275810820</t>
        </is>
      </c>
      <c r="F6165" s="3" t="n">
        <v>62630.13</v>
      </c>
      <c r="G6165" s="3" t="n">
        <v>89640.61</v>
      </c>
    </row>
    <row r="6166">
      <c r="A6166" s="3" t="inlineStr">
        <is>
          <t>Quinate Consulting (Pty) Ltd</t>
        </is>
      </c>
      <c r="B6166" s="4" t="n">
        <v>44561</v>
      </c>
      <c r="C6166" s="3" t="inlineStr">
        <is>
          <t>Assets</t>
        </is>
      </c>
      <c r="D6166" s="3" t="inlineStr">
        <is>
          <t>8490</t>
        </is>
      </c>
      <c r="E6166" s="3" t="inlineStr">
        <is>
          <t>STBB Trust Account</t>
        </is>
      </c>
      <c r="F6166" s="3" t="n">
        <v>0</v>
      </c>
      <c r="G6166" s="3" t="n">
        <v>200010</v>
      </c>
    </row>
    <row r="6167">
      <c r="A6167" s="3" t="inlineStr">
        <is>
          <t>Opportunity Global Investment (PTY) LTD</t>
        </is>
      </c>
      <c r="B6167" s="4" t="n">
        <v>44592</v>
      </c>
      <c r="C6167" s="3" t="inlineStr">
        <is>
          <t>Assets</t>
        </is>
      </c>
      <c r="D6167" s="3" t="inlineStr">
        <is>
          <t>8400/000</t>
        </is>
      </c>
      <c r="E6167" s="3" t="inlineStr">
        <is>
          <t>FNB 62093491696</t>
        </is>
      </c>
      <c r="F6167" s="3" t="n">
        <v>-110733.18</v>
      </c>
      <c r="G6167" s="3" t="n">
        <v>2131.87</v>
      </c>
    </row>
    <row r="6168">
      <c r="A6168" s="3" t="inlineStr">
        <is>
          <t>Opportunity Global Sales (PTY) LTD</t>
        </is>
      </c>
      <c r="B6168" s="4" t="n">
        <v>44592</v>
      </c>
      <c r="C6168" s="3" t="inlineStr">
        <is>
          <t>Assets</t>
        </is>
      </c>
      <c r="D6168" s="3" t="inlineStr">
        <is>
          <t>8400/000</t>
        </is>
      </c>
      <c r="E6168" s="3" t="inlineStr">
        <is>
          <t>FNB 62835620875</t>
        </is>
      </c>
      <c r="F6168" s="3" t="n">
        <v>-26911.36</v>
      </c>
      <c r="G6168" s="3" t="n">
        <v>7140.11</v>
      </c>
    </row>
    <row r="6169">
      <c r="A6169" s="3" t="inlineStr">
        <is>
          <t>Quinate Consulting (Pty) Ltd</t>
        </is>
      </c>
      <c r="B6169" s="4" t="n">
        <v>44592</v>
      </c>
      <c r="C6169" s="3" t="inlineStr">
        <is>
          <t>Assets</t>
        </is>
      </c>
      <c r="D6169" s="3" t="inlineStr">
        <is>
          <t>8400/000</t>
        </is>
      </c>
      <c r="E6169" s="3" t="inlineStr">
        <is>
          <t>RMB - 62736659189 - Call Acc</t>
        </is>
      </c>
      <c r="F6169" s="3" t="n">
        <v>34.88</v>
      </c>
      <c r="G6169" s="3" t="n">
        <v>152863.79</v>
      </c>
    </row>
    <row r="6170">
      <c r="A6170" s="3" t="inlineStr">
        <is>
          <t>Trademark Holdings (Pty) Ltd</t>
        </is>
      </c>
      <c r="B6170" s="4" t="n">
        <v>44592</v>
      </c>
      <c r="C6170" s="3" t="inlineStr">
        <is>
          <t>Assets</t>
        </is>
      </c>
      <c r="D6170" s="3" t="inlineStr">
        <is>
          <t>8400/000</t>
        </is>
      </c>
      <c r="E6170" s="3" t="inlineStr">
        <is>
          <t>RMB 623 693 03640</t>
        </is>
      </c>
      <c r="F6170" s="3" t="n">
        <v>-15887.08</v>
      </c>
      <c r="G6170" s="3" t="n">
        <v>45566.17</v>
      </c>
    </row>
    <row r="6171">
      <c r="A6171" s="3" t="inlineStr">
        <is>
          <t>Noble Shield (Pty) Ltd ta Go Letting</t>
        </is>
      </c>
      <c r="B6171" s="4" t="n">
        <v>44592</v>
      </c>
      <c r="C6171" s="3" t="inlineStr">
        <is>
          <t>Assets</t>
        </is>
      </c>
      <c r="D6171" s="3" t="inlineStr">
        <is>
          <t>8400/000</t>
        </is>
      </c>
      <c r="E6171" s="3" t="inlineStr">
        <is>
          <t>RMB 6250 573 3833</t>
        </is>
      </c>
      <c r="F6171" s="3" t="n">
        <v>15553.18</v>
      </c>
      <c r="G6171" s="3" t="n">
        <v>52331.83</v>
      </c>
    </row>
    <row r="6172">
      <c r="A6172" s="3" t="inlineStr">
        <is>
          <t>Endulini (Pty) Ltd</t>
        </is>
      </c>
      <c r="B6172" s="4" t="n">
        <v>44592</v>
      </c>
      <c r="C6172" s="3" t="inlineStr">
        <is>
          <t>Assets</t>
        </is>
      </c>
      <c r="D6172" s="3" t="inlineStr">
        <is>
          <t>8400/000</t>
        </is>
      </c>
      <c r="E6172" s="3" t="inlineStr">
        <is>
          <t>RMB 62906944576</t>
        </is>
      </c>
      <c r="F6172" s="3" t="n">
        <v>22854.25</v>
      </c>
      <c r="G6172" s="3" t="n">
        <v>26597.54</v>
      </c>
    </row>
    <row r="6173">
      <c r="A6173" s="3" t="inlineStr">
        <is>
          <t>Opportunity Management Holdings (PTY) LTD</t>
        </is>
      </c>
      <c r="B6173" s="4" t="n">
        <v>44592</v>
      </c>
      <c r="C6173" s="3" t="inlineStr">
        <is>
          <t>Assets</t>
        </is>
      </c>
      <c r="D6173" s="3" t="inlineStr">
        <is>
          <t>8400/000</t>
        </is>
      </c>
      <c r="E6173" s="3" t="inlineStr">
        <is>
          <t>RMB Cheq - 62312246920</t>
        </is>
      </c>
      <c r="F6173" s="3" t="n">
        <v>-42311.48</v>
      </c>
      <c r="G6173" s="3" t="n">
        <v>22688.26</v>
      </c>
    </row>
    <row r="6174">
      <c r="A6174" s="3" t="inlineStr">
        <is>
          <t>Opportunity Global Investment (PTY) LTD</t>
        </is>
      </c>
      <c r="B6174" s="4" t="n">
        <v>44592</v>
      </c>
      <c r="C6174" s="3" t="inlineStr">
        <is>
          <t>Assets</t>
        </is>
      </c>
      <c r="D6174" s="3" t="inlineStr">
        <is>
          <t>8405/000</t>
        </is>
      </c>
      <c r="E6174" s="3" t="inlineStr">
        <is>
          <t>FNB Trust 62762449265</t>
        </is>
      </c>
      <c r="F6174" s="3" t="n">
        <v>-334.92</v>
      </c>
      <c r="G6174" s="3" t="n">
        <v>392.54</v>
      </c>
    </row>
    <row r="6175">
      <c r="A6175" s="3" t="inlineStr">
        <is>
          <t>Endulini (Pty) Ltd</t>
        </is>
      </c>
      <c r="B6175" s="4" t="n">
        <v>44592</v>
      </c>
      <c r="C6175" s="3" t="inlineStr">
        <is>
          <t>Assets</t>
        </is>
      </c>
      <c r="D6175" s="3" t="inlineStr">
        <is>
          <t>8410/000</t>
        </is>
      </c>
      <c r="E6175" s="3" t="inlineStr">
        <is>
          <t>Momentum Investor Account : RU 502229883</t>
        </is>
      </c>
      <c r="F6175" s="3" t="n">
        <v>1461951.42</v>
      </c>
      <c r="G6175" s="3" t="n">
        <v>2284889.12</v>
      </c>
    </row>
    <row r="6176">
      <c r="A6176" s="3" t="inlineStr">
        <is>
          <t>Opportunity Management Holdings (PTY) LTD</t>
        </is>
      </c>
      <c r="B6176" s="4" t="n">
        <v>44592</v>
      </c>
      <c r="C6176" s="3" t="inlineStr">
        <is>
          <t>Assets</t>
        </is>
      </c>
      <c r="D6176" s="3" t="inlineStr">
        <is>
          <t>8410/000</t>
        </is>
      </c>
      <c r="E6176" s="3" t="inlineStr">
        <is>
          <t>RMB Call Acc - 62312248851</t>
        </is>
      </c>
      <c r="F6176" s="3" t="n">
        <v>751.9400000000001</v>
      </c>
      <c r="G6176" s="3" t="n">
        <v>892.97</v>
      </c>
    </row>
    <row r="6177">
      <c r="A6177" s="3" t="inlineStr">
        <is>
          <t>Noble Shield (Pty) Ltd ta Go Letting</t>
        </is>
      </c>
      <c r="B6177" s="4" t="n">
        <v>44592</v>
      </c>
      <c r="C6177" s="3" t="inlineStr">
        <is>
          <t>Assets</t>
        </is>
      </c>
      <c r="D6177" s="3" t="inlineStr">
        <is>
          <t>8410/000</t>
        </is>
      </c>
      <c r="E6177" s="3" t="inlineStr">
        <is>
          <t>RMB Trust Acc - 6250 615 1365</t>
        </is>
      </c>
      <c r="F6177" s="3" t="n">
        <v>-347.56</v>
      </c>
      <c r="G6177" s="3" t="n">
        <v>334</v>
      </c>
    </row>
    <row r="6178">
      <c r="A6178" s="3" t="inlineStr">
        <is>
          <t>Quinate Consulting (Pty) Ltd</t>
        </is>
      </c>
      <c r="B6178" s="4" t="n">
        <v>44592</v>
      </c>
      <c r="C6178" s="3" t="inlineStr">
        <is>
          <t>Assets</t>
        </is>
      </c>
      <c r="D6178" s="3" t="inlineStr">
        <is>
          <t>8415/000</t>
        </is>
      </c>
      <c r="E6178" s="3" t="inlineStr">
        <is>
          <t>STD Acc 071 958 959 - Facility Acc</t>
        </is>
      </c>
      <c r="F6178" s="3" t="n">
        <v>0</v>
      </c>
      <c r="G6178" s="3" t="n">
        <v>4486.21</v>
      </c>
    </row>
    <row r="6179">
      <c r="A6179" s="3" t="inlineStr">
        <is>
          <t>Quinate Consulting (Pty) Ltd</t>
        </is>
      </c>
      <c r="B6179" s="4" t="n">
        <v>44592</v>
      </c>
      <c r="C6179" s="3" t="inlineStr">
        <is>
          <t>Assets</t>
        </is>
      </c>
      <c r="D6179" s="3" t="inlineStr">
        <is>
          <t>8430/000</t>
        </is>
      </c>
      <c r="E6179" s="3" t="inlineStr">
        <is>
          <t>Momentum Investment Acc - RU502230185</t>
        </is>
      </c>
      <c r="F6179" s="3" t="n">
        <v>0</v>
      </c>
      <c r="G6179" s="3" t="n">
        <v>500</v>
      </c>
    </row>
    <row r="6180">
      <c r="A6180" s="3" t="inlineStr">
        <is>
          <t>Opportunity Global Investment (PTY) LTD</t>
        </is>
      </c>
      <c r="B6180" s="4" t="n">
        <v>44592</v>
      </c>
      <c r="C6180" s="3" t="inlineStr">
        <is>
          <t>Assets</t>
        </is>
      </c>
      <c r="D6180" s="3" t="inlineStr">
        <is>
          <t>8440/000</t>
        </is>
      </c>
      <c r="E6180" s="3" t="inlineStr">
        <is>
          <t>FNB - Call 627602764438</t>
        </is>
      </c>
      <c r="F6180" s="3" t="n">
        <v>-259.12</v>
      </c>
      <c r="G6180" s="3" t="n">
        <v>558.95</v>
      </c>
    </row>
    <row r="6181">
      <c r="A6181" s="3" t="inlineStr">
        <is>
          <t>Opportunity Global Investment (PTY) LTD</t>
        </is>
      </c>
      <c r="B6181" s="4" t="n">
        <v>44592</v>
      </c>
      <c r="C6181" s="3" t="inlineStr">
        <is>
          <t>Assets</t>
        </is>
      </c>
      <c r="D6181" s="3" t="inlineStr">
        <is>
          <t>8445/000</t>
        </is>
      </c>
      <c r="E6181" s="3" t="inlineStr">
        <is>
          <t>Momentum RU502230096</t>
        </is>
      </c>
      <c r="F6181" s="3" t="n">
        <v>17.27</v>
      </c>
      <c r="G6181" s="3" t="n">
        <v>4419.48</v>
      </c>
    </row>
    <row r="6182">
      <c r="A6182" s="3" t="inlineStr">
        <is>
          <t>Quinate Consulting (Pty) Ltd</t>
        </is>
      </c>
      <c r="B6182" s="4" t="n">
        <v>44592</v>
      </c>
      <c r="C6182" s="3" t="inlineStr">
        <is>
          <t>Assets</t>
        </is>
      </c>
      <c r="D6182" s="3" t="inlineStr">
        <is>
          <t>8450/000</t>
        </is>
      </c>
      <c r="E6182" s="3" t="inlineStr">
        <is>
          <t>A RMB 62275810820</t>
        </is>
      </c>
      <c r="F6182" s="3" t="n">
        <v>-73294.75999999999</v>
      </c>
      <c r="G6182" s="3" t="n">
        <v>16345.85</v>
      </c>
    </row>
    <row r="6183">
      <c r="A6183" s="3" t="inlineStr">
        <is>
          <t>Quinate Consulting (Pty) Ltd</t>
        </is>
      </c>
      <c r="B6183" s="4" t="n">
        <v>44592</v>
      </c>
      <c r="C6183" s="3" t="inlineStr">
        <is>
          <t>Assets</t>
        </is>
      </c>
      <c r="D6183" s="3" t="inlineStr">
        <is>
          <t>8490</t>
        </is>
      </c>
      <c r="E6183" s="3" t="inlineStr">
        <is>
          <t>STBB Trust Account</t>
        </is>
      </c>
      <c r="F6183" s="3" t="n">
        <v>0</v>
      </c>
      <c r="G6183" s="3" t="n">
        <v>200010</v>
      </c>
    </row>
    <row r="6184">
      <c r="A6184" s="3" t="inlineStr">
        <is>
          <t>Opportunity Global Investment (PTY) LTD</t>
        </is>
      </c>
      <c r="B6184" s="4" t="n">
        <v>44620</v>
      </c>
      <c r="C6184" s="3" t="inlineStr">
        <is>
          <t>Assets</t>
        </is>
      </c>
      <c r="D6184" s="3" t="inlineStr">
        <is>
          <t>8400/000</t>
        </is>
      </c>
      <c r="E6184" s="3" t="inlineStr">
        <is>
          <t>FNB 62093491696</t>
        </is>
      </c>
      <c r="F6184" s="3" t="n">
        <v>26671.29</v>
      </c>
      <c r="G6184" s="3" t="n">
        <v>28803.16</v>
      </c>
    </row>
    <row r="6185">
      <c r="A6185" s="3" t="inlineStr">
        <is>
          <t>Opportunity Global Sales (PTY) LTD</t>
        </is>
      </c>
      <c r="B6185" s="4" t="n">
        <v>44620</v>
      </c>
      <c r="C6185" s="3" t="inlineStr">
        <is>
          <t>Assets</t>
        </is>
      </c>
      <c r="D6185" s="3" t="inlineStr">
        <is>
          <t>8400/000</t>
        </is>
      </c>
      <c r="E6185" s="3" t="inlineStr">
        <is>
          <t>FNB 62835620875</t>
        </is>
      </c>
      <c r="F6185" s="3" t="n">
        <v>30196.19</v>
      </c>
      <c r="G6185" s="3" t="n">
        <v>37336.3</v>
      </c>
    </row>
    <row r="6186">
      <c r="A6186" s="3" t="inlineStr">
        <is>
          <t>Quinate Consulting (Pty) Ltd</t>
        </is>
      </c>
      <c r="B6186" s="4" t="n">
        <v>44620</v>
      </c>
      <c r="C6186" s="3" t="inlineStr">
        <is>
          <t>Assets</t>
        </is>
      </c>
      <c r="D6186" s="3" t="inlineStr">
        <is>
          <t>8400/000</t>
        </is>
      </c>
      <c r="E6186" s="3" t="inlineStr">
        <is>
          <t>RMB - 62736659189 - Call Acc</t>
        </is>
      </c>
      <c r="F6186" s="3" t="n">
        <v>2.9</v>
      </c>
      <c r="G6186" s="3" t="n">
        <v>152866.69</v>
      </c>
    </row>
    <row r="6187">
      <c r="A6187" s="3" t="inlineStr">
        <is>
          <t>Trademark Holdings (Pty) Ltd</t>
        </is>
      </c>
      <c r="B6187" s="4" t="n">
        <v>44620</v>
      </c>
      <c r="C6187" s="3" t="inlineStr">
        <is>
          <t>Assets</t>
        </is>
      </c>
      <c r="D6187" s="3" t="inlineStr">
        <is>
          <t>8400/000</t>
        </is>
      </c>
      <c r="E6187" s="3" t="inlineStr">
        <is>
          <t>RMB 623 693 03640</t>
        </is>
      </c>
      <c r="F6187" s="3" t="n">
        <v>-13480.8</v>
      </c>
      <c r="G6187" s="3" t="n">
        <v>32085.37</v>
      </c>
    </row>
    <row r="6188">
      <c r="A6188" s="3" t="inlineStr">
        <is>
          <t>Noble Shield (Pty) Ltd ta Go Letting</t>
        </is>
      </c>
      <c r="B6188" s="4" t="n">
        <v>44620</v>
      </c>
      <c r="C6188" s="3" t="inlineStr">
        <is>
          <t>Assets</t>
        </is>
      </c>
      <c r="D6188" s="3" t="inlineStr">
        <is>
          <t>8400/000</t>
        </is>
      </c>
      <c r="E6188" s="3" t="inlineStr">
        <is>
          <t>RMB 6250 573 3833</t>
        </is>
      </c>
      <c r="F6188" s="3" t="n">
        <v>-23467.04</v>
      </c>
      <c r="G6188" s="3" t="n">
        <v>28864.79</v>
      </c>
    </row>
    <row r="6189">
      <c r="A6189" s="3" t="inlineStr">
        <is>
          <t>Endulini (Pty) Ltd</t>
        </is>
      </c>
      <c r="B6189" s="4" t="n">
        <v>44620</v>
      </c>
      <c r="C6189" s="3" t="inlineStr">
        <is>
          <t>Assets</t>
        </is>
      </c>
      <c r="D6189" s="3" t="inlineStr">
        <is>
          <t>8400/000</t>
        </is>
      </c>
      <c r="E6189" s="3" t="inlineStr">
        <is>
          <t>RMB 62906944576</t>
        </is>
      </c>
      <c r="F6189" s="3" t="n">
        <v>66754.07000000001</v>
      </c>
      <c r="G6189" s="3" t="n">
        <v>93351.61</v>
      </c>
    </row>
    <row r="6190">
      <c r="A6190" s="3" t="inlineStr">
        <is>
          <t>Opportunity Management Holdings (PTY) LTD</t>
        </is>
      </c>
      <c r="B6190" s="4" t="n">
        <v>44620</v>
      </c>
      <c r="C6190" s="3" t="inlineStr">
        <is>
          <t>Assets</t>
        </is>
      </c>
      <c r="D6190" s="3" t="inlineStr">
        <is>
          <t>8400/000</t>
        </is>
      </c>
      <c r="E6190" s="3" t="inlineStr">
        <is>
          <t>RMB Cheq - 62312246920</t>
        </is>
      </c>
      <c r="F6190" s="3" t="n">
        <v>-1707.13</v>
      </c>
      <c r="G6190" s="3" t="n">
        <v>20981.13</v>
      </c>
    </row>
    <row r="6191">
      <c r="A6191" s="3" t="inlineStr">
        <is>
          <t>Opportunity Global Investment (PTY) LTD</t>
        </is>
      </c>
      <c r="B6191" s="4" t="n">
        <v>44620</v>
      </c>
      <c r="C6191" s="3" t="inlineStr">
        <is>
          <t>Assets</t>
        </is>
      </c>
      <c r="D6191" s="3" t="inlineStr">
        <is>
          <t>8405/000</t>
        </is>
      </c>
      <c r="E6191" s="3" t="inlineStr">
        <is>
          <t>FNB Trust 62762449265</t>
        </is>
      </c>
      <c r="F6191" s="3" t="n">
        <v>-390.22</v>
      </c>
      <c r="G6191" s="3" t="n">
        <v>2.32</v>
      </c>
    </row>
    <row r="6192">
      <c r="A6192" s="3" t="inlineStr">
        <is>
          <t>Endulini (Pty) Ltd</t>
        </is>
      </c>
      <c r="B6192" s="4" t="n">
        <v>44620</v>
      </c>
      <c r="C6192" s="3" t="inlineStr">
        <is>
          <t>Assets</t>
        </is>
      </c>
      <c r="D6192" s="3" t="inlineStr">
        <is>
          <t>8410/000</t>
        </is>
      </c>
      <c r="E6192" s="3" t="inlineStr">
        <is>
          <t>Momentum Investor Account : RU 502229883</t>
        </is>
      </c>
      <c r="F6192" s="3" t="n">
        <v>-1285162.56</v>
      </c>
      <c r="G6192" s="3" t="n">
        <v>999726.5600000001</v>
      </c>
    </row>
    <row r="6193">
      <c r="A6193" s="3" t="inlineStr">
        <is>
          <t>Opportunity Management Holdings (PTY) LTD</t>
        </is>
      </c>
      <c r="B6193" s="4" t="n">
        <v>44620</v>
      </c>
      <c r="C6193" s="3" t="inlineStr">
        <is>
          <t>Assets</t>
        </is>
      </c>
      <c r="D6193" s="3" t="inlineStr">
        <is>
          <t>8410/000</t>
        </is>
      </c>
      <c r="E6193" s="3" t="inlineStr">
        <is>
          <t>RMB Call Acc - 62312248851</t>
        </is>
      </c>
      <c r="F6193" s="3" t="n">
        <v>-279.66</v>
      </c>
      <c r="G6193" s="3" t="n">
        <v>613.3099999999999</v>
      </c>
    </row>
    <row r="6194">
      <c r="A6194" s="3" t="inlineStr">
        <is>
          <t>Noble Shield (Pty) Ltd ta Go Letting</t>
        </is>
      </c>
      <c r="B6194" s="4" t="n">
        <v>44620</v>
      </c>
      <c r="C6194" s="3" t="inlineStr">
        <is>
          <t>Assets</t>
        </is>
      </c>
      <c r="D6194" s="3" t="inlineStr">
        <is>
          <t>8410/000</t>
        </is>
      </c>
      <c r="E6194" s="3" t="inlineStr">
        <is>
          <t>RMB Trust Acc - 6250 615 1365</t>
        </is>
      </c>
      <c r="F6194" s="3" t="n">
        <v>601.88</v>
      </c>
      <c r="G6194" s="3" t="n">
        <v>935.88</v>
      </c>
    </row>
    <row r="6195">
      <c r="A6195" s="3" t="inlineStr">
        <is>
          <t>Quinate Consulting (Pty) Ltd</t>
        </is>
      </c>
      <c r="B6195" s="4" t="n">
        <v>44620</v>
      </c>
      <c r="C6195" s="3" t="inlineStr">
        <is>
          <t>Assets</t>
        </is>
      </c>
      <c r="D6195" s="3" t="inlineStr">
        <is>
          <t>8415/000</t>
        </is>
      </c>
      <c r="E6195" s="3" t="inlineStr">
        <is>
          <t>STD Acc 071 958 959 - Facility Acc</t>
        </is>
      </c>
      <c r="F6195" s="3" t="n">
        <v>-170</v>
      </c>
      <c r="G6195" s="3" t="n">
        <v>4316.21</v>
      </c>
    </row>
    <row r="6196">
      <c r="A6196" s="3" t="inlineStr">
        <is>
          <t>Quinate Consulting (Pty) Ltd</t>
        </is>
      </c>
      <c r="B6196" s="4" t="n">
        <v>44620</v>
      </c>
      <c r="C6196" s="3" t="inlineStr">
        <is>
          <t>Assets</t>
        </is>
      </c>
      <c r="D6196" s="3" t="inlineStr">
        <is>
          <t>8430/000</t>
        </is>
      </c>
      <c r="E6196" s="3" t="inlineStr">
        <is>
          <t>Momentum Investment Acc - RU502230185</t>
        </is>
      </c>
      <c r="F6196" s="3" t="n">
        <v>7.48</v>
      </c>
      <c r="G6196" s="3" t="n">
        <v>507.48</v>
      </c>
    </row>
    <row r="6197">
      <c r="A6197" s="3" t="inlineStr">
        <is>
          <t>Opportunity Global Investment (PTY) LTD</t>
        </is>
      </c>
      <c r="B6197" s="4" t="n">
        <v>44620</v>
      </c>
      <c r="C6197" s="3" t="inlineStr">
        <is>
          <t>Assets</t>
        </is>
      </c>
      <c r="D6197" s="3" t="inlineStr">
        <is>
          <t>8440/000</t>
        </is>
      </c>
      <c r="E6197" s="3" t="inlineStr">
        <is>
          <t>FNB - Call 627602764438</t>
        </is>
      </c>
      <c r="F6197" s="3" t="n">
        <v>-284.4</v>
      </c>
      <c r="G6197" s="3" t="n">
        <v>274.55</v>
      </c>
    </row>
    <row r="6198">
      <c r="A6198" s="3" t="inlineStr">
        <is>
          <t>Opportunity Global Investment (PTY) LTD</t>
        </is>
      </c>
      <c r="B6198" s="4" t="n">
        <v>44620</v>
      </c>
      <c r="C6198" s="3" t="inlineStr">
        <is>
          <t>Assets</t>
        </is>
      </c>
      <c r="D6198" s="3" t="inlineStr">
        <is>
          <t>8445/000</t>
        </is>
      </c>
      <c r="E6198" s="3" t="inlineStr">
        <is>
          <t>Momentum RU502230096</t>
        </is>
      </c>
      <c r="F6198" s="3" t="n">
        <v>15.68</v>
      </c>
      <c r="G6198" s="3" t="n">
        <v>4435.16</v>
      </c>
    </row>
    <row r="6199">
      <c r="A6199" s="3" t="inlineStr">
        <is>
          <t>Quinate Consulting (Pty) Ltd</t>
        </is>
      </c>
      <c r="B6199" s="4" t="n">
        <v>44620</v>
      </c>
      <c r="C6199" s="3" t="inlineStr">
        <is>
          <t>Assets</t>
        </is>
      </c>
      <c r="D6199" s="3" t="inlineStr">
        <is>
          <t>8450/000</t>
        </is>
      </c>
      <c r="E6199" s="3" t="inlineStr">
        <is>
          <t>A RMB 62275810820</t>
        </is>
      </c>
      <c r="F6199" s="3" t="n">
        <v>22198</v>
      </c>
      <c r="G6199" s="3" t="n">
        <v>38543.85</v>
      </c>
    </row>
    <row r="6200">
      <c r="A6200" s="3" t="inlineStr">
        <is>
          <t>Opportunity Management Holdings (PTY) LTD</t>
        </is>
      </c>
      <c r="B6200" s="4" t="n">
        <v>44620</v>
      </c>
      <c r="C6200" s="3" t="inlineStr">
        <is>
          <t>Assets</t>
        </is>
      </c>
      <c r="D6200" s="3" t="inlineStr">
        <is>
          <t>8450/000</t>
        </is>
      </c>
      <c r="E6200" s="3" t="inlineStr">
        <is>
          <t>Petty Cash - CT Office</t>
        </is>
      </c>
      <c r="F6200" s="3" t="n">
        <v>1240.7</v>
      </c>
      <c r="G6200" s="3" t="n">
        <v>1240.7</v>
      </c>
    </row>
    <row r="6201">
      <c r="A6201" s="3" t="inlineStr">
        <is>
          <t>Quinate Consulting (Pty) Ltd</t>
        </is>
      </c>
      <c r="B6201" s="4" t="n">
        <v>44620</v>
      </c>
      <c r="C6201" s="3" t="inlineStr">
        <is>
          <t>Assets</t>
        </is>
      </c>
      <c r="D6201" s="3" t="inlineStr">
        <is>
          <t>8490</t>
        </is>
      </c>
      <c r="E6201" s="3" t="inlineStr">
        <is>
          <t>STBB Trust Account</t>
        </is>
      </c>
      <c r="F6201" s="3" t="n">
        <v>-200010</v>
      </c>
      <c r="G6201" s="3" t="n">
        <v>0</v>
      </c>
    </row>
    <row r="6202">
      <c r="A6202" s="3" t="inlineStr">
        <is>
          <t>Opportunity Global Investment (PTY) LTD</t>
        </is>
      </c>
      <c r="B6202" s="4" t="n">
        <v>44651</v>
      </c>
      <c r="C6202" s="3" t="inlineStr">
        <is>
          <t>Assets</t>
        </is>
      </c>
      <c r="D6202" s="3" t="inlineStr">
        <is>
          <t>8400/000</t>
        </is>
      </c>
      <c r="E6202" s="3" t="inlineStr">
        <is>
          <t>FNB 62093491696</t>
        </is>
      </c>
      <c r="F6202" s="3" t="n">
        <v>111644.74</v>
      </c>
      <c r="G6202" s="3" t="n">
        <v>140447.9</v>
      </c>
    </row>
    <row r="6203">
      <c r="A6203" s="3" t="inlineStr">
        <is>
          <t>Opportunity Global Sales (PTY) LTD</t>
        </is>
      </c>
      <c r="B6203" s="4" t="n">
        <v>44651</v>
      </c>
      <c r="C6203" s="3" t="inlineStr">
        <is>
          <t>Assets</t>
        </is>
      </c>
      <c r="D6203" s="3" t="inlineStr">
        <is>
          <t>8400/000</t>
        </is>
      </c>
      <c r="E6203" s="3" t="inlineStr">
        <is>
          <t>FNB 62835620875</t>
        </is>
      </c>
      <c r="F6203" s="3" t="n">
        <v>-8809.52</v>
      </c>
      <c r="G6203" s="3" t="n">
        <v>28526.78</v>
      </c>
    </row>
    <row r="6204">
      <c r="A6204" s="3" t="inlineStr">
        <is>
          <t>Quinate Consulting (Pty) Ltd</t>
        </is>
      </c>
      <c r="B6204" s="4" t="n">
        <v>44651</v>
      </c>
      <c r="C6204" s="3" t="inlineStr">
        <is>
          <t>Assets</t>
        </is>
      </c>
      <c r="D6204" s="3" t="inlineStr">
        <is>
          <t>8400/000</t>
        </is>
      </c>
      <c r="E6204" s="3" t="inlineStr">
        <is>
          <t>RMB - 62736659189 - Call Acc</t>
        </is>
      </c>
      <c r="F6204" s="3" t="n">
        <v>-177.04</v>
      </c>
      <c r="G6204" s="3" t="n">
        <v>152689.65</v>
      </c>
    </row>
    <row r="6205">
      <c r="A6205" s="3" t="inlineStr">
        <is>
          <t>Trademark Holdings (Pty) Ltd</t>
        </is>
      </c>
      <c r="B6205" s="4" t="n">
        <v>44651</v>
      </c>
      <c r="C6205" s="3" t="inlineStr">
        <is>
          <t>Assets</t>
        </is>
      </c>
      <c r="D6205" s="3" t="inlineStr">
        <is>
          <t>8400/000</t>
        </is>
      </c>
      <c r="E6205" s="3" t="inlineStr">
        <is>
          <t>RMB 623 693 03640</t>
        </is>
      </c>
      <c r="F6205" s="3" t="n">
        <v>8384.370000000001</v>
      </c>
      <c r="G6205" s="3" t="n">
        <v>40469.74</v>
      </c>
    </row>
    <row r="6206">
      <c r="A6206" s="3" t="inlineStr">
        <is>
          <t>Noble Shield (Pty) Ltd ta Go Letting</t>
        </is>
      </c>
      <c r="B6206" s="4" t="n">
        <v>44651</v>
      </c>
      <c r="C6206" s="3" t="inlineStr">
        <is>
          <t>Assets</t>
        </is>
      </c>
      <c r="D6206" s="3" t="inlineStr">
        <is>
          <t>8400/000</t>
        </is>
      </c>
      <c r="E6206" s="3" t="inlineStr">
        <is>
          <t>RMB 6250 573 3833</t>
        </is>
      </c>
      <c r="F6206" s="3" t="n">
        <v>15459.2</v>
      </c>
      <c r="G6206" s="3" t="n">
        <v>44323.99</v>
      </c>
    </row>
    <row r="6207">
      <c r="A6207" s="3" t="inlineStr">
        <is>
          <t>Endulini (Pty) Ltd</t>
        </is>
      </c>
      <c r="B6207" s="4" t="n">
        <v>44651</v>
      </c>
      <c r="C6207" s="3" t="inlineStr">
        <is>
          <t>Assets</t>
        </is>
      </c>
      <c r="D6207" s="3" t="inlineStr">
        <is>
          <t>8400/000</t>
        </is>
      </c>
      <c r="E6207" s="3" t="inlineStr">
        <is>
          <t>RMB 62906944576</t>
        </is>
      </c>
      <c r="F6207" s="3" t="n">
        <v>90249.8</v>
      </c>
      <c r="G6207" s="3" t="n">
        <v>183601.41</v>
      </c>
    </row>
    <row r="6208">
      <c r="A6208" s="3" t="inlineStr">
        <is>
          <t>Opportunity Management Holdings (PTY) LTD</t>
        </is>
      </c>
      <c r="B6208" s="4" t="n">
        <v>44651</v>
      </c>
      <c r="C6208" s="3" t="inlineStr">
        <is>
          <t>Assets</t>
        </is>
      </c>
      <c r="D6208" s="3" t="inlineStr">
        <is>
          <t>8400/000</t>
        </is>
      </c>
      <c r="E6208" s="3" t="inlineStr">
        <is>
          <t>RMB Cheq - 62312246920</t>
        </is>
      </c>
      <c r="F6208" s="3" t="n">
        <v>73355.94</v>
      </c>
      <c r="G6208" s="3" t="n">
        <v>94337.07000000001</v>
      </c>
    </row>
    <row r="6209">
      <c r="A6209" s="3" t="inlineStr">
        <is>
          <t>Opportunity Global Investment (PTY) LTD</t>
        </is>
      </c>
      <c r="B6209" s="4" t="n">
        <v>44651</v>
      </c>
      <c r="C6209" s="3" t="inlineStr">
        <is>
          <t>Assets</t>
        </is>
      </c>
      <c r="D6209" s="3" t="inlineStr">
        <is>
          <t>8405/000</t>
        </is>
      </c>
      <c r="E6209" s="3" t="inlineStr">
        <is>
          <t>FNB Trust 62762449265</t>
        </is>
      </c>
      <c r="F6209" s="3" t="n">
        <v>454.94</v>
      </c>
      <c r="G6209" s="3" t="n">
        <v>457.26</v>
      </c>
    </row>
    <row r="6210">
      <c r="A6210" s="3" t="inlineStr">
        <is>
          <t>Endulini (Pty) Ltd</t>
        </is>
      </c>
      <c r="B6210" s="4" t="n">
        <v>44651</v>
      </c>
      <c r="C6210" s="3" t="inlineStr">
        <is>
          <t>Assets</t>
        </is>
      </c>
      <c r="D6210" s="3" t="inlineStr">
        <is>
          <t>8410/000</t>
        </is>
      </c>
      <c r="E6210" s="3" t="inlineStr">
        <is>
          <t>Momentum Investor Account : RU 502229883</t>
        </is>
      </c>
      <c r="F6210" s="3" t="n">
        <v>-101662.2</v>
      </c>
      <c r="G6210" s="3" t="n">
        <v>898064.36</v>
      </c>
    </row>
    <row r="6211">
      <c r="A6211" s="3" t="inlineStr">
        <is>
          <t>Opportunity Management Holdings (PTY) LTD</t>
        </is>
      </c>
      <c r="B6211" s="4" t="n">
        <v>44651</v>
      </c>
      <c r="C6211" s="3" t="inlineStr">
        <is>
          <t>Assets</t>
        </is>
      </c>
      <c r="D6211" s="3" t="inlineStr">
        <is>
          <t>8410/000</t>
        </is>
      </c>
      <c r="E6211" s="3" t="inlineStr">
        <is>
          <t>RMB Call Acc - 62312248851</t>
        </is>
      </c>
      <c r="F6211" s="3" t="n">
        <v>-387.1</v>
      </c>
      <c r="G6211" s="3" t="n">
        <v>226.21</v>
      </c>
    </row>
    <row r="6212">
      <c r="A6212" s="3" t="inlineStr">
        <is>
          <t>Noble Shield (Pty) Ltd ta Go Letting</t>
        </is>
      </c>
      <c r="B6212" s="4" t="n">
        <v>44651</v>
      </c>
      <c r="C6212" s="3" t="inlineStr">
        <is>
          <t>Assets</t>
        </is>
      </c>
      <c r="D6212" s="3" t="inlineStr">
        <is>
          <t>8410/000</t>
        </is>
      </c>
      <c r="E6212" s="3" t="inlineStr">
        <is>
          <t>RMB Trust Acc - 6250 615 1365</t>
        </is>
      </c>
      <c r="F6212" s="3" t="n">
        <v>-565.6</v>
      </c>
      <c r="G6212" s="3" t="n">
        <v>370.28</v>
      </c>
    </row>
    <row r="6213">
      <c r="A6213" s="3" t="inlineStr">
        <is>
          <t>Quinate Consulting (Pty) Ltd</t>
        </is>
      </c>
      <c r="B6213" s="4" t="n">
        <v>44651</v>
      </c>
      <c r="C6213" s="3" t="inlineStr">
        <is>
          <t>Assets</t>
        </is>
      </c>
      <c r="D6213" s="3" t="inlineStr">
        <is>
          <t>8415/000</t>
        </is>
      </c>
      <c r="E6213" s="3" t="inlineStr">
        <is>
          <t>STD Acc 071 958 959 - Facility Acc</t>
        </is>
      </c>
      <c r="F6213" s="3" t="n">
        <v>-85</v>
      </c>
      <c r="G6213" s="3" t="n">
        <v>4231.21</v>
      </c>
    </row>
    <row r="6214">
      <c r="A6214" s="3" t="inlineStr">
        <is>
          <t>Quinate Consulting (Pty) Ltd</t>
        </is>
      </c>
      <c r="B6214" s="4" t="n">
        <v>44651</v>
      </c>
      <c r="C6214" s="3" t="inlineStr">
        <is>
          <t>Assets</t>
        </is>
      </c>
      <c r="D6214" s="3" t="inlineStr">
        <is>
          <t>8430/000</t>
        </is>
      </c>
      <c r="E6214" s="3" t="inlineStr">
        <is>
          <t>Momentum Investment Acc - RU502230185</t>
        </is>
      </c>
      <c r="F6214" s="3" t="n">
        <v>1.79</v>
      </c>
      <c r="G6214" s="3" t="n">
        <v>509.27</v>
      </c>
    </row>
    <row r="6215">
      <c r="A6215" s="3" t="inlineStr">
        <is>
          <t>Opportunity Global Investment (PTY) LTD</t>
        </is>
      </c>
      <c r="B6215" s="4" t="n">
        <v>44651</v>
      </c>
      <c r="C6215" s="3" t="inlineStr">
        <is>
          <t>Assets</t>
        </is>
      </c>
      <c r="D6215" s="3" t="inlineStr">
        <is>
          <t>8440/000</t>
        </is>
      </c>
      <c r="E6215" s="3" t="inlineStr">
        <is>
          <t>FNB - Call 627602764438</t>
        </is>
      </c>
      <c r="F6215" s="3" t="n">
        <v>601.84</v>
      </c>
      <c r="G6215" s="3" t="n">
        <v>876.39</v>
      </c>
    </row>
    <row r="6216">
      <c r="A6216" s="3" t="inlineStr">
        <is>
          <t>Opportunity Global Investment (PTY) LTD</t>
        </is>
      </c>
      <c r="B6216" s="4" t="n">
        <v>44651</v>
      </c>
      <c r="C6216" s="3" t="inlineStr">
        <is>
          <t>Assets</t>
        </is>
      </c>
      <c r="D6216" s="3" t="inlineStr">
        <is>
          <t>8445/000</t>
        </is>
      </c>
      <c r="E6216" s="3" t="inlineStr">
        <is>
          <t>Momentum RU502230096</t>
        </is>
      </c>
      <c r="F6216" s="3" t="n">
        <v>17.58</v>
      </c>
      <c r="G6216" s="3" t="n">
        <v>4452.74</v>
      </c>
    </row>
    <row r="6217">
      <c r="A6217" s="3" t="inlineStr">
        <is>
          <t>Quinate Consulting (Pty) Ltd</t>
        </is>
      </c>
      <c r="B6217" s="4" t="n">
        <v>44651</v>
      </c>
      <c r="C6217" s="3" t="inlineStr">
        <is>
          <t>Assets</t>
        </is>
      </c>
      <c r="D6217" s="3" t="inlineStr">
        <is>
          <t>8450/000</t>
        </is>
      </c>
      <c r="E6217" s="3" t="inlineStr">
        <is>
          <t>A RMB 62275810820</t>
        </is>
      </c>
      <c r="F6217" s="3" t="n">
        <v>43676.28</v>
      </c>
      <c r="G6217" s="3" t="n">
        <v>82220.13</v>
      </c>
    </row>
    <row r="6218">
      <c r="A6218" s="3" t="inlineStr">
        <is>
          <t>Opportunity Management Holdings (PTY) LTD</t>
        </is>
      </c>
      <c r="B6218" s="4" t="n">
        <v>44651</v>
      </c>
      <c r="C6218" s="3" t="inlineStr">
        <is>
          <t>Assets</t>
        </is>
      </c>
      <c r="D6218" s="3" t="inlineStr">
        <is>
          <t>8450/000</t>
        </is>
      </c>
      <c r="E6218" s="3" t="inlineStr">
        <is>
          <t>Petty Cash - CT Office</t>
        </is>
      </c>
      <c r="F6218" s="3" t="n">
        <v>1537.3</v>
      </c>
      <c r="G6218" s="3" t="n">
        <v>2778</v>
      </c>
    </row>
    <row r="6219">
      <c r="A6219" s="3" t="inlineStr">
        <is>
          <t>Opportunity Global Investment (PTY) LTD</t>
        </is>
      </c>
      <c r="B6219" s="4" t="n">
        <v>44681</v>
      </c>
      <c r="C6219" s="3" t="inlineStr">
        <is>
          <t>Assets</t>
        </is>
      </c>
      <c r="D6219" s="3" t="inlineStr">
        <is>
          <t>8400/000</t>
        </is>
      </c>
      <c r="E6219" s="3" t="inlineStr">
        <is>
          <t>FNB 62093491696</t>
        </is>
      </c>
      <c r="F6219" s="3" t="n">
        <v>-107722.98</v>
      </c>
      <c r="G6219" s="3" t="n">
        <v>32724.92</v>
      </c>
    </row>
    <row r="6220">
      <c r="A6220" s="3" t="inlineStr">
        <is>
          <t>Opportunity Global Sales (PTY) LTD</t>
        </is>
      </c>
      <c r="B6220" s="4" t="n">
        <v>44681</v>
      </c>
      <c r="C6220" s="3" t="inlineStr">
        <is>
          <t>Assets</t>
        </is>
      </c>
      <c r="D6220" s="3" t="inlineStr">
        <is>
          <t>8400/000</t>
        </is>
      </c>
      <c r="E6220" s="3" t="inlineStr">
        <is>
          <t>FNB 62835620875</t>
        </is>
      </c>
      <c r="F6220" s="3" t="n">
        <v>18420.47</v>
      </c>
      <c r="G6220" s="3" t="n">
        <v>46947.25</v>
      </c>
    </row>
    <row r="6221">
      <c r="A6221" s="3" t="inlineStr">
        <is>
          <t>Quinate Consulting (Pty) Ltd</t>
        </is>
      </c>
      <c r="B6221" s="4" t="n">
        <v>44681</v>
      </c>
      <c r="C6221" s="3" t="inlineStr">
        <is>
          <t>Assets</t>
        </is>
      </c>
      <c r="D6221" s="3" t="inlineStr">
        <is>
          <t>8400/000</t>
        </is>
      </c>
      <c r="E6221" s="3" t="inlineStr">
        <is>
          <t>RMB - 62736659189 - Call Acc</t>
        </is>
      </c>
      <c r="F6221" s="3" t="n">
        <v>-162.93</v>
      </c>
      <c r="G6221" s="3" t="n">
        <v>152526.72</v>
      </c>
    </row>
    <row r="6222">
      <c r="A6222" s="3" t="inlineStr">
        <is>
          <t>Trademark Holdings (Pty) Ltd</t>
        </is>
      </c>
      <c r="B6222" s="4" t="n">
        <v>44681</v>
      </c>
      <c r="C6222" s="3" t="inlineStr">
        <is>
          <t>Assets</t>
        </is>
      </c>
      <c r="D6222" s="3" t="inlineStr">
        <is>
          <t>8400/000</t>
        </is>
      </c>
      <c r="E6222" s="3" t="inlineStr">
        <is>
          <t>RMB 623 693 03640</t>
        </is>
      </c>
      <c r="F6222" s="3" t="n">
        <v>-10015.4</v>
      </c>
      <c r="G6222" s="3" t="n">
        <v>30454.34</v>
      </c>
    </row>
    <row r="6223">
      <c r="A6223" s="3" t="inlineStr">
        <is>
          <t>Noble Shield (Pty) Ltd ta Go Letting</t>
        </is>
      </c>
      <c r="B6223" s="4" t="n">
        <v>44681</v>
      </c>
      <c r="C6223" s="3" t="inlineStr">
        <is>
          <t>Assets</t>
        </is>
      </c>
      <c r="D6223" s="3" t="inlineStr">
        <is>
          <t>8400/000</t>
        </is>
      </c>
      <c r="E6223" s="3" t="inlineStr">
        <is>
          <t>RMB 6250 573 3833</t>
        </is>
      </c>
      <c r="F6223" s="3" t="n">
        <v>-10713.48</v>
      </c>
      <c r="G6223" s="3" t="n">
        <v>33610.51</v>
      </c>
    </row>
    <row r="6224">
      <c r="A6224" s="3" t="inlineStr">
        <is>
          <t>Endulini (Pty) Ltd</t>
        </is>
      </c>
      <c r="B6224" s="4" t="n">
        <v>44681</v>
      </c>
      <c r="C6224" s="3" t="inlineStr">
        <is>
          <t>Assets</t>
        </is>
      </c>
      <c r="D6224" s="3" t="inlineStr">
        <is>
          <t>8400/000</t>
        </is>
      </c>
      <c r="E6224" s="3" t="inlineStr">
        <is>
          <t>RMB 62906944576</t>
        </is>
      </c>
      <c r="F6224" s="3" t="n">
        <v>-130433.1</v>
      </c>
      <c r="G6224" s="3" t="n">
        <v>53168.31</v>
      </c>
    </row>
    <row r="6225">
      <c r="A6225" s="3" t="inlineStr">
        <is>
          <t>Opportunity Management Holdings (PTY) LTD</t>
        </is>
      </c>
      <c r="B6225" s="4" t="n">
        <v>44681</v>
      </c>
      <c r="C6225" s="3" t="inlineStr">
        <is>
          <t>Assets</t>
        </is>
      </c>
      <c r="D6225" s="3" t="inlineStr">
        <is>
          <t>8400/000</t>
        </is>
      </c>
      <c r="E6225" s="3" t="inlineStr">
        <is>
          <t>RMB Cheq - 62312246920</t>
        </is>
      </c>
      <c r="F6225" s="3" t="n">
        <v>-64690.98</v>
      </c>
      <c r="G6225" s="3" t="n">
        <v>29646.09</v>
      </c>
    </row>
    <row r="6226">
      <c r="A6226" s="3" t="inlineStr">
        <is>
          <t>Opportunity Global Investment (PTY) LTD</t>
        </is>
      </c>
      <c r="B6226" s="4" t="n">
        <v>44681</v>
      </c>
      <c r="C6226" s="3" t="inlineStr">
        <is>
          <t>Assets</t>
        </is>
      </c>
      <c r="D6226" s="3" t="inlineStr">
        <is>
          <t>8405/000</t>
        </is>
      </c>
      <c r="E6226" s="3" t="inlineStr">
        <is>
          <t>FNB Trust 62762449265</t>
        </is>
      </c>
      <c r="F6226" s="3" t="n">
        <v>387</v>
      </c>
      <c r="G6226" s="3" t="n">
        <v>844.26</v>
      </c>
    </row>
    <row r="6227">
      <c r="A6227" s="3" t="inlineStr">
        <is>
          <t>Endulini (Pty) Ltd</t>
        </is>
      </c>
      <c r="B6227" s="4" t="n">
        <v>44681</v>
      </c>
      <c r="C6227" s="3" t="inlineStr">
        <is>
          <t>Assets</t>
        </is>
      </c>
      <c r="D6227" s="3" t="inlineStr">
        <is>
          <t>8410/000</t>
        </is>
      </c>
      <c r="E6227" s="3" t="inlineStr">
        <is>
          <t>Momentum Investor Account : RU 502229883</t>
        </is>
      </c>
      <c r="F6227" s="3" t="n">
        <v>1412197.77</v>
      </c>
      <c r="G6227" s="3" t="n">
        <v>2310262.13</v>
      </c>
    </row>
    <row r="6228">
      <c r="A6228" s="3" t="inlineStr">
        <is>
          <t>Opportunity Management Holdings (PTY) LTD</t>
        </is>
      </c>
      <c r="B6228" s="4" t="n">
        <v>44681</v>
      </c>
      <c r="C6228" s="3" t="inlineStr">
        <is>
          <t>Assets</t>
        </is>
      </c>
      <c r="D6228" s="3" t="inlineStr">
        <is>
          <t>8410/000</t>
        </is>
      </c>
      <c r="E6228" s="3" t="inlineStr">
        <is>
          <t>RMB Call Acc - 62312248851</t>
        </is>
      </c>
      <c r="F6228" s="3" t="n">
        <v>508.62</v>
      </c>
      <c r="G6228" s="3" t="n">
        <v>734.83</v>
      </c>
    </row>
    <row r="6229">
      <c r="A6229" s="3" t="inlineStr">
        <is>
          <t>Noble Shield (Pty) Ltd ta Go Letting</t>
        </is>
      </c>
      <c r="B6229" s="4" t="n">
        <v>44681</v>
      </c>
      <c r="C6229" s="3" t="inlineStr">
        <is>
          <t>Assets</t>
        </is>
      </c>
      <c r="D6229" s="3" t="inlineStr">
        <is>
          <t>8410/000</t>
        </is>
      </c>
      <c r="E6229" s="3" t="inlineStr">
        <is>
          <t>RMB Trust Acc - 6250 615 1365</t>
        </is>
      </c>
      <c r="F6229" s="3" t="n">
        <v>368.02</v>
      </c>
      <c r="G6229" s="3" t="n">
        <v>738.3</v>
      </c>
    </row>
    <row r="6230">
      <c r="A6230" s="3" t="inlineStr">
        <is>
          <t>Quinate Consulting (Pty) Ltd</t>
        </is>
      </c>
      <c r="B6230" s="4" t="n">
        <v>44681</v>
      </c>
      <c r="C6230" s="3" t="inlineStr">
        <is>
          <t>Assets</t>
        </is>
      </c>
      <c r="D6230" s="3" t="inlineStr">
        <is>
          <t>8415/000</t>
        </is>
      </c>
      <c r="E6230" s="3" t="inlineStr">
        <is>
          <t>STD Acc 071 958 959 - Facility Acc</t>
        </is>
      </c>
      <c r="F6230" s="3" t="n">
        <v>-85</v>
      </c>
      <c r="G6230" s="3" t="n">
        <v>4146.21</v>
      </c>
    </row>
    <row r="6231">
      <c r="A6231" s="3" t="inlineStr">
        <is>
          <t>Quinate Consulting (Pty) Ltd</t>
        </is>
      </c>
      <c r="B6231" s="4" t="n">
        <v>44681</v>
      </c>
      <c r="C6231" s="3" t="inlineStr">
        <is>
          <t>Assets</t>
        </is>
      </c>
      <c r="D6231" s="3" t="inlineStr">
        <is>
          <t>8430/000</t>
        </is>
      </c>
      <c r="E6231" s="3" t="inlineStr">
        <is>
          <t>Momentum Investment Acc - RU502230185</t>
        </is>
      </c>
      <c r="F6231" s="3" t="n">
        <v>1.74</v>
      </c>
      <c r="G6231" s="3" t="n">
        <v>511.01</v>
      </c>
    </row>
    <row r="6232">
      <c r="A6232" s="3" t="inlineStr">
        <is>
          <t>Opportunity Global Investment (PTY) LTD</t>
        </is>
      </c>
      <c r="B6232" s="4" t="n">
        <v>44681</v>
      </c>
      <c r="C6232" s="3" t="inlineStr">
        <is>
          <t>Assets</t>
        </is>
      </c>
      <c r="D6232" s="3" t="inlineStr">
        <is>
          <t>8440/000</t>
        </is>
      </c>
      <c r="E6232" s="3" t="inlineStr">
        <is>
          <t>FNB - Call 627602764438</t>
        </is>
      </c>
      <c r="F6232" s="3" t="n">
        <v>-489.8</v>
      </c>
      <c r="G6232" s="3" t="n">
        <v>386.59</v>
      </c>
    </row>
    <row r="6233">
      <c r="A6233" s="3" t="inlineStr">
        <is>
          <t>Opportunity Global Investment (PTY) LTD</t>
        </is>
      </c>
      <c r="B6233" s="4" t="n">
        <v>44681</v>
      </c>
      <c r="C6233" s="3" t="inlineStr">
        <is>
          <t>Assets</t>
        </is>
      </c>
      <c r="D6233" s="3" t="inlineStr">
        <is>
          <t>8445/000</t>
        </is>
      </c>
      <c r="E6233" s="3" t="inlineStr">
        <is>
          <t>Momentum RU502230096</t>
        </is>
      </c>
      <c r="F6233" s="3" t="n">
        <v>0</v>
      </c>
      <c r="G6233" s="3" t="n">
        <v>4452.74</v>
      </c>
    </row>
    <row r="6234">
      <c r="A6234" s="3" t="inlineStr">
        <is>
          <t>Quinate Consulting (Pty) Ltd</t>
        </is>
      </c>
      <c r="B6234" s="4" t="n">
        <v>44681</v>
      </c>
      <c r="C6234" s="3" t="inlineStr">
        <is>
          <t>Assets</t>
        </is>
      </c>
      <c r="D6234" s="3" t="inlineStr">
        <is>
          <t>8450/000</t>
        </is>
      </c>
      <c r="E6234" s="3" t="inlineStr">
        <is>
          <t>A RMB 62275810820</t>
        </is>
      </c>
      <c r="F6234" s="3" t="n">
        <v>50044.26</v>
      </c>
      <c r="G6234" s="3" t="n">
        <v>132264.39</v>
      </c>
    </row>
    <row r="6235">
      <c r="A6235" s="3" t="inlineStr">
        <is>
          <t>Opportunity Management Holdings (PTY) LTD</t>
        </is>
      </c>
      <c r="B6235" s="4" t="n">
        <v>44681</v>
      </c>
      <c r="C6235" s="3" t="inlineStr">
        <is>
          <t>Assets</t>
        </is>
      </c>
      <c r="D6235" s="3" t="inlineStr">
        <is>
          <t>8450/000</t>
        </is>
      </c>
      <c r="E6235" s="3" t="inlineStr">
        <is>
          <t>Petty Cash - CT Office</t>
        </is>
      </c>
      <c r="F6235" s="3" t="n">
        <v>-2054.9</v>
      </c>
      <c r="G6235" s="3" t="n">
        <v>723.1</v>
      </c>
    </row>
    <row r="6236">
      <c r="A6236" s="3" t="inlineStr">
        <is>
          <t>Opportunity Global Investment (PTY) LTD</t>
        </is>
      </c>
      <c r="B6236" s="4" t="n">
        <v>44712</v>
      </c>
      <c r="C6236" s="3" t="inlineStr">
        <is>
          <t>Assets</t>
        </is>
      </c>
      <c r="D6236" s="3" t="inlineStr">
        <is>
          <t>8400/000</t>
        </is>
      </c>
      <c r="E6236" s="3" t="inlineStr">
        <is>
          <t>FNB 62093491696</t>
        </is>
      </c>
      <c r="F6236" s="3" t="n">
        <v>-8297.99</v>
      </c>
      <c r="G6236" s="3" t="n">
        <v>24426.93</v>
      </c>
    </row>
    <row r="6237">
      <c r="A6237" s="3" t="inlineStr">
        <is>
          <t>Opportunity Global Sales (PTY) LTD</t>
        </is>
      </c>
      <c r="B6237" s="4" t="n">
        <v>44712</v>
      </c>
      <c r="C6237" s="3" t="inlineStr">
        <is>
          <t>Assets</t>
        </is>
      </c>
      <c r="D6237" s="3" t="inlineStr">
        <is>
          <t>8400/000</t>
        </is>
      </c>
      <c r="E6237" s="3" t="inlineStr">
        <is>
          <t>FNB 62835620875</t>
        </is>
      </c>
      <c r="F6237" s="3" t="n">
        <v>485.62</v>
      </c>
      <c r="G6237" s="3" t="n">
        <v>47432.87</v>
      </c>
    </row>
    <row r="6238">
      <c r="A6238" s="3" t="inlineStr">
        <is>
          <t>Quinate Consulting (Pty) Ltd</t>
        </is>
      </c>
      <c r="B6238" s="4" t="n">
        <v>44712</v>
      </c>
      <c r="C6238" s="3" t="inlineStr">
        <is>
          <t>Assets</t>
        </is>
      </c>
      <c r="D6238" s="3" t="inlineStr">
        <is>
          <t>8400/000</t>
        </is>
      </c>
      <c r="E6238" s="3" t="inlineStr">
        <is>
          <t>RMB - 62736659189 - Call Acc</t>
        </is>
      </c>
      <c r="F6238" s="3" t="n">
        <v>-38.57</v>
      </c>
      <c r="G6238" s="3" t="n">
        <v>152488.15</v>
      </c>
    </row>
    <row r="6239">
      <c r="A6239" s="3" t="inlineStr">
        <is>
          <t>Trademark Holdings (Pty) Ltd</t>
        </is>
      </c>
      <c r="B6239" s="4" t="n">
        <v>44712</v>
      </c>
      <c r="C6239" s="3" t="inlineStr">
        <is>
          <t>Assets</t>
        </is>
      </c>
      <c r="D6239" s="3" t="inlineStr">
        <is>
          <t>8400/000</t>
        </is>
      </c>
      <c r="E6239" s="3" t="inlineStr">
        <is>
          <t>RMB 623 693 03640</t>
        </is>
      </c>
      <c r="F6239" s="3" t="n">
        <v>20154.44</v>
      </c>
      <c r="G6239" s="3" t="n">
        <v>50608.78</v>
      </c>
    </row>
    <row r="6240">
      <c r="A6240" s="3" t="inlineStr">
        <is>
          <t>Noble Shield (Pty) Ltd ta Go Letting</t>
        </is>
      </c>
      <c r="B6240" s="4" t="n">
        <v>44712</v>
      </c>
      <c r="C6240" s="3" t="inlineStr">
        <is>
          <t>Assets</t>
        </is>
      </c>
      <c r="D6240" s="3" t="inlineStr">
        <is>
          <t>8400/000</t>
        </is>
      </c>
      <c r="E6240" s="3" t="inlineStr">
        <is>
          <t>RMB 6250 573 3833</t>
        </is>
      </c>
      <c r="F6240" s="3" t="n">
        <v>-171.1</v>
      </c>
      <c r="G6240" s="3" t="n">
        <v>33439.41</v>
      </c>
    </row>
    <row r="6241">
      <c r="A6241" s="3" t="inlineStr">
        <is>
          <t>Endulini (Pty) Ltd</t>
        </is>
      </c>
      <c r="B6241" s="4" t="n">
        <v>44712</v>
      </c>
      <c r="C6241" s="3" t="inlineStr">
        <is>
          <t>Assets</t>
        </is>
      </c>
      <c r="D6241" s="3" t="inlineStr">
        <is>
          <t>8400/000</t>
        </is>
      </c>
      <c r="E6241" s="3" t="inlineStr">
        <is>
          <t>RMB 62906944576</t>
        </is>
      </c>
      <c r="F6241" s="3" t="n">
        <v>403261.39</v>
      </c>
      <c r="G6241" s="3" t="n">
        <v>456429.7</v>
      </c>
    </row>
    <row r="6242">
      <c r="A6242" s="3" t="inlineStr">
        <is>
          <t>Opportunity Management Holdings (PTY) LTD</t>
        </is>
      </c>
      <c r="B6242" s="4" t="n">
        <v>44712</v>
      </c>
      <c r="C6242" s="3" t="inlineStr">
        <is>
          <t>Assets</t>
        </is>
      </c>
      <c r="D6242" s="3" t="inlineStr">
        <is>
          <t>8400/000</t>
        </is>
      </c>
      <c r="E6242" s="3" t="inlineStr">
        <is>
          <t>RMB Cheq - 62312246920</t>
        </is>
      </c>
      <c r="F6242" s="3" t="n">
        <v>51907.19</v>
      </c>
      <c r="G6242" s="3" t="n">
        <v>81553.28</v>
      </c>
    </row>
    <row r="6243">
      <c r="A6243" s="3" t="inlineStr">
        <is>
          <t>Opportunity Global Investment (PTY) LTD</t>
        </is>
      </c>
      <c r="B6243" s="4" t="n">
        <v>44712</v>
      </c>
      <c r="C6243" s="3" t="inlineStr">
        <is>
          <t>Assets</t>
        </is>
      </c>
      <c r="D6243" s="3" t="inlineStr">
        <is>
          <t>8405/000</t>
        </is>
      </c>
      <c r="E6243" s="3" t="inlineStr">
        <is>
          <t>FNB Trust 62762449265</t>
        </is>
      </c>
      <c r="F6243" s="3" t="n">
        <v>-511.88</v>
      </c>
      <c r="G6243" s="3" t="n">
        <v>332.38</v>
      </c>
    </row>
    <row r="6244">
      <c r="A6244" s="3" t="inlineStr">
        <is>
          <t>Endulini (Pty) Ltd</t>
        </is>
      </c>
      <c r="B6244" s="4" t="n">
        <v>44712</v>
      </c>
      <c r="C6244" s="3" t="inlineStr">
        <is>
          <t>Assets</t>
        </is>
      </c>
      <c r="D6244" s="3" t="inlineStr">
        <is>
          <t>8410/000</t>
        </is>
      </c>
      <c r="E6244" s="3" t="inlineStr">
        <is>
          <t>Momentum Investor Account : RU 502229883</t>
        </is>
      </c>
      <c r="F6244" s="3" t="n">
        <v>-1603053.6</v>
      </c>
      <c r="G6244" s="3" t="n">
        <v>707208.53</v>
      </c>
    </row>
    <row r="6245">
      <c r="A6245" s="3" t="inlineStr">
        <is>
          <t>Opportunity Management Holdings (PTY) LTD</t>
        </is>
      </c>
      <c r="B6245" s="4" t="n">
        <v>44712</v>
      </c>
      <c r="C6245" s="3" t="inlineStr">
        <is>
          <t>Assets</t>
        </is>
      </c>
      <c r="D6245" s="3" t="inlineStr">
        <is>
          <t>8410/000</t>
        </is>
      </c>
      <c r="E6245" s="3" t="inlineStr">
        <is>
          <t>RMB Call Acc - 62312248851</t>
        </is>
      </c>
      <c r="F6245" s="3" t="n">
        <v>-407.64</v>
      </c>
      <c r="G6245" s="3" t="n">
        <v>327.19</v>
      </c>
    </row>
    <row r="6246">
      <c r="A6246" s="3" t="inlineStr">
        <is>
          <t>Noble Shield (Pty) Ltd ta Go Letting</t>
        </is>
      </c>
      <c r="B6246" s="4" t="n">
        <v>44712</v>
      </c>
      <c r="C6246" s="3" t="inlineStr">
        <is>
          <t>Assets</t>
        </is>
      </c>
      <c r="D6246" s="3" t="inlineStr">
        <is>
          <t>8410/000</t>
        </is>
      </c>
      <c r="E6246" s="3" t="inlineStr">
        <is>
          <t>RMB Trust Acc - 6250 615 1365</t>
        </is>
      </c>
      <c r="F6246" s="3" t="n">
        <v>-556.12</v>
      </c>
      <c r="G6246" s="3" t="n">
        <v>182.18</v>
      </c>
    </row>
    <row r="6247">
      <c r="A6247" s="3" t="inlineStr">
        <is>
          <t>Quinate Consulting (Pty) Ltd</t>
        </is>
      </c>
      <c r="B6247" s="4" t="n">
        <v>44712</v>
      </c>
      <c r="C6247" s="3" t="inlineStr">
        <is>
          <t>Assets</t>
        </is>
      </c>
      <c r="D6247" s="3" t="inlineStr">
        <is>
          <t>8415/000</t>
        </is>
      </c>
      <c r="E6247" s="3" t="inlineStr">
        <is>
          <t>STD Acc 071 958 959 - Facility Acc</t>
        </is>
      </c>
      <c r="F6247" s="3" t="n">
        <v>-85</v>
      </c>
      <c r="G6247" s="3" t="n">
        <v>4061.21</v>
      </c>
    </row>
    <row r="6248">
      <c r="A6248" s="3" t="inlineStr">
        <is>
          <t>Quinate Consulting (Pty) Ltd</t>
        </is>
      </c>
      <c r="B6248" s="4" t="n">
        <v>44712</v>
      </c>
      <c r="C6248" s="3" t="inlineStr">
        <is>
          <t>Assets</t>
        </is>
      </c>
      <c r="D6248" s="3" t="inlineStr">
        <is>
          <t>8430/000</t>
        </is>
      </c>
      <c r="E6248" s="3" t="inlineStr">
        <is>
          <t>Momentum Investment Acc - RU502230185</t>
        </is>
      </c>
      <c r="F6248" s="3" t="n">
        <v>0</v>
      </c>
      <c r="G6248" s="3" t="n">
        <v>511.01</v>
      </c>
    </row>
    <row r="6249">
      <c r="A6249" s="3" t="inlineStr">
        <is>
          <t>Opportunity Global Investment (PTY) LTD</t>
        </is>
      </c>
      <c r="B6249" s="4" t="n">
        <v>44712</v>
      </c>
      <c r="C6249" s="3" t="inlineStr">
        <is>
          <t>Assets</t>
        </is>
      </c>
      <c r="D6249" s="3" t="inlineStr">
        <is>
          <t>8440/000</t>
        </is>
      </c>
      <c r="E6249" s="3" t="inlineStr">
        <is>
          <t>FNB - Call 627602764438</t>
        </is>
      </c>
      <c r="F6249" s="3" t="n">
        <v>581.3</v>
      </c>
      <c r="G6249" s="3" t="n">
        <v>967.89</v>
      </c>
    </row>
    <row r="6250">
      <c r="A6250" s="3" t="inlineStr">
        <is>
          <t>Opportunity Global Investment (PTY) LTD</t>
        </is>
      </c>
      <c r="B6250" s="4" t="n">
        <v>44712</v>
      </c>
      <c r="C6250" s="3" t="inlineStr">
        <is>
          <t>Assets</t>
        </is>
      </c>
      <c r="D6250" s="3" t="inlineStr">
        <is>
          <t>8445/000</t>
        </is>
      </c>
      <c r="E6250" s="3" t="inlineStr">
        <is>
          <t>Momentum RU502230096</t>
        </is>
      </c>
      <c r="F6250" s="3" t="n">
        <v>0</v>
      </c>
      <c r="G6250" s="3" t="n">
        <v>4452.74</v>
      </c>
    </row>
    <row r="6251">
      <c r="A6251" s="3" t="inlineStr">
        <is>
          <t>Quinate Consulting (Pty) Ltd</t>
        </is>
      </c>
      <c r="B6251" s="4" t="n">
        <v>44712</v>
      </c>
      <c r="C6251" s="3" t="inlineStr">
        <is>
          <t>Assets</t>
        </is>
      </c>
      <c r="D6251" s="3" t="inlineStr">
        <is>
          <t>8450/000</t>
        </is>
      </c>
      <c r="E6251" s="3" t="inlineStr">
        <is>
          <t>A RMB 62275810820</t>
        </is>
      </c>
      <c r="F6251" s="3" t="n">
        <v>162928.33</v>
      </c>
      <c r="G6251" s="3" t="n">
        <v>295192.72</v>
      </c>
    </row>
    <row r="6252">
      <c r="A6252" s="3" t="inlineStr">
        <is>
          <t>Opportunity Management Holdings (PTY) LTD</t>
        </is>
      </c>
      <c r="B6252" s="4" t="n">
        <v>44712</v>
      </c>
      <c r="C6252" s="3" t="inlineStr">
        <is>
          <t>Assets</t>
        </is>
      </c>
      <c r="D6252" s="3" t="inlineStr">
        <is>
          <t>8450/000</t>
        </is>
      </c>
      <c r="E6252" s="3" t="inlineStr">
        <is>
          <t>Petty Cash - CT Office</t>
        </is>
      </c>
      <c r="F6252" s="3" t="n">
        <v>0</v>
      </c>
      <c r="G6252" s="3" t="n">
        <v>723.1</v>
      </c>
    </row>
    <row r="6253">
      <c r="A6253" s="3" t="inlineStr">
        <is>
          <t>Opportunity Global Investment (PTY) LTD</t>
        </is>
      </c>
      <c r="B6253" s="4" t="n">
        <v>44742</v>
      </c>
      <c r="C6253" s="3" t="inlineStr">
        <is>
          <t>Assets</t>
        </is>
      </c>
      <c r="D6253" s="3" t="inlineStr">
        <is>
          <t>8400/000</t>
        </is>
      </c>
      <c r="E6253" s="3" t="inlineStr">
        <is>
          <t>FNB 62093491696</t>
        </is>
      </c>
      <c r="F6253" s="3" t="n">
        <v>-13618.26</v>
      </c>
      <c r="G6253" s="3" t="n">
        <v>10808.67</v>
      </c>
    </row>
    <row r="6254">
      <c r="A6254" s="3" t="inlineStr">
        <is>
          <t>Opportunity Global Sales (PTY) LTD</t>
        </is>
      </c>
      <c r="B6254" s="4" t="n">
        <v>44742</v>
      </c>
      <c r="C6254" s="3" t="inlineStr">
        <is>
          <t>Assets</t>
        </is>
      </c>
      <c r="D6254" s="3" t="inlineStr">
        <is>
          <t>8400/000</t>
        </is>
      </c>
      <c r="E6254" s="3" t="inlineStr">
        <is>
          <t>FNB 62835620875</t>
        </is>
      </c>
      <c r="F6254" s="3" t="n">
        <v>-32058.34</v>
      </c>
      <c r="G6254" s="3" t="n">
        <v>15374.53</v>
      </c>
    </row>
    <row r="6255">
      <c r="A6255" s="3" t="inlineStr">
        <is>
          <t>Quinate Consulting (Pty) Ltd</t>
        </is>
      </c>
      <c r="B6255" s="4" t="n">
        <v>44742</v>
      </c>
      <c r="C6255" s="3" t="inlineStr">
        <is>
          <t>Assets</t>
        </is>
      </c>
      <c r="D6255" s="3" t="inlineStr">
        <is>
          <t>8400/000</t>
        </is>
      </c>
      <c r="E6255" s="3" t="inlineStr">
        <is>
          <t>RMB - 62736659189 - Call Acc</t>
        </is>
      </c>
      <c r="F6255" s="3" t="n">
        <v>958.55</v>
      </c>
      <c r="G6255" s="3" t="n">
        <v>153446.7</v>
      </c>
    </row>
    <row r="6256">
      <c r="A6256" s="3" t="inlineStr">
        <is>
          <t>Trademark Holdings (Pty) Ltd</t>
        </is>
      </c>
      <c r="B6256" s="4" t="n">
        <v>44742</v>
      </c>
      <c r="C6256" s="3" t="inlineStr">
        <is>
          <t>Assets</t>
        </is>
      </c>
      <c r="D6256" s="3" t="inlineStr">
        <is>
          <t>8400/000</t>
        </is>
      </c>
      <c r="E6256" s="3" t="inlineStr">
        <is>
          <t>RMB 623 693 03640</t>
        </is>
      </c>
      <c r="F6256" s="3" t="n">
        <v>-43596.37</v>
      </c>
      <c r="G6256" s="3" t="n">
        <v>7012.41</v>
      </c>
    </row>
    <row r="6257">
      <c r="A6257" s="3" t="inlineStr">
        <is>
          <t>Noble Shield (Pty) Ltd ta Go Letting</t>
        </is>
      </c>
      <c r="B6257" s="4" t="n">
        <v>44742</v>
      </c>
      <c r="C6257" s="3" t="inlineStr">
        <is>
          <t>Assets</t>
        </is>
      </c>
      <c r="D6257" s="3" t="inlineStr">
        <is>
          <t>8400/000</t>
        </is>
      </c>
      <c r="E6257" s="3" t="inlineStr">
        <is>
          <t>RMB 6250 573 3833</t>
        </is>
      </c>
      <c r="F6257" s="3" t="n">
        <v>-3814.72</v>
      </c>
      <c r="G6257" s="3" t="n">
        <v>29624.69</v>
      </c>
    </row>
    <row r="6258">
      <c r="A6258" s="3" t="inlineStr">
        <is>
          <t>Endulini (Pty) Ltd</t>
        </is>
      </c>
      <c r="B6258" s="4" t="n">
        <v>44742</v>
      </c>
      <c r="C6258" s="3" t="inlineStr">
        <is>
          <t>Assets</t>
        </is>
      </c>
      <c r="D6258" s="3" t="inlineStr">
        <is>
          <t>8400/000</t>
        </is>
      </c>
      <c r="E6258" s="3" t="inlineStr">
        <is>
          <t>RMB 62906944576</t>
        </is>
      </c>
      <c r="F6258" s="3" t="n">
        <v>-446475.52</v>
      </c>
      <c r="G6258" s="3" t="n">
        <v>9954.18</v>
      </c>
    </row>
    <row r="6259">
      <c r="A6259" s="3" t="inlineStr">
        <is>
          <t>Opportunity Management Holdings (PTY) LTD</t>
        </is>
      </c>
      <c r="B6259" s="4" t="n">
        <v>44742</v>
      </c>
      <c r="C6259" s="3" t="inlineStr">
        <is>
          <t>Assets</t>
        </is>
      </c>
      <c r="D6259" s="3" t="inlineStr">
        <is>
          <t>8400/000</t>
        </is>
      </c>
      <c r="E6259" s="3" t="inlineStr">
        <is>
          <t>RMB Cheq - 62312246920</t>
        </is>
      </c>
      <c r="F6259" s="3" t="n">
        <v>-73365.06</v>
      </c>
      <c r="G6259" s="3" t="n">
        <v>8188.22</v>
      </c>
    </row>
    <row r="6260">
      <c r="A6260" s="3" t="inlineStr">
        <is>
          <t>Opportunity Global Investment (PTY) LTD</t>
        </is>
      </c>
      <c r="B6260" s="4" t="n">
        <v>44742</v>
      </c>
      <c r="C6260" s="3" t="inlineStr">
        <is>
          <t>Assets</t>
        </is>
      </c>
      <c r="D6260" s="3" t="inlineStr">
        <is>
          <t>8405/000</t>
        </is>
      </c>
      <c r="E6260" s="3" t="inlineStr">
        <is>
          <t>FNB Trust 62762449265</t>
        </is>
      </c>
      <c r="F6260" s="3" t="n">
        <v>481.8</v>
      </c>
      <c r="G6260" s="3" t="n">
        <v>814.1799999999999</v>
      </c>
    </row>
    <row r="6261">
      <c r="A6261" s="3" t="inlineStr">
        <is>
          <t>Endulini (Pty) Ltd</t>
        </is>
      </c>
      <c r="B6261" s="4" t="n">
        <v>44742</v>
      </c>
      <c r="C6261" s="3" t="inlineStr">
        <is>
          <t>Assets</t>
        </is>
      </c>
      <c r="D6261" s="3" t="inlineStr">
        <is>
          <t>8410/000</t>
        </is>
      </c>
      <c r="E6261" s="3" t="inlineStr">
        <is>
          <t>Momentum Investor Account : RU 502229883</t>
        </is>
      </c>
      <c r="F6261" s="3" t="n">
        <v>688343.39</v>
      </c>
      <c r="G6261" s="3" t="n">
        <v>1395551.92</v>
      </c>
    </row>
    <row r="6262">
      <c r="A6262" s="3" t="inlineStr">
        <is>
          <t>Opportunity Management Holdings (PTY) LTD</t>
        </is>
      </c>
      <c r="B6262" s="4" t="n">
        <v>44742</v>
      </c>
      <c r="C6262" s="3" t="inlineStr">
        <is>
          <t>Assets</t>
        </is>
      </c>
      <c r="D6262" s="3" t="inlineStr">
        <is>
          <t>8410/000</t>
        </is>
      </c>
      <c r="E6262" s="3" t="inlineStr">
        <is>
          <t>RMB Call Acc - 62312248851</t>
        </is>
      </c>
      <c r="F6262" s="3" t="n">
        <v>567.08</v>
      </c>
      <c r="G6262" s="3" t="n">
        <v>894.27</v>
      </c>
    </row>
    <row r="6263">
      <c r="A6263" s="3" t="inlineStr">
        <is>
          <t>Noble Shield (Pty) Ltd ta Go Letting</t>
        </is>
      </c>
      <c r="B6263" s="4" t="n">
        <v>44742</v>
      </c>
      <c r="C6263" s="3" t="inlineStr">
        <is>
          <t>Assets</t>
        </is>
      </c>
      <c r="D6263" s="3" t="inlineStr">
        <is>
          <t>8410/000</t>
        </is>
      </c>
      <c r="E6263" s="3" t="inlineStr">
        <is>
          <t>RMB Trust Acc - 6250 615 1365</t>
        </is>
      </c>
      <c r="F6263" s="3" t="n">
        <v>450.2</v>
      </c>
      <c r="G6263" s="3" t="n">
        <v>632.38</v>
      </c>
    </row>
    <row r="6264">
      <c r="A6264" s="3" t="inlineStr">
        <is>
          <t>Quinate Consulting (Pty) Ltd</t>
        </is>
      </c>
      <c r="B6264" s="4" t="n">
        <v>44742</v>
      </c>
      <c r="C6264" s="3" t="inlineStr">
        <is>
          <t>Assets</t>
        </is>
      </c>
      <c r="D6264" s="3" t="inlineStr">
        <is>
          <t>8415/000</t>
        </is>
      </c>
      <c r="E6264" s="3" t="inlineStr">
        <is>
          <t>STD Acc 071 958 959 - Facility Acc</t>
        </is>
      </c>
      <c r="F6264" s="3" t="n">
        <v>-85</v>
      </c>
      <c r="G6264" s="3" t="n">
        <v>3976.21</v>
      </c>
    </row>
    <row r="6265">
      <c r="A6265" s="3" t="inlineStr">
        <is>
          <t>Quinate Consulting (Pty) Ltd</t>
        </is>
      </c>
      <c r="B6265" s="4" t="n">
        <v>44742</v>
      </c>
      <c r="C6265" s="3" t="inlineStr">
        <is>
          <t>Assets</t>
        </is>
      </c>
      <c r="D6265" s="3" t="inlineStr">
        <is>
          <t>8430/000</t>
        </is>
      </c>
      <c r="E6265" s="3" t="inlineStr">
        <is>
          <t>Momentum Investment Acc - RU502230185</t>
        </is>
      </c>
      <c r="F6265" s="3" t="n">
        <v>3.75</v>
      </c>
      <c r="G6265" s="3" t="n">
        <v>514.76</v>
      </c>
    </row>
    <row r="6266">
      <c r="A6266" s="3" t="inlineStr">
        <is>
          <t>Opportunity Global Investment (PTY) LTD</t>
        </is>
      </c>
      <c r="B6266" s="4" t="n">
        <v>44742</v>
      </c>
      <c r="C6266" s="3" t="inlineStr">
        <is>
          <t>Assets</t>
        </is>
      </c>
      <c r="D6266" s="3" t="inlineStr">
        <is>
          <t>8440/000</t>
        </is>
      </c>
      <c r="E6266" s="3" t="inlineStr">
        <is>
          <t>FNB - Call 627602764438</t>
        </is>
      </c>
      <c r="F6266" s="3" t="n">
        <v>-440.82</v>
      </c>
      <c r="G6266" s="3" t="n">
        <v>527.0700000000001</v>
      </c>
    </row>
    <row r="6267">
      <c r="A6267" s="3" t="inlineStr">
        <is>
          <t>Opportunity Global Investment (PTY) LTD</t>
        </is>
      </c>
      <c r="B6267" s="4" t="n">
        <v>44742</v>
      </c>
      <c r="C6267" s="3" t="inlineStr">
        <is>
          <t>Assets</t>
        </is>
      </c>
      <c r="D6267" s="3" t="inlineStr">
        <is>
          <t>8445/000</t>
        </is>
      </c>
      <c r="E6267" s="3" t="inlineStr">
        <is>
          <t>Momentum RU502230096</t>
        </is>
      </c>
      <c r="F6267" s="3" t="n">
        <v>54.57</v>
      </c>
      <c r="G6267" s="3" t="n">
        <v>4507.31</v>
      </c>
    </row>
    <row r="6268">
      <c r="A6268" s="3" t="inlineStr">
        <is>
          <t>Quinate Consulting (Pty) Ltd</t>
        </is>
      </c>
      <c r="B6268" s="4" t="n">
        <v>44742</v>
      </c>
      <c r="C6268" s="3" t="inlineStr">
        <is>
          <t>Assets</t>
        </is>
      </c>
      <c r="D6268" s="3" t="inlineStr">
        <is>
          <t>8450/000</t>
        </is>
      </c>
      <c r="E6268" s="3" t="inlineStr">
        <is>
          <t>A RMB 62275810820</t>
        </is>
      </c>
      <c r="F6268" s="3" t="n">
        <v>-283395.59</v>
      </c>
      <c r="G6268" s="3" t="n">
        <v>11797.13</v>
      </c>
    </row>
    <row r="6269">
      <c r="A6269" s="3" t="inlineStr">
        <is>
          <t>Opportunity Management Holdings (PTY) LTD</t>
        </is>
      </c>
      <c r="B6269" s="4" t="n">
        <v>44742</v>
      </c>
      <c r="C6269" s="3" t="inlineStr">
        <is>
          <t>Assets</t>
        </is>
      </c>
      <c r="D6269" s="3" t="inlineStr">
        <is>
          <t>8450/000</t>
        </is>
      </c>
      <c r="E6269" s="3" t="inlineStr">
        <is>
          <t>Petty Cash - CT Office</t>
        </is>
      </c>
      <c r="F6269" s="3" t="n">
        <v>0</v>
      </c>
      <c r="G6269" s="3" t="n">
        <v>723.1</v>
      </c>
    </row>
    <row r="6270">
      <c r="A6270" s="3" t="inlineStr">
        <is>
          <t>Opportunity Global Investment (PTY) LTD</t>
        </is>
      </c>
      <c r="B6270" s="4" t="n">
        <v>44773</v>
      </c>
      <c r="C6270" s="3" t="inlineStr">
        <is>
          <t>Assets</t>
        </is>
      </c>
      <c r="D6270" s="3" t="inlineStr">
        <is>
          <t>8400/000</t>
        </is>
      </c>
      <c r="E6270" s="3" t="inlineStr">
        <is>
          <t>FNB 62093491696</t>
        </is>
      </c>
      <c r="F6270" s="3" t="n">
        <v>26495.48</v>
      </c>
      <c r="G6270" s="3" t="n">
        <v>37304.15</v>
      </c>
    </row>
    <row r="6271">
      <c r="A6271" s="3" t="inlineStr">
        <is>
          <t>Opportunity Global Sales (PTY) LTD</t>
        </is>
      </c>
      <c r="B6271" s="4" t="n">
        <v>44773</v>
      </c>
      <c r="C6271" s="3" t="inlineStr">
        <is>
          <t>Assets</t>
        </is>
      </c>
      <c r="D6271" s="3" t="inlineStr">
        <is>
          <t>8400/000</t>
        </is>
      </c>
      <c r="E6271" s="3" t="inlineStr">
        <is>
          <t>FNB 62835620875</t>
        </is>
      </c>
      <c r="F6271" s="3" t="n">
        <v>9477.209999999999</v>
      </c>
      <c r="G6271" s="3" t="n">
        <v>24851.74</v>
      </c>
    </row>
    <row r="6272">
      <c r="A6272" s="3" t="inlineStr">
        <is>
          <t>Quinate Consulting (Pty) Ltd</t>
        </is>
      </c>
      <c r="B6272" s="4" t="n">
        <v>44773</v>
      </c>
      <c r="C6272" s="3" t="inlineStr">
        <is>
          <t>Assets</t>
        </is>
      </c>
      <c r="D6272" s="3" t="inlineStr">
        <is>
          <t>8400/000</t>
        </is>
      </c>
      <c r="E6272" s="3" t="inlineStr">
        <is>
          <t>RMB - 62736659189 - Call Acc</t>
        </is>
      </c>
      <c r="F6272" s="3" t="n">
        <v>-505.18</v>
      </c>
      <c r="G6272" s="3" t="n">
        <v>152941.52</v>
      </c>
    </row>
    <row r="6273">
      <c r="A6273" s="3" t="inlineStr">
        <is>
          <t>Trademark Holdings (Pty) Ltd</t>
        </is>
      </c>
      <c r="B6273" s="4" t="n">
        <v>44773</v>
      </c>
      <c r="C6273" s="3" t="inlineStr">
        <is>
          <t>Assets</t>
        </is>
      </c>
      <c r="D6273" s="3" t="inlineStr">
        <is>
          <t>8400/000</t>
        </is>
      </c>
      <c r="E6273" s="3" t="inlineStr">
        <is>
          <t>RMB 623 693 03640</t>
        </is>
      </c>
      <c r="F6273" s="3" t="n">
        <v>43850.77</v>
      </c>
      <c r="G6273" s="3" t="n">
        <v>50863.18</v>
      </c>
    </row>
    <row r="6274">
      <c r="A6274" s="3" t="inlineStr">
        <is>
          <t>Noble Shield (Pty) Ltd ta Go Letting</t>
        </is>
      </c>
      <c r="B6274" s="4" t="n">
        <v>44773</v>
      </c>
      <c r="C6274" s="3" t="inlineStr">
        <is>
          <t>Assets</t>
        </is>
      </c>
      <c r="D6274" s="3" t="inlineStr">
        <is>
          <t>8400/000</t>
        </is>
      </c>
      <c r="E6274" s="3" t="inlineStr">
        <is>
          <t>RMB 6250 573 3833</t>
        </is>
      </c>
      <c r="F6274" s="3" t="n">
        <v>16737.94</v>
      </c>
      <c r="G6274" s="3" t="n">
        <v>46362.63</v>
      </c>
    </row>
    <row r="6275">
      <c r="A6275" s="3" t="inlineStr">
        <is>
          <t>Endulini (Pty) Ltd</t>
        </is>
      </c>
      <c r="B6275" s="4" t="n">
        <v>44773</v>
      </c>
      <c r="C6275" s="3" t="inlineStr">
        <is>
          <t>Assets</t>
        </is>
      </c>
      <c r="D6275" s="3" t="inlineStr">
        <is>
          <t>8400/000</t>
        </is>
      </c>
      <c r="E6275" s="3" t="inlineStr">
        <is>
          <t>RMB 62906944576</t>
        </is>
      </c>
      <c r="F6275" s="3" t="n">
        <v>4497.1</v>
      </c>
      <c r="G6275" s="3" t="n">
        <v>14451.28</v>
      </c>
    </row>
    <row r="6276">
      <c r="A6276" s="3" t="inlineStr">
        <is>
          <t>Opportunity Management Holdings (PTY) LTD</t>
        </is>
      </c>
      <c r="B6276" s="4" t="n">
        <v>44773</v>
      </c>
      <c r="C6276" s="3" t="inlineStr">
        <is>
          <t>Assets</t>
        </is>
      </c>
      <c r="D6276" s="3" t="inlineStr">
        <is>
          <t>8400/000</t>
        </is>
      </c>
      <c r="E6276" s="3" t="inlineStr">
        <is>
          <t>RMB Cheq - 62312246920</t>
        </is>
      </c>
      <c r="F6276" s="3" t="n">
        <v>22948.39</v>
      </c>
      <c r="G6276" s="3" t="n">
        <v>31136.61</v>
      </c>
    </row>
    <row r="6277">
      <c r="A6277" s="3" t="inlineStr">
        <is>
          <t>Opportunity Global Investment (PTY) LTD</t>
        </is>
      </c>
      <c r="B6277" s="4" t="n">
        <v>44773</v>
      </c>
      <c r="C6277" s="3" t="inlineStr">
        <is>
          <t>Assets</t>
        </is>
      </c>
      <c r="D6277" s="3" t="inlineStr">
        <is>
          <t>8405/000</t>
        </is>
      </c>
      <c r="E6277" s="3" t="inlineStr">
        <is>
          <t>FNB Trust 62762449265</t>
        </is>
      </c>
      <c r="F6277" s="3" t="n">
        <v>-40.02</v>
      </c>
      <c r="G6277" s="3" t="n">
        <v>774.16</v>
      </c>
    </row>
    <row r="6278">
      <c r="A6278" s="3" t="inlineStr">
        <is>
          <t>Endulini (Pty) Ltd</t>
        </is>
      </c>
      <c r="B6278" s="4" t="n">
        <v>44773</v>
      </c>
      <c r="C6278" s="3" t="inlineStr">
        <is>
          <t>Assets</t>
        </is>
      </c>
      <c r="D6278" s="3" t="inlineStr">
        <is>
          <t>8410/000</t>
        </is>
      </c>
      <c r="E6278" s="3" t="inlineStr">
        <is>
          <t>Momentum Investor Account : RU 502229883</t>
        </is>
      </c>
      <c r="F6278" s="3" t="n">
        <v>-997836.75</v>
      </c>
      <c r="G6278" s="3" t="n">
        <v>397715.17</v>
      </c>
    </row>
    <row r="6279">
      <c r="A6279" s="3" t="inlineStr">
        <is>
          <t>Opportunity Management Holdings (PTY) LTD</t>
        </is>
      </c>
      <c r="B6279" s="4" t="n">
        <v>44773</v>
      </c>
      <c r="C6279" s="3" t="inlineStr">
        <is>
          <t>Assets</t>
        </is>
      </c>
      <c r="D6279" s="3" t="inlineStr">
        <is>
          <t>8410/000</t>
        </is>
      </c>
      <c r="E6279" s="3" t="inlineStr">
        <is>
          <t>RMB Call Acc - 62312248851</t>
        </is>
      </c>
      <c r="F6279" s="3" t="n">
        <v>63.06</v>
      </c>
      <c r="G6279" s="3" t="n">
        <v>957.33</v>
      </c>
    </row>
    <row r="6280">
      <c r="A6280" s="3" t="inlineStr">
        <is>
          <t>Noble Shield (Pty) Ltd ta Go Letting</t>
        </is>
      </c>
      <c r="B6280" s="4" t="n">
        <v>44773</v>
      </c>
      <c r="C6280" s="3" t="inlineStr">
        <is>
          <t>Assets</t>
        </is>
      </c>
      <c r="D6280" s="3" t="inlineStr">
        <is>
          <t>8410/000</t>
        </is>
      </c>
      <c r="E6280" s="3" t="inlineStr">
        <is>
          <t>RMB Trust Acc - 6250 615 1365</t>
        </is>
      </c>
      <c r="F6280" s="3" t="n">
        <v>-65.3</v>
      </c>
      <c r="G6280" s="3" t="n">
        <v>567.08</v>
      </c>
    </row>
    <row r="6281">
      <c r="A6281" s="3" t="inlineStr">
        <is>
          <t>Quinate Consulting (Pty) Ltd</t>
        </is>
      </c>
      <c r="B6281" s="4" t="n">
        <v>44773</v>
      </c>
      <c r="C6281" s="3" t="inlineStr">
        <is>
          <t>Assets</t>
        </is>
      </c>
      <c r="D6281" s="3" t="inlineStr">
        <is>
          <t>8415/000</t>
        </is>
      </c>
      <c r="E6281" s="3" t="inlineStr">
        <is>
          <t>STD Acc 071 958 959 - Facility Acc</t>
        </is>
      </c>
      <c r="F6281" s="3" t="n">
        <v>-85</v>
      </c>
      <c r="G6281" s="3" t="n">
        <v>3891.21</v>
      </c>
    </row>
    <row r="6282">
      <c r="A6282" s="3" t="inlineStr">
        <is>
          <t>Quinate Consulting (Pty) Ltd</t>
        </is>
      </c>
      <c r="B6282" s="4" t="n">
        <v>44773</v>
      </c>
      <c r="C6282" s="3" t="inlineStr">
        <is>
          <t>Assets</t>
        </is>
      </c>
      <c r="D6282" s="3" t="inlineStr">
        <is>
          <t>8430/000</t>
        </is>
      </c>
      <c r="E6282" s="3" t="inlineStr">
        <is>
          <t>Momentum Investment Acc - RU502230185</t>
        </is>
      </c>
      <c r="F6282" s="3" t="n">
        <v>2.03</v>
      </c>
      <c r="G6282" s="3" t="n">
        <v>516.79</v>
      </c>
    </row>
    <row r="6283">
      <c r="A6283" s="3" t="inlineStr">
        <is>
          <t>Opportunity Global Investment (PTY) LTD</t>
        </is>
      </c>
      <c r="B6283" s="4" t="n">
        <v>44773</v>
      </c>
      <c r="C6283" s="3" t="inlineStr">
        <is>
          <t>Assets</t>
        </is>
      </c>
      <c r="D6283" s="3" t="inlineStr">
        <is>
          <t>8440/000</t>
        </is>
      </c>
      <c r="E6283" s="3" t="inlineStr">
        <is>
          <t>FNB - Call 627602764438</t>
        </is>
      </c>
      <c r="F6283" s="3" t="n">
        <v>58.32</v>
      </c>
      <c r="G6283" s="3" t="n">
        <v>585.39</v>
      </c>
    </row>
    <row r="6284">
      <c r="A6284" s="3" t="inlineStr">
        <is>
          <t>Opportunity Global Investment (PTY) LTD</t>
        </is>
      </c>
      <c r="B6284" s="4" t="n">
        <v>44773</v>
      </c>
      <c r="C6284" s="3" t="inlineStr">
        <is>
          <t>Assets</t>
        </is>
      </c>
      <c r="D6284" s="3" t="inlineStr">
        <is>
          <t>8445/000</t>
        </is>
      </c>
      <c r="E6284" s="3" t="inlineStr">
        <is>
          <t>Momentum RU502230096</t>
        </is>
      </c>
      <c r="F6284" s="3" t="n">
        <v>19.84</v>
      </c>
      <c r="G6284" s="3" t="n">
        <v>4527.15</v>
      </c>
    </row>
    <row r="6285">
      <c r="A6285" s="3" t="inlineStr">
        <is>
          <t>Quinate Consulting (Pty) Ltd</t>
        </is>
      </c>
      <c r="B6285" s="4" t="n">
        <v>44773</v>
      </c>
      <c r="C6285" s="3" t="inlineStr">
        <is>
          <t>Assets</t>
        </is>
      </c>
      <c r="D6285" s="3" t="inlineStr">
        <is>
          <t>8450/000</t>
        </is>
      </c>
      <c r="E6285" s="3" t="inlineStr">
        <is>
          <t>A RMB 62275810820</t>
        </is>
      </c>
      <c r="F6285" s="3" t="n">
        <v>20247.1</v>
      </c>
      <c r="G6285" s="3" t="n">
        <v>32044.23</v>
      </c>
    </row>
    <row r="6286">
      <c r="A6286" s="3" t="inlineStr">
        <is>
          <t>Opportunity Management Holdings (PTY) LTD</t>
        </is>
      </c>
      <c r="B6286" s="4" t="n">
        <v>44773</v>
      </c>
      <c r="C6286" s="3" t="inlineStr">
        <is>
          <t>Assets</t>
        </is>
      </c>
      <c r="D6286" s="3" t="inlineStr">
        <is>
          <t>8450/000</t>
        </is>
      </c>
      <c r="E6286" s="3" t="inlineStr">
        <is>
          <t>Petty Cash - CT Office</t>
        </is>
      </c>
      <c r="F6286" s="3" t="n">
        <v>1000</v>
      </c>
      <c r="G6286" s="3" t="n">
        <v>1723.1</v>
      </c>
    </row>
    <row r="6287">
      <c r="A6287" s="3" t="inlineStr">
        <is>
          <t>Opportunity Global Investment (PTY) LTD</t>
        </is>
      </c>
      <c r="B6287" s="4" t="n">
        <v>44804</v>
      </c>
      <c r="C6287" s="3" t="inlineStr">
        <is>
          <t>Assets</t>
        </is>
      </c>
      <c r="D6287" s="3" t="inlineStr">
        <is>
          <t>8400/000</t>
        </is>
      </c>
      <c r="E6287" s="3" t="inlineStr">
        <is>
          <t>FNB 62093491696</t>
        </is>
      </c>
      <c r="F6287" s="3" t="n">
        <v>19964.05</v>
      </c>
      <c r="G6287" s="3" t="n">
        <v>57268.2</v>
      </c>
    </row>
    <row r="6288">
      <c r="A6288" s="3" t="inlineStr">
        <is>
          <t>Opportunity Global Sales (PTY) LTD</t>
        </is>
      </c>
      <c r="B6288" s="4" t="n">
        <v>44804</v>
      </c>
      <c r="C6288" s="3" t="inlineStr">
        <is>
          <t>Assets</t>
        </is>
      </c>
      <c r="D6288" s="3" t="inlineStr">
        <is>
          <t>8400/000</t>
        </is>
      </c>
      <c r="E6288" s="3" t="inlineStr">
        <is>
          <t>FNB 62835620875</t>
        </is>
      </c>
      <c r="F6288" s="3" t="n">
        <v>5809.21</v>
      </c>
      <c r="G6288" s="3" t="n">
        <v>30660.95</v>
      </c>
    </row>
    <row r="6289">
      <c r="A6289" s="3" t="inlineStr">
        <is>
          <t>Quinate Consulting (Pty) Ltd</t>
        </is>
      </c>
      <c r="B6289" s="4" t="n">
        <v>44804</v>
      </c>
      <c r="C6289" s="3" t="inlineStr">
        <is>
          <t>Assets</t>
        </is>
      </c>
      <c r="D6289" s="3" t="inlineStr">
        <is>
          <t>8400/000</t>
        </is>
      </c>
      <c r="E6289" s="3" t="inlineStr">
        <is>
          <t>RMB - 62736659189 - Call Acc</t>
        </is>
      </c>
      <c r="F6289" s="3" t="n">
        <v>64.02</v>
      </c>
      <c r="G6289" s="3" t="n">
        <v>153005.54</v>
      </c>
    </row>
    <row r="6290">
      <c r="A6290" s="3" t="inlineStr">
        <is>
          <t>Trademark Holdings (Pty) Ltd</t>
        </is>
      </c>
      <c r="B6290" s="4" t="n">
        <v>44804</v>
      </c>
      <c r="C6290" s="3" t="inlineStr">
        <is>
          <t>Assets</t>
        </is>
      </c>
      <c r="D6290" s="3" t="inlineStr">
        <is>
          <t>8400/000</t>
        </is>
      </c>
      <c r="E6290" s="3" t="inlineStr">
        <is>
          <t>RMB 623 693 03640</t>
        </is>
      </c>
      <c r="F6290" s="3" t="n">
        <v>-1841.3</v>
      </c>
      <c r="G6290" s="3" t="n">
        <v>49021.88</v>
      </c>
    </row>
    <row r="6291">
      <c r="A6291" s="3" t="inlineStr">
        <is>
          <t>Noble Shield (Pty) Ltd ta Go Letting</t>
        </is>
      </c>
      <c r="B6291" s="4" t="n">
        <v>44804</v>
      </c>
      <c r="C6291" s="3" t="inlineStr">
        <is>
          <t>Assets</t>
        </is>
      </c>
      <c r="D6291" s="3" t="inlineStr">
        <is>
          <t>8400/000</t>
        </is>
      </c>
      <c r="E6291" s="3" t="inlineStr">
        <is>
          <t>RMB 6250 573 3833</t>
        </is>
      </c>
      <c r="F6291" s="3" t="n">
        <v>-2489.83</v>
      </c>
      <c r="G6291" s="3" t="n">
        <v>43872.8</v>
      </c>
    </row>
    <row r="6292">
      <c r="A6292" s="3" t="inlineStr">
        <is>
          <t>Endulini (Pty) Ltd</t>
        </is>
      </c>
      <c r="B6292" s="4" t="n">
        <v>44804</v>
      </c>
      <c r="C6292" s="3" t="inlineStr">
        <is>
          <t>Assets</t>
        </is>
      </c>
      <c r="D6292" s="3" t="inlineStr">
        <is>
          <t>8400/000</t>
        </is>
      </c>
      <c r="E6292" s="3" t="inlineStr">
        <is>
          <t>RMB 62906944576</t>
        </is>
      </c>
      <c r="F6292" s="3" t="n">
        <v>98331.31</v>
      </c>
      <c r="G6292" s="3" t="n">
        <v>112782.59</v>
      </c>
    </row>
    <row r="6293">
      <c r="A6293" s="3" t="inlineStr">
        <is>
          <t>Opportunity Management Holdings (PTY) LTD</t>
        </is>
      </c>
      <c r="B6293" s="4" t="n">
        <v>44804</v>
      </c>
      <c r="C6293" s="3" t="inlineStr">
        <is>
          <t>Assets</t>
        </is>
      </c>
      <c r="D6293" s="3" t="inlineStr">
        <is>
          <t>8400/000</t>
        </is>
      </c>
      <c r="E6293" s="3" t="inlineStr">
        <is>
          <t>RMB Cheq - 62312246920</t>
        </is>
      </c>
      <c r="F6293" s="3" t="n">
        <v>38780.9</v>
      </c>
      <c r="G6293" s="3" t="n">
        <v>69917.50999999999</v>
      </c>
    </row>
    <row r="6294">
      <c r="A6294" s="3" t="inlineStr">
        <is>
          <t>Opportunity Global Investment (PTY) LTD</t>
        </is>
      </c>
      <c r="B6294" s="4" t="n">
        <v>44804</v>
      </c>
      <c r="C6294" s="3" t="inlineStr">
        <is>
          <t>Assets</t>
        </is>
      </c>
      <c r="D6294" s="3" t="inlineStr">
        <is>
          <t>8405/000</t>
        </is>
      </c>
      <c r="E6294" s="3" t="inlineStr">
        <is>
          <t>FNB Trust 62762449265</t>
        </is>
      </c>
      <c r="F6294" s="3" t="n">
        <v>-151.34</v>
      </c>
      <c r="G6294" s="3" t="n">
        <v>622.8200000000001</v>
      </c>
    </row>
    <row r="6295">
      <c r="A6295" s="3" t="inlineStr">
        <is>
          <t>Endulini (Pty) Ltd</t>
        </is>
      </c>
      <c r="B6295" s="4" t="n">
        <v>44804</v>
      </c>
      <c r="C6295" s="3" t="inlineStr">
        <is>
          <t>Assets</t>
        </is>
      </c>
      <c r="D6295" s="3" t="inlineStr">
        <is>
          <t>8410/000</t>
        </is>
      </c>
      <c r="E6295" s="3" t="inlineStr">
        <is>
          <t>Momentum Investor Account : RU 502229883</t>
        </is>
      </c>
      <c r="F6295" s="3" t="n">
        <v>-395124.46</v>
      </c>
      <c r="G6295" s="3" t="n">
        <v>2590.71</v>
      </c>
    </row>
    <row r="6296">
      <c r="A6296" s="3" t="inlineStr">
        <is>
          <t>Opportunity Management Holdings (PTY) LTD</t>
        </is>
      </c>
      <c r="B6296" s="4" t="n">
        <v>44804</v>
      </c>
      <c r="C6296" s="3" t="inlineStr">
        <is>
          <t>Assets</t>
        </is>
      </c>
      <c r="D6296" s="3" t="inlineStr">
        <is>
          <t>8410/000</t>
        </is>
      </c>
      <c r="E6296" s="3" t="inlineStr">
        <is>
          <t>RMB Call Acc - 62312248851</t>
        </is>
      </c>
      <c r="F6296" s="3" t="n">
        <v>-76.79000000000001</v>
      </c>
      <c r="G6296" s="3" t="n">
        <v>880.54</v>
      </c>
    </row>
    <row r="6297">
      <c r="A6297" s="3" t="inlineStr">
        <is>
          <t>Noble Shield (Pty) Ltd ta Go Letting</t>
        </is>
      </c>
      <c r="B6297" s="4" t="n">
        <v>44804</v>
      </c>
      <c r="C6297" s="3" t="inlineStr">
        <is>
          <t>Assets</t>
        </is>
      </c>
      <c r="D6297" s="3" t="inlineStr">
        <is>
          <t>8410/000</t>
        </is>
      </c>
      <c r="E6297" s="3" t="inlineStr">
        <is>
          <t>RMB Trust Acc - 6250 615 1365</t>
        </is>
      </c>
      <c r="F6297" s="3" t="n">
        <v>-63.98</v>
      </c>
      <c r="G6297" s="3" t="n">
        <v>503.1</v>
      </c>
    </row>
    <row r="6298">
      <c r="A6298" s="3" t="inlineStr">
        <is>
          <t>Quinate Consulting (Pty) Ltd</t>
        </is>
      </c>
      <c r="B6298" s="4" t="n">
        <v>44804</v>
      </c>
      <c r="C6298" s="3" t="inlineStr">
        <is>
          <t>Assets</t>
        </is>
      </c>
      <c r="D6298" s="3" t="inlineStr">
        <is>
          <t>8415/000</t>
        </is>
      </c>
      <c r="E6298" s="3" t="inlineStr">
        <is>
          <t>STD Acc 071 958 959 - Facility Acc</t>
        </is>
      </c>
      <c r="F6298" s="3" t="n">
        <v>-85</v>
      </c>
      <c r="G6298" s="3" t="n">
        <v>3806.21</v>
      </c>
    </row>
    <row r="6299">
      <c r="A6299" s="3" t="inlineStr">
        <is>
          <t>Quinate Consulting (Pty) Ltd</t>
        </is>
      </c>
      <c r="B6299" s="4" t="n">
        <v>44804</v>
      </c>
      <c r="C6299" s="3" t="inlineStr">
        <is>
          <t>Assets</t>
        </is>
      </c>
      <c r="D6299" s="3" t="inlineStr">
        <is>
          <t>8430/000</t>
        </is>
      </c>
      <c r="E6299" s="3" t="inlineStr">
        <is>
          <t>Momentum Investment Acc - RU502230185</t>
        </is>
      </c>
      <c r="F6299" s="3" t="n">
        <v>2.13</v>
      </c>
      <c r="G6299" s="3" t="n">
        <v>518.92</v>
      </c>
    </row>
    <row r="6300">
      <c r="A6300" s="3" t="inlineStr">
        <is>
          <t>Opportunity Global Investment (PTY) LTD</t>
        </is>
      </c>
      <c r="B6300" s="4" t="n">
        <v>44804</v>
      </c>
      <c r="C6300" s="3" t="inlineStr">
        <is>
          <t>Assets</t>
        </is>
      </c>
      <c r="D6300" s="3" t="inlineStr">
        <is>
          <t>8440/000</t>
        </is>
      </c>
      <c r="E6300" s="3" t="inlineStr">
        <is>
          <t>FNB - Call 627602764438</t>
        </is>
      </c>
      <c r="F6300" s="3" t="n">
        <v>-83.02</v>
      </c>
      <c r="G6300" s="3" t="n">
        <v>502.37</v>
      </c>
    </row>
    <row r="6301">
      <c r="A6301" s="3" t="inlineStr">
        <is>
          <t>Opportunity Global Investment (PTY) LTD</t>
        </is>
      </c>
      <c r="B6301" s="4" t="n">
        <v>44804</v>
      </c>
      <c r="C6301" s="3" t="inlineStr">
        <is>
          <t>Assets</t>
        </is>
      </c>
      <c r="D6301" s="3" t="inlineStr">
        <is>
          <t>8445/000</t>
        </is>
      </c>
      <c r="E6301" s="3" t="inlineStr">
        <is>
          <t>Momentum RU502230096</t>
        </is>
      </c>
      <c r="F6301" s="3" t="n">
        <v>20.84</v>
      </c>
      <c r="G6301" s="3" t="n">
        <v>4547.99</v>
      </c>
    </row>
    <row r="6302">
      <c r="A6302" s="3" t="inlineStr">
        <is>
          <t>Quinate Consulting (Pty) Ltd</t>
        </is>
      </c>
      <c r="B6302" s="4" t="n">
        <v>44804</v>
      </c>
      <c r="C6302" s="3" t="inlineStr">
        <is>
          <t>Assets</t>
        </is>
      </c>
      <c r="D6302" s="3" t="inlineStr">
        <is>
          <t>8450/000</t>
        </is>
      </c>
      <c r="E6302" s="3" t="inlineStr">
        <is>
          <t>A RMB 62275810820</t>
        </is>
      </c>
      <c r="F6302" s="3" t="n">
        <v>47866.39</v>
      </c>
      <c r="G6302" s="3" t="n">
        <v>79910.62</v>
      </c>
    </row>
    <row r="6303">
      <c r="A6303" s="3" t="inlineStr">
        <is>
          <t>Opportunity Management Holdings (PTY) LTD</t>
        </is>
      </c>
      <c r="B6303" s="4" t="n">
        <v>44804</v>
      </c>
      <c r="C6303" s="3" t="inlineStr">
        <is>
          <t>Assets</t>
        </is>
      </c>
      <c r="D6303" s="3" t="inlineStr">
        <is>
          <t>8450/000</t>
        </is>
      </c>
      <c r="E6303" s="3" t="inlineStr">
        <is>
          <t>Petty Cash - CT Office</t>
        </is>
      </c>
      <c r="F6303" s="3" t="n">
        <v>-874.2</v>
      </c>
      <c r="G6303" s="3" t="n">
        <v>848.9</v>
      </c>
    </row>
    <row r="6304">
      <c r="A6304" s="3" t="inlineStr">
        <is>
          <t>Opportunity Global Investment (PTY) LTD</t>
        </is>
      </c>
      <c r="B6304" s="4" t="n">
        <v>44834</v>
      </c>
      <c r="C6304" s="3" t="inlineStr">
        <is>
          <t>Assets</t>
        </is>
      </c>
      <c r="D6304" s="3" t="inlineStr">
        <is>
          <t>8400/000</t>
        </is>
      </c>
      <c r="E6304" s="3" t="inlineStr">
        <is>
          <t>FNB 62093491696</t>
        </is>
      </c>
      <c r="F6304" s="3" t="n">
        <v>49250.65</v>
      </c>
      <c r="G6304" s="3" t="n">
        <v>106518.85</v>
      </c>
    </row>
    <row r="6305">
      <c r="A6305" s="3" t="inlineStr">
        <is>
          <t>Opportunity Global Sales (PTY) LTD</t>
        </is>
      </c>
      <c r="B6305" s="4" t="n">
        <v>44834</v>
      </c>
      <c r="C6305" s="3" t="inlineStr">
        <is>
          <t>Assets</t>
        </is>
      </c>
      <c r="D6305" s="3" t="inlineStr">
        <is>
          <t>8400/000</t>
        </is>
      </c>
      <c r="E6305" s="3" t="inlineStr">
        <is>
          <t>FNB 62835620875</t>
        </is>
      </c>
      <c r="F6305" s="3" t="n">
        <v>126021.11</v>
      </c>
      <c r="G6305" s="3" t="n">
        <v>156682.06</v>
      </c>
    </row>
    <row r="6306">
      <c r="A6306" s="3" t="inlineStr">
        <is>
          <t>Quinate Consulting (Pty) Ltd</t>
        </is>
      </c>
      <c r="B6306" s="4" t="n">
        <v>44834</v>
      </c>
      <c r="C6306" s="3" t="inlineStr">
        <is>
          <t>Assets</t>
        </is>
      </c>
      <c r="D6306" s="3" t="inlineStr">
        <is>
          <t>8400/000</t>
        </is>
      </c>
      <c r="E6306" s="3" t="inlineStr">
        <is>
          <t>RMB - 62736659189 - Call Acc</t>
        </is>
      </c>
      <c r="F6306" s="3" t="n">
        <v>-391.17</v>
      </c>
      <c r="G6306" s="3" t="n">
        <v>152614.37</v>
      </c>
    </row>
    <row r="6307">
      <c r="A6307" s="3" t="inlineStr">
        <is>
          <t>Trademark Holdings (Pty) Ltd</t>
        </is>
      </c>
      <c r="B6307" s="4" t="n">
        <v>44834</v>
      </c>
      <c r="C6307" s="3" t="inlineStr">
        <is>
          <t>Assets</t>
        </is>
      </c>
      <c r="D6307" s="3" t="inlineStr">
        <is>
          <t>8400/000</t>
        </is>
      </c>
      <c r="E6307" s="3" t="inlineStr">
        <is>
          <t>RMB 623 693 03640</t>
        </is>
      </c>
      <c r="F6307" s="3" t="n">
        <v>12108.71</v>
      </c>
      <c r="G6307" s="3" t="n">
        <v>61130.59</v>
      </c>
    </row>
    <row r="6308">
      <c r="A6308" s="3" t="inlineStr">
        <is>
          <t>Noble Shield (Pty) Ltd ta Go Letting</t>
        </is>
      </c>
      <c r="B6308" s="4" t="n">
        <v>44834</v>
      </c>
      <c r="C6308" s="3" t="inlineStr">
        <is>
          <t>Assets</t>
        </is>
      </c>
      <c r="D6308" s="3" t="inlineStr">
        <is>
          <t>8400/000</t>
        </is>
      </c>
      <c r="E6308" s="3" t="inlineStr">
        <is>
          <t>RMB 6250 573 3833</t>
        </is>
      </c>
      <c r="F6308" s="3" t="n">
        <v>-9216.610000000001</v>
      </c>
      <c r="G6308" s="3" t="n">
        <v>34656.19</v>
      </c>
    </row>
    <row r="6309">
      <c r="A6309" s="3" t="inlineStr">
        <is>
          <t>Endulini (Pty) Ltd</t>
        </is>
      </c>
      <c r="B6309" s="4" t="n">
        <v>44834</v>
      </c>
      <c r="C6309" s="3" t="inlineStr">
        <is>
          <t>Assets</t>
        </is>
      </c>
      <c r="D6309" s="3" t="inlineStr">
        <is>
          <t>8400/000</t>
        </is>
      </c>
      <c r="E6309" s="3" t="inlineStr">
        <is>
          <t>RMB 62906944576</t>
        </is>
      </c>
      <c r="F6309" s="3" t="n">
        <v>407493.65</v>
      </c>
      <c r="G6309" s="3" t="n">
        <v>520276.24</v>
      </c>
    </row>
    <row r="6310">
      <c r="A6310" s="3" t="inlineStr">
        <is>
          <t>Opportunity Management Holdings (PTY) LTD</t>
        </is>
      </c>
      <c r="B6310" s="4" t="n">
        <v>44834</v>
      </c>
      <c r="C6310" s="3" t="inlineStr">
        <is>
          <t>Assets</t>
        </is>
      </c>
      <c r="D6310" s="3" t="inlineStr">
        <is>
          <t>8400/000</t>
        </is>
      </c>
      <c r="E6310" s="3" t="inlineStr">
        <is>
          <t>RMB Cheq - 62312246920</t>
        </is>
      </c>
      <c r="F6310" s="3" t="n">
        <v>-37850.46</v>
      </c>
      <c r="G6310" s="3" t="n">
        <v>32067.05</v>
      </c>
    </row>
    <row r="6311">
      <c r="A6311" s="3" t="inlineStr">
        <is>
          <t>Opportunity Global Investment (PTY) LTD</t>
        </is>
      </c>
      <c r="B6311" s="4" t="n">
        <v>44834</v>
      </c>
      <c r="C6311" s="3" t="inlineStr">
        <is>
          <t>Assets</t>
        </is>
      </c>
      <c r="D6311" s="3" t="inlineStr">
        <is>
          <t>8405/000</t>
        </is>
      </c>
      <c r="E6311" s="3" t="inlineStr">
        <is>
          <t>FNB Trust 62762449265</t>
        </is>
      </c>
      <c r="F6311" s="3" t="n">
        <v>415.02</v>
      </c>
      <c r="G6311" s="3" t="n">
        <v>1037.84</v>
      </c>
    </row>
    <row r="6312">
      <c r="A6312" s="3" t="inlineStr">
        <is>
          <t>Endulini (Pty) Ltd</t>
        </is>
      </c>
      <c r="B6312" s="4" t="n">
        <v>44834</v>
      </c>
      <c r="C6312" s="3" t="inlineStr">
        <is>
          <t>Assets</t>
        </is>
      </c>
      <c r="D6312" s="3" t="inlineStr">
        <is>
          <t>8410/000</t>
        </is>
      </c>
      <c r="E6312" s="3" t="inlineStr">
        <is>
          <t>Momentum Investor Account : RU 502229883</t>
        </is>
      </c>
      <c r="F6312" s="3" t="n">
        <v>10.9</v>
      </c>
      <c r="G6312" s="3" t="n">
        <v>2601.61</v>
      </c>
    </row>
    <row r="6313">
      <c r="A6313" s="3" t="inlineStr">
        <is>
          <t>Opportunity Management Holdings (PTY) LTD</t>
        </is>
      </c>
      <c r="B6313" s="4" t="n">
        <v>44834</v>
      </c>
      <c r="C6313" s="3" t="inlineStr">
        <is>
          <t>Assets</t>
        </is>
      </c>
      <c r="D6313" s="3" t="inlineStr">
        <is>
          <t>8410/000</t>
        </is>
      </c>
      <c r="E6313" s="3" t="inlineStr">
        <is>
          <t>RMB Call Acc - 62312248851</t>
        </is>
      </c>
      <c r="F6313" s="3" t="n">
        <v>193.12</v>
      </c>
      <c r="G6313" s="3" t="n">
        <v>1073.66</v>
      </c>
    </row>
    <row r="6314">
      <c r="A6314" s="3" t="inlineStr">
        <is>
          <t>Noble Shield (Pty) Ltd ta Go Letting</t>
        </is>
      </c>
      <c r="B6314" s="4" t="n">
        <v>44834</v>
      </c>
      <c r="C6314" s="3" t="inlineStr">
        <is>
          <t>Assets</t>
        </is>
      </c>
      <c r="D6314" s="3" t="inlineStr">
        <is>
          <t>8410/000</t>
        </is>
      </c>
      <c r="E6314" s="3" t="inlineStr">
        <is>
          <t>RMB Trust Acc - 6250 615 1365</t>
        </is>
      </c>
      <c r="F6314" s="3" t="n">
        <v>377.1</v>
      </c>
      <c r="G6314" s="3" t="n">
        <v>880.2</v>
      </c>
    </row>
    <row r="6315">
      <c r="A6315" s="3" t="inlineStr">
        <is>
          <t>Quinate Consulting (Pty) Ltd</t>
        </is>
      </c>
      <c r="B6315" s="4" t="n">
        <v>44834</v>
      </c>
      <c r="C6315" s="3" t="inlineStr">
        <is>
          <t>Assets</t>
        </is>
      </c>
      <c r="D6315" s="3" t="inlineStr">
        <is>
          <t>8415/000</t>
        </is>
      </c>
      <c r="E6315" s="3" t="inlineStr">
        <is>
          <t>STD Acc 071 958 959 - Facility Acc</t>
        </is>
      </c>
      <c r="F6315" s="3" t="n">
        <v>-85</v>
      </c>
      <c r="G6315" s="3" t="n">
        <v>3721.21</v>
      </c>
    </row>
    <row r="6316">
      <c r="A6316" s="3" t="inlineStr">
        <is>
          <t>Quinate Consulting (Pty) Ltd</t>
        </is>
      </c>
      <c r="B6316" s="4" t="n">
        <v>44834</v>
      </c>
      <c r="C6316" s="3" t="inlineStr">
        <is>
          <t>Assets</t>
        </is>
      </c>
      <c r="D6316" s="3" t="inlineStr">
        <is>
          <t>8430/000</t>
        </is>
      </c>
      <c r="E6316" s="3" t="inlineStr">
        <is>
          <t>Momentum Investment Acc - RU502230185</t>
        </is>
      </c>
      <c r="F6316" s="3" t="n">
        <v>2.18</v>
      </c>
      <c r="G6316" s="3" t="n">
        <v>521.1</v>
      </c>
    </row>
    <row r="6317">
      <c r="A6317" s="3" t="inlineStr">
        <is>
          <t>Opportunity Global Investment (PTY) LTD</t>
        </is>
      </c>
      <c r="B6317" s="4" t="n">
        <v>44834</v>
      </c>
      <c r="C6317" s="3" t="inlineStr">
        <is>
          <t>Assets</t>
        </is>
      </c>
      <c r="D6317" s="3" t="inlineStr">
        <is>
          <t>8440/000</t>
        </is>
      </c>
      <c r="E6317" s="3" t="inlineStr">
        <is>
          <t>FNB - Call 627602764438</t>
        </is>
      </c>
      <c r="F6317" s="3" t="n">
        <v>483.34</v>
      </c>
      <c r="G6317" s="3" t="n">
        <v>985.71</v>
      </c>
    </row>
    <row r="6318">
      <c r="A6318" s="3" t="inlineStr">
        <is>
          <t>Opportunity Global Investment (PTY) LTD</t>
        </is>
      </c>
      <c r="B6318" s="4" t="n">
        <v>44834</v>
      </c>
      <c r="C6318" s="3" t="inlineStr">
        <is>
          <t>Assets</t>
        </is>
      </c>
      <c r="D6318" s="3" t="inlineStr">
        <is>
          <t>8445/000</t>
        </is>
      </c>
      <c r="E6318" s="3" t="inlineStr">
        <is>
          <t>Momentum RU502230096</t>
        </is>
      </c>
      <c r="F6318" s="3" t="n">
        <v>0</v>
      </c>
      <c r="G6318" s="3" t="n">
        <v>4547.99</v>
      </c>
    </row>
    <row r="6319">
      <c r="A6319" s="3" t="inlineStr">
        <is>
          <t>Quinate Consulting (Pty) Ltd</t>
        </is>
      </c>
      <c r="B6319" s="4" t="n">
        <v>44834</v>
      </c>
      <c r="C6319" s="3" t="inlineStr">
        <is>
          <t>Assets</t>
        </is>
      </c>
      <c r="D6319" s="3" t="inlineStr">
        <is>
          <t>8450/000</t>
        </is>
      </c>
      <c r="E6319" s="3" t="inlineStr">
        <is>
          <t>A RMB 62275810820</t>
        </is>
      </c>
      <c r="F6319" s="3" t="n">
        <v>101652.27</v>
      </c>
      <c r="G6319" s="3" t="n">
        <v>181562.89</v>
      </c>
    </row>
    <row r="6320">
      <c r="A6320" s="3" t="inlineStr">
        <is>
          <t>Opportunity Management Holdings (PTY) LTD</t>
        </is>
      </c>
      <c r="B6320" s="4" t="n">
        <v>44834</v>
      </c>
      <c r="C6320" s="3" t="inlineStr">
        <is>
          <t>Assets</t>
        </is>
      </c>
      <c r="D6320" s="3" t="inlineStr">
        <is>
          <t>8450/000</t>
        </is>
      </c>
      <c r="E6320" s="3" t="inlineStr">
        <is>
          <t>Petty Cash - CT Office</t>
        </is>
      </c>
      <c r="F6320" s="3" t="n">
        <v>-250</v>
      </c>
      <c r="G6320" s="3" t="n">
        <v>598.9</v>
      </c>
    </row>
    <row r="6321">
      <c r="A6321" s="3" t="inlineStr">
        <is>
          <t>Opportunity Global Investment (PTY) LTD</t>
        </is>
      </c>
      <c r="B6321" s="4" t="n">
        <v>44865</v>
      </c>
      <c r="C6321" s="3" t="inlineStr">
        <is>
          <t>Assets</t>
        </is>
      </c>
      <c r="D6321" s="3" t="inlineStr">
        <is>
          <t>8400/000</t>
        </is>
      </c>
      <c r="E6321" s="3" t="inlineStr">
        <is>
          <t>FNB 62093491696</t>
        </is>
      </c>
      <c r="F6321" s="3" t="n">
        <v>-41341.71</v>
      </c>
      <c r="G6321" s="3" t="n">
        <v>65177.14</v>
      </c>
    </row>
    <row r="6322">
      <c r="A6322" s="3" t="inlineStr">
        <is>
          <t>Opportunity Global Sales (PTY) LTD</t>
        </is>
      </c>
      <c r="B6322" s="4" t="n">
        <v>44865</v>
      </c>
      <c r="C6322" s="3" t="inlineStr">
        <is>
          <t>Assets</t>
        </is>
      </c>
      <c r="D6322" s="3" t="inlineStr">
        <is>
          <t>8400/000</t>
        </is>
      </c>
      <c r="E6322" s="3" t="inlineStr">
        <is>
          <t>FNB 62835620875</t>
        </is>
      </c>
      <c r="F6322" s="3" t="n">
        <v>42120.71</v>
      </c>
      <c r="G6322" s="3" t="n">
        <v>198802.77</v>
      </c>
    </row>
    <row r="6323">
      <c r="A6323" s="3" t="inlineStr">
        <is>
          <t>Quinate Consulting (Pty) Ltd</t>
        </is>
      </c>
      <c r="B6323" s="4" t="n">
        <v>44865</v>
      </c>
      <c r="C6323" s="3" t="inlineStr">
        <is>
          <t>Assets</t>
        </is>
      </c>
      <c r="D6323" s="3" t="inlineStr">
        <is>
          <t>8400/000</t>
        </is>
      </c>
      <c r="E6323" s="3" t="inlineStr">
        <is>
          <t>RMB - 62736659189 - Call Acc</t>
        </is>
      </c>
      <c r="F6323" s="3" t="n">
        <v>590.04</v>
      </c>
      <c r="G6323" s="3" t="n">
        <v>153204.41</v>
      </c>
    </row>
    <row r="6324">
      <c r="A6324" s="3" t="inlineStr">
        <is>
          <t>Trademark Holdings (Pty) Ltd</t>
        </is>
      </c>
      <c r="B6324" s="4" t="n">
        <v>44865</v>
      </c>
      <c r="C6324" s="3" t="inlineStr">
        <is>
          <t>Assets</t>
        </is>
      </c>
      <c r="D6324" s="3" t="inlineStr">
        <is>
          <t>8400/000</t>
        </is>
      </c>
      <c r="E6324" s="3" t="inlineStr">
        <is>
          <t>RMB 623 693 03640</t>
        </is>
      </c>
      <c r="F6324" s="3" t="n">
        <v>39013.74</v>
      </c>
      <c r="G6324" s="3" t="n">
        <v>100144.33</v>
      </c>
    </row>
    <row r="6325">
      <c r="A6325" s="3" t="inlineStr">
        <is>
          <t>Noble Shield (Pty) Ltd ta Go Letting</t>
        </is>
      </c>
      <c r="B6325" s="4" t="n">
        <v>44865</v>
      </c>
      <c r="C6325" s="3" t="inlineStr">
        <is>
          <t>Assets</t>
        </is>
      </c>
      <c r="D6325" s="3" t="inlineStr">
        <is>
          <t>8400/000</t>
        </is>
      </c>
      <c r="E6325" s="3" t="inlineStr">
        <is>
          <t>RMB 6250 573 3833</t>
        </is>
      </c>
      <c r="F6325" s="3" t="n">
        <v>25344.73</v>
      </c>
      <c r="G6325" s="3" t="n">
        <v>60000.92</v>
      </c>
    </row>
    <row r="6326">
      <c r="A6326" s="3" t="inlineStr">
        <is>
          <t>Endulini (Pty) Ltd</t>
        </is>
      </c>
      <c r="B6326" s="4" t="n">
        <v>44865</v>
      </c>
      <c r="C6326" s="3" t="inlineStr">
        <is>
          <t>Assets</t>
        </is>
      </c>
      <c r="D6326" s="3" t="inlineStr">
        <is>
          <t>8400/000</t>
        </is>
      </c>
      <c r="E6326" s="3" t="inlineStr">
        <is>
          <t>RMB 62906944576</t>
        </is>
      </c>
      <c r="F6326" s="3" t="n">
        <v>-271130.25</v>
      </c>
      <c r="G6326" s="3" t="n">
        <v>249145.99</v>
      </c>
    </row>
    <row r="6327">
      <c r="A6327" s="3" t="inlineStr">
        <is>
          <t>Opportunity Management Holdings (PTY) LTD</t>
        </is>
      </c>
      <c r="B6327" s="4" t="n">
        <v>44865</v>
      </c>
      <c r="C6327" s="3" t="inlineStr">
        <is>
          <t>Assets</t>
        </is>
      </c>
      <c r="D6327" s="3" t="inlineStr">
        <is>
          <t>8400/000</t>
        </is>
      </c>
      <c r="E6327" s="3" t="inlineStr">
        <is>
          <t>RMB Cheq - 62312246920</t>
        </is>
      </c>
      <c r="F6327" s="3" t="n">
        <v>44219.33</v>
      </c>
      <c r="G6327" s="3" t="n">
        <v>76286.38</v>
      </c>
    </row>
    <row r="6328">
      <c r="A6328" s="3" t="inlineStr">
        <is>
          <t>Opportunity Global Investment (PTY) LTD</t>
        </is>
      </c>
      <c r="B6328" s="4" t="n">
        <v>44865</v>
      </c>
      <c r="C6328" s="3" t="inlineStr">
        <is>
          <t>Assets</t>
        </is>
      </c>
      <c r="D6328" s="3" t="inlineStr">
        <is>
          <t>8405/000</t>
        </is>
      </c>
      <c r="E6328" s="3" t="inlineStr">
        <is>
          <t>FNB Trust 62762449265</t>
        </is>
      </c>
      <c r="F6328" s="3" t="n">
        <v>-73.06</v>
      </c>
      <c r="G6328" s="3" t="n">
        <v>964.78</v>
      </c>
    </row>
    <row r="6329">
      <c r="A6329" s="3" t="inlineStr">
        <is>
          <t>Endulini (Pty) Ltd</t>
        </is>
      </c>
      <c r="B6329" s="4" t="n">
        <v>44865</v>
      </c>
      <c r="C6329" s="3" t="inlineStr">
        <is>
          <t>Assets</t>
        </is>
      </c>
      <c r="D6329" s="3" t="inlineStr">
        <is>
          <t>8410/000</t>
        </is>
      </c>
      <c r="E6329" s="3" t="inlineStr">
        <is>
          <t>Momentum Investor Account : RU 502229883</t>
        </is>
      </c>
      <c r="F6329" s="3" t="n">
        <v>12.63</v>
      </c>
      <c r="G6329" s="3" t="n">
        <v>2614.24</v>
      </c>
    </row>
    <row r="6330">
      <c r="A6330" s="3" t="inlineStr">
        <is>
          <t>Opportunity Management Holdings (PTY) LTD</t>
        </is>
      </c>
      <c r="B6330" s="4" t="n">
        <v>44865</v>
      </c>
      <c r="C6330" s="3" t="inlineStr">
        <is>
          <t>Assets</t>
        </is>
      </c>
      <c r="D6330" s="3" t="inlineStr">
        <is>
          <t>8410/000</t>
        </is>
      </c>
      <c r="E6330" s="3" t="inlineStr">
        <is>
          <t>RMB Call Acc - 62312248851</t>
        </is>
      </c>
      <c r="F6330" s="3" t="n">
        <v>-2.62</v>
      </c>
      <c r="G6330" s="3" t="n">
        <v>1071.04</v>
      </c>
    </row>
    <row r="6331">
      <c r="A6331" s="3" t="inlineStr">
        <is>
          <t>Noble Shield (Pty) Ltd ta Go Letting</t>
        </is>
      </c>
      <c r="B6331" s="4" t="n">
        <v>44865</v>
      </c>
      <c r="C6331" s="3" t="inlineStr">
        <is>
          <t>Assets</t>
        </is>
      </c>
      <c r="D6331" s="3" t="inlineStr">
        <is>
          <t>8410/000</t>
        </is>
      </c>
      <c r="E6331" s="3" t="inlineStr">
        <is>
          <t>RMB Trust Acc - 6250 615 1365</t>
        </is>
      </c>
      <c r="F6331" s="3" t="n">
        <v>-71.48</v>
      </c>
      <c r="G6331" s="3" t="n">
        <v>808.72</v>
      </c>
    </row>
    <row r="6332">
      <c r="A6332" s="3" t="inlineStr">
        <is>
          <t>Quinate Consulting (Pty) Ltd</t>
        </is>
      </c>
      <c r="B6332" s="4" t="n">
        <v>44865</v>
      </c>
      <c r="C6332" s="3" t="inlineStr">
        <is>
          <t>Assets</t>
        </is>
      </c>
      <c r="D6332" s="3" t="inlineStr">
        <is>
          <t>8415/000</t>
        </is>
      </c>
      <c r="E6332" s="3" t="inlineStr">
        <is>
          <t>STD Acc 071 958 959 - Facility Acc</t>
        </is>
      </c>
      <c r="F6332" s="3" t="n">
        <v>-85</v>
      </c>
      <c r="G6332" s="3" t="n">
        <v>3636.21</v>
      </c>
    </row>
    <row r="6333">
      <c r="A6333" s="3" t="inlineStr">
        <is>
          <t>Quinate Consulting (Pty) Ltd</t>
        </is>
      </c>
      <c r="B6333" s="4" t="n">
        <v>44865</v>
      </c>
      <c r="C6333" s="3" t="inlineStr">
        <is>
          <t>Assets</t>
        </is>
      </c>
      <c r="D6333" s="3" t="inlineStr">
        <is>
          <t>8430/000</t>
        </is>
      </c>
      <c r="E6333" s="3" t="inlineStr">
        <is>
          <t>Momentum Investment Acc - RU502230185</t>
        </is>
      </c>
      <c r="F6333" s="3" t="n">
        <v>2.54</v>
      </c>
      <c r="G6333" s="3" t="n">
        <v>523.64</v>
      </c>
    </row>
    <row r="6334">
      <c r="A6334" s="3" t="inlineStr">
        <is>
          <t>Opportunity Global Investment (PTY) LTD</t>
        </is>
      </c>
      <c r="B6334" s="4" t="n">
        <v>44865</v>
      </c>
      <c r="C6334" s="3" t="inlineStr">
        <is>
          <t>Assets</t>
        </is>
      </c>
      <c r="D6334" s="3" t="inlineStr">
        <is>
          <t>8440/000</t>
        </is>
      </c>
      <c r="E6334" s="3" t="inlineStr">
        <is>
          <t>FNB - Call 627602764438</t>
        </is>
      </c>
      <c r="F6334" s="3" t="n">
        <v>-9.48</v>
      </c>
      <c r="G6334" s="3" t="n">
        <v>976.23</v>
      </c>
    </row>
    <row r="6335">
      <c r="A6335" s="3" t="inlineStr">
        <is>
          <t>Opportunity Global Investment (PTY) LTD</t>
        </is>
      </c>
      <c r="B6335" s="4" t="n">
        <v>44865</v>
      </c>
      <c r="C6335" s="3" t="inlineStr">
        <is>
          <t>Assets</t>
        </is>
      </c>
      <c r="D6335" s="3" t="inlineStr">
        <is>
          <t>8445/000</t>
        </is>
      </c>
      <c r="E6335" s="3" t="inlineStr">
        <is>
          <t>Momentum RU502230096</t>
        </is>
      </c>
      <c r="F6335" s="3" t="n">
        <v>45.78</v>
      </c>
      <c r="G6335" s="3" t="n">
        <v>4593.77</v>
      </c>
    </row>
    <row r="6336">
      <c r="A6336" s="3" t="inlineStr">
        <is>
          <t>Quinate Consulting (Pty) Ltd</t>
        </is>
      </c>
      <c r="B6336" s="4" t="n">
        <v>44865</v>
      </c>
      <c r="C6336" s="3" t="inlineStr">
        <is>
          <t>Assets</t>
        </is>
      </c>
      <c r="D6336" s="3" t="inlineStr">
        <is>
          <t>8450/000</t>
        </is>
      </c>
      <c r="E6336" s="3" t="inlineStr">
        <is>
          <t>A RMB 62275810820</t>
        </is>
      </c>
      <c r="F6336" s="3" t="n">
        <v>-71656.97</v>
      </c>
      <c r="G6336" s="3" t="n">
        <v>109905.92</v>
      </c>
    </row>
    <row r="6337">
      <c r="A6337" s="3" t="inlineStr">
        <is>
          <t>Opportunity Management Holdings (PTY) LTD</t>
        </is>
      </c>
      <c r="B6337" s="4" t="n">
        <v>44865</v>
      </c>
      <c r="C6337" s="3" t="inlineStr">
        <is>
          <t>Assets</t>
        </is>
      </c>
      <c r="D6337" s="3" t="inlineStr">
        <is>
          <t>8450/000</t>
        </is>
      </c>
      <c r="E6337" s="3" t="inlineStr">
        <is>
          <t>Petty Cash - CT Office</t>
        </is>
      </c>
      <c r="F6337" s="3" t="n">
        <v>0</v>
      </c>
      <c r="G6337" s="3" t="n">
        <v>598.9</v>
      </c>
    </row>
    <row r="6338">
      <c r="A6338" s="3" t="inlineStr">
        <is>
          <t>Opportunity Global Investment (PTY) LTD</t>
        </is>
      </c>
      <c r="B6338" s="4" t="n">
        <v>44895</v>
      </c>
      <c r="C6338" s="3" t="inlineStr">
        <is>
          <t>Assets</t>
        </is>
      </c>
      <c r="D6338" s="3" t="inlineStr">
        <is>
          <t>8400/000</t>
        </is>
      </c>
      <c r="E6338" s="3" t="inlineStr">
        <is>
          <t>FNB 62093491696</t>
        </is>
      </c>
      <c r="F6338" s="3" t="n">
        <v>936.73</v>
      </c>
      <c r="G6338" s="3" t="n">
        <v>66113.87</v>
      </c>
    </row>
    <row r="6339">
      <c r="A6339" s="3" t="inlineStr">
        <is>
          <t>Opportunity Global Sales (PTY) LTD</t>
        </is>
      </c>
      <c r="B6339" s="4" t="n">
        <v>44895</v>
      </c>
      <c r="C6339" s="3" t="inlineStr">
        <is>
          <t>Assets</t>
        </is>
      </c>
      <c r="D6339" s="3" t="inlineStr">
        <is>
          <t>8400/000</t>
        </is>
      </c>
      <c r="E6339" s="3" t="inlineStr">
        <is>
          <t>FNB 62835620875</t>
        </is>
      </c>
      <c r="F6339" s="3" t="n">
        <v>104630.44</v>
      </c>
      <c r="G6339" s="3" t="n">
        <v>303433.21</v>
      </c>
    </row>
    <row r="6340">
      <c r="A6340" s="3" t="inlineStr">
        <is>
          <t>Quinate Consulting (Pty) Ltd</t>
        </is>
      </c>
      <c r="B6340" s="4" t="n">
        <v>44895</v>
      </c>
      <c r="C6340" s="3" t="inlineStr">
        <is>
          <t>Assets</t>
        </is>
      </c>
      <c r="D6340" s="3" t="inlineStr">
        <is>
          <t>8400/000</t>
        </is>
      </c>
      <c r="E6340" s="3" t="inlineStr">
        <is>
          <t>RMB - 62736659189 - Call Acc</t>
        </is>
      </c>
      <c r="F6340" s="3" t="n">
        <v>599.66</v>
      </c>
      <c r="G6340" s="3" t="n">
        <v>153804.07</v>
      </c>
    </row>
    <row r="6341">
      <c r="A6341" s="3" t="inlineStr">
        <is>
          <t>Trademark Holdings (Pty) Ltd</t>
        </is>
      </c>
      <c r="B6341" s="4" t="n">
        <v>44895</v>
      </c>
      <c r="C6341" s="3" t="inlineStr">
        <is>
          <t>Assets</t>
        </is>
      </c>
      <c r="D6341" s="3" t="inlineStr">
        <is>
          <t>8400/000</t>
        </is>
      </c>
      <c r="E6341" s="3" t="inlineStr">
        <is>
          <t>RMB 623 693 03640</t>
        </is>
      </c>
      <c r="F6341" s="3" t="n">
        <v>-17549.09</v>
      </c>
      <c r="G6341" s="3" t="n">
        <v>82595.24000000001</v>
      </c>
    </row>
    <row r="6342">
      <c r="A6342" s="3" t="inlineStr">
        <is>
          <t>Noble Shield (Pty) Ltd ta Go Letting</t>
        </is>
      </c>
      <c r="B6342" s="4" t="n">
        <v>44895</v>
      </c>
      <c r="C6342" s="3" t="inlineStr">
        <is>
          <t>Assets</t>
        </is>
      </c>
      <c r="D6342" s="3" t="inlineStr">
        <is>
          <t>8400/000</t>
        </is>
      </c>
      <c r="E6342" s="3" t="inlineStr">
        <is>
          <t>RMB 6250 573 3833</t>
        </is>
      </c>
      <c r="F6342" s="3" t="n">
        <v>-12376.1</v>
      </c>
      <c r="G6342" s="3" t="n">
        <v>47624.82</v>
      </c>
    </row>
    <row r="6343">
      <c r="A6343" s="3" t="inlineStr">
        <is>
          <t>Endulini (Pty) Ltd</t>
        </is>
      </c>
      <c r="B6343" s="4" t="n">
        <v>44895</v>
      </c>
      <c r="C6343" s="3" t="inlineStr">
        <is>
          <t>Assets</t>
        </is>
      </c>
      <c r="D6343" s="3" t="inlineStr">
        <is>
          <t>8400/000</t>
        </is>
      </c>
      <c r="E6343" s="3" t="inlineStr">
        <is>
          <t>RMB 62906944576</t>
        </is>
      </c>
      <c r="F6343" s="3" t="n">
        <v>116087.34</v>
      </c>
      <c r="G6343" s="3" t="n">
        <v>365233.33</v>
      </c>
    </row>
    <row r="6344">
      <c r="A6344" s="3" t="inlineStr">
        <is>
          <t>Opportunity Management Holdings (PTY) LTD</t>
        </is>
      </c>
      <c r="B6344" s="4" t="n">
        <v>44895</v>
      </c>
      <c r="C6344" s="3" t="inlineStr">
        <is>
          <t>Assets</t>
        </is>
      </c>
      <c r="D6344" s="3" t="inlineStr">
        <is>
          <t>8400/000</t>
        </is>
      </c>
      <c r="E6344" s="3" t="inlineStr">
        <is>
          <t>RMB Cheq - 62312246920</t>
        </is>
      </c>
      <c r="F6344" s="3" t="n">
        <v>6571.48</v>
      </c>
      <c r="G6344" s="3" t="n">
        <v>82857.86</v>
      </c>
    </row>
    <row r="6345">
      <c r="A6345" s="3" t="inlineStr">
        <is>
          <t>Opportunity Global Investment (PTY) LTD</t>
        </is>
      </c>
      <c r="B6345" s="4" t="n">
        <v>44895</v>
      </c>
      <c r="C6345" s="3" t="inlineStr">
        <is>
          <t>Assets</t>
        </is>
      </c>
      <c r="D6345" s="3" t="inlineStr">
        <is>
          <t>8405/000</t>
        </is>
      </c>
      <c r="E6345" s="3" t="inlineStr">
        <is>
          <t>FNB Trust 62762449265</t>
        </is>
      </c>
      <c r="F6345" s="3" t="n">
        <v>-71.48</v>
      </c>
      <c r="G6345" s="3" t="n">
        <v>893.3</v>
      </c>
    </row>
    <row r="6346">
      <c r="A6346" s="3" t="inlineStr">
        <is>
          <t>Endulini (Pty) Ltd</t>
        </is>
      </c>
      <c r="B6346" s="4" t="n">
        <v>44895</v>
      </c>
      <c r="C6346" s="3" t="inlineStr">
        <is>
          <t>Assets</t>
        </is>
      </c>
      <c r="D6346" s="3" t="inlineStr">
        <is>
          <t>8410/000</t>
        </is>
      </c>
      <c r="E6346" s="3" t="inlineStr">
        <is>
          <t>Momentum Investor Account : RU 502229883</t>
        </is>
      </c>
      <c r="F6346" s="3" t="n">
        <v>0</v>
      </c>
      <c r="G6346" s="3" t="n">
        <v>2614.24</v>
      </c>
    </row>
    <row r="6347">
      <c r="A6347" s="3" t="inlineStr">
        <is>
          <t>Opportunity Management Holdings (PTY) LTD</t>
        </is>
      </c>
      <c r="B6347" s="4" t="n">
        <v>44895</v>
      </c>
      <c r="C6347" s="3" t="inlineStr">
        <is>
          <t>Assets</t>
        </is>
      </c>
      <c r="D6347" s="3" t="inlineStr">
        <is>
          <t>8410/000</t>
        </is>
      </c>
      <c r="E6347" s="3" t="inlineStr">
        <is>
          <t>RMB Call Acc - 62312248851</t>
        </is>
      </c>
      <c r="F6347" s="3" t="n">
        <v>150116.53</v>
      </c>
      <c r="G6347" s="3" t="n">
        <v>151187.57</v>
      </c>
    </row>
    <row r="6348">
      <c r="A6348" s="3" t="inlineStr">
        <is>
          <t>Noble Shield (Pty) Ltd ta Go Letting</t>
        </is>
      </c>
      <c r="B6348" s="4" t="n">
        <v>44895</v>
      </c>
      <c r="C6348" s="3" t="inlineStr">
        <is>
          <t>Assets</t>
        </is>
      </c>
      <c r="D6348" s="3" t="inlineStr">
        <is>
          <t>8410/000</t>
        </is>
      </c>
      <c r="E6348" s="3" t="inlineStr">
        <is>
          <t>RMB Trust Acc - 6250 615 1365</t>
        </is>
      </c>
      <c r="F6348" s="3" t="n">
        <v>-73.06</v>
      </c>
      <c r="G6348" s="3" t="n">
        <v>735.66</v>
      </c>
    </row>
    <row r="6349">
      <c r="A6349" s="3" t="inlineStr">
        <is>
          <t>Quinate Consulting (Pty) Ltd</t>
        </is>
      </c>
      <c r="B6349" s="4" t="n">
        <v>44895</v>
      </c>
      <c r="C6349" s="3" t="inlineStr">
        <is>
          <t>Assets</t>
        </is>
      </c>
      <c r="D6349" s="3" t="inlineStr">
        <is>
          <t>8415/000</t>
        </is>
      </c>
      <c r="E6349" s="3" t="inlineStr">
        <is>
          <t>STD Acc 071 958 959 - Facility Acc</t>
        </is>
      </c>
      <c r="F6349" s="3" t="n">
        <v>0</v>
      </c>
      <c r="G6349" s="3" t="n">
        <v>3636.21</v>
      </c>
    </row>
    <row r="6350">
      <c r="A6350" s="3" t="inlineStr">
        <is>
          <t>Quinate Consulting (Pty) Ltd</t>
        </is>
      </c>
      <c r="B6350" s="4" t="n">
        <v>44895</v>
      </c>
      <c r="C6350" s="3" t="inlineStr">
        <is>
          <t>Assets</t>
        </is>
      </c>
      <c r="D6350" s="3" t="inlineStr">
        <is>
          <t>8430/000</t>
        </is>
      </c>
      <c r="E6350" s="3" t="inlineStr">
        <is>
          <t>Momentum Investment Acc - RU502230185</t>
        </is>
      </c>
      <c r="F6350" s="3" t="n">
        <v>0</v>
      </c>
      <c r="G6350" s="3" t="n">
        <v>523.64</v>
      </c>
    </row>
    <row r="6351">
      <c r="A6351" s="3" t="inlineStr">
        <is>
          <t>Opportunity Global Investment (PTY) LTD</t>
        </is>
      </c>
      <c r="B6351" s="4" t="n">
        <v>44895</v>
      </c>
      <c r="C6351" s="3" t="inlineStr">
        <is>
          <t>Assets</t>
        </is>
      </c>
      <c r="D6351" s="3" t="inlineStr">
        <is>
          <t>8440/000</t>
        </is>
      </c>
      <c r="E6351" s="3" t="inlineStr">
        <is>
          <t>FNB - Call 627602764438</t>
        </is>
      </c>
      <c r="F6351" s="3" t="n">
        <v>-11.06</v>
      </c>
      <c r="G6351" s="3" t="n">
        <v>965.17</v>
      </c>
    </row>
    <row r="6352">
      <c r="A6352" s="3" t="inlineStr">
        <is>
          <t>Opportunity Global Investment (PTY) LTD</t>
        </is>
      </c>
      <c r="B6352" s="4" t="n">
        <v>44895</v>
      </c>
      <c r="C6352" s="3" t="inlineStr">
        <is>
          <t>Assets</t>
        </is>
      </c>
      <c r="D6352" s="3" t="inlineStr">
        <is>
          <t>8445/000</t>
        </is>
      </c>
      <c r="E6352" s="3" t="inlineStr">
        <is>
          <t>Momentum RU502230096</t>
        </is>
      </c>
      <c r="F6352" s="3" t="n">
        <v>0</v>
      </c>
      <c r="G6352" s="3" t="n">
        <v>4593.77</v>
      </c>
    </row>
    <row r="6353">
      <c r="A6353" s="3" t="inlineStr">
        <is>
          <t>Quinate Consulting (Pty) Ltd</t>
        </is>
      </c>
      <c r="B6353" s="4" t="n">
        <v>44895</v>
      </c>
      <c r="C6353" s="3" t="inlineStr">
        <is>
          <t>Assets</t>
        </is>
      </c>
      <c r="D6353" s="3" t="inlineStr">
        <is>
          <t>8450/000</t>
        </is>
      </c>
      <c r="E6353" s="3" t="inlineStr">
        <is>
          <t>A RMB 62275810820</t>
        </is>
      </c>
      <c r="F6353" s="3" t="n">
        <v>6905.25</v>
      </c>
      <c r="G6353" s="3" t="n">
        <v>116811.17</v>
      </c>
    </row>
    <row r="6354">
      <c r="A6354" s="3" t="inlineStr">
        <is>
          <t>Opportunity Management Holdings (PTY) LTD</t>
        </is>
      </c>
      <c r="B6354" s="4" t="n">
        <v>44895</v>
      </c>
      <c r="C6354" s="3" t="inlineStr">
        <is>
          <t>Assets</t>
        </is>
      </c>
      <c r="D6354" s="3" t="inlineStr">
        <is>
          <t>8450/000</t>
        </is>
      </c>
      <c r="E6354" s="3" t="inlineStr">
        <is>
          <t>Petty Cash - CT Office</t>
        </is>
      </c>
      <c r="F6354" s="3" t="n">
        <v>-250</v>
      </c>
      <c r="G6354" s="3" t="n">
        <v>348.9</v>
      </c>
    </row>
    <row r="6355">
      <c r="A6355" s="3" t="inlineStr">
        <is>
          <t>Opportunity Global Investment (PTY) LTD</t>
        </is>
      </c>
      <c r="B6355" s="4" t="n">
        <v>44926</v>
      </c>
      <c r="C6355" s="3" t="inlineStr">
        <is>
          <t>Assets</t>
        </is>
      </c>
      <c r="D6355" s="3" t="inlineStr">
        <is>
          <t>8400/000</t>
        </is>
      </c>
      <c r="E6355" s="3" t="inlineStr">
        <is>
          <t>FNB 62093491696</t>
        </is>
      </c>
      <c r="F6355" s="3" t="n">
        <v>-29577.74</v>
      </c>
      <c r="G6355" s="3" t="n">
        <v>36536.13</v>
      </c>
    </row>
    <row r="6356">
      <c r="A6356" s="3" t="inlineStr">
        <is>
          <t>Opportunity Global Sales (PTY) LTD</t>
        </is>
      </c>
      <c r="B6356" s="4" t="n">
        <v>44926</v>
      </c>
      <c r="C6356" s="3" t="inlineStr">
        <is>
          <t>Assets</t>
        </is>
      </c>
      <c r="D6356" s="3" t="inlineStr">
        <is>
          <t>8400/000</t>
        </is>
      </c>
      <c r="E6356" s="3" t="inlineStr">
        <is>
          <t>FNB 62835620875</t>
        </is>
      </c>
      <c r="F6356" s="3" t="n">
        <v>-286826.82</v>
      </c>
      <c r="G6356" s="3" t="n">
        <v>16606.39</v>
      </c>
    </row>
    <row r="6357">
      <c r="A6357" s="3" t="inlineStr">
        <is>
          <t>Quinate Consulting (Pty) Ltd</t>
        </is>
      </c>
      <c r="B6357" s="4" t="n">
        <v>44926</v>
      </c>
      <c r="C6357" s="3" t="inlineStr">
        <is>
          <t>Assets</t>
        </is>
      </c>
      <c r="D6357" s="3" t="inlineStr">
        <is>
          <t>8400/000</t>
        </is>
      </c>
      <c r="E6357" s="3" t="inlineStr">
        <is>
          <t>RMB - 62736659189 - Call Acc</t>
        </is>
      </c>
      <c r="F6357" s="3" t="n">
        <v>697.46</v>
      </c>
      <c r="G6357" s="3" t="n">
        <v>154501.53</v>
      </c>
    </row>
    <row r="6358">
      <c r="A6358" s="3" t="inlineStr">
        <is>
          <t>Trademark Holdings (Pty) Ltd</t>
        </is>
      </c>
      <c r="B6358" s="4" t="n">
        <v>44926</v>
      </c>
      <c r="C6358" s="3" t="inlineStr">
        <is>
          <t>Assets</t>
        </is>
      </c>
      <c r="D6358" s="3" t="inlineStr">
        <is>
          <t>8400/000</t>
        </is>
      </c>
      <c r="E6358" s="3" t="inlineStr">
        <is>
          <t>RMB 623 693 03640</t>
        </is>
      </c>
      <c r="F6358" s="3" t="n">
        <v>-36425.34</v>
      </c>
      <c r="G6358" s="3" t="n">
        <v>46169.9</v>
      </c>
    </row>
    <row r="6359">
      <c r="A6359" s="3" t="inlineStr">
        <is>
          <t>Noble Shield (Pty) Ltd ta Go Letting</t>
        </is>
      </c>
      <c r="B6359" s="4" t="n">
        <v>44926</v>
      </c>
      <c r="C6359" s="3" t="inlineStr">
        <is>
          <t>Assets</t>
        </is>
      </c>
      <c r="D6359" s="3" t="inlineStr">
        <is>
          <t>8400/000</t>
        </is>
      </c>
      <c r="E6359" s="3" t="inlineStr">
        <is>
          <t>RMB 6250 573 3833</t>
        </is>
      </c>
      <c r="F6359" s="3" t="n">
        <v>23551.97</v>
      </c>
      <c r="G6359" s="3" t="n">
        <v>71176.78999999999</v>
      </c>
    </row>
    <row r="6360">
      <c r="A6360" s="3" t="inlineStr">
        <is>
          <t>Endulini (Pty) Ltd</t>
        </is>
      </c>
      <c r="B6360" s="4" t="n">
        <v>44926</v>
      </c>
      <c r="C6360" s="3" t="inlineStr">
        <is>
          <t>Assets</t>
        </is>
      </c>
      <c r="D6360" s="3" t="inlineStr">
        <is>
          <t>8400/000</t>
        </is>
      </c>
      <c r="E6360" s="3" t="inlineStr">
        <is>
          <t>RMB 62906944576</t>
        </is>
      </c>
      <c r="F6360" s="3" t="n">
        <v>-342424.79</v>
      </c>
      <c r="G6360" s="3" t="n">
        <v>22808.54</v>
      </c>
    </row>
    <row r="6361">
      <c r="A6361" s="3" t="inlineStr">
        <is>
          <t>Opportunity Management Holdings (PTY) LTD</t>
        </is>
      </c>
      <c r="B6361" s="4" t="n">
        <v>44926</v>
      </c>
      <c r="C6361" s="3" t="inlineStr">
        <is>
          <t>Assets</t>
        </is>
      </c>
      <c r="D6361" s="3" t="inlineStr">
        <is>
          <t>8400/000</t>
        </is>
      </c>
      <c r="E6361" s="3" t="inlineStr">
        <is>
          <t>RMB Cheq - 62312246920</t>
        </is>
      </c>
      <c r="F6361" s="3" t="n">
        <v>-48153.13</v>
      </c>
      <c r="G6361" s="3" t="n">
        <v>34704.73</v>
      </c>
    </row>
    <row r="6362">
      <c r="A6362" s="3" t="inlineStr">
        <is>
          <t>Opportunity Global Investment (PTY) LTD</t>
        </is>
      </c>
      <c r="B6362" s="4" t="n">
        <v>44926</v>
      </c>
      <c r="C6362" s="3" t="inlineStr">
        <is>
          <t>Assets</t>
        </is>
      </c>
      <c r="D6362" s="3" t="inlineStr">
        <is>
          <t>8405/000</t>
        </is>
      </c>
      <c r="E6362" s="3" t="inlineStr">
        <is>
          <t>FNB Trust 62762449265</t>
        </is>
      </c>
      <c r="F6362" s="3" t="n">
        <v>-73.06</v>
      </c>
      <c r="G6362" s="3" t="n">
        <v>820.24</v>
      </c>
    </row>
    <row r="6363">
      <c r="A6363" s="3" t="inlineStr">
        <is>
          <t>Endulini (Pty) Ltd</t>
        </is>
      </c>
      <c r="B6363" s="4" t="n">
        <v>44926</v>
      </c>
      <c r="C6363" s="3" t="inlineStr">
        <is>
          <t>Assets</t>
        </is>
      </c>
      <c r="D6363" s="3" t="inlineStr">
        <is>
          <t>8410/000</t>
        </is>
      </c>
      <c r="E6363" s="3" t="inlineStr">
        <is>
          <t>Momentum Investor Account : RU 502229883</t>
        </is>
      </c>
      <c r="F6363" s="3" t="n">
        <v>0</v>
      </c>
      <c r="G6363" s="3" t="n">
        <v>2614.24</v>
      </c>
    </row>
    <row r="6364">
      <c r="A6364" s="3" t="inlineStr">
        <is>
          <t>Opportunity Management Holdings (PTY) LTD</t>
        </is>
      </c>
      <c r="B6364" s="4" t="n">
        <v>44926</v>
      </c>
      <c r="C6364" s="3" t="inlineStr">
        <is>
          <t>Assets</t>
        </is>
      </c>
      <c r="D6364" s="3" t="inlineStr">
        <is>
          <t>8410/000</t>
        </is>
      </c>
      <c r="E6364" s="3" t="inlineStr">
        <is>
          <t>RMB Call Acc - 62312248851</t>
        </is>
      </c>
      <c r="F6364" s="3" t="n">
        <v>-149870.89</v>
      </c>
      <c r="G6364" s="3" t="n">
        <v>1316.68</v>
      </c>
    </row>
    <row r="6365">
      <c r="A6365" s="3" t="inlineStr">
        <is>
          <t>Noble Shield (Pty) Ltd ta Go Letting</t>
        </is>
      </c>
      <c r="B6365" s="4" t="n">
        <v>44926</v>
      </c>
      <c r="C6365" s="3" t="inlineStr">
        <is>
          <t>Assets</t>
        </is>
      </c>
      <c r="D6365" s="3" t="inlineStr">
        <is>
          <t>8410/000</t>
        </is>
      </c>
      <c r="E6365" s="3" t="inlineStr">
        <is>
          <t>RMB Trust Acc - 6250 615 1365</t>
        </is>
      </c>
      <c r="F6365" s="3" t="n">
        <v>-76.22</v>
      </c>
      <c r="G6365" s="3" t="n">
        <v>659.4400000000001</v>
      </c>
    </row>
    <row r="6366">
      <c r="A6366" s="3" t="inlineStr">
        <is>
          <t>Quinate Consulting (Pty) Ltd</t>
        </is>
      </c>
      <c r="B6366" s="4" t="n">
        <v>44926</v>
      </c>
      <c r="C6366" s="3" t="inlineStr">
        <is>
          <t>Assets</t>
        </is>
      </c>
      <c r="D6366" s="3" t="inlineStr">
        <is>
          <t>8415/000</t>
        </is>
      </c>
      <c r="E6366" s="3" t="inlineStr">
        <is>
          <t>STD Acc 071 958 959 - Facility Acc</t>
        </is>
      </c>
      <c r="F6366" s="3" t="n">
        <v>0</v>
      </c>
      <c r="G6366" s="3" t="n">
        <v>3636.21</v>
      </c>
    </row>
    <row r="6367">
      <c r="A6367" s="3" t="inlineStr">
        <is>
          <t>Trademark Holdings (Pty) Ltd</t>
        </is>
      </c>
      <c r="B6367" s="4" t="n">
        <v>44926</v>
      </c>
      <c r="C6367" s="3" t="inlineStr">
        <is>
          <t>Assets</t>
        </is>
      </c>
      <c r="D6367" s="3" t="inlineStr">
        <is>
          <t>8420/000</t>
        </is>
      </c>
      <c r="E6367" s="3" t="inlineStr">
        <is>
          <t>FNB Credit Card</t>
        </is>
      </c>
      <c r="F6367" s="3" t="n">
        <v>52</v>
      </c>
      <c r="G6367" s="3" t="n">
        <v>52</v>
      </c>
    </row>
    <row r="6368">
      <c r="A6368" s="3" t="inlineStr">
        <is>
          <t>Quinate Consulting (Pty) Ltd</t>
        </is>
      </c>
      <c r="B6368" s="4" t="n">
        <v>44926</v>
      </c>
      <c r="C6368" s="3" t="inlineStr">
        <is>
          <t>Assets</t>
        </is>
      </c>
      <c r="D6368" s="3" t="inlineStr">
        <is>
          <t>8430/000</t>
        </is>
      </c>
      <c r="E6368" s="3" t="inlineStr">
        <is>
          <t>Momentum Investment Acc - RU502230185</t>
        </is>
      </c>
      <c r="F6368" s="3" t="n">
        <v>0</v>
      </c>
      <c r="G6368" s="3" t="n">
        <v>523.64</v>
      </c>
    </row>
    <row r="6369">
      <c r="A6369" s="3" t="inlineStr">
        <is>
          <t>Opportunity Global Investment (PTY) LTD</t>
        </is>
      </c>
      <c r="B6369" s="4" t="n">
        <v>44926</v>
      </c>
      <c r="C6369" s="3" t="inlineStr">
        <is>
          <t>Assets</t>
        </is>
      </c>
      <c r="D6369" s="3" t="inlineStr">
        <is>
          <t>8440/000</t>
        </is>
      </c>
      <c r="E6369" s="3" t="inlineStr">
        <is>
          <t>FNB - Call 627602764438</t>
        </is>
      </c>
      <c r="F6369" s="3" t="n">
        <v>-7.9</v>
      </c>
      <c r="G6369" s="3" t="n">
        <v>957.27</v>
      </c>
    </row>
    <row r="6370">
      <c r="A6370" s="3" t="inlineStr">
        <is>
          <t>Opportunity Global Investment (PTY) LTD</t>
        </is>
      </c>
      <c r="B6370" s="4" t="n">
        <v>44926</v>
      </c>
      <c r="C6370" s="3" t="inlineStr">
        <is>
          <t>Assets</t>
        </is>
      </c>
      <c r="D6370" s="3" t="inlineStr">
        <is>
          <t>8445/000</t>
        </is>
      </c>
      <c r="E6370" s="3" t="inlineStr">
        <is>
          <t>Momentum RU502230096</t>
        </is>
      </c>
      <c r="F6370" s="3" t="n">
        <v>0</v>
      </c>
      <c r="G6370" s="3" t="n">
        <v>4593.77</v>
      </c>
    </row>
    <row r="6371">
      <c r="A6371" s="3" t="inlineStr">
        <is>
          <t>Quinate Consulting (Pty) Ltd</t>
        </is>
      </c>
      <c r="B6371" s="4" t="n">
        <v>44926</v>
      </c>
      <c r="C6371" s="3" t="inlineStr">
        <is>
          <t>Assets</t>
        </is>
      </c>
      <c r="D6371" s="3" t="inlineStr">
        <is>
          <t>8450/000</t>
        </is>
      </c>
      <c r="E6371" s="3" t="inlineStr">
        <is>
          <t>A RMB 62275810820</t>
        </is>
      </c>
      <c r="F6371" s="3" t="n">
        <v>59735.32</v>
      </c>
      <c r="G6371" s="3" t="n">
        <v>176546.49</v>
      </c>
    </row>
    <row r="6372">
      <c r="A6372" s="3" t="inlineStr">
        <is>
          <t>Opportunity Management Holdings (PTY) LTD</t>
        </is>
      </c>
      <c r="B6372" s="4" t="n">
        <v>44926</v>
      </c>
      <c r="C6372" s="3" t="inlineStr">
        <is>
          <t>Assets</t>
        </is>
      </c>
      <c r="D6372" s="3" t="inlineStr">
        <is>
          <t>8450/000</t>
        </is>
      </c>
      <c r="E6372" s="3" t="inlineStr">
        <is>
          <t>Petty Cash - CT Office</t>
        </is>
      </c>
      <c r="F6372" s="3" t="n">
        <v>0</v>
      </c>
      <c r="G6372" s="3" t="n">
        <v>348.9</v>
      </c>
    </row>
    <row r="6373">
      <c r="A6373" s="3" t="inlineStr">
        <is>
          <t>Opportunity Global Investment (PTY) LTD</t>
        </is>
      </c>
      <c r="B6373" s="4" t="n">
        <v>44957</v>
      </c>
      <c r="C6373" s="3" t="inlineStr">
        <is>
          <t>Assets</t>
        </is>
      </c>
      <c r="D6373" s="3" t="inlineStr">
        <is>
          <t>8400/000</t>
        </is>
      </c>
      <c r="E6373" s="3" t="inlineStr">
        <is>
          <t>FNB 62093491696</t>
        </is>
      </c>
      <c r="F6373" s="3" t="n">
        <v>52593.01</v>
      </c>
      <c r="G6373" s="3" t="n">
        <v>89129.14</v>
      </c>
    </row>
    <row r="6374">
      <c r="A6374" s="3" t="inlineStr">
        <is>
          <t>Opportunity Global Sales (PTY) LTD</t>
        </is>
      </c>
      <c r="B6374" s="4" t="n">
        <v>44957</v>
      </c>
      <c r="C6374" s="3" t="inlineStr">
        <is>
          <t>Assets</t>
        </is>
      </c>
      <c r="D6374" s="3" t="inlineStr">
        <is>
          <t>8400/000</t>
        </is>
      </c>
      <c r="E6374" s="3" t="inlineStr">
        <is>
          <t>FNB 62835620875</t>
        </is>
      </c>
      <c r="F6374" s="3" t="n">
        <v>175681.76</v>
      </c>
      <c r="G6374" s="3" t="n">
        <v>192288.15</v>
      </c>
    </row>
    <row r="6375">
      <c r="A6375" s="3" t="inlineStr">
        <is>
          <t>Quinate Consulting (Pty) Ltd</t>
        </is>
      </c>
      <c r="B6375" s="4" t="n">
        <v>44957</v>
      </c>
      <c r="C6375" s="3" t="inlineStr">
        <is>
          <t>Assets</t>
        </is>
      </c>
      <c r="D6375" s="3" t="inlineStr">
        <is>
          <t>8400/000</t>
        </is>
      </c>
      <c r="E6375" s="3" t="inlineStr">
        <is>
          <t>RMB - 62736659189 - Call Acc</t>
        </is>
      </c>
      <c r="F6375" s="3" t="n">
        <v>709.13</v>
      </c>
      <c r="G6375" s="3" t="n">
        <v>155210.66</v>
      </c>
    </row>
    <row r="6376">
      <c r="A6376" s="3" t="inlineStr">
        <is>
          <t>Trademark Holdings (Pty) Ltd</t>
        </is>
      </c>
      <c r="B6376" s="4" t="n">
        <v>44957</v>
      </c>
      <c r="C6376" s="3" t="inlineStr">
        <is>
          <t>Assets</t>
        </is>
      </c>
      <c r="D6376" s="3" t="inlineStr">
        <is>
          <t>8400/000</t>
        </is>
      </c>
      <c r="E6376" s="3" t="inlineStr">
        <is>
          <t>RMB 623 693 03640</t>
        </is>
      </c>
      <c r="F6376" s="3" t="n">
        <v>27508.28</v>
      </c>
      <c r="G6376" s="3" t="n">
        <v>73678.17999999999</v>
      </c>
    </row>
    <row r="6377">
      <c r="A6377" s="3" t="inlineStr">
        <is>
          <t>Noble Shield (Pty) Ltd ta Go Letting</t>
        </is>
      </c>
      <c r="B6377" s="4" t="n">
        <v>44957</v>
      </c>
      <c r="C6377" s="3" t="inlineStr">
        <is>
          <t>Assets</t>
        </is>
      </c>
      <c r="D6377" s="3" t="inlineStr">
        <is>
          <t>8400/000</t>
        </is>
      </c>
      <c r="E6377" s="3" t="inlineStr">
        <is>
          <t>RMB 6250 573 3833</t>
        </is>
      </c>
      <c r="F6377" s="3" t="n">
        <v>-8732.120000000001</v>
      </c>
      <c r="G6377" s="3" t="n">
        <v>62444.67</v>
      </c>
    </row>
    <row r="6378">
      <c r="A6378" s="3" t="inlineStr">
        <is>
          <t>Endulini (Pty) Ltd</t>
        </is>
      </c>
      <c r="B6378" s="4" t="n">
        <v>44957</v>
      </c>
      <c r="C6378" s="3" t="inlineStr">
        <is>
          <t>Assets</t>
        </is>
      </c>
      <c r="D6378" s="3" t="inlineStr">
        <is>
          <t>8400/000</t>
        </is>
      </c>
      <c r="E6378" s="3" t="inlineStr">
        <is>
          <t>RMB 62906944576</t>
        </is>
      </c>
      <c r="F6378" s="3" t="n">
        <v>-15596.96</v>
      </c>
      <c r="G6378" s="3" t="n">
        <v>7211.58</v>
      </c>
    </row>
    <row r="6379">
      <c r="A6379" s="3" t="inlineStr">
        <is>
          <t>Opportunity Management Holdings (PTY) LTD</t>
        </is>
      </c>
      <c r="B6379" s="4" t="n">
        <v>44957</v>
      </c>
      <c r="C6379" s="3" t="inlineStr">
        <is>
          <t>Assets</t>
        </is>
      </c>
      <c r="D6379" s="3" t="inlineStr">
        <is>
          <t>8400/000</t>
        </is>
      </c>
      <c r="E6379" s="3" t="inlineStr">
        <is>
          <t>RMB Cheq - 62312246920</t>
        </is>
      </c>
      <c r="F6379" s="3" t="n">
        <v>84388.02</v>
      </c>
      <c r="G6379" s="3" t="n">
        <v>119092.75</v>
      </c>
    </row>
    <row r="6380">
      <c r="A6380" s="3" t="inlineStr">
        <is>
          <t>Opportunity Global Investment (PTY) LTD</t>
        </is>
      </c>
      <c r="B6380" s="4" t="n">
        <v>44957</v>
      </c>
      <c r="C6380" s="3" t="inlineStr">
        <is>
          <t>Assets</t>
        </is>
      </c>
      <c r="D6380" s="3" t="inlineStr">
        <is>
          <t>8405/000</t>
        </is>
      </c>
      <c r="E6380" s="3" t="inlineStr">
        <is>
          <t>FNB Trust 62762449265</t>
        </is>
      </c>
      <c r="F6380" s="3" t="n">
        <v>-63.58</v>
      </c>
      <c r="G6380" s="3" t="n">
        <v>756.66</v>
      </c>
    </row>
    <row r="6381">
      <c r="A6381" s="3" t="inlineStr">
        <is>
          <t>Endulini (Pty) Ltd</t>
        </is>
      </c>
      <c r="B6381" s="4" t="n">
        <v>44957</v>
      </c>
      <c r="C6381" s="3" t="inlineStr">
        <is>
          <t>Assets</t>
        </is>
      </c>
      <c r="D6381" s="3" t="inlineStr">
        <is>
          <t>8410/000</t>
        </is>
      </c>
      <c r="E6381" s="3" t="inlineStr">
        <is>
          <t>Momentum Investor Account : RU 502229883</t>
        </is>
      </c>
      <c r="F6381" s="3" t="n">
        <v>0</v>
      </c>
      <c r="G6381" s="3" t="n">
        <v>2614.24</v>
      </c>
    </row>
    <row r="6382">
      <c r="A6382" s="3" t="inlineStr">
        <is>
          <t>Opportunity Management Holdings (PTY) LTD</t>
        </is>
      </c>
      <c r="B6382" s="4" t="n">
        <v>44957</v>
      </c>
      <c r="C6382" s="3" t="inlineStr">
        <is>
          <t>Assets</t>
        </is>
      </c>
      <c r="D6382" s="3" t="inlineStr">
        <is>
          <t>8410/000</t>
        </is>
      </c>
      <c r="E6382" s="3" t="inlineStr">
        <is>
          <t>RMB Call Acc - 62312248851</t>
        </is>
      </c>
      <c r="F6382" s="3" t="n">
        <v>119.8</v>
      </c>
      <c r="G6382" s="3" t="n">
        <v>1436.48</v>
      </c>
    </row>
    <row r="6383">
      <c r="A6383" s="3" t="inlineStr">
        <is>
          <t>Noble Shield (Pty) Ltd ta Go Letting</t>
        </is>
      </c>
      <c r="B6383" s="4" t="n">
        <v>44957</v>
      </c>
      <c r="C6383" s="3" t="inlineStr">
        <is>
          <t>Assets</t>
        </is>
      </c>
      <c r="D6383" s="3" t="inlineStr">
        <is>
          <t>8410/000</t>
        </is>
      </c>
      <c r="E6383" s="3" t="inlineStr">
        <is>
          <t>RMB Trust Acc - 6250 615 1365</t>
        </is>
      </c>
      <c r="F6383" s="3" t="n">
        <v>-69.90000000000001</v>
      </c>
      <c r="G6383" s="3" t="n">
        <v>589.54</v>
      </c>
    </row>
    <row r="6384">
      <c r="A6384" s="3" t="inlineStr">
        <is>
          <t>Quinate Consulting (Pty) Ltd</t>
        </is>
      </c>
      <c r="B6384" s="4" t="n">
        <v>44957</v>
      </c>
      <c r="C6384" s="3" t="inlineStr">
        <is>
          <t>Assets</t>
        </is>
      </c>
      <c r="D6384" s="3" t="inlineStr">
        <is>
          <t>8415/000</t>
        </is>
      </c>
      <c r="E6384" s="3" t="inlineStr">
        <is>
          <t>STD Acc 071 958 959 - Facility Acc</t>
        </is>
      </c>
      <c r="F6384" s="3" t="n">
        <v>-255</v>
      </c>
      <c r="G6384" s="3" t="n">
        <v>3381.21</v>
      </c>
    </row>
    <row r="6385">
      <c r="A6385" s="3" t="inlineStr">
        <is>
          <t>Trademark Holdings (Pty) Ltd</t>
        </is>
      </c>
      <c r="B6385" s="4" t="n">
        <v>44957</v>
      </c>
      <c r="C6385" s="3" t="inlineStr">
        <is>
          <t>Assets</t>
        </is>
      </c>
      <c r="D6385" s="3" t="inlineStr">
        <is>
          <t>8420/000</t>
        </is>
      </c>
      <c r="E6385" s="3" t="inlineStr">
        <is>
          <t>FNB Credit Card</t>
        </is>
      </c>
      <c r="F6385" s="3" t="n">
        <v>0</v>
      </c>
      <c r="G6385" s="3" t="n">
        <v>52</v>
      </c>
    </row>
    <row r="6386">
      <c r="A6386" s="3" t="inlineStr">
        <is>
          <t>Quinate Consulting (Pty) Ltd</t>
        </is>
      </c>
      <c r="B6386" s="4" t="n">
        <v>44957</v>
      </c>
      <c r="C6386" s="3" t="inlineStr">
        <is>
          <t>Assets</t>
        </is>
      </c>
      <c r="D6386" s="3" t="inlineStr">
        <is>
          <t>8430/000</t>
        </is>
      </c>
      <c r="E6386" s="3" t="inlineStr">
        <is>
          <t>Momentum Investment Acc - RU502230185</t>
        </is>
      </c>
      <c r="F6386" s="3" t="n">
        <v>0</v>
      </c>
      <c r="G6386" s="3" t="n">
        <v>523.64</v>
      </c>
    </row>
    <row r="6387">
      <c r="A6387" s="3" t="inlineStr">
        <is>
          <t>Opportunity Global Investment (PTY) LTD</t>
        </is>
      </c>
      <c r="B6387" s="4" t="n">
        <v>44957</v>
      </c>
      <c r="C6387" s="3" t="inlineStr">
        <is>
          <t>Assets</t>
        </is>
      </c>
      <c r="D6387" s="3" t="inlineStr">
        <is>
          <t>8440/000</t>
        </is>
      </c>
      <c r="E6387" s="3" t="inlineStr">
        <is>
          <t>FNB - Call 627602764438</t>
        </is>
      </c>
      <c r="F6387" s="3" t="n">
        <v>-4.74</v>
      </c>
      <c r="G6387" s="3" t="n">
        <v>952.53</v>
      </c>
    </row>
    <row r="6388">
      <c r="A6388" s="3" t="inlineStr">
        <is>
          <t>Opportunity Global Investment (PTY) LTD</t>
        </is>
      </c>
      <c r="B6388" s="4" t="n">
        <v>44957</v>
      </c>
      <c r="C6388" s="3" t="inlineStr">
        <is>
          <t>Assets</t>
        </is>
      </c>
      <c r="D6388" s="3" t="inlineStr">
        <is>
          <t>8445/000</t>
        </is>
      </c>
      <c r="E6388" s="3" t="inlineStr">
        <is>
          <t>Momentum RU502230096</t>
        </is>
      </c>
      <c r="F6388" s="3" t="n">
        <v>82.34999999999999</v>
      </c>
      <c r="G6388" s="3" t="n">
        <v>4676.12</v>
      </c>
    </row>
    <row r="6389">
      <c r="A6389" s="3" t="inlineStr">
        <is>
          <t>Quinate Consulting (Pty) Ltd</t>
        </is>
      </c>
      <c r="B6389" s="4" t="n">
        <v>44957</v>
      </c>
      <c r="C6389" s="3" t="inlineStr">
        <is>
          <t>Assets</t>
        </is>
      </c>
      <c r="D6389" s="3" t="inlineStr">
        <is>
          <t>8450/000</t>
        </is>
      </c>
      <c r="E6389" s="3" t="inlineStr">
        <is>
          <t>A RMB 62275810820</t>
        </is>
      </c>
      <c r="F6389" s="3" t="n">
        <v>-143578.94</v>
      </c>
      <c r="G6389" s="3" t="n">
        <v>32967.55</v>
      </c>
    </row>
    <row r="6390">
      <c r="A6390" s="3" t="inlineStr">
        <is>
          <t>Opportunity Management Holdings (PTY) LTD</t>
        </is>
      </c>
      <c r="B6390" s="4" t="n">
        <v>44957</v>
      </c>
      <c r="C6390" s="3" t="inlineStr">
        <is>
          <t>Assets</t>
        </is>
      </c>
      <c r="D6390" s="3" t="inlineStr">
        <is>
          <t>8450/000</t>
        </is>
      </c>
      <c r="E6390" s="3" t="inlineStr">
        <is>
          <t>Petty Cash - CT Office</t>
        </is>
      </c>
      <c r="F6390" s="3" t="n">
        <v>-270</v>
      </c>
      <c r="G6390" s="3" t="n">
        <v>78.90000000000001</v>
      </c>
    </row>
    <row r="6391">
      <c r="A6391" s="3" t="inlineStr">
        <is>
          <t>Opportunity Global Investment (PTY) LTD</t>
        </is>
      </c>
      <c r="B6391" s="4" t="n">
        <v>44985</v>
      </c>
      <c r="C6391" s="3" t="inlineStr">
        <is>
          <t>Assets</t>
        </is>
      </c>
      <c r="D6391" s="3" t="inlineStr">
        <is>
          <t>8400/000</t>
        </is>
      </c>
      <c r="E6391" s="3" t="inlineStr">
        <is>
          <t>FNB 62093491696</t>
        </is>
      </c>
      <c r="F6391" s="3" t="n">
        <v>-41659.28</v>
      </c>
      <c r="G6391" s="3" t="n">
        <v>47469.86</v>
      </c>
    </row>
    <row r="6392">
      <c r="A6392" s="3" t="inlineStr">
        <is>
          <t>Opportunity Global Sales (PTY) LTD</t>
        </is>
      </c>
      <c r="B6392" s="4" t="n">
        <v>44985</v>
      </c>
      <c r="C6392" s="3" t="inlineStr">
        <is>
          <t>Assets</t>
        </is>
      </c>
      <c r="D6392" s="3" t="inlineStr">
        <is>
          <t>8400/000</t>
        </is>
      </c>
      <c r="E6392" s="3" t="inlineStr">
        <is>
          <t>FNB 62835620875</t>
        </is>
      </c>
      <c r="F6392" s="3" t="n">
        <v>-100773.5</v>
      </c>
      <c r="G6392" s="3" t="n">
        <v>91514.64999999999</v>
      </c>
    </row>
    <row r="6393">
      <c r="A6393" s="3" t="inlineStr">
        <is>
          <t>Quinate Consulting (Pty) Ltd</t>
        </is>
      </c>
      <c r="B6393" s="4" t="n">
        <v>44985</v>
      </c>
      <c r="C6393" s="3" t="inlineStr">
        <is>
          <t>Assets</t>
        </is>
      </c>
      <c r="D6393" s="3" t="inlineStr">
        <is>
          <t>8400/000</t>
        </is>
      </c>
      <c r="E6393" s="3" t="inlineStr">
        <is>
          <t>RMB - 62736659189 - Call Acc</t>
        </is>
      </c>
      <c r="F6393" s="3" t="n">
        <v>663.2</v>
      </c>
      <c r="G6393" s="3" t="n">
        <v>155873.86</v>
      </c>
    </row>
    <row r="6394">
      <c r="A6394" s="3" t="inlineStr">
        <is>
          <t>Trademark Holdings (Pty) Ltd</t>
        </is>
      </c>
      <c r="B6394" s="4" t="n">
        <v>44985</v>
      </c>
      <c r="C6394" s="3" t="inlineStr">
        <is>
          <t>Assets</t>
        </is>
      </c>
      <c r="D6394" s="3" t="inlineStr">
        <is>
          <t>8400/000</t>
        </is>
      </c>
      <c r="E6394" s="3" t="inlineStr">
        <is>
          <t>RMB 623 693 03640</t>
        </is>
      </c>
      <c r="F6394" s="3" t="n">
        <v>-46229.11</v>
      </c>
      <c r="G6394" s="3" t="n">
        <v>27449.07</v>
      </c>
    </row>
    <row r="6395">
      <c r="A6395" s="3" t="inlineStr">
        <is>
          <t>Noble Shield (Pty) Ltd ta Go Letting</t>
        </is>
      </c>
      <c r="B6395" s="4" t="n">
        <v>44985</v>
      </c>
      <c r="C6395" s="3" t="inlineStr">
        <is>
          <t>Assets</t>
        </is>
      </c>
      <c r="D6395" s="3" t="inlineStr">
        <is>
          <t>8400/000</t>
        </is>
      </c>
      <c r="E6395" s="3" t="inlineStr">
        <is>
          <t>RMB 6250 573 3833</t>
        </is>
      </c>
      <c r="F6395" s="3" t="n">
        <v>-22795.95</v>
      </c>
      <c r="G6395" s="3" t="n">
        <v>39648.72</v>
      </c>
    </row>
    <row r="6396">
      <c r="A6396" s="3" t="inlineStr">
        <is>
          <t>Endulini (Pty) Ltd</t>
        </is>
      </c>
      <c r="B6396" s="4" t="n">
        <v>44985</v>
      </c>
      <c r="C6396" s="3" t="inlineStr">
        <is>
          <t>Assets</t>
        </is>
      </c>
      <c r="D6396" s="3" t="inlineStr">
        <is>
          <t>8400/000</t>
        </is>
      </c>
      <c r="E6396" s="3" t="inlineStr">
        <is>
          <t>RMB 62906944576</t>
        </is>
      </c>
      <c r="F6396" s="3" t="n">
        <v>22377.13</v>
      </c>
      <c r="G6396" s="3" t="n">
        <v>29588.71</v>
      </c>
    </row>
    <row r="6397">
      <c r="A6397" s="3" t="inlineStr">
        <is>
          <t>Opportunity Management Holdings (PTY) LTD</t>
        </is>
      </c>
      <c r="B6397" s="4" t="n">
        <v>44985</v>
      </c>
      <c r="C6397" s="3" t="inlineStr">
        <is>
          <t>Assets</t>
        </is>
      </c>
      <c r="D6397" s="3" t="inlineStr">
        <is>
          <t>8400/000</t>
        </is>
      </c>
      <c r="E6397" s="3" t="inlineStr">
        <is>
          <t>RMB Cheq - 62312246920</t>
        </is>
      </c>
      <c r="F6397" s="3" t="n">
        <v>-109777.32</v>
      </c>
      <c r="G6397" s="3" t="n">
        <v>9315.43</v>
      </c>
    </row>
    <row r="6398">
      <c r="A6398" s="3" t="inlineStr">
        <is>
          <t>Opportunity Global Investment (PTY) LTD</t>
        </is>
      </c>
      <c r="B6398" s="4" t="n">
        <v>44985</v>
      </c>
      <c r="C6398" s="3" t="inlineStr">
        <is>
          <t>Assets</t>
        </is>
      </c>
      <c r="D6398" s="3" t="inlineStr">
        <is>
          <t>8405/000</t>
        </is>
      </c>
      <c r="E6398" s="3" t="inlineStr">
        <is>
          <t>FNB Trust 62762449265</t>
        </is>
      </c>
      <c r="F6398" s="3" t="n">
        <v>-71.40000000000001</v>
      </c>
      <c r="G6398" s="3" t="n">
        <v>685.26</v>
      </c>
    </row>
    <row r="6399">
      <c r="A6399" s="3" t="inlineStr">
        <is>
          <t>Endulini (Pty) Ltd</t>
        </is>
      </c>
      <c r="B6399" s="4" t="n">
        <v>44985</v>
      </c>
      <c r="C6399" s="3" t="inlineStr">
        <is>
          <t>Assets</t>
        </is>
      </c>
      <c r="D6399" s="3" t="inlineStr">
        <is>
          <t>8410/000</t>
        </is>
      </c>
      <c r="E6399" s="3" t="inlineStr">
        <is>
          <t>Momentum Investor Account : RU 502229883</t>
        </is>
      </c>
      <c r="F6399" s="3" t="n">
        <v>57.49</v>
      </c>
      <c r="G6399" s="3" t="n">
        <v>2671.73</v>
      </c>
    </row>
    <row r="6400">
      <c r="A6400" s="3" t="inlineStr">
        <is>
          <t>Opportunity Management Holdings (PTY) LTD</t>
        </is>
      </c>
      <c r="B6400" s="4" t="n">
        <v>44985</v>
      </c>
      <c r="C6400" s="3" t="inlineStr">
        <is>
          <t>Assets</t>
        </is>
      </c>
      <c r="D6400" s="3" t="inlineStr">
        <is>
          <t>8410/000</t>
        </is>
      </c>
      <c r="E6400" s="3" t="inlineStr">
        <is>
          <t>RMB Call Acc - 62312248851</t>
        </is>
      </c>
      <c r="F6400" s="3" t="n">
        <v>-1.66</v>
      </c>
      <c r="G6400" s="3" t="n">
        <v>1434.82</v>
      </c>
    </row>
    <row r="6401">
      <c r="A6401" s="3" t="inlineStr">
        <is>
          <t>Noble Shield (Pty) Ltd ta Go Letting</t>
        </is>
      </c>
      <c r="B6401" s="4" t="n">
        <v>44985</v>
      </c>
      <c r="C6401" s="3" t="inlineStr">
        <is>
          <t>Assets</t>
        </is>
      </c>
      <c r="D6401" s="3" t="inlineStr">
        <is>
          <t>8410/000</t>
        </is>
      </c>
      <c r="E6401" s="3" t="inlineStr">
        <is>
          <t>RMB Trust Acc - 6250 615 1365</t>
        </is>
      </c>
      <c r="F6401" s="3" t="n">
        <v>-15.8</v>
      </c>
      <c r="G6401" s="3" t="n">
        <v>573.74</v>
      </c>
    </row>
    <row r="6402">
      <c r="A6402" s="3" t="inlineStr">
        <is>
          <t>Quinate Consulting (Pty) Ltd</t>
        </is>
      </c>
      <c r="B6402" s="4" t="n">
        <v>44985</v>
      </c>
      <c r="C6402" s="3" t="inlineStr">
        <is>
          <t>Assets</t>
        </is>
      </c>
      <c r="D6402" s="3" t="inlineStr">
        <is>
          <t>8415/000</t>
        </is>
      </c>
      <c r="E6402" s="3" t="inlineStr">
        <is>
          <t>STD Acc 071 958 959 - Facility Acc</t>
        </is>
      </c>
      <c r="F6402" s="3" t="n">
        <v>-85</v>
      </c>
      <c r="G6402" s="3" t="n">
        <v>3296.21</v>
      </c>
    </row>
    <row r="6403">
      <c r="A6403" s="3" t="inlineStr">
        <is>
          <t>Trademark Holdings (Pty) Ltd</t>
        </is>
      </c>
      <c r="B6403" s="4" t="n">
        <v>44985</v>
      </c>
      <c r="C6403" s="3" t="inlineStr">
        <is>
          <t>Assets</t>
        </is>
      </c>
      <c r="D6403" s="3" t="inlineStr">
        <is>
          <t>8420/000</t>
        </is>
      </c>
      <c r="E6403" s="3" t="inlineStr">
        <is>
          <t>FNB Credit Card</t>
        </is>
      </c>
      <c r="F6403" s="3" t="n">
        <v>0</v>
      </c>
      <c r="G6403" s="3" t="n">
        <v>52</v>
      </c>
    </row>
    <row r="6404">
      <c r="A6404" s="3" t="inlineStr">
        <is>
          <t>Quinate Consulting (Pty) Ltd</t>
        </is>
      </c>
      <c r="B6404" s="4" t="n">
        <v>44985</v>
      </c>
      <c r="C6404" s="3" t="inlineStr">
        <is>
          <t>Assets</t>
        </is>
      </c>
      <c r="D6404" s="3" t="inlineStr">
        <is>
          <t>8430/000</t>
        </is>
      </c>
      <c r="E6404" s="3" t="inlineStr">
        <is>
          <t>Momentum Investment Acc - RU502230185</t>
        </is>
      </c>
      <c r="F6404" s="3" t="n">
        <v>11.51</v>
      </c>
      <c r="G6404" s="3" t="n">
        <v>535.15</v>
      </c>
    </row>
    <row r="6405">
      <c r="A6405" s="3" t="inlineStr">
        <is>
          <t>Opportunity Global Investment (PTY) LTD</t>
        </is>
      </c>
      <c r="B6405" s="4" t="n">
        <v>44985</v>
      </c>
      <c r="C6405" s="3" t="inlineStr">
        <is>
          <t>Assets</t>
        </is>
      </c>
      <c r="D6405" s="3" t="inlineStr">
        <is>
          <t>8440/000</t>
        </is>
      </c>
      <c r="E6405" s="3" t="inlineStr">
        <is>
          <t>FNB - Call 627602764438</t>
        </is>
      </c>
      <c r="F6405" s="3" t="n">
        <v>-9.48</v>
      </c>
      <c r="G6405" s="3" t="n">
        <v>943.05</v>
      </c>
    </row>
    <row r="6406">
      <c r="A6406" s="3" t="inlineStr">
        <is>
          <t>Opportunity Global Investment (PTY) LTD</t>
        </is>
      </c>
      <c r="B6406" s="4" t="n">
        <v>44985</v>
      </c>
      <c r="C6406" s="3" t="inlineStr">
        <is>
          <t>Assets</t>
        </is>
      </c>
      <c r="D6406" s="3" t="inlineStr">
        <is>
          <t>8445/000</t>
        </is>
      </c>
      <c r="E6406" s="3" t="inlineStr">
        <is>
          <t>Momentum RU502230096</t>
        </is>
      </c>
      <c r="F6406" s="3" t="n">
        <v>0</v>
      </c>
      <c r="G6406" s="3" t="n">
        <v>4676.12</v>
      </c>
    </row>
    <row r="6407">
      <c r="A6407" s="3" t="inlineStr">
        <is>
          <t>Quinate Consulting (Pty) Ltd</t>
        </is>
      </c>
      <c r="B6407" s="4" t="n">
        <v>44985</v>
      </c>
      <c r="C6407" s="3" t="inlineStr">
        <is>
          <t>Assets</t>
        </is>
      </c>
      <c r="D6407" s="3" t="inlineStr">
        <is>
          <t>8450/000</t>
        </is>
      </c>
      <c r="E6407" s="3" t="inlineStr">
        <is>
          <t>A RMB 62275810820</t>
        </is>
      </c>
      <c r="F6407" s="3" t="n">
        <v>84244.8</v>
      </c>
      <c r="G6407" s="3" t="n">
        <v>117212.35</v>
      </c>
    </row>
    <row r="6408">
      <c r="A6408" s="3" t="inlineStr">
        <is>
          <t>Opportunity Management Holdings (PTY) LTD</t>
        </is>
      </c>
      <c r="B6408" s="4" t="n">
        <v>44985</v>
      </c>
      <c r="C6408" s="3" t="inlineStr">
        <is>
          <t>Assets</t>
        </is>
      </c>
      <c r="D6408" s="3" t="inlineStr">
        <is>
          <t>8450/000</t>
        </is>
      </c>
      <c r="E6408" s="3" t="inlineStr">
        <is>
          <t>Petty Cash - CT Office</t>
        </is>
      </c>
      <c r="F6408" s="3" t="n">
        <v>258.3</v>
      </c>
      <c r="G6408" s="3" t="n">
        <v>337.2</v>
      </c>
    </row>
    <row r="6409">
      <c r="A6409" s="3" t="inlineStr">
        <is>
          <t>Opportunity Global Investment (PTY) LTD</t>
        </is>
      </c>
      <c r="B6409" s="4" t="n">
        <v>45016</v>
      </c>
      <c r="C6409" s="3" t="inlineStr">
        <is>
          <t>Assets</t>
        </is>
      </c>
      <c r="D6409" s="3" t="inlineStr">
        <is>
          <t>8400/000</t>
        </is>
      </c>
      <c r="E6409" s="3" t="inlineStr">
        <is>
          <t>FNB 62093491696</t>
        </is>
      </c>
      <c r="F6409" s="3" t="n">
        <v>2033923.76</v>
      </c>
      <c r="G6409" s="3" t="n">
        <v>2081393.62</v>
      </c>
    </row>
    <row r="6410">
      <c r="A6410" s="3" t="inlineStr">
        <is>
          <t>Opportunity Global Sales (PTY) LTD</t>
        </is>
      </c>
      <c r="B6410" s="4" t="n">
        <v>45016</v>
      </c>
      <c r="C6410" s="3" t="inlineStr">
        <is>
          <t>Assets</t>
        </is>
      </c>
      <c r="D6410" s="3" t="inlineStr">
        <is>
          <t>8400/000</t>
        </is>
      </c>
      <c r="E6410" s="3" t="inlineStr">
        <is>
          <t>FNB 62835620875</t>
        </is>
      </c>
      <c r="F6410" s="3" t="n">
        <v>-33794.81</v>
      </c>
      <c r="G6410" s="3" t="n">
        <v>57719.84</v>
      </c>
    </row>
    <row r="6411">
      <c r="A6411" s="3" t="inlineStr">
        <is>
          <t>Quinate Consulting (Pty) Ltd</t>
        </is>
      </c>
      <c r="B6411" s="4" t="n">
        <v>45016</v>
      </c>
      <c r="C6411" s="3" t="inlineStr">
        <is>
          <t>Assets</t>
        </is>
      </c>
      <c r="D6411" s="3" t="inlineStr">
        <is>
          <t>8400/000</t>
        </is>
      </c>
      <c r="E6411" s="3" t="inlineStr">
        <is>
          <t>RMB - 62736659189 - Call Acc</t>
        </is>
      </c>
      <c r="F6411" s="3" t="n">
        <v>-270.78</v>
      </c>
      <c r="G6411" s="3" t="n">
        <v>155603.08</v>
      </c>
    </row>
    <row r="6412">
      <c r="A6412" s="3" t="inlineStr">
        <is>
          <t>Trademark Holdings (Pty) Ltd</t>
        </is>
      </c>
      <c r="B6412" s="4" t="n">
        <v>45016</v>
      </c>
      <c r="C6412" s="3" t="inlineStr">
        <is>
          <t>Assets</t>
        </is>
      </c>
      <c r="D6412" s="3" t="inlineStr">
        <is>
          <t>8400/000</t>
        </is>
      </c>
      <c r="E6412" s="3" t="inlineStr">
        <is>
          <t>RMB 623 693 03640</t>
        </is>
      </c>
      <c r="F6412" s="3" t="n">
        <v>26829.31</v>
      </c>
      <c r="G6412" s="3" t="n">
        <v>54278.38</v>
      </c>
    </row>
    <row r="6413">
      <c r="A6413" s="3" t="inlineStr">
        <is>
          <t>Noble Shield (Pty) Ltd ta Go Letting</t>
        </is>
      </c>
      <c r="B6413" s="4" t="n">
        <v>45016</v>
      </c>
      <c r="C6413" s="3" t="inlineStr">
        <is>
          <t>Assets</t>
        </is>
      </c>
      <c r="D6413" s="3" t="inlineStr">
        <is>
          <t>8400/000</t>
        </is>
      </c>
      <c r="E6413" s="3" t="inlineStr">
        <is>
          <t>RMB 6250 573 3833</t>
        </is>
      </c>
      <c r="F6413" s="3" t="n">
        <v>6161.47</v>
      </c>
      <c r="G6413" s="3" t="n">
        <v>45810.19</v>
      </c>
    </row>
    <row r="6414">
      <c r="A6414" s="3" t="inlineStr">
        <is>
          <t>Endulini (Pty) Ltd</t>
        </is>
      </c>
      <c r="B6414" s="4" t="n">
        <v>45016</v>
      </c>
      <c r="C6414" s="3" t="inlineStr">
        <is>
          <t>Assets</t>
        </is>
      </c>
      <c r="D6414" s="3" t="inlineStr">
        <is>
          <t>8400/000</t>
        </is>
      </c>
      <c r="E6414" s="3" t="inlineStr">
        <is>
          <t>RMB 62906944576</t>
        </is>
      </c>
      <c r="F6414" s="3" t="n">
        <v>-14410.27</v>
      </c>
      <c r="G6414" s="3" t="n">
        <v>15178.44</v>
      </c>
    </row>
    <row r="6415">
      <c r="A6415" s="3" t="inlineStr">
        <is>
          <t>Opportunity Management Holdings (PTY) LTD</t>
        </is>
      </c>
      <c r="B6415" s="4" t="n">
        <v>45016</v>
      </c>
      <c r="C6415" s="3" t="inlineStr">
        <is>
          <t>Assets</t>
        </is>
      </c>
      <c r="D6415" s="3" t="inlineStr">
        <is>
          <t>8400/000</t>
        </is>
      </c>
      <c r="E6415" s="3" t="inlineStr">
        <is>
          <t>RMB Cheq - 62312246920</t>
        </is>
      </c>
      <c r="F6415" s="3" t="n">
        <v>110997.11</v>
      </c>
      <c r="G6415" s="3" t="n">
        <v>120312.54</v>
      </c>
    </row>
    <row r="6416">
      <c r="A6416" s="3" t="inlineStr">
        <is>
          <t>Opportunity Global Investment (PTY) LTD</t>
        </is>
      </c>
      <c r="B6416" s="4" t="n">
        <v>45016</v>
      </c>
      <c r="C6416" s="3" t="inlineStr">
        <is>
          <t>Assets</t>
        </is>
      </c>
      <c r="D6416" s="3" t="inlineStr">
        <is>
          <t>8405/000</t>
        </is>
      </c>
      <c r="E6416" s="3" t="inlineStr">
        <is>
          <t>FNB Trust 62762449265</t>
        </is>
      </c>
      <c r="F6416" s="3" t="n">
        <v>0</v>
      </c>
      <c r="G6416" s="3" t="n">
        <v>685.26</v>
      </c>
    </row>
    <row r="6417">
      <c r="A6417" s="3" t="inlineStr">
        <is>
          <t>Endulini (Pty) Ltd</t>
        </is>
      </c>
      <c r="B6417" s="4" t="n">
        <v>45016</v>
      </c>
      <c r="C6417" s="3" t="inlineStr">
        <is>
          <t>Assets</t>
        </is>
      </c>
      <c r="D6417" s="3" t="inlineStr">
        <is>
          <t>8410/000</t>
        </is>
      </c>
      <c r="E6417" s="3" t="inlineStr">
        <is>
          <t>Momentum Investor Account : RU 502229883</t>
        </is>
      </c>
      <c r="F6417" s="3" t="n">
        <v>16.73</v>
      </c>
      <c r="G6417" s="3" t="n">
        <v>2688.46</v>
      </c>
    </row>
    <row r="6418">
      <c r="A6418" s="3" t="inlineStr">
        <is>
          <t>Opportunity Management Holdings (PTY) LTD</t>
        </is>
      </c>
      <c r="B6418" s="4" t="n">
        <v>45016</v>
      </c>
      <c r="C6418" s="3" t="inlineStr">
        <is>
          <t>Assets</t>
        </is>
      </c>
      <c r="D6418" s="3" t="inlineStr">
        <is>
          <t>8410/000</t>
        </is>
      </c>
      <c r="E6418" s="3" t="inlineStr">
        <is>
          <t>RMB Call Acc - 62312248851</t>
        </is>
      </c>
      <c r="F6418" s="3" t="n">
        <v>0</v>
      </c>
      <c r="G6418" s="3" t="n">
        <v>1434.82</v>
      </c>
    </row>
    <row r="6419">
      <c r="A6419" s="3" t="inlineStr">
        <is>
          <t>Noble Shield (Pty) Ltd ta Go Letting</t>
        </is>
      </c>
      <c r="B6419" s="4" t="n">
        <v>45016</v>
      </c>
      <c r="C6419" s="3" t="inlineStr">
        <is>
          <t>Assets</t>
        </is>
      </c>
      <c r="D6419" s="3" t="inlineStr">
        <is>
          <t>8410/000</t>
        </is>
      </c>
      <c r="E6419" s="3" t="inlineStr">
        <is>
          <t>RMB Trust Acc - 6250 615 1365</t>
        </is>
      </c>
      <c r="F6419" s="3" t="n">
        <v>-61.9</v>
      </c>
      <c r="G6419" s="3" t="n">
        <v>511.84</v>
      </c>
    </row>
    <row r="6420">
      <c r="A6420" s="3" t="inlineStr">
        <is>
          <t>Quinate Consulting (Pty) Ltd</t>
        </is>
      </c>
      <c r="B6420" s="4" t="n">
        <v>45016</v>
      </c>
      <c r="C6420" s="3" t="inlineStr">
        <is>
          <t>Assets</t>
        </is>
      </c>
      <c r="D6420" s="3" t="inlineStr">
        <is>
          <t>8415/000</t>
        </is>
      </c>
      <c r="E6420" s="3" t="inlineStr">
        <is>
          <t>STD Acc 071 958 959 - Facility Acc</t>
        </is>
      </c>
      <c r="F6420" s="3" t="n">
        <v>-85</v>
      </c>
      <c r="G6420" s="3" t="n">
        <v>3211.21</v>
      </c>
    </row>
    <row r="6421">
      <c r="A6421" s="3" t="inlineStr">
        <is>
          <t>Trademark Holdings (Pty) Ltd</t>
        </is>
      </c>
      <c r="B6421" s="4" t="n">
        <v>45016</v>
      </c>
      <c r="C6421" s="3" t="inlineStr">
        <is>
          <t>Assets</t>
        </is>
      </c>
      <c r="D6421" s="3" t="inlineStr">
        <is>
          <t>8420/000</t>
        </is>
      </c>
      <c r="E6421" s="3" t="inlineStr">
        <is>
          <t>FNB Credit Card</t>
        </is>
      </c>
      <c r="F6421" s="3" t="n">
        <v>52</v>
      </c>
      <c r="G6421" s="3" t="n">
        <v>104</v>
      </c>
    </row>
    <row r="6422">
      <c r="A6422" s="3" t="inlineStr">
        <is>
          <t>Quinate Consulting (Pty) Ltd</t>
        </is>
      </c>
      <c r="B6422" s="4" t="n">
        <v>45016</v>
      </c>
      <c r="C6422" s="3" t="inlineStr">
        <is>
          <t>Assets</t>
        </is>
      </c>
      <c r="D6422" s="3" t="inlineStr">
        <is>
          <t>8430/000</t>
        </is>
      </c>
      <c r="E6422" s="3" t="inlineStr">
        <is>
          <t>Momentum Investment Acc - RU502230185</t>
        </is>
      </c>
      <c r="F6422" s="3" t="n">
        <v>3.35</v>
      </c>
      <c r="G6422" s="3" t="n">
        <v>538.5</v>
      </c>
    </row>
    <row r="6423">
      <c r="A6423" s="3" t="inlineStr">
        <is>
          <t>Opportunity Global Investment (PTY) LTD</t>
        </is>
      </c>
      <c r="B6423" s="4" t="n">
        <v>45016</v>
      </c>
      <c r="C6423" s="3" t="inlineStr">
        <is>
          <t>Assets</t>
        </is>
      </c>
      <c r="D6423" s="3" t="inlineStr">
        <is>
          <t>8440/000</t>
        </is>
      </c>
      <c r="E6423" s="3" t="inlineStr">
        <is>
          <t>FNB - Call 627602764438</t>
        </is>
      </c>
      <c r="F6423" s="3" t="n">
        <v>0</v>
      </c>
      <c r="G6423" s="3" t="n">
        <v>943.05</v>
      </c>
    </row>
    <row r="6424">
      <c r="A6424" s="3" t="inlineStr">
        <is>
          <t>Opportunity Global Investment (PTY) LTD</t>
        </is>
      </c>
      <c r="B6424" s="4" t="n">
        <v>45016</v>
      </c>
      <c r="C6424" s="3" t="inlineStr">
        <is>
          <t>Assets</t>
        </is>
      </c>
      <c r="D6424" s="3" t="inlineStr">
        <is>
          <t>8445/000</t>
        </is>
      </c>
      <c r="E6424" s="3" t="inlineStr">
        <is>
          <t>Momentum RU502230096</t>
        </is>
      </c>
      <c r="F6424" s="3" t="n">
        <v>59.26</v>
      </c>
      <c r="G6424" s="3" t="n">
        <v>4735.38</v>
      </c>
    </row>
    <row r="6425">
      <c r="A6425" s="3" t="inlineStr">
        <is>
          <t>Quinate Consulting (Pty) Ltd</t>
        </is>
      </c>
      <c r="B6425" s="4" t="n">
        <v>45016</v>
      </c>
      <c r="C6425" s="3" t="inlineStr">
        <is>
          <t>Assets</t>
        </is>
      </c>
      <c r="D6425" s="3" t="inlineStr">
        <is>
          <t>8450/000</t>
        </is>
      </c>
      <c r="E6425" s="3" t="inlineStr">
        <is>
          <t>A RMB 62275810820</t>
        </is>
      </c>
      <c r="F6425" s="3" t="n">
        <v>20122.5</v>
      </c>
      <c r="G6425" s="3" t="n">
        <v>137334.85</v>
      </c>
    </row>
    <row r="6426">
      <c r="A6426" s="3" t="inlineStr">
        <is>
          <t>Opportunity Management Holdings (PTY) LTD</t>
        </is>
      </c>
      <c r="B6426" s="4" t="n">
        <v>45016</v>
      </c>
      <c r="C6426" s="3" t="inlineStr">
        <is>
          <t>Assets</t>
        </is>
      </c>
      <c r="D6426" s="3" t="inlineStr">
        <is>
          <t>8450/000</t>
        </is>
      </c>
      <c r="E6426" s="3" t="inlineStr">
        <is>
          <t>Petty Cash - CT Office</t>
        </is>
      </c>
      <c r="F6426" s="3" t="n">
        <v>-20</v>
      </c>
      <c r="G6426" s="3" t="n">
        <v>317.2</v>
      </c>
    </row>
    <row r="6427">
      <c r="A6427" s="3" t="inlineStr">
        <is>
          <t>Opportunity Global Investment (PTY) LTD</t>
        </is>
      </c>
      <c r="B6427" s="4" t="n">
        <v>45046</v>
      </c>
      <c r="C6427" s="3" t="inlineStr">
        <is>
          <t>Assets</t>
        </is>
      </c>
      <c r="D6427" s="3" t="inlineStr">
        <is>
          <t>8400/000</t>
        </is>
      </c>
      <c r="E6427" s="3" t="inlineStr">
        <is>
          <t>FNB 62093491696</t>
        </is>
      </c>
      <c r="F6427" s="3" t="n">
        <v>-2011872.49</v>
      </c>
      <c r="G6427" s="3" t="n">
        <v>69521.13</v>
      </c>
    </row>
    <row r="6428">
      <c r="A6428" s="3" t="inlineStr">
        <is>
          <t>Opportunity Global Sales (PTY) LTD</t>
        </is>
      </c>
      <c r="B6428" s="4" t="n">
        <v>45046</v>
      </c>
      <c r="C6428" s="3" t="inlineStr">
        <is>
          <t>Assets</t>
        </is>
      </c>
      <c r="D6428" s="3" t="inlineStr">
        <is>
          <t>8400/000</t>
        </is>
      </c>
      <c r="E6428" s="3" t="inlineStr">
        <is>
          <t>FNB 62835620875</t>
        </is>
      </c>
      <c r="F6428" s="3" t="n">
        <v>137127.57</v>
      </c>
      <c r="G6428" s="3" t="n">
        <v>194847.41</v>
      </c>
    </row>
    <row r="6429">
      <c r="A6429" s="3" t="inlineStr">
        <is>
          <t>Quinate Consulting (Pty) Ltd</t>
        </is>
      </c>
      <c r="B6429" s="4" t="n">
        <v>45046</v>
      </c>
      <c r="C6429" s="3" t="inlineStr">
        <is>
          <t>Assets</t>
        </is>
      </c>
      <c r="D6429" s="3" t="inlineStr">
        <is>
          <t>8400/000</t>
        </is>
      </c>
      <c r="E6429" s="3" t="inlineStr">
        <is>
          <t>RMB - 62736659189 - Call Acc</t>
        </is>
      </c>
      <c r="F6429" s="3" t="n">
        <v>777.01</v>
      </c>
      <c r="G6429" s="3" t="n">
        <v>156380.09</v>
      </c>
    </row>
    <row r="6430">
      <c r="A6430" s="3" t="inlineStr">
        <is>
          <t>Trademark Holdings (Pty) Ltd</t>
        </is>
      </c>
      <c r="B6430" s="4" t="n">
        <v>45046</v>
      </c>
      <c r="C6430" s="3" t="inlineStr">
        <is>
          <t>Assets</t>
        </is>
      </c>
      <c r="D6430" s="3" t="inlineStr">
        <is>
          <t>8400/000</t>
        </is>
      </c>
      <c r="E6430" s="3" t="inlineStr">
        <is>
          <t>RMB 623 693 03640</t>
        </is>
      </c>
      <c r="F6430" s="3" t="n">
        <v>5087.86</v>
      </c>
      <c r="G6430" s="3" t="n">
        <v>59366.24</v>
      </c>
    </row>
    <row r="6431">
      <c r="A6431" s="3" t="inlineStr">
        <is>
          <t>Noble Shield (Pty) Ltd ta Go Letting</t>
        </is>
      </c>
      <c r="B6431" s="4" t="n">
        <v>45046</v>
      </c>
      <c r="C6431" s="3" t="inlineStr">
        <is>
          <t>Assets</t>
        </is>
      </c>
      <c r="D6431" s="3" t="inlineStr">
        <is>
          <t>8400/000</t>
        </is>
      </c>
      <c r="E6431" s="3" t="inlineStr">
        <is>
          <t>RMB 6250 573 3833</t>
        </is>
      </c>
      <c r="F6431" s="3" t="n">
        <v>3703.59</v>
      </c>
      <c r="G6431" s="3" t="n">
        <v>49513.78</v>
      </c>
    </row>
    <row r="6432">
      <c r="A6432" s="3" t="inlineStr">
        <is>
          <t>Endulini (Pty) Ltd</t>
        </is>
      </c>
      <c r="B6432" s="4" t="n">
        <v>45046</v>
      </c>
      <c r="C6432" s="3" t="inlineStr">
        <is>
          <t>Assets</t>
        </is>
      </c>
      <c r="D6432" s="3" t="inlineStr">
        <is>
          <t>8400/000</t>
        </is>
      </c>
      <c r="E6432" s="3" t="inlineStr">
        <is>
          <t>RMB 62906944576</t>
        </is>
      </c>
      <c r="F6432" s="3" t="n">
        <v>32391.98</v>
      </c>
      <c r="G6432" s="3" t="n">
        <v>47570.42</v>
      </c>
    </row>
    <row r="6433">
      <c r="A6433" s="3" t="inlineStr">
        <is>
          <t>Opportunity Management Holdings (PTY) LTD</t>
        </is>
      </c>
      <c r="B6433" s="4" t="n">
        <v>45046</v>
      </c>
      <c r="C6433" s="3" t="inlineStr">
        <is>
          <t>Assets</t>
        </is>
      </c>
      <c r="D6433" s="3" t="inlineStr">
        <is>
          <t>8400/000</t>
        </is>
      </c>
      <c r="E6433" s="3" t="inlineStr">
        <is>
          <t>RMB Cheq - 62312246920</t>
        </is>
      </c>
      <c r="F6433" s="3" t="n">
        <v>-99306.02</v>
      </c>
      <c r="G6433" s="3" t="n">
        <v>21006.52</v>
      </c>
    </row>
    <row r="6434">
      <c r="A6434" s="3" t="inlineStr">
        <is>
          <t>Opportunity Global Investment (PTY) LTD</t>
        </is>
      </c>
      <c r="B6434" s="4" t="n">
        <v>45046</v>
      </c>
      <c r="C6434" s="3" t="inlineStr">
        <is>
          <t>Assets</t>
        </is>
      </c>
      <c r="D6434" s="3" t="inlineStr">
        <is>
          <t>8405/000</t>
        </is>
      </c>
      <c r="E6434" s="3" t="inlineStr">
        <is>
          <t>FNB Trust 62762449265</t>
        </is>
      </c>
      <c r="F6434" s="3" t="n">
        <v>-71.29000000000001</v>
      </c>
      <c r="G6434" s="3" t="n">
        <v>613.97</v>
      </c>
    </row>
    <row r="6435">
      <c r="A6435" s="3" t="inlineStr">
        <is>
          <t>Endulini (Pty) Ltd</t>
        </is>
      </c>
      <c r="B6435" s="4" t="n">
        <v>45046</v>
      </c>
      <c r="C6435" s="3" t="inlineStr">
        <is>
          <t>Assets</t>
        </is>
      </c>
      <c r="D6435" s="3" t="inlineStr">
        <is>
          <t>8410/000</t>
        </is>
      </c>
      <c r="E6435" s="3" t="inlineStr">
        <is>
          <t>Momentum Investor Account : RU 502229883</t>
        </is>
      </c>
      <c r="F6435" s="3" t="n">
        <v>16.35</v>
      </c>
      <c r="G6435" s="3" t="n">
        <v>2704.81</v>
      </c>
    </row>
    <row r="6436">
      <c r="A6436" s="3" t="inlineStr">
        <is>
          <t>Opportunity Management Holdings (PTY) LTD</t>
        </is>
      </c>
      <c r="B6436" s="4" t="n">
        <v>45046</v>
      </c>
      <c r="C6436" s="3" t="inlineStr">
        <is>
          <t>Assets</t>
        </is>
      </c>
      <c r="D6436" s="3" t="inlineStr">
        <is>
          <t>8410/000</t>
        </is>
      </c>
      <c r="E6436" s="3" t="inlineStr">
        <is>
          <t>RMB Call Acc - 62312248851</t>
        </is>
      </c>
      <c r="F6436" s="3" t="n">
        <v>-1.35</v>
      </c>
      <c r="G6436" s="3" t="n">
        <v>1433.47</v>
      </c>
    </row>
    <row r="6437">
      <c r="A6437" s="3" t="inlineStr">
        <is>
          <t>Noble Shield (Pty) Ltd ta Go Letting</t>
        </is>
      </c>
      <c r="B6437" s="4" t="n">
        <v>45046</v>
      </c>
      <c r="C6437" s="3" t="inlineStr">
        <is>
          <t>Assets</t>
        </is>
      </c>
      <c r="D6437" s="3" t="inlineStr">
        <is>
          <t>8410/000</t>
        </is>
      </c>
      <c r="E6437" s="3" t="inlineStr">
        <is>
          <t>RMB Trust Acc - 6250 615 1365</t>
        </is>
      </c>
      <c r="F6437" s="3" t="n">
        <v>-71.27</v>
      </c>
      <c r="G6437" s="3" t="n">
        <v>440.57</v>
      </c>
    </row>
    <row r="6438">
      <c r="A6438" s="3" t="inlineStr">
        <is>
          <t>Quinate Consulting (Pty) Ltd</t>
        </is>
      </c>
      <c r="B6438" s="4" t="n">
        <v>45046</v>
      </c>
      <c r="C6438" s="3" t="inlineStr">
        <is>
          <t>Assets</t>
        </is>
      </c>
      <c r="D6438" s="3" t="inlineStr">
        <is>
          <t>8415/000</t>
        </is>
      </c>
      <c r="E6438" s="3" t="inlineStr">
        <is>
          <t>STD Acc 071 958 959 - Facility Acc</t>
        </is>
      </c>
      <c r="F6438" s="3" t="n">
        <v>-85</v>
      </c>
      <c r="G6438" s="3" t="n">
        <v>3126.21</v>
      </c>
    </row>
    <row r="6439">
      <c r="A6439" s="3" t="inlineStr">
        <is>
          <t>Trademark Holdings (Pty) Ltd</t>
        </is>
      </c>
      <c r="B6439" s="4" t="n">
        <v>45046</v>
      </c>
      <c r="C6439" s="3" t="inlineStr">
        <is>
          <t>Assets</t>
        </is>
      </c>
      <c r="D6439" s="3" t="inlineStr">
        <is>
          <t>8420/000</t>
        </is>
      </c>
      <c r="E6439" s="3" t="inlineStr">
        <is>
          <t>FNB Credit Card</t>
        </is>
      </c>
      <c r="F6439" s="3" t="n">
        <v>52</v>
      </c>
      <c r="G6439" s="3" t="n">
        <v>156</v>
      </c>
    </row>
    <row r="6440">
      <c r="A6440" s="3" t="inlineStr">
        <is>
          <t>Quinate Consulting (Pty) Ltd</t>
        </is>
      </c>
      <c r="B6440" s="4" t="n">
        <v>45046</v>
      </c>
      <c r="C6440" s="3" t="inlineStr">
        <is>
          <t>Assets</t>
        </is>
      </c>
      <c r="D6440" s="3" t="inlineStr">
        <is>
          <t>8430/000</t>
        </is>
      </c>
      <c r="E6440" s="3" t="inlineStr">
        <is>
          <t>Momentum Investment Acc - RU502230185</t>
        </is>
      </c>
      <c r="F6440" s="3" t="n">
        <v>3.28</v>
      </c>
      <c r="G6440" s="3" t="n">
        <v>541.78</v>
      </c>
    </row>
    <row r="6441">
      <c r="A6441" s="3" t="inlineStr">
        <is>
          <t>Opportunity Global Investment (PTY) LTD</t>
        </is>
      </c>
      <c r="B6441" s="4" t="n">
        <v>45046</v>
      </c>
      <c r="C6441" s="3" t="inlineStr">
        <is>
          <t>Assets</t>
        </is>
      </c>
      <c r="D6441" s="3" t="inlineStr">
        <is>
          <t>8440/000</t>
        </is>
      </c>
      <c r="E6441" s="3" t="inlineStr">
        <is>
          <t>FNB - Call 627602764438</t>
        </is>
      </c>
      <c r="F6441" s="3" t="n">
        <v>-12.64</v>
      </c>
      <c r="G6441" s="3" t="n">
        <v>930.41</v>
      </c>
    </row>
    <row r="6442">
      <c r="A6442" s="3" t="inlineStr">
        <is>
          <t>Opportunity Global Investment (PTY) LTD</t>
        </is>
      </c>
      <c r="B6442" s="4" t="n">
        <v>45046</v>
      </c>
      <c r="C6442" s="3" t="inlineStr">
        <is>
          <t>Assets</t>
        </is>
      </c>
      <c r="D6442" s="3" t="inlineStr">
        <is>
          <t>8445/000</t>
        </is>
      </c>
      <c r="E6442" s="3" t="inlineStr">
        <is>
          <t>Momentum RU502230096</t>
        </is>
      </c>
      <c r="F6442" s="3" t="n">
        <v>31.12</v>
      </c>
      <c r="G6442" s="3" t="n">
        <v>4766.5</v>
      </c>
    </row>
    <row r="6443">
      <c r="A6443" s="3" t="inlineStr">
        <is>
          <t>Quinate Consulting (Pty) Ltd</t>
        </is>
      </c>
      <c r="B6443" s="4" t="n">
        <v>45046</v>
      </c>
      <c r="C6443" s="3" t="inlineStr">
        <is>
          <t>Assets</t>
        </is>
      </c>
      <c r="D6443" s="3" t="inlineStr">
        <is>
          <t>8450/000</t>
        </is>
      </c>
      <c r="E6443" s="3" t="inlineStr">
        <is>
          <t>A RMB 62275810820</t>
        </is>
      </c>
      <c r="F6443" s="3" t="n">
        <v>122971.26</v>
      </c>
      <c r="G6443" s="3" t="n">
        <v>260306.11</v>
      </c>
    </row>
    <row r="6444">
      <c r="A6444" s="3" t="inlineStr">
        <is>
          <t>Opportunity Management Holdings (PTY) LTD</t>
        </is>
      </c>
      <c r="B6444" s="4" t="n">
        <v>45046</v>
      </c>
      <c r="C6444" s="3" t="inlineStr">
        <is>
          <t>Assets</t>
        </is>
      </c>
      <c r="D6444" s="3" t="inlineStr">
        <is>
          <t>8450/000</t>
        </is>
      </c>
      <c r="E6444" s="3" t="inlineStr">
        <is>
          <t>Petty Cash - CT Office</t>
        </is>
      </c>
      <c r="F6444" s="3" t="n">
        <v>-300</v>
      </c>
      <c r="G6444" s="3" t="n">
        <v>17.2</v>
      </c>
    </row>
    <row r="6445">
      <c r="A6445" s="3" t="inlineStr">
        <is>
          <t>Opportunity Global Investment (PTY) LTD</t>
        </is>
      </c>
      <c r="B6445" s="4" t="n">
        <v>45077</v>
      </c>
      <c r="C6445" s="3" t="inlineStr">
        <is>
          <t>Assets</t>
        </is>
      </c>
      <c r="D6445" s="3" t="inlineStr">
        <is>
          <t>8400/000</t>
        </is>
      </c>
      <c r="E6445" s="3" t="inlineStr">
        <is>
          <t>FNB 62093491696</t>
        </is>
      </c>
      <c r="F6445" s="3" t="n">
        <v>-15279.59</v>
      </c>
      <c r="G6445" s="3" t="n">
        <v>54241.54</v>
      </c>
    </row>
    <row r="6446">
      <c r="A6446" s="3" t="inlineStr">
        <is>
          <t>Opportunity Global Sales (PTY) LTD</t>
        </is>
      </c>
      <c r="B6446" s="4" t="n">
        <v>45077</v>
      </c>
      <c r="C6446" s="3" t="inlineStr">
        <is>
          <t>Assets</t>
        </is>
      </c>
      <c r="D6446" s="3" t="inlineStr">
        <is>
          <t>8400/000</t>
        </is>
      </c>
      <c r="E6446" s="3" t="inlineStr">
        <is>
          <t>FNB 62835620875</t>
        </is>
      </c>
      <c r="F6446" s="3" t="n">
        <v>-128014.26</v>
      </c>
      <c r="G6446" s="3" t="n">
        <v>66833.14999999999</v>
      </c>
    </row>
    <row r="6447">
      <c r="A6447" s="3" t="inlineStr">
        <is>
          <t>Quinate Consulting (Pty) Ltd</t>
        </is>
      </c>
      <c r="B6447" s="4" t="n">
        <v>45077</v>
      </c>
      <c r="C6447" s="3" t="inlineStr">
        <is>
          <t>Assets</t>
        </is>
      </c>
      <c r="D6447" s="3" t="inlineStr">
        <is>
          <t>8400/000</t>
        </is>
      </c>
      <c r="E6447" s="3" t="inlineStr">
        <is>
          <t>RMB - 62736659189 - Call Acc</t>
        </is>
      </c>
      <c r="F6447" s="3" t="n">
        <v>809.04</v>
      </c>
      <c r="G6447" s="3" t="n">
        <v>157189.13</v>
      </c>
    </row>
    <row r="6448">
      <c r="A6448" s="3" t="inlineStr">
        <is>
          <t>Trademark Holdings (Pty) Ltd</t>
        </is>
      </c>
      <c r="B6448" s="4" t="n">
        <v>45077</v>
      </c>
      <c r="C6448" s="3" t="inlineStr">
        <is>
          <t>Assets</t>
        </is>
      </c>
      <c r="D6448" s="3" t="inlineStr">
        <is>
          <t>8400/000</t>
        </is>
      </c>
      <c r="E6448" s="3" t="inlineStr">
        <is>
          <t>RMB 623 693 03640</t>
        </is>
      </c>
      <c r="F6448" s="3" t="n">
        <v>28920.38</v>
      </c>
      <c r="G6448" s="3" t="n">
        <v>88286.62</v>
      </c>
    </row>
    <row r="6449">
      <c r="A6449" s="3" t="inlineStr">
        <is>
          <t>Noble Shield (Pty) Ltd ta Go Letting</t>
        </is>
      </c>
      <c r="B6449" s="4" t="n">
        <v>45077</v>
      </c>
      <c r="C6449" s="3" t="inlineStr">
        <is>
          <t>Assets</t>
        </is>
      </c>
      <c r="D6449" s="3" t="inlineStr">
        <is>
          <t>8400/000</t>
        </is>
      </c>
      <c r="E6449" s="3" t="inlineStr">
        <is>
          <t>RMB 6250 573 3833</t>
        </is>
      </c>
      <c r="F6449" s="3" t="n">
        <v>15782.5</v>
      </c>
      <c r="G6449" s="3" t="n">
        <v>65296.28</v>
      </c>
    </row>
    <row r="6450">
      <c r="A6450" s="3" t="inlineStr">
        <is>
          <t>Endulini (Pty) Ltd</t>
        </is>
      </c>
      <c r="B6450" s="4" t="n">
        <v>45077</v>
      </c>
      <c r="C6450" s="3" t="inlineStr">
        <is>
          <t>Assets</t>
        </is>
      </c>
      <c r="D6450" s="3" t="inlineStr">
        <is>
          <t>8400/000</t>
        </is>
      </c>
      <c r="E6450" s="3" t="inlineStr">
        <is>
          <t>RMB 62906944576</t>
        </is>
      </c>
      <c r="F6450" s="3" t="n">
        <v>-5946.99</v>
      </c>
      <c r="G6450" s="3" t="n">
        <v>41623.43</v>
      </c>
    </row>
    <row r="6451">
      <c r="A6451" s="3" t="inlineStr">
        <is>
          <t>Opportunity Management Holdings (PTY) LTD</t>
        </is>
      </c>
      <c r="B6451" s="4" t="n">
        <v>45077</v>
      </c>
      <c r="C6451" s="3" t="inlineStr">
        <is>
          <t>Assets</t>
        </is>
      </c>
      <c r="D6451" s="3" t="inlineStr">
        <is>
          <t>8400/000</t>
        </is>
      </c>
      <c r="E6451" s="3" t="inlineStr">
        <is>
          <t>RMB Cheq - 62312246920</t>
        </is>
      </c>
      <c r="F6451" s="3" t="n">
        <v>119621.57</v>
      </c>
      <c r="G6451" s="3" t="n">
        <v>140628.09</v>
      </c>
    </row>
    <row r="6452">
      <c r="A6452" s="3" t="inlineStr">
        <is>
          <t>Opportunity Global Investment (PTY) LTD</t>
        </is>
      </c>
      <c r="B6452" s="4" t="n">
        <v>45077</v>
      </c>
      <c r="C6452" s="3" t="inlineStr">
        <is>
          <t>Assets</t>
        </is>
      </c>
      <c r="D6452" s="3" t="inlineStr">
        <is>
          <t>8405/000</t>
        </is>
      </c>
      <c r="E6452" s="3" t="inlineStr">
        <is>
          <t>FNB Trust 62762449265</t>
        </is>
      </c>
      <c r="F6452" s="3" t="n">
        <v>-71.13</v>
      </c>
      <c r="G6452" s="3" t="n">
        <v>542.84</v>
      </c>
    </row>
    <row r="6453">
      <c r="A6453" s="3" t="inlineStr">
        <is>
          <t>Endulini (Pty) Ltd</t>
        </is>
      </c>
      <c r="B6453" s="4" t="n">
        <v>45077</v>
      </c>
      <c r="C6453" s="3" t="inlineStr">
        <is>
          <t>Assets</t>
        </is>
      </c>
      <c r="D6453" s="3" t="inlineStr">
        <is>
          <t>8410/000</t>
        </is>
      </c>
      <c r="E6453" s="3" t="inlineStr">
        <is>
          <t>Momentum Investor Account : RU 502229883</t>
        </is>
      </c>
      <c r="F6453" s="3" t="n">
        <v>17.52</v>
      </c>
      <c r="G6453" s="3" t="n">
        <v>2722.33</v>
      </c>
    </row>
    <row r="6454">
      <c r="A6454" s="3" t="inlineStr">
        <is>
          <t>Opportunity Management Holdings (PTY) LTD</t>
        </is>
      </c>
      <c r="B6454" s="4" t="n">
        <v>45077</v>
      </c>
      <c r="C6454" s="3" t="inlineStr">
        <is>
          <t>Assets</t>
        </is>
      </c>
      <c r="D6454" s="3" t="inlineStr">
        <is>
          <t>8410/000</t>
        </is>
      </c>
      <c r="E6454" s="3" t="inlineStr">
        <is>
          <t>RMB Call Acc - 62312248851</t>
        </is>
      </c>
      <c r="F6454" s="3" t="n">
        <v>-2.61</v>
      </c>
      <c r="G6454" s="3" t="n">
        <v>1430.86</v>
      </c>
    </row>
    <row r="6455">
      <c r="A6455" s="3" t="inlineStr">
        <is>
          <t>Noble Shield (Pty) Ltd ta Go Letting</t>
        </is>
      </c>
      <c r="B6455" s="4" t="n">
        <v>45077</v>
      </c>
      <c r="C6455" s="3" t="inlineStr">
        <is>
          <t>Assets</t>
        </is>
      </c>
      <c r="D6455" s="3" t="inlineStr">
        <is>
          <t>8410/000</t>
        </is>
      </c>
      <c r="E6455" s="3" t="inlineStr">
        <is>
          <t>RMB Trust Acc - 6250 615 1365</t>
        </is>
      </c>
      <c r="F6455" s="3" t="n">
        <v>-71.26000000000001</v>
      </c>
      <c r="G6455" s="3" t="n">
        <v>369.31</v>
      </c>
    </row>
    <row r="6456">
      <c r="A6456" s="3" t="inlineStr">
        <is>
          <t>Quinate Consulting (Pty) Ltd</t>
        </is>
      </c>
      <c r="B6456" s="4" t="n">
        <v>45077</v>
      </c>
      <c r="C6456" s="3" t="inlineStr">
        <is>
          <t>Assets</t>
        </is>
      </c>
      <c r="D6456" s="3" t="inlineStr">
        <is>
          <t>8415/000</t>
        </is>
      </c>
      <c r="E6456" s="3" t="inlineStr">
        <is>
          <t>STD Acc 071 958 959 - Facility Acc</t>
        </is>
      </c>
      <c r="F6456" s="3" t="n">
        <v>0</v>
      </c>
      <c r="G6456" s="3" t="n">
        <v>3126.21</v>
      </c>
    </row>
    <row r="6457">
      <c r="A6457" s="3" t="inlineStr">
        <is>
          <t>Trademark Holdings (Pty) Ltd</t>
        </is>
      </c>
      <c r="B6457" s="4" t="n">
        <v>45077</v>
      </c>
      <c r="C6457" s="3" t="inlineStr">
        <is>
          <t>Assets</t>
        </is>
      </c>
      <c r="D6457" s="3" t="inlineStr">
        <is>
          <t>8420/000</t>
        </is>
      </c>
      <c r="E6457" s="3" t="inlineStr">
        <is>
          <t>FNB Credit Card</t>
        </is>
      </c>
      <c r="F6457" s="3" t="n">
        <v>52</v>
      </c>
      <c r="G6457" s="3" t="n">
        <v>208</v>
      </c>
    </row>
    <row r="6458">
      <c r="A6458" s="3" t="inlineStr">
        <is>
          <t>Quinate Consulting (Pty) Ltd</t>
        </is>
      </c>
      <c r="B6458" s="4" t="n">
        <v>45077</v>
      </c>
      <c r="C6458" s="3" t="inlineStr">
        <is>
          <t>Assets</t>
        </is>
      </c>
      <c r="D6458" s="3" t="inlineStr">
        <is>
          <t>8430/000</t>
        </is>
      </c>
      <c r="E6458" s="3" t="inlineStr">
        <is>
          <t>Momentum Investment Acc - RU502230185</t>
        </is>
      </c>
      <c r="F6458" s="3" t="n">
        <v>3.51</v>
      </c>
      <c r="G6458" s="3" t="n">
        <v>545.29</v>
      </c>
    </row>
    <row r="6459">
      <c r="A6459" s="3" t="inlineStr">
        <is>
          <t>Opportunity Global Investment (PTY) LTD</t>
        </is>
      </c>
      <c r="B6459" s="4" t="n">
        <v>45077</v>
      </c>
      <c r="C6459" s="3" t="inlineStr">
        <is>
          <t>Assets</t>
        </is>
      </c>
      <c r="D6459" s="3" t="inlineStr">
        <is>
          <t>8440/000</t>
        </is>
      </c>
      <c r="E6459" s="3" t="inlineStr">
        <is>
          <t>FNB - Call 627602764438</t>
        </is>
      </c>
      <c r="F6459" s="3" t="n">
        <v>-14.22</v>
      </c>
      <c r="G6459" s="3" t="n">
        <v>916.1900000000001</v>
      </c>
    </row>
    <row r="6460">
      <c r="A6460" s="3" t="inlineStr">
        <is>
          <t>Opportunity Global Investment (PTY) LTD</t>
        </is>
      </c>
      <c r="B6460" s="4" t="n">
        <v>45077</v>
      </c>
      <c r="C6460" s="3" t="inlineStr">
        <is>
          <t>Assets</t>
        </is>
      </c>
      <c r="D6460" s="3" t="inlineStr">
        <is>
          <t>8445/000</t>
        </is>
      </c>
      <c r="E6460" s="3" t="inlineStr">
        <is>
          <t>Momentum RU502230096</t>
        </is>
      </c>
      <c r="F6460" s="3" t="n">
        <v>33.05</v>
      </c>
      <c r="G6460" s="3" t="n">
        <v>4799.55</v>
      </c>
    </row>
    <row r="6461">
      <c r="A6461" s="3" t="inlineStr">
        <is>
          <t>Quinate Consulting (Pty) Ltd</t>
        </is>
      </c>
      <c r="B6461" s="4" t="n">
        <v>45077</v>
      </c>
      <c r="C6461" s="3" t="inlineStr">
        <is>
          <t>Assets</t>
        </is>
      </c>
      <c r="D6461" s="3" t="inlineStr">
        <is>
          <t>8450/000</t>
        </is>
      </c>
      <c r="E6461" s="3" t="inlineStr">
        <is>
          <t>A RMB 62275810820</t>
        </is>
      </c>
      <c r="F6461" s="3" t="n">
        <v>-121286.13</v>
      </c>
      <c r="G6461" s="3" t="n">
        <v>139019.98</v>
      </c>
    </row>
    <row r="6462">
      <c r="A6462" s="3" t="inlineStr">
        <is>
          <t>Opportunity Management Holdings (PTY) LTD</t>
        </is>
      </c>
      <c r="B6462" s="4" t="n">
        <v>45077</v>
      </c>
      <c r="C6462" s="3" t="inlineStr">
        <is>
          <t>Assets</t>
        </is>
      </c>
      <c r="D6462" s="3" t="inlineStr">
        <is>
          <t>8450/000</t>
        </is>
      </c>
      <c r="E6462" s="3" t="inlineStr">
        <is>
          <t>Petty Cash - CT Office</t>
        </is>
      </c>
      <c r="F6462" s="3" t="n">
        <v>0</v>
      </c>
      <c r="G6462" s="3" t="n">
        <v>17.2</v>
      </c>
    </row>
    <row r="6463">
      <c r="A6463" s="3" t="inlineStr">
        <is>
          <t>Opportunity Global Investment (PTY) LTD</t>
        </is>
      </c>
      <c r="B6463" s="4" t="n">
        <v>45107</v>
      </c>
      <c r="C6463" s="3" t="inlineStr">
        <is>
          <t>Assets</t>
        </is>
      </c>
      <c r="D6463" s="3" t="inlineStr">
        <is>
          <t>8400/000</t>
        </is>
      </c>
      <c r="E6463" s="3" t="inlineStr">
        <is>
          <t>FNB 62093491696</t>
        </is>
      </c>
      <c r="F6463" s="3" t="n">
        <v>-18661.26</v>
      </c>
      <c r="G6463" s="3" t="n">
        <v>35580.28</v>
      </c>
    </row>
    <row r="6464">
      <c r="A6464" s="3" t="inlineStr">
        <is>
          <t>Opportunity Global Sales (PTY) LTD</t>
        </is>
      </c>
      <c r="B6464" s="4" t="n">
        <v>45107</v>
      </c>
      <c r="C6464" s="3" t="inlineStr">
        <is>
          <t>Assets</t>
        </is>
      </c>
      <c r="D6464" s="3" t="inlineStr">
        <is>
          <t>8400/000</t>
        </is>
      </c>
      <c r="E6464" s="3" t="inlineStr">
        <is>
          <t>FNB 62835620875</t>
        </is>
      </c>
      <c r="F6464" s="3" t="n">
        <v>-46440.13</v>
      </c>
      <c r="G6464" s="3" t="n">
        <v>20393.02</v>
      </c>
    </row>
    <row r="6465">
      <c r="A6465" s="3" t="inlineStr">
        <is>
          <t>Quinate Consulting (Pty) Ltd</t>
        </is>
      </c>
      <c r="B6465" s="4" t="n">
        <v>45107</v>
      </c>
      <c r="C6465" s="3" t="inlineStr">
        <is>
          <t>Assets</t>
        </is>
      </c>
      <c r="D6465" s="3" t="inlineStr">
        <is>
          <t>8400/000</t>
        </is>
      </c>
      <c r="E6465" s="3" t="inlineStr">
        <is>
          <t>RMB - 62736659189 - Call Acc</t>
        </is>
      </c>
      <c r="F6465" s="3" t="n">
        <v>-12.64</v>
      </c>
      <c r="G6465" s="3" t="n">
        <v>157176.49</v>
      </c>
    </row>
    <row r="6466">
      <c r="A6466" s="3" t="inlineStr">
        <is>
          <t>Trademark Holdings (Pty) Ltd</t>
        </is>
      </c>
      <c r="B6466" s="4" t="n">
        <v>45107</v>
      </c>
      <c r="C6466" s="3" t="inlineStr">
        <is>
          <t>Assets</t>
        </is>
      </c>
      <c r="D6466" s="3" t="inlineStr">
        <is>
          <t>8400/000</t>
        </is>
      </c>
      <c r="E6466" s="3" t="inlineStr">
        <is>
          <t>RMB 623 693 03640</t>
        </is>
      </c>
      <c r="F6466" s="3" t="n">
        <v>-7562.55</v>
      </c>
      <c r="G6466" s="3" t="n">
        <v>80724.07000000001</v>
      </c>
    </row>
    <row r="6467">
      <c r="A6467" s="3" t="inlineStr">
        <is>
          <t>Noble Shield (Pty) Ltd ta Go Letting</t>
        </is>
      </c>
      <c r="B6467" s="4" t="n">
        <v>45107</v>
      </c>
      <c r="C6467" s="3" t="inlineStr">
        <is>
          <t>Assets</t>
        </is>
      </c>
      <c r="D6467" s="3" t="inlineStr">
        <is>
          <t>8400/000</t>
        </is>
      </c>
      <c r="E6467" s="3" t="inlineStr">
        <is>
          <t>RMB 6250 573 3833</t>
        </is>
      </c>
      <c r="F6467" s="3" t="n">
        <v>8170.37</v>
      </c>
      <c r="G6467" s="3" t="n">
        <v>73466.64999999999</v>
      </c>
    </row>
    <row r="6468">
      <c r="A6468" s="3" t="inlineStr">
        <is>
          <t>Endulini (Pty) Ltd</t>
        </is>
      </c>
      <c r="B6468" s="4" t="n">
        <v>45107</v>
      </c>
      <c r="C6468" s="3" t="inlineStr">
        <is>
          <t>Assets</t>
        </is>
      </c>
      <c r="D6468" s="3" t="inlineStr">
        <is>
          <t>8400/000</t>
        </is>
      </c>
      <c r="E6468" s="3" t="inlineStr">
        <is>
          <t>RMB 62906944576</t>
        </is>
      </c>
      <c r="F6468" s="3" t="n">
        <v>-19798.15</v>
      </c>
      <c r="G6468" s="3" t="n">
        <v>21825.28</v>
      </c>
    </row>
    <row r="6469">
      <c r="A6469" s="3" t="inlineStr">
        <is>
          <t>Opportunity Management Holdings (PTY) LTD</t>
        </is>
      </c>
      <c r="B6469" s="4" t="n">
        <v>45107</v>
      </c>
      <c r="C6469" s="3" t="inlineStr">
        <is>
          <t>Assets</t>
        </is>
      </c>
      <c r="D6469" s="3" t="inlineStr">
        <is>
          <t>8400/000</t>
        </is>
      </c>
      <c r="E6469" s="3" t="inlineStr">
        <is>
          <t>RMB Cheq - 62312246920</t>
        </is>
      </c>
      <c r="F6469" s="3" t="n">
        <v>-106665.06</v>
      </c>
      <c r="G6469" s="3" t="n">
        <v>33963.03</v>
      </c>
    </row>
    <row r="6470">
      <c r="A6470" s="3" t="inlineStr">
        <is>
          <t>Opportunity Global Investment (PTY) LTD</t>
        </is>
      </c>
      <c r="B6470" s="4" t="n">
        <v>45107</v>
      </c>
      <c r="C6470" s="3" t="inlineStr">
        <is>
          <t>Assets</t>
        </is>
      </c>
      <c r="D6470" s="3" t="inlineStr">
        <is>
          <t>8405/000</t>
        </is>
      </c>
      <c r="E6470" s="3" t="inlineStr">
        <is>
          <t>FNB Trust 62762449265</t>
        </is>
      </c>
      <c r="F6470" s="3" t="n">
        <v>-71.09</v>
      </c>
      <c r="G6470" s="3" t="n">
        <v>471.75</v>
      </c>
    </row>
    <row r="6471">
      <c r="A6471" s="3" t="inlineStr">
        <is>
          <t>Endulini (Pty) Ltd</t>
        </is>
      </c>
      <c r="B6471" s="4" t="n">
        <v>45107</v>
      </c>
      <c r="C6471" s="3" t="inlineStr">
        <is>
          <t>Assets</t>
        </is>
      </c>
      <c r="D6471" s="3" t="inlineStr">
        <is>
          <t>8410/000</t>
        </is>
      </c>
      <c r="E6471" s="3" t="inlineStr">
        <is>
          <t>Momentum Investor Account : RU 502229883</t>
        </is>
      </c>
      <c r="F6471" s="3" t="n">
        <v>0</v>
      </c>
      <c r="G6471" s="3" t="n">
        <v>2722.33</v>
      </c>
    </row>
    <row r="6472">
      <c r="A6472" s="3" t="inlineStr">
        <is>
          <t>Opportunity Management Holdings (PTY) LTD</t>
        </is>
      </c>
      <c r="B6472" s="4" t="n">
        <v>45107</v>
      </c>
      <c r="C6472" s="3" t="inlineStr">
        <is>
          <t>Assets</t>
        </is>
      </c>
      <c r="D6472" s="3" t="inlineStr">
        <is>
          <t>8410/000</t>
        </is>
      </c>
      <c r="E6472" s="3" t="inlineStr">
        <is>
          <t>RMB Call Acc - 62312248851</t>
        </is>
      </c>
      <c r="F6472" s="3" t="n">
        <v>0</v>
      </c>
      <c r="G6472" s="3" t="n">
        <v>1430.86</v>
      </c>
    </row>
    <row r="6473">
      <c r="A6473" s="3" t="inlineStr">
        <is>
          <t>Noble Shield (Pty) Ltd ta Go Letting</t>
        </is>
      </c>
      <c r="B6473" s="4" t="n">
        <v>45107</v>
      </c>
      <c r="C6473" s="3" t="inlineStr">
        <is>
          <t>Assets</t>
        </is>
      </c>
      <c r="D6473" s="3" t="inlineStr">
        <is>
          <t>8410/000</t>
        </is>
      </c>
      <c r="E6473" s="3" t="inlineStr">
        <is>
          <t>RMB Trust Acc - 6250 615 1365</t>
        </is>
      </c>
      <c r="F6473" s="3" t="n">
        <v>-69.61</v>
      </c>
      <c r="G6473" s="3" t="n">
        <v>299.7</v>
      </c>
    </row>
    <row r="6474">
      <c r="A6474" s="3" t="inlineStr">
        <is>
          <t>Quinate Consulting (Pty) Ltd</t>
        </is>
      </c>
      <c r="B6474" s="4" t="n">
        <v>45107</v>
      </c>
      <c r="C6474" s="3" t="inlineStr">
        <is>
          <t>Assets</t>
        </is>
      </c>
      <c r="D6474" s="3" t="inlineStr">
        <is>
          <t>8415/000</t>
        </is>
      </c>
      <c r="E6474" s="3" t="inlineStr">
        <is>
          <t>STD Acc 071 958 959 - Facility Acc</t>
        </is>
      </c>
      <c r="F6474" s="3" t="n">
        <v>0</v>
      </c>
      <c r="G6474" s="3" t="n">
        <v>3126.21</v>
      </c>
    </row>
    <row r="6475">
      <c r="A6475" s="3" t="inlineStr">
        <is>
          <t>Trademark Holdings (Pty) Ltd</t>
        </is>
      </c>
      <c r="B6475" s="4" t="n">
        <v>45107</v>
      </c>
      <c r="C6475" s="3" t="inlineStr">
        <is>
          <t>Assets</t>
        </is>
      </c>
      <c r="D6475" s="3" t="inlineStr">
        <is>
          <t>8420/000</t>
        </is>
      </c>
      <c r="E6475" s="3" t="inlineStr">
        <is>
          <t>FNB Credit Card</t>
        </is>
      </c>
      <c r="F6475" s="3" t="n">
        <v>52</v>
      </c>
      <c r="G6475" s="3" t="n">
        <v>260</v>
      </c>
    </row>
    <row r="6476">
      <c r="A6476" s="3" t="inlineStr">
        <is>
          <t>Quinate Consulting (Pty) Ltd</t>
        </is>
      </c>
      <c r="B6476" s="4" t="n">
        <v>45107</v>
      </c>
      <c r="C6476" s="3" t="inlineStr">
        <is>
          <t>Assets</t>
        </is>
      </c>
      <c r="D6476" s="3" t="inlineStr">
        <is>
          <t>8430/000</t>
        </is>
      </c>
      <c r="E6476" s="3" t="inlineStr">
        <is>
          <t>Momentum Investment Acc - RU502230185</t>
        </is>
      </c>
      <c r="F6476" s="3" t="n">
        <v>0</v>
      </c>
      <c r="G6476" s="3" t="n">
        <v>545.29</v>
      </c>
    </row>
    <row r="6477">
      <c r="A6477" s="3" t="inlineStr">
        <is>
          <t>Opportunity Global Investment (PTY) LTD</t>
        </is>
      </c>
      <c r="B6477" s="4" t="n">
        <v>45107</v>
      </c>
      <c r="C6477" s="3" t="inlineStr">
        <is>
          <t>Assets</t>
        </is>
      </c>
      <c r="D6477" s="3" t="inlineStr">
        <is>
          <t>8440/000</t>
        </is>
      </c>
      <c r="E6477" s="3" t="inlineStr">
        <is>
          <t>FNB - Call 627602764438</t>
        </is>
      </c>
      <c r="F6477" s="3" t="n">
        <v>-11.06</v>
      </c>
      <c r="G6477" s="3" t="n">
        <v>905.13</v>
      </c>
    </row>
    <row r="6478">
      <c r="A6478" s="3" t="inlineStr">
        <is>
          <t>Opportunity Global Investment (PTY) LTD</t>
        </is>
      </c>
      <c r="B6478" s="4" t="n">
        <v>45107</v>
      </c>
      <c r="C6478" s="3" t="inlineStr">
        <is>
          <t>Assets</t>
        </is>
      </c>
      <c r="D6478" s="3" t="inlineStr">
        <is>
          <t>8445/000</t>
        </is>
      </c>
      <c r="E6478" s="3" t="inlineStr">
        <is>
          <t>Momentum RU502230096</t>
        </is>
      </c>
      <c r="F6478" s="3" t="n">
        <v>33.38</v>
      </c>
      <c r="G6478" s="3" t="n">
        <v>4832.93</v>
      </c>
    </row>
    <row r="6479">
      <c r="A6479" s="3" t="inlineStr">
        <is>
          <t>Quinate Consulting (Pty) Ltd</t>
        </is>
      </c>
      <c r="B6479" s="4" t="n">
        <v>45107</v>
      </c>
      <c r="C6479" s="3" t="inlineStr">
        <is>
          <t>Assets</t>
        </is>
      </c>
      <c r="D6479" s="3" t="inlineStr">
        <is>
          <t>8450/000</t>
        </is>
      </c>
      <c r="E6479" s="3" t="inlineStr">
        <is>
          <t>A RMB 62275810820</t>
        </is>
      </c>
      <c r="F6479" s="3" t="n">
        <v>102142.26</v>
      </c>
      <c r="G6479" s="3" t="n">
        <v>241162.24</v>
      </c>
    </row>
    <row r="6480">
      <c r="A6480" s="3" t="inlineStr">
        <is>
          <t>Opportunity Management Holdings (PTY) LTD</t>
        </is>
      </c>
      <c r="B6480" s="4" t="n">
        <v>45107</v>
      </c>
      <c r="C6480" s="3" t="inlineStr">
        <is>
          <t>Assets</t>
        </is>
      </c>
      <c r="D6480" s="3" t="inlineStr">
        <is>
          <t>8450/000</t>
        </is>
      </c>
      <c r="E6480" s="3" t="inlineStr">
        <is>
          <t>Petty Cash - CT Office</t>
        </is>
      </c>
      <c r="F6480" s="3" t="n">
        <v>0</v>
      </c>
      <c r="G6480" s="3" t="n">
        <v>17.2</v>
      </c>
    </row>
    <row r="6481">
      <c r="A6481" s="3" t="inlineStr">
        <is>
          <t>Opportunity Global Investment (PTY) LTD</t>
        </is>
      </c>
      <c r="B6481" s="4" t="n">
        <v>45138</v>
      </c>
      <c r="C6481" s="3" t="inlineStr">
        <is>
          <t>Assets</t>
        </is>
      </c>
      <c r="D6481" s="3" t="inlineStr">
        <is>
          <t>8400/000</t>
        </is>
      </c>
      <c r="E6481" s="3" t="inlineStr">
        <is>
          <t>FNB 62093491696</t>
        </is>
      </c>
      <c r="F6481" s="3" t="n">
        <v>-22804.58</v>
      </c>
      <c r="G6481" s="3" t="n">
        <v>12775.7</v>
      </c>
    </row>
    <row r="6482">
      <c r="A6482" s="3" t="inlineStr">
        <is>
          <t>Opportunity Global Sales (PTY) LTD</t>
        </is>
      </c>
      <c r="B6482" s="4" t="n">
        <v>45138</v>
      </c>
      <c r="C6482" s="3" t="inlineStr">
        <is>
          <t>Assets</t>
        </is>
      </c>
      <c r="D6482" s="3" t="inlineStr">
        <is>
          <t>8400/000</t>
        </is>
      </c>
      <c r="E6482" s="3" t="inlineStr">
        <is>
          <t>FNB 62835620875</t>
        </is>
      </c>
      <c r="F6482" s="3" t="n">
        <v>78255.58</v>
      </c>
      <c r="G6482" s="3" t="n">
        <v>98648.60000000001</v>
      </c>
    </row>
    <row r="6483">
      <c r="A6483" s="3" t="inlineStr">
        <is>
          <t>Quinate Consulting (Pty) Ltd</t>
        </is>
      </c>
      <c r="B6483" s="4" t="n">
        <v>45138</v>
      </c>
      <c r="C6483" s="3" t="inlineStr">
        <is>
          <t>Assets</t>
        </is>
      </c>
      <c r="D6483" s="3" t="inlineStr">
        <is>
          <t>8400/000</t>
        </is>
      </c>
      <c r="E6483" s="3" t="inlineStr">
        <is>
          <t>RMB - 62736659189 - Call Acc</t>
        </is>
      </c>
      <c r="F6483" s="3" t="n">
        <v>0</v>
      </c>
      <c r="G6483" s="3" t="n">
        <v>157176.49</v>
      </c>
    </row>
    <row r="6484">
      <c r="A6484" s="3" t="inlineStr">
        <is>
          <t>Trademark Holdings (Pty) Ltd</t>
        </is>
      </c>
      <c r="B6484" s="4" t="n">
        <v>45138</v>
      </c>
      <c r="C6484" s="3" t="inlineStr">
        <is>
          <t>Assets</t>
        </is>
      </c>
      <c r="D6484" s="3" t="inlineStr">
        <is>
          <t>8400/000</t>
        </is>
      </c>
      <c r="E6484" s="3" t="inlineStr">
        <is>
          <t>RMB 623 693 03640</t>
        </is>
      </c>
      <c r="F6484" s="3" t="n">
        <v>-41321.82</v>
      </c>
      <c r="G6484" s="3" t="n">
        <v>39402.25</v>
      </c>
    </row>
    <row r="6485">
      <c r="A6485" s="3" t="inlineStr">
        <is>
          <t>Noble Shield (Pty) Ltd ta Go Letting</t>
        </is>
      </c>
      <c r="B6485" s="4" t="n">
        <v>45138</v>
      </c>
      <c r="C6485" s="3" t="inlineStr">
        <is>
          <t>Assets</t>
        </is>
      </c>
      <c r="D6485" s="3" t="inlineStr">
        <is>
          <t>8400/000</t>
        </is>
      </c>
      <c r="E6485" s="3" t="inlineStr">
        <is>
          <t>RMB 6250 573 3833</t>
        </is>
      </c>
      <c r="F6485" s="3" t="n">
        <v>-22843</v>
      </c>
      <c r="G6485" s="3" t="n">
        <v>50623.65</v>
      </c>
    </row>
    <row r="6486">
      <c r="A6486" s="3" t="inlineStr">
        <is>
          <t>Endulini (Pty) Ltd</t>
        </is>
      </c>
      <c r="B6486" s="4" t="n">
        <v>45138</v>
      </c>
      <c r="C6486" s="3" t="inlineStr">
        <is>
          <t>Assets</t>
        </is>
      </c>
      <c r="D6486" s="3" t="inlineStr">
        <is>
          <t>8400/000</t>
        </is>
      </c>
      <c r="E6486" s="3" t="inlineStr">
        <is>
          <t>RMB 62906944576</t>
        </is>
      </c>
      <c r="F6486" s="3" t="n">
        <v>975.88</v>
      </c>
      <c r="G6486" s="3" t="n">
        <v>22801.16</v>
      </c>
    </row>
    <row r="6487">
      <c r="A6487" s="3" t="inlineStr">
        <is>
          <t>Opportunity Management Holdings (PTY) LTD</t>
        </is>
      </c>
      <c r="B6487" s="4" t="n">
        <v>45138</v>
      </c>
      <c r="C6487" s="3" t="inlineStr">
        <is>
          <t>Assets</t>
        </is>
      </c>
      <c r="D6487" s="3" t="inlineStr">
        <is>
          <t>8400/000</t>
        </is>
      </c>
      <c r="E6487" s="3" t="inlineStr">
        <is>
          <t>RMB Cheq - 62312246920</t>
        </is>
      </c>
      <c r="F6487" s="3" t="n">
        <v>70536.77</v>
      </c>
      <c r="G6487" s="3" t="n">
        <v>104499.8</v>
      </c>
    </row>
    <row r="6488">
      <c r="A6488" s="3" t="inlineStr">
        <is>
          <t>Opportunity Global Investment (PTY) LTD</t>
        </is>
      </c>
      <c r="B6488" s="4" t="n">
        <v>45138</v>
      </c>
      <c r="C6488" s="3" t="inlineStr">
        <is>
          <t>Assets</t>
        </is>
      </c>
      <c r="D6488" s="3" t="inlineStr">
        <is>
          <t>8405/000</t>
        </is>
      </c>
      <c r="E6488" s="3" t="inlineStr">
        <is>
          <t>FNB Trust 62762449265</t>
        </is>
      </c>
      <c r="F6488" s="3" t="n">
        <v>0</v>
      </c>
      <c r="G6488" s="3" t="n">
        <v>471.75</v>
      </c>
    </row>
    <row r="6489">
      <c r="A6489" s="3" t="inlineStr">
        <is>
          <t>Endulini (Pty) Ltd</t>
        </is>
      </c>
      <c r="B6489" s="4" t="n">
        <v>45138</v>
      </c>
      <c r="C6489" s="3" t="inlineStr">
        <is>
          <t>Assets</t>
        </is>
      </c>
      <c r="D6489" s="3" t="inlineStr">
        <is>
          <t>8410/000</t>
        </is>
      </c>
      <c r="E6489" s="3" t="inlineStr">
        <is>
          <t>Momentum Investor Account : RU 502229883</t>
        </is>
      </c>
      <c r="F6489" s="3" t="n">
        <v>0</v>
      </c>
      <c r="G6489" s="3" t="n">
        <v>2722.33</v>
      </c>
    </row>
    <row r="6490">
      <c r="A6490" s="3" t="inlineStr">
        <is>
          <t>Opportunity Management Holdings (PTY) LTD</t>
        </is>
      </c>
      <c r="B6490" s="4" t="n">
        <v>45138</v>
      </c>
      <c r="C6490" s="3" t="inlineStr">
        <is>
          <t>Assets</t>
        </is>
      </c>
      <c r="D6490" s="3" t="inlineStr">
        <is>
          <t>8410/000</t>
        </is>
      </c>
      <c r="E6490" s="3" t="inlineStr">
        <is>
          <t>RMB Call Acc - 62312248851</t>
        </is>
      </c>
      <c r="F6490" s="3" t="n">
        <v>0</v>
      </c>
      <c r="G6490" s="3" t="n">
        <v>1430.86</v>
      </c>
    </row>
    <row r="6491">
      <c r="A6491" s="3" t="inlineStr">
        <is>
          <t>Noble Shield (Pty) Ltd ta Go Letting</t>
        </is>
      </c>
      <c r="B6491" s="4" t="n">
        <v>45138</v>
      </c>
      <c r="C6491" s="3" t="inlineStr">
        <is>
          <t>Assets</t>
        </is>
      </c>
      <c r="D6491" s="3" t="inlineStr">
        <is>
          <t>8410/000</t>
        </is>
      </c>
      <c r="E6491" s="3" t="inlineStr">
        <is>
          <t>RMB Trust Acc - 6250 615 1365</t>
        </is>
      </c>
      <c r="F6491" s="3" t="n">
        <v>-64.78</v>
      </c>
      <c r="G6491" s="3" t="n">
        <v>234.92</v>
      </c>
    </row>
    <row r="6492">
      <c r="A6492" s="3" t="inlineStr">
        <is>
          <t>Quinate Consulting (Pty) Ltd</t>
        </is>
      </c>
      <c r="B6492" s="4" t="n">
        <v>45138</v>
      </c>
      <c r="C6492" s="3" t="inlineStr">
        <is>
          <t>Assets</t>
        </is>
      </c>
      <c r="D6492" s="3" t="inlineStr">
        <is>
          <t>8415/000</t>
        </is>
      </c>
      <c r="E6492" s="3" t="inlineStr">
        <is>
          <t>STD Acc 071 958 959 - Facility Acc</t>
        </is>
      </c>
      <c r="F6492" s="3" t="n">
        <v>-170</v>
      </c>
      <c r="G6492" s="3" t="n">
        <v>2956.21</v>
      </c>
    </row>
    <row r="6493">
      <c r="A6493" s="3" t="inlineStr">
        <is>
          <t>Trademark Holdings (Pty) Ltd</t>
        </is>
      </c>
      <c r="B6493" s="4" t="n">
        <v>45138</v>
      </c>
      <c r="C6493" s="3" t="inlineStr">
        <is>
          <t>Assets</t>
        </is>
      </c>
      <c r="D6493" s="3" t="inlineStr">
        <is>
          <t>8420/000</t>
        </is>
      </c>
      <c r="E6493" s="3" t="inlineStr">
        <is>
          <t>FNB Credit Card</t>
        </is>
      </c>
      <c r="F6493" s="3" t="n">
        <v>52</v>
      </c>
      <c r="G6493" s="3" t="n">
        <v>312</v>
      </c>
    </row>
    <row r="6494">
      <c r="A6494" s="3" t="inlineStr">
        <is>
          <t>Quinate Consulting (Pty) Ltd</t>
        </is>
      </c>
      <c r="B6494" s="4" t="n">
        <v>45138</v>
      </c>
      <c r="C6494" s="3" t="inlineStr">
        <is>
          <t>Assets</t>
        </is>
      </c>
      <c r="D6494" s="3" t="inlineStr">
        <is>
          <t>8430/000</t>
        </is>
      </c>
      <c r="E6494" s="3" t="inlineStr">
        <is>
          <t>Momentum Investment Acc - RU502230185</t>
        </is>
      </c>
      <c r="F6494" s="3" t="n">
        <v>0</v>
      </c>
      <c r="G6494" s="3" t="n">
        <v>545.29</v>
      </c>
    </row>
    <row r="6495">
      <c r="A6495" s="3" t="inlineStr">
        <is>
          <t>Opportunity Global Investment (PTY) LTD</t>
        </is>
      </c>
      <c r="B6495" s="4" t="n">
        <v>45138</v>
      </c>
      <c r="C6495" s="3" t="inlineStr">
        <is>
          <t>Assets</t>
        </is>
      </c>
      <c r="D6495" s="3" t="inlineStr">
        <is>
          <t>8440/000</t>
        </is>
      </c>
      <c r="E6495" s="3" t="inlineStr">
        <is>
          <t>FNB - Call 627602764438</t>
        </is>
      </c>
      <c r="F6495" s="3" t="n">
        <v>0</v>
      </c>
      <c r="G6495" s="3" t="n">
        <v>905.13</v>
      </c>
    </row>
    <row r="6496">
      <c r="A6496" s="3" t="inlineStr">
        <is>
          <t>Opportunity Global Investment (PTY) LTD</t>
        </is>
      </c>
      <c r="B6496" s="4" t="n">
        <v>45138</v>
      </c>
      <c r="C6496" s="3" t="inlineStr">
        <is>
          <t>Assets</t>
        </is>
      </c>
      <c r="D6496" s="3" t="inlineStr">
        <is>
          <t>8445/000</t>
        </is>
      </c>
      <c r="E6496" s="3" t="inlineStr">
        <is>
          <t>Momentum RU502230096</t>
        </is>
      </c>
      <c r="F6496" s="3" t="n">
        <v>34.95</v>
      </c>
      <c r="G6496" s="3" t="n">
        <v>4867.88</v>
      </c>
    </row>
    <row r="6497">
      <c r="A6497" s="3" t="inlineStr">
        <is>
          <t>Quinate Consulting (Pty) Ltd</t>
        </is>
      </c>
      <c r="B6497" s="4" t="n">
        <v>45138</v>
      </c>
      <c r="C6497" s="3" t="inlineStr">
        <is>
          <t>Assets</t>
        </is>
      </c>
      <c r="D6497" s="3" t="inlineStr">
        <is>
          <t>8450/000</t>
        </is>
      </c>
      <c r="E6497" s="3" t="inlineStr">
        <is>
          <t>A RMB 62275810820</t>
        </is>
      </c>
      <c r="F6497" s="3" t="n">
        <v>-173402.39</v>
      </c>
      <c r="G6497" s="3" t="n">
        <v>67759.85000000001</v>
      </c>
    </row>
    <row r="6498">
      <c r="A6498" s="3" t="inlineStr">
        <is>
          <t>Opportunity Management Holdings (PTY) LTD</t>
        </is>
      </c>
      <c r="B6498" s="4" t="n">
        <v>45138</v>
      </c>
      <c r="C6498" s="3" t="inlineStr">
        <is>
          <t>Assets</t>
        </is>
      </c>
      <c r="D6498" s="3" t="inlineStr">
        <is>
          <t>8450/000</t>
        </is>
      </c>
      <c r="E6498" s="3" t="inlineStr">
        <is>
          <t>Petty Cash - CT Office</t>
        </is>
      </c>
      <c r="F6498" s="3" t="n">
        <v>999</v>
      </c>
      <c r="G6498" s="3" t="n">
        <v>1016.2</v>
      </c>
    </row>
    <row r="6499">
      <c r="A6499" s="3" t="inlineStr">
        <is>
          <t>Opportunity Global Investment (PTY) LTD</t>
        </is>
      </c>
      <c r="B6499" s="4" t="n">
        <v>45169</v>
      </c>
      <c r="C6499" s="3" t="inlineStr">
        <is>
          <t>Assets</t>
        </is>
      </c>
      <c r="D6499" s="3" t="inlineStr">
        <is>
          <t>8400/000</t>
        </is>
      </c>
      <c r="E6499" s="3" t="inlineStr">
        <is>
          <t>FNB 62093491696</t>
        </is>
      </c>
      <c r="F6499" s="3" t="n">
        <v>10134.98</v>
      </c>
      <c r="G6499" s="3" t="n">
        <v>22910.68</v>
      </c>
    </row>
    <row r="6500">
      <c r="A6500" s="3" t="inlineStr">
        <is>
          <t>Opportunity Global Sales (PTY) LTD</t>
        </is>
      </c>
      <c r="B6500" s="4" t="n">
        <v>45169</v>
      </c>
      <c r="C6500" s="3" t="inlineStr">
        <is>
          <t>Assets</t>
        </is>
      </c>
      <c r="D6500" s="3" t="inlineStr">
        <is>
          <t>8400/000</t>
        </is>
      </c>
      <c r="E6500" s="3" t="inlineStr">
        <is>
          <t>FNB 62835620875</t>
        </is>
      </c>
      <c r="F6500" s="3" t="n">
        <v>129931.9</v>
      </c>
      <c r="G6500" s="3" t="n">
        <v>228580.5</v>
      </c>
    </row>
    <row r="6501">
      <c r="A6501" s="3" t="inlineStr">
        <is>
          <t>Quinate Consulting (Pty) Ltd</t>
        </is>
      </c>
      <c r="B6501" s="4" t="n">
        <v>45169</v>
      </c>
      <c r="C6501" s="3" t="inlineStr">
        <is>
          <t>Assets</t>
        </is>
      </c>
      <c r="D6501" s="3" t="inlineStr">
        <is>
          <t>8400/000</t>
        </is>
      </c>
      <c r="E6501" s="3" t="inlineStr">
        <is>
          <t>RMB - 62736659189 - Call Acc</t>
        </is>
      </c>
      <c r="F6501" s="3" t="n">
        <v>2631.77</v>
      </c>
      <c r="G6501" s="3" t="n">
        <v>159808.26</v>
      </c>
    </row>
    <row r="6502">
      <c r="A6502" s="3" t="inlineStr">
        <is>
          <t>Trademark Holdings (Pty) Ltd</t>
        </is>
      </c>
      <c r="B6502" s="4" t="n">
        <v>45169</v>
      </c>
      <c r="C6502" s="3" t="inlineStr">
        <is>
          <t>Assets</t>
        </is>
      </c>
      <c r="D6502" s="3" t="inlineStr">
        <is>
          <t>8400/000</t>
        </is>
      </c>
      <c r="E6502" s="3" t="inlineStr">
        <is>
          <t>RMB 623 693 03640</t>
        </is>
      </c>
      <c r="F6502" s="3" t="n">
        <v>-29330.5</v>
      </c>
      <c r="G6502" s="3" t="n">
        <v>10071.75</v>
      </c>
    </row>
    <row r="6503">
      <c r="A6503" s="3" t="inlineStr">
        <is>
          <t>Noble Shield (Pty) Ltd ta Go Letting</t>
        </is>
      </c>
      <c r="B6503" s="4" t="n">
        <v>45169</v>
      </c>
      <c r="C6503" s="3" t="inlineStr">
        <is>
          <t>Assets</t>
        </is>
      </c>
      <c r="D6503" s="3" t="inlineStr">
        <is>
          <t>8400/000</t>
        </is>
      </c>
      <c r="E6503" s="3" t="inlineStr">
        <is>
          <t>RMB 6250 573 3833</t>
        </is>
      </c>
      <c r="F6503" s="3" t="n">
        <v>-9765.790000000001</v>
      </c>
      <c r="G6503" s="3" t="n">
        <v>40857.86</v>
      </c>
    </row>
    <row r="6504">
      <c r="A6504" s="3" t="inlineStr">
        <is>
          <t>Endulini (Pty) Ltd</t>
        </is>
      </c>
      <c r="B6504" s="4" t="n">
        <v>45169</v>
      </c>
      <c r="C6504" s="3" t="inlineStr">
        <is>
          <t>Assets</t>
        </is>
      </c>
      <c r="D6504" s="3" t="inlineStr">
        <is>
          <t>8400/000</t>
        </is>
      </c>
      <c r="E6504" s="3" t="inlineStr">
        <is>
          <t>RMB 62906944576</t>
        </is>
      </c>
      <c r="F6504" s="3" t="n">
        <v>5465.74</v>
      </c>
      <c r="G6504" s="3" t="n">
        <v>28266.9</v>
      </c>
    </row>
    <row r="6505">
      <c r="A6505" s="3" t="inlineStr">
        <is>
          <t>Opportunity Management Holdings (PTY) LTD</t>
        </is>
      </c>
      <c r="B6505" s="4" t="n">
        <v>45169</v>
      </c>
      <c r="C6505" s="3" t="inlineStr">
        <is>
          <t>Assets</t>
        </is>
      </c>
      <c r="D6505" s="3" t="inlineStr">
        <is>
          <t>8400/000</t>
        </is>
      </c>
      <c r="E6505" s="3" t="inlineStr">
        <is>
          <t>RMB Cheq - 62312246920</t>
        </is>
      </c>
      <c r="F6505" s="3" t="n">
        <v>-62405.17</v>
      </c>
      <c r="G6505" s="3" t="n">
        <v>42094.63</v>
      </c>
    </row>
    <row r="6506">
      <c r="A6506" s="3" t="inlineStr">
        <is>
          <t>Opportunity Global Investment (PTY) LTD</t>
        </is>
      </c>
      <c r="B6506" s="4" t="n">
        <v>45169</v>
      </c>
      <c r="C6506" s="3" t="inlineStr">
        <is>
          <t>Assets</t>
        </is>
      </c>
      <c r="D6506" s="3" t="inlineStr">
        <is>
          <t>8405/000</t>
        </is>
      </c>
      <c r="E6506" s="3" t="inlineStr">
        <is>
          <t>FNB Trust 62762449265</t>
        </is>
      </c>
      <c r="F6506" s="3" t="n">
        <v>-230.65</v>
      </c>
      <c r="G6506" s="3" t="n">
        <v>241.1</v>
      </c>
    </row>
    <row r="6507">
      <c r="A6507" s="3" t="inlineStr">
        <is>
          <t>Endulini (Pty) Ltd</t>
        </is>
      </c>
      <c r="B6507" s="4" t="n">
        <v>45169</v>
      </c>
      <c r="C6507" s="3" t="inlineStr">
        <is>
          <t>Assets</t>
        </is>
      </c>
      <c r="D6507" s="3" t="inlineStr">
        <is>
          <t>8410/000</t>
        </is>
      </c>
      <c r="E6507" s="3" t="inlineStr">
        <is>
          <t>Momentum Investor Account : RU 502229883</t>
        </is>
      </c>
      <c r="F6507" s="3" t="n">
        <v>54.72</v>
      </c>
      <c r="G6507" s="3" t="n">
        <v>2777.05</v>
      </c>
    </row>
    <row r="6508">
      <c r="A6508" s="3" t="inlineStr">
        <is>
          <t>Opportunity Management Holdings (PTY) LTD</t>
        </is>
      </c>
      <c r="B6508" s="4" t="n">
        <v>45169</v>
      </c>
      <c r="C6508" s="3" t="inlineStr">
        <is>
          <t>Assets</t>
        </is>
      </c>
      <c r="D6508" s="3" t="inlineStr">
        <is>
          <t>8410/000</t>
        </is>
      </c>
      <c r="E6508" s="3" t="inlineStr">
        <is>
          <t>RMB Call Acc - 62312248851</t>
        </is>
      </c>
      <c r="F6508" s="3" t="n">
        <v>1.48</v>
      </c>
      <c r="G6508" s="3" t="n">
        <v>1432.34</v>
      </c>
    </row>
    <row r="6509">
      <c r="A6509" s="3" t="inlineStr">
        <is>
          <t>Noble Shield (Pty) Ltd ta Go Letting</t>
        </is>
      </c>
      <c r="B6509" s="4" t="n">
        <v>45169</v>
      </c>
      <c r="C6509" s="3" t="inlineStr">
        <is>
          <t>Assets</t>
        </is>
      </c>
      <c r="D6509" s="3" t="inlineStr">
        <is>
          <t>8410/000</t>
        </is>
      </c>
      <c r="E6509" s="3" t="inlineStr">
        <is>
          <t>RMB Trust Acc - 6250 615 1365</t>
        </is>
      </c>
      <c r="F6509" s="3" t="n">
        <v>-159.94</v>
      </c>
      <c r="G6509" s="3" t="n">
        <v>74.98</v>
      </c>
    </row>
    <row r="6510">
      <c r="A6510" s="3" t="inlineStr">
        <is>
          <t>Quinate Consulting (Pty) Ltd</t>
        </is>
      </c>
      <c r="B6510" s="4" t="n">
        <v>45169</v>
      </c>
      <c r="C6510" s="3" t="inlineStr">
        <is>
          <t>Assets</t>
        </is>
      </c>
      <c r="D6510" s="3" t="inlineStr">
        <is>
          <t>8415/000</t>
        </is>
      </c>
      <c r="E6510" s="3" t="inlineStr">
        <is>
          <t>STD Acc 071 958 959 - Facility Acc</t>
        </is>
      </c>
      <c r="F6510" s="3" t="n">
        <v>-170</v>
      </c>
      <c r="G6510" s="3" t="n">
        <v>2786.21</v>
      </c>
    </row>
    <row r="6511">
      <c r="A6511" s="3" t="inlineStr">
        <is>
          <t>Trademark Holdings (Pty) Ltd</t>
        </is>
      </c>
      <c r="B6511" s="4" t="n">
        <v>45169</v>
      </c>
      <c r="C6511" s="3" t="inlineStr">
        <is>
          <t>Assets</t>
        </is>
      </c>
      <c r="D6511" s="3" t="inlineStr">
        <is>
          <t>8420/000</t>
        </is>
      </c>
      <c r="E6511" s="3" t="inlineStr">
        <is>
          <t>FNB Credit Card</t>
        </is>
      </c>
      <c r="F6511" s="3" t="n">
        <v>52</v>
      </c>
      <c r="G6511" s="3" t="n">
        <v>364</v>
      </c>
    </row>
    <row r="6512">
      <c r="A6512" s="3" t="inlineStr">
        <is>
          <t>Quinate Consulting (Pty) Ltd</t>
        </is>
      </c>
      <c r="B6512" s="4" t="n">
        <v>45169</v>
      </c>
      <c r="C6512" s="3" t="inlineStr">
        <is>
          <t>Assets</t>
        </is>
      </c>
      <c r="D6512" s="3" t="inlineStr">
        <is>
          <t>8430/000</t>
        </is>
      </c>
      <c r="E6512" s="3" t="inlineStr">
        <is>
          <t>Momentum Investment Acc - RU502230185</t>
        </is>
      </c>
      <c r="F6512" s="3" t="n">
        <v>10.97</v>
      </c>
      <c r="G6512" s="3" t="n">
        <v>556.26</v>
      </c>
    </row>
    <row r="6513">
      <c r="A6513" s="3" t="inlineStr">
        <is>
          <t>Opportunity Global Investment (PTY) LTD</t>
        </is>
      </c>
      <c r="B6513" s="4" t="n">
        <v>45169</v>
      </c>
      <c r="C6513" s="3" t="inlineStr">
        <is>
          <t>Assets</t>
        </is>
      </c>
      <c r="D6513" s="3" t="inlineStr">
        <is>
          <t>8440/000</t>
        </is>
      </c>
      <c r="E6513" s="3" t="inlineStr">
        <is>
          <t>FNB - Call 627602764438</t>
        </is>
      </c>
      <c r="F6513" s="3" t="n">
        <v>-26.86</v>
      </c>
      <c r="G6513" s="3" t="n">
        <v>878.27</v>
      </c>
    </row>
    <row r="6514">
      <c r="A6514" s="3" t="inlineStr">
        <is>
          <t>Opportunity Global Investment (PTY) LTD</t>
        </is>
      </c>
      <c r="B6514" s="4" t="n">
        <v>45169</v>
      </c>
      <c r="C6514" s="3" t="inlineStr">
        <is>
          <t>Assets</t>
        </is>
      </c>
      <c r="D6514" s="3" t="inlineStr">
        <is>
          <t>8445/000</t>
        </is>
      </c>
      <c r="E6514" s="3" t="inlineStr">
        <is>
          <t>Momentum RU502230096</t>
        </is>
      </c>
      <c r="F6514" s="3" t="n">
        <v>35.12</v>
      </c>
      <c r="G6514" s="3" t="n">
        <v>4903</v>
      </c>
    </row>
    <row r="6515">
      <c r="A6515" s="3" t="inlineStr">
        <is>
          <t>Quinate Consulting (Pty) Ltd</t>
        </is>
      </c>
      <c r="B6515" s="4" t="n">
        <v>45169</v>
      </c>
      <c r="C6515" s="3" t="inlineStr">
        <is>
          <t>Assets</t>
        </is>
      </c>
      <c r="D6515" s="3" t="inlineStr">
        <is>
          <t>8450/000</t>
        </is>
      </c>
      <c r="E6515" s="3" t="inlineStr">
        <is>
          <t>A RMB 62275810820</t>
        </is>
      </c>
      <c r="F6515" s="3" t="n">
        <v>-13748.64</v>
      </c>
      <c r="G6515" s="3" t="n">
        <v>54011.21</v>
      </c>
    </row>
    <row r="6516">
      <c r="A6516" s="3" t="inlineStr">
        <is>
          <t>Opportunity Management Holdings (PTY) LTD</t>
        </is>
      </c>
      <c r="B6516" s="4" t="n">
        <v>45169</v>
      </c>
      <c r="C6516" s="3" t="inlineStr">
        <is>
          <t>Assets</t>
        </is>
      </c>
      <c r="D6516" s="3" t="inlineStr">
        <is>
          <t>8450/000</t>
        </is>
      </c>
      <c r="E6516" s="3" t="inlineStr">
        <is>
          <t>Petty Cash - CT Office</t>
        </is>
      </c>
      <c r="F6516" s="3" t="n">
        <v>0</v>
      </c>
      <c r="G6516" s="3" t="n">
        <v>1016.2</v>
      </c>
    </row>
    <row r="6517">
      <c r="A6517" s="3" t="inlineStr">
        <is>
          <t>Opportunity Global Investment (PTY) LTD</t>
        </is>
      </c>
      <c r="B6517" s="4" t="n">
        <v>45199</v>
      </c>
      <c r="C6517" s="3" t="inlineStr">
        <is>
          <t>Assets</t>
        </is>
      </c>
      <c r="D6517" s="3" t="inlineStr">
        <is>
          <t>8400/000</t>
        </is>
      </c>
      <c r="E6517" s="3" t="inlineStr">
        <is>
          <t>FNB 62093491696</t>
        </is>
      </c>
      <c r="F6517" s="3" t="n">
        <v>32418.42</v>
      </c>
      <c r="G6517" s="3" t="n">
        <v>55329.1</v>
      </c>
    </row>
    <row r="6518">
      <c r="A6518" s="3" t="inlineStr">
        <is>
          <t>Opportunity Global Sales (PTY) LTD</t>
        </is>
      </c>
      <c r="B6518" s="4" t="n">
        <v>45199</v>
      </c>
      <c r="C6518" s="3" t="inlineStr">
        <is>
          <t>Assets</t>
        </is>
      </c>
      <c r="D6518" s="3" t="inlineStr">
        <is>
          <t>8400/000</t>
        </is>
      </c>
      <c r="E6518" s="3" t="inlineStr">
        <is>
          <t>FNB 62835620875</t>
        </is>
      </c>
      <c r="F6518" s="3" t="n">
        <v>-148335.19</v>
      </c>
      <c r="G6518" s="3" t="n">
        <v>80245.31</v>
      </c>
    </row>
    <row r="6519">
      <c r="A6519" s="3" t="inlineStr">
        <is>
          <t>Quinate Consulting (Pty) Ltd</t>
        </is>
      </c>
      <c r="B6519" s="4" t="n">
        <v>45199</v>
      </c>
      <c r="C6519" s="3" t="inlineStr">
        <is>
          <t>Assets</t>
        </is>
      </c>
      <c r="D6519" s="3" t="inlineStr">
        <is>
          <t>8400/000</t>
        </is>
      </c>
      <c r="E6519" s="3" t="inlineStr">
        <is>
          <t>RMB - 62736659189 - Call Acc</t>
        </is>
      </c>
      <c r="F6519" s="3" t="n">
        <v>-140</v>
      </c>
      <c r="G6519" s="3" t="n">
        <v>159668.26</v>
      </c>
    </row>
    <row r="6520">
      <c r="A6520" s="3" t="inlineStr">
        <is>
          <t>Trademark Holdings (Pty) Ltd</t>
        </is>
      </c>
      <c r="B6520" s="4" t="n">
        <v>45199</v>
      </c>
      <c r="C6520" s="3" t="inlineStr">
        <is>
          <t>Assets</t>
        </is>
      </c>
      <c r="D6520" s="3" t="inlineStr">
        <is>
          <t>8400/000</t>
        </is>
      </c>
      <c r="E6520" s="3" t="inlineStr">
        <is>
          <t>RMB 623 693 03640</t>
        </is>
      </c>
      <c r="F6520" s="3" t="n">
        <v>127751.37</v>
      </c>
      <c r="G6520" s="3" t="n">
        <v>137823.12</v>
      </c>
    </row>
    <row r="6521">
      <c r="A6521" s="3" t="inlineStr">
        <is>
          <t>Noble Shield (Pty) Ltd ta Go Letting</t>
        </is>
      </c>
      <c r="B6521" s="4" t="n">
        <v>45199</v>
      </c>
      <c r="C6521" s="3" t="inlineStr">
        <is>
          <t>Assets</t>
        </is>
      </c>
      <c r="D6521" s="3" t="inlineStr">
        <is>
          <t>8400/000</t>
        </is>
      </c>
      <c r="E6521" s="3" t="inlineStr">
        <is>
          <t>RMB 6250 573 3833</t>
        </is>
      </c>
      <c r="F6521" s="3" t="n">
        <v>104329.29</v>
      </c>
      <c r="G6521" s="3" t="n">
        <v>145187.15</v>
      </c>
    </row>
    <row r="6522">
      <c r="A6522" s="3" t="inlineStr">
        <is>
          <t>Endulini (Pty) Ltd</t>
        </is>
      </c>
      <c r="B6522" s="4" t="n">
        <v>45199</v>
      </c>
      <c r="C6522" s="3" t="inlineStr">
        <is>
          <t>Assets</t>
        </is>
      </c>
      <c r="D6522" s="3" t="inlineStr">
        <is>
          <t>8400/000</t>
        </is>
      </c>
      <c r="E6522" s="3" t="inlineStr">
        <is>
          <t>RMB 62906944576</t>
        </is>
      </c>
      <c r="F6522" s="3" t="n">
        <v>-8285.75</v>
      </c>
      <c r="G6522" s="3" t="n">
        <v>19981.15</v>
      </c>
    </row>
    <row r="6523">
      <c r="A6523" s="3" t="inlineStr">
        <is>
          <t>Opportunity Management Holdings (PTY) LTD</t>
        </is>
      </c>
      <c r="B6523" s="4" t="n">
        <v>45199</v>
      </c>
      <c r="C6523" s="3" t="inlineStr">
        <is>
          <t>Assets</t>
        </is>
      </c>
      <c r="D6523" s="3" t="inlineStr">
        <is>
          <t>8400/000</t>
        </is>
      </c>
      <c r="E6523" s="3" t="inlineStr">
        <is>
          <t>RMB Cheq - 62312246920</t>
        </is>
      </c>
      <c r="F6523" s="3" t="n">
        <v>2315.74</v>
      </c>
      <c r="G6523" s="3" t="n">
        <v>44410.37</v>
      </c>
    </row>
    <row r="6524">
      <c r="A6524" s="3" t="inlineStr">
        <is>
          <t>Opportunity Global Investment (PTY) LTD</t>
        </is>
      </c>
      <c r="B6524" s="4" t="n">
        <v>45199</v>
      </c>
      <c r="C6524" s="3" t="inlineStr">
        <is>
          <t>Assets</t>
        </is>
      </c>
      <c r="D6524" s="3" t="inlineStr">
        <is>
          <t>8405/000</t>
        </is>
      </c>
      <c r="E6524" s="3" t="inlineStr">
        <is>
          <t>FNB Trust 62762449265</t>
        </is>
      </c>
      <c r="F6524" s="3" t="n">
        <v>900</v>
      </c>
      <c r="G6524" s="3" t="n">
        <v>1141.1</v>
      </c>
    </row>
    <row r="6525">
      <c r="A6525" s="3" t="inlineStr">
        <is>
          <t>Endulini (Pty) Ltd</t>
        </is>
      </c>
      <c r="B6525" s="4" t="n">
        <v>45199</v>
      </c>
      <c r="C6525" s="3" t="inlineStr">
        <is>
          <t>Assets</t>
        </is>
      </c>
      <c r="D6525" s="3" t="inlineStr">
        <is>
          <t>8410/000</t>
        </is>
      </c>
      <c r="E6525" s="3" t="inlineStr">
        <is>
          <t>Momentum Investor Account : RU 502229883</t>
        </is>
      </c>
      <c r="F6525" s="3" t="n">
        <v>-2756.97</v>
      </c>
      <c r="G6525" s="3" t="n">
        <v>20.08</v>
      </c>
    </row>
    <row r="6526">
      <c r="A6526" s="3" t="inlineStr">
        <is>
          <t>Opportunity Management Holdings (PTY) LTD</t>
        </is>
      </c>
      <c r="B6526" s="4" t="n">
        <v>45199</v>
      </c>
      <c r="C6526" s="3" t="inlineStr">
        <is>
          <t>Assets</t>
        </is>
      </c>
      <c r="D6526" s="3" t="inlineStr">
        <is>
          <t>8410/000</t>
        </is>
      </c>
      <c r="E6526" s="3" t="inlineStr">
        <is>
          <t>RMB Call Acc - 62312248851</t>
        </is>
      </c>
      <c r="F6526" s="3" t="n">
        <v>0</v>
      </c>
      <c r="G6526" s="3" t="n">
        <v>1432.34</v>
      </c>
    </row>
    <row r="6527">
      <c r="A6527" s="3" t="inlineStr">
        <is>
          <t>Noble Shield (Pty) Ltd ta Go Letting</t>
        </is>
      </c>
      <c r="B6527" s="4" t="n">
        <v>45199</v>
      </c>
      <c r="C6527" s="3" t="inlineStr">
        <is>
          <t>Assets</t>
        </is>
      </c>
      <c r="D6527" s="3" t="inlineStr">
        <is>
          <t>8410/000</t>
        </is>
      </c>
      <c r="E6527" s="3" t="inlineStr">
        <is>
          <t>RMB Trust Acc - 6250 615 1365</t>
        </is>
      </c>
      <c r="F6527" s="3" t="n">
        <v>825.59</v>
      </c>
      <c r="G6527" s="3" t="n">
        <v>900.5700000000001</v>
      </c>
    </row>
    <row r="6528">
      <c r="A6528" s="3" t="inlineStr">
        <is>
          <t>Quinate Consulting (Pty) Ltd</t>
        </is>
      </c>
      <c r="B6528" s="4" t="n">
        <v>45199</v>
      </c>
      <c r="C6528" s="3" t="inlineStr">
        <is>
          <t>Assets</t>
        </is>
      </c>
      <c r="D6528" s="3" t="inlineStr">
        <is>
          <t>8415/000</t>
        </is>
      </c>
      <c r="E6528" s="3" t="inlineStr">
        <is>
          <t>STD Acc 071 958 959 - Facility Acc</t>
        </is>
      </c>
      <c r="F6528" s="3" t="n">
        <v>-85</v>
      </c>
      <c r="G6528" s="3" t="n">
        <v>2701.21</v>
      </c>
    </row>
    <row r="6529">
      <c r="A6529" s="3" t="inlineStr">
        <is>
          <t>Trademark Holdings (Pty) Ltd</t>
        </is>
      </c>
      <c r="B6529" s="4" t="n">
        <v>45199</v>
      </c>
      <c r="C6529" s="3" t="inlineStr">
        <is>
          <t>Assets</t>
        </is>
      </c>
      <c r="D6529" s="3" t="inlineStr">
        <is>
          <t>8420/000</t>
        </is>
      </c>
      <c r="E6529" s="3" t="inlineStr">
        <is>
          <t>FNB Credit Card</t>
        </is>
      </c>
      <c r="F6529" s="3" t="n">
        <v>52</v>
      </c>
      <c r="G6529" s="3" t="n">
        <v>416</v>
      </c>
    </row>
    <row r="6530">
      <c r="A6530" s="3" t="inlineStr">
        <is>
          <t>Quinate Consulting (Pty) Ltd</t>
        </is>
      </c>
      <c r="B6530" s="4" t="n">
        <v>45199</v>
      </c>
      <c r="C6530" s="3" t="inlineStr">
        <is>
          <t>Assets</t>
        </is>
      </c>
      <c r="D6530" s="3" t="inlineStr">
        <is>
          <t>8430/000</t>
        </is>
      </c>
      <c r="E6530" s="3" t="inlineStr">
        <is>
          <t>Momentum Investment Acc - RU502230185</t>
        </is>
      </c>
      <c r="F6530" s="3" t="n">
        <v>0</v>
      </c>
      <c r="G6530" s="3" t="n">
        <v>556.26</v>
      </c>
    </row>
    <row r="6531">
      <c r="A6531" s="3" t="inlineStr">
        <is>
          <t>Opportunity Global Investment (PTY) LTD</t>
        </is>
      </c>
      <c r="B6531" s="4" t="n">
        <v>45199</v>
      </c>
      <c r="C6531" s="3" t="inlineStr">
        <is>
          <t>Assets</t>
        </is>
      </c>
      <c r="D6531" s="3" t="inlineStr">
        <is>
          <t>8440/000</t>
        </is>
      </c>
      <c r="E6531" s="3" t="inlineStr">
        <is>
          <t>FNB - Call 627602764438</t>
        </is>
      </c>
      <c r="F6531" s="3" t="n">
        <v>-12.64</v>
      </c>
      <c r="G6531" s="3" t="n">
        <v>865.63</v>
      </c>
    </row>
    <row r="6532">
      <c r="A6532" s="3" t="inlineStr">
        <is>
          <t>Opportunity Global Investment (PTY) LTD</t>
        </is>
      </c>
      <c r="B6532" s="4" t="n">
        <v>45199</v>
      </c>
      <c r="C6532" s="3" t="inlineStr">
        <is>
          <t>Assets</t>
        </is>
      </c>
      <c r="D6532" s="3" t="inlineStr">
        <is>
          <t>8445/000</t>
        </is>
      </c>
      <c r="E6532" s="3" t="inlineStr">
        <is>
          <t>Momentum RU502230096</t>
        </is>
      </c>
      <c r="F6532" s="3" t="n">
        <v>34.81</v>
      </c>
      <c r="G6532" s="3" t="n">
        <v>4937.81</v>
      </c>
    </row>
    <row r="6533">
      <c r="A6533" s="3" t="inlineStr">
        <is>
          <t>Quinate Consulting (Pty) Ltd</t>
        </is>
      </c>
      <c r="B6533" s="4" t="n">
        <v>45199</v>
      </c>
      <c r="C6533" s="3" t="inlineStr">
        <is>
          <t>Assets</t>
        </is>
      </c>
      <c r="D6533" s="3" t="inlineStr">
        <is>
          <t>8450/000</t>
        </is>
      </c>
      <c r="E6533" s="3" t="inlineStr">
        <is>
          <t>A RMB 62275810820</t>
        </is>
      </c>
      <c r="F6533" s="3" t="n">
        <v>91335.78999999999</v>
      </c>
      <c r="G6533" s="3" t="n">
        <v>145347</v>
      </c>
    </row>
    <row r="6534">
      <c r="A6534" s="3" t="inlineStr">
        <is>
          <t>Opportunity Management Holdings (PTY) LTD</t>
        </is>
      </c>
      <c r="B6534" s="4" t="n">
        <v>45199</v>
      </c>
      <c r="C6534" s="3" t="inlineStr">
        <is>
          <t>Assets</t>
        </is>
      </c>
      <c r="D6534" s="3" t="inlineStr">
        <is>
          <t>8450/000</t>
        </is>
      </c>
      <c r="E6534" s="3" t="inlineStr">
        <is>
          <t>Petty Cash - CT Office</t>
        </is>
      </c>
      <c r="F6534" s="3" t="n">
        <v>0</v>
      </c>
      <c r="G6534" s="3" t="n">
        <v>1016.2</v>
      </c>
    </row>
    <row r="6535">
      <c r="A6535" s="3" t="inlineStr">
        <is>
          <t>Opportunity Global Investment (PTY) LTD</t>
        </is>
      </c>
      <c r="B6535" s="4" t="n">
        <v>45230</v>
      </c>
      <c r="C6535" s="3" t="inlineStr">
        <is>
          <t>Assets</t>
        </is>
      </c>
      <c r="D6535" s="3" t="inlineStr">
        <is>
          <t>8400/000</t>
        </is>
      </c>
      <c r="E6535" s="3" t="inlineStr">
        <is>
          <t>FNB 62093491696</t>
        </is>
      </c>
      <c r="F6535" s="3" t="n">
        <v>60597.92</v>
      </c>
      <c r="G6535" s="3" t="n">
        <v>115927.02</v>
      </c>
    </row>
    <row r="6536">
      <c r="A6536" s="3" t="inlineStr">
        <is>
          <t>Opportunity Global Sales (PTY) LTD</t>
        </is>
      </c>
      <c r="B6536" s="4" t="n">
        <v>45230</v>
      </c>
      <c r="C6536" s="3" t="inlineStr">
        <is>
          <t>Assets</t>
        </is>
      </c>
      <c r="D6536" s="3" t="inlineStr">
        <is>
          <t>8400/000</t>
        </is>
      </c>
      <c r="E6536" s="3" t="inlineStr">
        <is>
          <t>FNB 62835620875</t>
        </is>
      </c>
      <c r="F6536" s="3" t="n">
        <v>-62730.28</v>
      </c>
      <c r="G6536" s="3" t="n">
        <v>17515.03</v>
      </c>
    </row>
    <row r="6537">
      <c r="A6537" s="3" t="inlineStr">
        <is>
          <t>Quinate Consulting (Pty) Ltd</t>
        </is>
      </c>
      <c r="B6537" s="4" t="n">
        <v>45230</v>
      </c>
      <c r="C6537" s="3" t="inlineStr">
        <is>
          <t>Assets</t>
        </is>
      </c>
      <c r="D6537" s="3" t="inlineStr">
        <is>
          <t>8400/000</t>
        </is>
      </c>
      <c r="E6537" s="3" t="inlineStr">
        <is>
          <t>RMB - 62736659189 - Call Acc</t>
        </is>
      </c>
      <c r="F6537" s="3" t="n">
        <v>892.27</v>
      </c>
      <c r="G6537" s="3" t="n">
        <v>160560.53</v>
      </c>
    </row>
    <row r="6538">
      <c r="A6538" s="3" t="inlineStr">
        <is>
          <t>Trademark Holdings (Pty) Ltd</t>
        </is>
      </c>
      <c r="B6538" s="4" t="n">
        <v>45230</v>
      </c>
      <c r="C6538" s="3" t="inlineStr">
        <is>
          <t>Assets</t>
        </is>
      </c>
      <c r="D6538" s="3" t="inlineStr">
        <is>
          <t>8400/000</t>
        </is>
      </c>
      <c r="E6538" s="3" t="inlineStr">
        <is>
          <t>RMB 623 693 03640</t>
        </is>
      </c>
      <c r="F6538" s="3" t="n">
        <v>-94447.75999999999</v>
      </c>
      <c r="G6538" s="3" t="n">
        <v>43375.36</v>
      </c>
    </row>
    <row r="6539">
      <c r="A6539" s="3" t="inlineStr">
        <is>
          <t>Noble Shield (Pty) Ltd ta Go Letting</t>
        </is>
      </c>
      <c r="B6539" s="4" t="n">
        <v>45230</v>
      </c>
      <c r="C6539" s="3" t="inlineStr">
        <is>
          <t>Assets</t>
        </is>
      </c>
      <c r="D6539" s="3" t="inlineStr">
        <is>
          <t>8400/000</t>
        </is>
      </c>
      <c r="E6539" s="3" t="inlineStr">
        <is>
          <t>RMB 6250 573 3833</t>
        </is>
      </c>
      <c r="F6539" s="3" t="n">
        <v>-15735.62</v>
      </c>
      <c r="G6539" s="3" t="n">
        <v>129451.53</v>
      </c>
    </row>
    <row r="6540">
      <c r="A6540" s="3" t="inlineStr">
        <is>
          <t>Endulini (Pty) Ltd</t>
        </is>
      </c>
      <c r="B6540" s="4" t="n">
        <v>45230</v>
      </c>
      <c r="C6540" s="3" t="inlineStr">
        <is>
          <t>Assets</t>
        </is>
      </c>
      <c r="D6540" s="3" t="inlineStr">
        <is>
          <t>8400/000</t>
        </is>
      </c>
      <c r="E6540" s="3" t="inlineStr">
        <is>
          <t>RMB 62906944576</t>
        </is>
      </c>
      <c r="F6540" s="3" t="n">
        <v>14611.94</v>
      </c>
      <c r="G6540" s="3" t="n">
        <v>34593.09</v>
      </c>
    </row>
    <row r="6541">
      <c r="A6541" s="3" t="inlineStr">
        <is>
          <t>Opportunity Management Holdings (PTY) LTD</t>
        </is>
      </c>
      <c r="B6541" s="4" t="n">
        <v>45230</v>
      </c>
      <c r="C6541" s="3" t="inlineStr">
        <is>
          <t>Assets</t>
        </is>
      </c>
      <c r="D6541" s="3" t="inlineStr">
        <is>
          <t>8400/000</t>
        </is>
      </c>
      <c r="E6541" s="3" t="inlineStr">
        <is>
          <t>RMB Cheq - 62312246920</t>
        </is>
      </c>
      <c r="F6541" s="3" t="n">
        <v>47209.87</v>
      </c>
      <c r="G6541" s="3" t="n">
        <v>91620.24000000001</v>
      </c>
    </row>
    <row r="6542">
      <c r="A6542" s="3" t="inlineStr">
        <is>
          <t>Opportunity Global Investment (PTY) LTD</t>
        </is>
      </c>
      <c r="B6542" s="4" t="n">
        <v>45230</v>
      </c>
      <c r="C6542" s="3" t="inlineStr">
        <is>
          <t>Assets</t>
        </is>
      </c>
      <c r="D6542" s="3" t="inlineStr">
        <is>
          <t>8405/000</t>
        </is>
      </c>
      <c r="E6542" s="3" t="inlineStr">
        <is>
          <t>FNB Trust 62762449265</t>
        </is>
      </c>
      <c r="F6542" s="3" t="n">
        <v>0</v>
      </c>
      <c r="G6542" s="3" t="n">
        <v>1141.1</v>
      </c>
    </row>
    <row r="6543">
      <c r="A6543" s="3" t="inlineStr">
        <is>
          <t>Endulini (Pty) Ltd</t>
        </is>
      </c>
      <c r="B6543" s="4" t="n">
        <v>45230</v>
      </c>
      <c r="C6543" s="3" t="inlineStr">
        <is>
          <t>Assets</t>
        </is>
      </c>
      <c r="D6543" s="3" t="inlineStr">
        <is>
          <t>8410/000</t>
        </is>
      </c>
      <c r="E6543" s="3" t="inlineStr">
        <is>
          <t>Momentum Investor Account : RU 502229883</t>
        </is>
      </c>
      <c r="F6543" s="3" t="n">
        <v>3.95</v>
      </c>
      <c r="G6543" s="3" t="n">
        <v>24.03</v>
      </c>
    </row>
    <row r="6544">
      <c r="A6544" s="3" t="inlineStr">
        <is>
          <t>Opportunity Management Holdings (PTY) LTD</t>
        </is>
      </c>
      <c r="B6544" s="4" t="n">
        <v>45230</v>
      </c>
      <c r="C6544" s="3" t="inlineStr">
        <is>
          <t>Assets</t>
        </is>
      </c>
      <c r="D6544" s="3" t="inlineStr">
        <is>
          <t>8410/000</t>
        </is>
      </c>
      <c r="E6544" s="3" t="inlineStr">
        <is>
          <t>RMB Call Acc - 62312248851</t>
        </is>
      </c>
      <c r="F6544" s="3" t="n">
        <v>0</v>
      </c>
      <c r="G6544" s="3" t="n">
        <v>1432.34</v>
      </c>
    </row>
    <row r="6545">
      <c r="A6545" s="3" t="inlineStr">
        <is>
          <t>Noble Shield (Pty) Ltd ta Go Letting</t>
        </is>
      </c>
      <c r="B6545" s="4" t="n">
        <v>45230</v>
      </c>
      <c r="C6545" s="3" t="inlineStr">
        <is>
          <t>Assets</t>
        </is>
      </c>
      <c r="D6545" s="3" t="inlineStr">
        <is>
          <t>8410/000</t>
        </is>
      </c>
      <c r="E6545" s="3" t="inlineStr">
        <is>
          <t>RMB Trust Acc - 6250 615 1365</t>
        </is>
      </c>
      <c r="F6545" s="3" t="n">
        <v>-18.96</v>
      </c>
      <c r="G6545" s="3" t="n">
        <v>881.61</v>
      </c>
    </row>
    <row r="6546">
      <c r="A6546" s="3" t="inlineStr">
        <is>
          <t>Quinate Consulting (Pty) Ltd</t>
        </is>
      </c>
      <c r="B6546" s="4" t="n">
        <v>45230</v>
      </c>
      <c r="C6546" s="3" t="inlineStr">
        <is>
          <t>Assets</t>
        </is>
      </c>
      <c r="D6546" s="3" t="inlineStr">
        <is>
          <t>8415/000</t>
        </is>
      </c>
      <c r="E6546" s="3" t="inlineStr">
        <is>
          <t>STD Acc 071 958 959 - Facility Acc</t>
        </is>
      </c>
      <c r="F6546" s="3" t="n">
        <v>-85</v>
      </c>
      <c r="G6546" s="3" t="n">
        <v>2616.21</v>
      </c>
    </row>
    <row r="6547">
      <c r="A6547" s="3" t="inlineStr">
        <is>
          <t>Trademark Holdings (Pty) Ltd</t>
        </is>
      </c>
      <c r="B6547" s="4" t="n">
        <v>45230</v>
      </c>
      <c r="C6547" s="3" t="inlineStr">
        <is>
          <t>Assets</t>
        </is>
      </c>
      <c r="D6547" s="3" t="inlineStr">
        <is>
          <t>8420/000</t>
        </is>
      </c>
      <c r="E6547" s="3" t="inlineStr">
        <is>
          <t>FNB Credit Card</t>
        </is>
      </c>
      <c r="F6547" s="3" t="n">
        <v>52</v>
      </c>
      <c r="G6547" s="3" t="n">
        <v>468</v>
      </c>
    </row>
    <row r="6548">
      <c r="A6548" s="3" t="inlineStr">
        <is>
          <t>Quinate Consulting (Pty) Ltd</t>
        </is>
      </c>
      <c r="B6548" s="4" t="n">
        <v>45230</v>
      </c>
      <c r="C6548" s="3" t="inlineStr">
        <is>
          <t>Assets</t>
        </is>
      </c>
      <c r="D6548" s="3" t="inlineStr">
        <is>
          <t>8430/000</t>
        </is>
      </c>
      <c r="E6548" s="3" t="inlineStr">
        <is>
          <t>Momentum Investment Acc - RU502230185</t>
        </is>
      </c>
      <c r="F6548" s="3" t="n">
        <v>7.48</v>
      </c>
      <c r="G6548" s="3" t="n">
        <v>563.74</v>
      </c>
    </row>
    <row r="6549">
      <c r="A6549" s="3" t="inlineStr">
        <is>
          <t>Opportunity Global Investment (PTY) LTD</t>
        </is>
      </c>
      <c r="B6549" s="4" t="n">
        <v>45230</v>
      </c>
      <c r="C6549" s="3" t="inlineStr">
        <is>
          <t>Assets</t>
        </is>
      </c>
      <c r="D6549" s="3" t="inlineStr">
        <is>
          <t>8440/000</t>
        </is>
      </c>
      <c r="E6549" s="3" t="inlineStr">
        <is>
          <t>FNB - Call 627602764438</t>
        </is>
      </c>
      <c r="F6549" s="3" t="n">
        <v>-11.06</v>
      </c>
      <c r="G6549" s="3" t="n">
        <v>854.5700000000001</v>
      </c>
    </row>
    <row r="6550">
      <c r="A6550" s="3" t="inlineStr">
        <is>
          <t>Opportunity Global Investment (PTY) LTD</t>
        </is>
      </c>
      <c r="B6550" s="4" t="n">
        <v>45230</v>
      </c>
      <c r="C6550" s="3" t="inlineStr">
        <is>
          <t>Assets</t>
        </is>
      </c>
      <c r="D6550" s="3" t="inlineStr">
        <is>
          <t>8445/000</t>
        </is>
      </c>
      <c r="E6550" s="3" t="inlineStr">
        <is>
          <t>Momentum RU502230096</t>
        </is>
      </c>
      <c r="F6550" s="3" t="n">
        <v>36</v>
      </c>
      <c r="G6550" s="3" t="n">
        <v>4973.81</v>
      </c>
    </row>
    <row r="6551">
      <c r="A6551" s="3" t="inlineStr">
        <is>
          <t>Quinate Consulting (Pty) Ltd</t>
        </is>
      </c>
      <c r="B6551" s="4" t="n">
        <v>45230</v>
      </c>
      <c r="C6551" s="3" t="inlineStr">
        <is>
          <t>Assets</t>
        </is>
      </c>
      <c r="D6551" s="3" t="inlineStr">
        <is>
          <t>8450/000</t>
        </is>
      </c>
      <c r="E6551" s="3" t="inlineStr">
        <is>
          <t>A RMB 62275810820</t>
        </is>
      </c>
      <c r="F6551" s="3" t="n">
        <v>158334.88</v>
      </c>
      <c r="G6551" s="3" t="n">
        <v>303681.88</v>
      </c>
    </row>
    <row r="6552">
      <c r="A6552" s="3" t="inlineStr">
        <is>
          <t>Opportunity Management Holdings (PTY) LTD</t>
        </is>
      </c>
      <c r="B6552" s="4" t="n">
        <v>45230</v>
      </c>
      <c r="C6552" s="3" t="inlineStr">
        <is>
          <t>Assets</t>
        </is>
      </c>
      <c r="D6552" s="3" t="inlineStr">
        <is>
          <t>8450/000</t>
        </is>
      </c>
      <c r="E6552" s="3" t="inlineStr">
        <is>
          <t>Petty Cash - CT Office</t>
        </is>
      </c>
      <c r="F6552" s="3" t="n">
        <v>0</v>
      </c>
      <c r="G6552" s="3" t="n">
        <v>1016.2</v>
      </c>
    </row>
    <row r="6553">
      <c r="A6553" s="3" t="inlineStr">
        <is>
          <t>Quinate Consulting (Pty) Ltd</t>
        </is>
      </c>
      <c r="B6553" s="4" t="n">
        <v>45230</v>
      </c>
      <c r="C6553" s="3" t="inlineStr">
        <is>
          <t>Assets</t>
        </is>
      </c>
      <c r="D6553" s="3" t="inlineStr">
        <is>
          <t>8470/000</t>
        </is>
      </c>
      <c r="E6553" s="3" t="inlineStr">
        <is>
          <t>ABSA: Quinate</t>
        </is>
      </c>
      <c r="F6553" s="3" t="n">
        <v>500</v>
      </c>
      <c r="G6553" s="3" t="n">
        <v>500</v>
      </c>
    </row>
    <row r="6554">
      <c r="A6554" s="3" t="inlineStr">
        <is>
          <t>Opportunity Global Investment (PTY) LTD</t>
        </is>
      </c>
      <c r="B6554" s="4" t="n">
        <v>45260</v>
      </c>
      <c r="C6554" s="3" t="inlineStr">
        <is>
          <t>Assets</t>
        </is>
      </c>
      <c r="D6554" s="3" t="inlineStr">
        <is>
          <t>8400/000</t>
        </is>
      </c>
      <c r="E6554" s="3" t="inlineStr">
        <is>
          <t>FNB 62093491696</t>
        </is>
      </c>
      <c r="F6554" s="3" t="n">
        <v>-83556.62</v>
      </c>
      <c r="G6554" s="3" t="n">
        <v>32370.4</v>
      </c>
    </row>
    <row r="6555">
      <c r="A6555" s="3" t="inlineStr">
        <is>
          <t>Opportunity Global Sales (PTY) LTD</t>
        </is>
      </c>
      <c r="B6555" s="4" t="n">
        <v>45260</v>
      </c>
      <c r="C6555" s="3" t="inlineStr">
        <is>
          <t>Assets</t>
        </is>
      </c>
      <c r="D6555" s="3" t="inlineStr">
        <is>
          <t>8400/000</t>
        </is>
      </c>
      <c r="E6555" s="3" t="inlineStr">
        <is>
          <t>FNB 62835620875</t>
        </is>
      </c>
      <c r="F6555" s="3" t="n">
        <v>30729.64</v>
      </c>
      <c r="G6555" s="3" t="n">
        <v>48244.67</v>
      </c>
    </row>
    <row r="6556">
      <c r="A6556" s="3" t="inlineStr">
        <is>
          <t>Quinate Consulting (Pty) Ltd</t>
        </is>
      </c>
      <c r="B6556" s="4" t="n">
        <v>45260</v>
      </c>
      <c r="C6556" s="3" t="inlineStr">
        <is>
          <t>Assets</t>
        </is>
      </c>
      <c r="D6556" s="3" t="inlineStr">
        <is>
          <t>8400/000</t>
        </is>
      </c>
      <c r="E6556" s="3" t="inlineStr">
        <is>
          <t>RMB - 62736659189 - Call Acc</t>
        </is>
      </c>
      <c r="F6556" s="3" t="n">
        <v>-8460.530000000001</v>
      </c>
      <c r="G6556" s="3" t="n">
        <v>152100</v>
      </c>
    </row>
    <row r="6557">
      <c r="A6557" s="3" t="inlineStr">
        <is>
          <t>Trademark Holdings (Pty) Ltd</t>
        </is>
      </c>
      <c r="B6557" s="4" t="n">
        <v>45260</v>
      </c>
      <c r="C6557" s="3" t="inlineStr">
        <is>
          <t>Assets</t>
        </is>
      </c>
      <c r="D6557" s="3" t="inlineStr">
        <is>
          <t>8400/000</t>
        </is>
      </c>
      <c r="E6557" s="3" t="inlineStr">
        <is>
          <t>RMB 623 693 03640</t>
        </is>
      </c>
      <c r="F6557" s="3" t="n">
        <v>12422.65</v>
      </c>
      <c r="G6557" s="3" t="n">
        <v>55798.01</v>
      </c>
    </row>
    <row r="6558">
      <c r="A6558" s="3" t="inlineStr">
        <is>
          <t>Noble Shield (Pty) Ltd ta Go Letting</t>
        </is>
      </c>
      <c r="B6558" s="4" t="n">
        <v>45260</v>
      </c>
      <c r="C6558" s="3" t="inlineStr">
        <is>
          <t>Assets</t>
        </is>
      </c>
      <c r="D6558" s="3" t="inlineStr">
        <is>
          <t>8400/000</t>
        </is>
      </c>
      <c r="E6558" s="3" t="inlineStr">
        <is>
          <t>RMB 6250 573 3833</t>
        </is>
      </c>
      <c r="F6558" s="3" t="n">
        <v>-84012.89</v>
      </c>
      <c r="G6558" s="3" t="n">
        <v>45438.64</v>
      </c>
    </row>
    <row r="6559">
      <c r="A6559" s="3" t="inlineStr">
        <is>
          <t>Endulini (Pty) Ltd</t>
        </is>
      </c>
      <c r="B6559" s="4" t="n">
        <v>45260</v>
      </c>
      <c r="C6559" s="3" t="inlineStr">
        <is>
          <t>Assets</t>
        </is>
      </c>
      <c r="D6559" s="3" t="inlineStr">
        <is>
          <t>8400/000</t>
        </is>
      </c>
      <c r="E6559" s="3" t="inlineStr">
        <is>
          <t>RMB 62906944576</t>
        </is>
      </c>
      <c r="F6559" s="3" t="n">
        <v>1243891.69</v>
      </c>
      <c r="G6559" s="3" t="n">
        <v>1278484.78</v>
      </c>
    </row>
    <row r="6560">
      <c r="A6560" s="3" t="inlineStr">
        <is>
          <t>Opportunity Management Holdings (PTY) LTD</t>
        </is>
      </c>
      <c r="B6560" s="4" t="n">
        <v>45260</v>
      </c>
      <c r="C6560" s="3" t="inlineStr">
        <is>
          <t>Assets</t>
        </is>
      </c>
      <c r="D6560" s="3" t="inlineStr">
        <is>
          <t>8400/000</t>
        </is>
      </c>
      <c r="E6560" s="3" t="inlineStr">
        <is>
          <t>RMB Cheq - 62312246920</t>
        </is>
      </c>
      <c r="F6560" s="3" t="n">
        <v>-35385.32</v>
      </c>
      <c r="G6560" s="3" t="n">
        <v>56234.92</v>
      </c>
    </row>
    <row r="6561">
      <c r="A6561" s="3" t="inlineStr">
        <is>
          <t>Opportunity Global Investment (PTY) LTD</t>
        </is>
      </c>
      <c r="B6561" s="4" t="n">
        <v>45260</v>
      </c>
      <c r="C6561" s="3" t="inlineStr">
        <is>
          <t>Assets</t>
        </is>
      </c>
      <c r="D6561" s="3" t="inlineStr">
        <is>
          <t>8405/000</t>
        </is>
      </c>
      <c r="E6561" s="3" t="inlineStr">
        <is>
          <t>FNB Trust 62762449265</t>
        </is>
      </c>
      <c r="F6561" s="3" t="n">
        <v>0</v>
      </c>
      <c r="G6561" s="3" t="n">
        <v>1141.1</v>
      </c>
    </row>
    <row r="6562">
      <c r="A6562" s="3" t="inlineStr">
        <is>
          <t>Endulini (Pty) Ltd</t>
        </is>
      </c>
      <c r="B6562" s="4" t="n">
        <v>45260</v>
      </c>
      <c r="C6562" s="3" t="inlineStr">
        <is>
          <t>Assets</t>
        </is>
      </c>
      <c r="D6562" s="3" t="inlineStr">
        <is>
          <t>8410/000</t>
        </is>
      </c>
      <c r="E6562" s="3" t="inlineStr">
        <is>
          <t>Momentum Investor Account : RU 502229883</t>
        </is>
      </c>
      <c r="F6562" s="3" t="n">
        <v>0</v>
      </c>
      <c r="G6562" s="3" t="n">
        <v>24.03</v>
      </c>
    </row>
    <row r="6563">
      <c r="A6563" s="3" t="inlineStr">
        <is>
          <t>Opportunity Management Holdings (PTY) LTD</t>
        </is>
      </c>
      <c r="B6563" s="4" t="n">
        <v>45260</v>
      </c>
      <c r="C6563" s="3" t="inlineStr">
        <is>
          <t>Assets</t>
        </is>
      </c>
      <c r="D6563" s="3" t="inlineStr">
        <is>
          <t>8410/000</t>
        </is>
      </c>
      <c r="E6563" s="3" t="inlineStr">
        <is>
          <t>RMB Call Acc - 62312248851</t>
        </is>
      </c>
      <c r="F6563" s="3" t="n">
        <v>0</v>
      </c>
      <c r="G6563" s="3" t="n">
        <v>1432.34</v>
      </c>
    </row>
    <row r="6564">
      <c r="A6564" s="3" t="inlineStr">
        <is>
          <t>Noble Shield (Pty) Ltd ta Go Letting</t>
        </is>
      </c>
      <c r="B6564" s="4" t="n">
        <v>45260</v>
      </c>
      <c r="C6564" s="3" t="inlineStr">
        <is>
          <t>Assets</t>
        </is>
      </c>
      <c r="D6564" s="3" t="inlineStr">
        <is>
          <t>8410/000</t>
        </is>
      </c>
      <c r="E6564" s="3" t="inlineStr">
        <is>
          <t>RMB Trust Acc - 6250 615 1365</t>
        </is>
      </c>
      <c r="F6564" s="3" t="n">
        <v>0</v>
      </c>
      <c r="G6564" s="3" t="n">
        <v>881.61</v>
      </c>
    </row>
    <row r="6565">
      <c r="A6565" s="3" t="inlineStr">
        <is>
          <t>Quinate Consulting (Pty) Ltd</t>
        </is>
      </c>
      <c r="B6565" s="4" t="n">
        <v>45260</v>
      </c>
      <c r="C6565" s="3" t="inlineStr">
        <is>
          <t>Assets</t>
        </is>
      </c>
      <c r="D6565" s="3" t="inlineStr">
        <is>
          <t>8415/000</t>
        </is>
      </c>
      <c r="E6565" s="3" t="inlineStr">
        <is>
          <t>STD Acc 071 958 959 - Facility Acc</t>
        </is>
      </c>
      <c r="F6565" s="3" t="n">
        <v>0</v>
      </c>
      <c r="G6565" s="3" t="n">
        <v>2616.21</v>
      </c>
    </row>
    <row r="6566">
      <c r="A6566" s="3" t="inlineStr">
        <is>
          <t>Trademark Holdings (Pty) Ltd</t>
        </is>
      </c>
      <c r="B6566" s="4" t="n">
        <v>45260</v>
      </c>
      <c r="C6566" s="3" t="inlineStr">
        <is>
          <t>Assets</t>
        </is>
      </c>
      <c r="D6566" s="3" t="inlineStr">
        <is>
          <t>8420/000</t>
        </is>
      </c>
      <c r="E6566" s="3" t="inlineStr">
        <is>
          <t>FNB Credit Card</t>
        </is>
      </c>
      <c r="F6566" s="3" t="n">
        <v>52</v>
      </c>
      <c r="G6566" s="3" t="n">
        <v>520</v>
      </c>
    </row>
    <row r="6567">
      <c r="A6567" s="3" t="inlineStr">
        <is>
          <t>Quinate Consulting (Pty) Ltd</t>
        </is>
      </c>
      <c r="B6567" s="4" t="n">
        <v>45260</v>
      </c>
      <c r="C6567" s="3" t="inlineStr">
        <is>
          <t>Assets</t>
        </is>
      </c>
      <c r="D6567" s="3" t="inlineStr">
        <is>
          <t>8430/000</t>
        </is>
      </c>
      <c r="E6567" s="3" t="inlineStr">
        <is>
          <t>Momentum Investment Acc - RU502230185</t>
        </is>
      </c>
      <c r="F6567" s="3" t="n">
        <v>0</v>
      </c>
      <c r="G6567" s="3" t="n">
        <v>563.74</v>
      </c>
    </row>
    <row r="6568">
      <c r="A6568" s="3" t="inlineStr">
        <is>
          <t>Opportunity Global Investment (PTY) LTD</t>
        </is>
      </c>
      <c r="B6568" s="4" t="n">
        <v>45260</v>
      </c>
      <c r="C6568" s="3" t="inlineStr">
        <is>
          <t>Assets</t>
        </is>
      </c>
      <c r="D6568" s="3" t="inlineStr">
        <is>
          <t>8440/000</t>
        </is>
      </c>
      <c r="E6568" s="3" t="inlineStr">
        <is>
          <t>FNB - Call 627602764438</t>
        </is>
      </c>
      <c r="F6568" s="3" t="n">
        <v>-40007.9</v>
      </c>
      <c r="G6568" s="3" t="n">
        <v>-39153.33</v>
      </c>
    </row>
    <row r="6569">
      <c r="A6569" s="3" t="inlineStr">
        <is>
          <t>Opportunity Global Investment (PTY) LTD</t>
        </is>
      </c>
      <c r="B6569" s="4" t="n">
        <v>45260</v>
      </c>
      <c r="C6569" s="3" t="inlineStr">
        <is>
          <t>Assets</t>
        </is>
      </c>
      <c r="D6569" s="3" t="inlineStr">
        <is>
          <t>8445/000</t>
        </is>
      </c>
      <c r="E6569" s="3" t="inlineStr">
        <is>
          <t>Momentum RU502230096</t>
        </is>
      </c>
      <c r="F6569" s="3" t="n">
        <v>0</v>
      </c>
      <c r="G6569" s="3" t="n">
        <v>4973.81</v>
      </c>
    </row>
    <row r="6570">
      <c r="A6570" s="3" t="inlineStr">
        <is>
          <t>Quinate Consulting (Pty) Ltd</t>
        </is>
      </c>
      <c r="B6570" s="4" t="n">
        <v>45260</v>
      </c>
      <c r="C6570" s="3" t="inlineStr">
        <is>
          <t>Assets</t>
        </is>
      </c>
      <c r="D6570" s="3" t="inlineStr">
        <is>
          <t>8450/000</t>
        </is>
      </c>
      <c r="E6570" s="3" t="inlineStr">
        <is>
          <t>A RMB 62275810820</t>
        </is>
      </c>
      <c r="F6570" s="3" t="n">
        <v>-197772.73</v>
      </c>
      <c r="G6570" s="3" t="n">
        <v>105909.15</v>
      </c>
    </row>
    <row r="6571">
      <c r="A6571" s="3" t="inlineStr">
        <is>
          <t>Opportunity Management Holdings (PTY) LTD</t>
        </is>
      </c>
      <c r="B6571" s="4" t="n">
        <v>45260</v>
      </c>
      <c r="C6571" s="3" t="inlineStr">
        <is>
          <t>Assets</t>
        </is>
      </c>
      <c r="D6571" s="3" t="inlineStr">
        <is>
          <t>8450/000</t>
        </is>
      </c>
      <c r="E6571" s="3" t="inlineStr">
        <is>
          <t>Petty Cash - CT Office</t>
        </is>
      </c>
      <c r="F6571" s="3" t="n">
        <v>0</v>
      </c>
      <c r="G6571" s="3" t="n">
        <v>1016.2</v>
      </c>
    </row>
    <row r="6572">
      <c r="A6572" s="3" t="inlineStr">
        <is>
          <t>Quinate Consulting (Pty) Ltd</t>
        </is>
      </c>
      <c r="B6572" s="4" t="n">
        <v>45260</v>
      </c>
      <c r="C6572" s="3" t="inlineStr">
        <is>
          <t>Assets</t>
        </is>
      </c>
      <c r="D6572" s="3" t="inlineStr">
        <is>
          <t>8470/000</t>
        </is>
      </c>
      <c r="E6572" s="3" t="inlineStr">
        <is>
          <t>ABSA: Quinate</t>
        </is>
      </c>
      <c r="F6572" s="3" t="n">
        <v>0</v>
      </c>
      <c r="G6572" s="3" t="n">
        <v>500</v>
      </c>
    </row>
    <row r="6573">
      <c r="A6573" s="3" t="inlineStr">
        <is>
          <t>Opportunity Global Investment (PTY) LTD</t>
        </is>
      </c>
      <c r="B6573" s="4" t="n">
        <v>45291</v>
      </c>
      <c r="C6573" s="3" t="inlineStr">
        <is>
          <t>Assets</t>
        </is>
      </c>
      <c r="D6573" s="3" t="inlineStr">
        <is>
          <t>8400/000</t>
        </is>
      </c>
      <c r="E6573" s="3" t="inlineStr">
        <is>
          <t>FNB 62093491696</t>
        </is>
      </c>
      <c r="F6573" s="3" t="n">
        <v>16676.77</v>
      </c>
      <c r="G6573" s="3" t="n">
        <v>49047.17</v>
      </c>
    </row>
    <row r="6574">
      <c r="A6574" s="3" t="inlineStr">
        <is>
          <t>Opportunity Global Sales (PTY) LTD</t>
        </is>
      </c>
      <c r="B6574" s="4" t="n">
        <v>45291</v>
      </c>
      <c r="C6574" s="3" t="inlineStr">
        <is>
          <t>Assets</t>
        </is>
      </c>
      <c r="D6574" s="3" t="inlineStr">
        <is>
          <t>8400/000</t>
        </is>
      </c>
      <c r="E6574" s="3" t="inlineStr">
        <is>
          <t>FNB 62835620875</t>
        </is>
      </c>
      <c r="F6574" s="3" t="n">
        <v>-20974.11</v>
      </c>
      <c r="G6574" s="3" t="n">
        <v>27270.56</v>
      </c>
    </row>
    <row r="6575">
      <c r="A6575" s="3" t="inlineStr">
        <is>
          <t>Quinate Consulting (Pty) Ltd</t>
        </is>
      </c>
      <c r="B6575" s="4" t="n">
        <v>45291</v>
      </c>
      <c r="C6575" s="3" t="inlineStr">
        <is>
          <t>Assets</t>
        </is>
      </c>
      <c r="D6575" s="3" t="inlineStr">
        <is>
          <t>8400/000</t>
        </is>
      </c>
      <c r="E6575" s="3" t="inlineStr">
        <is>
          <t>RMB - 62736659189 - Call Acc</t>
        </is>
      </c>
      <c r="F6575" s="3" t="n">
        <v>2926519.83</v>
      </c>
      <c r="G6575" s="3" t="n">
        <v>3078619.83</v>
      </c>
    </row>
    <row r="6576">
      <c r="A6576" s="3" t="inlineStr">
        <is>
          <t>Trademark Holdings (Pty) Ltd</t>
        </is>
      </c>
      <c r="B6576" s="4" t="n">
        <v>45291</v>
      </c>
      <c r="C6576" s="3" t="inlineStr">
        <is>
          <t>Assets</t>
        </is>
      </c>
      <c r="D6576" s="3" t="inlineStr">
        <is>
          <t>8400/000</t>
        </is>
      </c>
      <c r="E6576" s="3" t="inlineStr">
        <is>
          <t>RMB 623 693 03640</t>
        </is>
      </c>
      <c r="F6576" s="3" t="n">
        <v>25727.67</v>
      </c>
      <c r="G6576" s="3" t="n">
        <v>81525.67999999999</v>
      </c>
    </row>
    <row r="6577">
      <c r="A6577" s="3" t="inlineStr">
        <is>
          <t>Noble Shield (Pty) Ltd ta Go Letting</t>
        </is>
      </c>
      <c r="B6577" s="4" t="n">
        <v>45291</v>
      </c>
      <c r="C6577" s="3" t="inlineStr">
        <is>
          <t>Assets</t>
        </is>
      </c>
      <c r="D6577" s="3" t="inlineStr">
        <is>
          <t>8400/000</t>
        </is>
      </c>
      <c r="E6577" s="3" t="inlineStr">
        <is>
          <t>RMB 6250 573 3833</t>
        </is>
      </c>
      <c r="F6577" s="3" t="n">
        <v>8622.110000000001</v>
      </c>
      <c r="G6577" s="3" t="n">
        <v>54060.75</v>
      </c>
    </row>
    <row r="6578">
      <c r="A6578" s="3" t="inlineStr">
        <is>
          <t>Endulini (Pty) Ltd</t>
        </is>
      </c>
      <c r="B6578" s="4" t="n">
        <v>45291</v>
      </c>
      <c r="C6578" s="3" t="inlineStr">
        <is>
          <t>Assets</t>
        </is>
      </c>
      <c r="D6578" s="3" t="inlineStr">
        <is>
          <t>8400/000</t>
        </is>
      </c>
      <c r="E6578" s="3" t="inlineStr">
        <is>
          <t>RMB 62906944576</t>
        </is>
      </c>
      <c r="F6578" s="3" t="n">
        <v>-1129042.21</v>
      </c>
      <c r="G6578" s="3" t="n">
        <v>149442.57</v>
      </c>
    </row>
    <row r="6579">
      <c r="A6579" s="3" t="inlineStr">
        <is>
          <t>Opportunity Management Holdings (PTY) LTD</t>
        </is>
      </c>
      <c r="B6579" s="4" t="n">
        <v>45291</v>
      </c>
      <c r="C6579" s="3" t="inlineStr">
        <is>
          <t>Assets</t>
        </is>
      </c>
      <c r="D6579" s="3" t="inlineStr">
        <is>
          <t>8400/000</t>
        </is>
      </c>
      <c r="E6579" s="3" t="inlineStr">
        <is>
          <t>RMB Cheq - 62312246920</t>
        </is>
      </c>
      <c r="F6579" s="3" t="n">
        <v>51082.28</v>
      </c>
      <c r="G6579" s="3" t="n">
        <v>107317.2</v>
      </c>
    </row>
    <row r="6580">
      <c r="A6580" s="3" t="inlineStr">
        <is>
          <t>Opportunity Global Investment (PTY) LTD</t>
        </is>
      </c>
      <c r="B6580" s="4" t="n">
        <v>45291</v>
      </c>
      <c r="C6580" s="3" t="inlineStr">
        <is>
          <t>Assets</t>
        </is>
      </c>
      <c r="D6580" s="3" t="inlineStr">
        <is>
          <t>8405/000</t>
        </is>
      </c>
      <c r="E6580" s="3" t="inlineStr">
        <is>
          <t>FNB Trust 62762449265</t>
        </is>
      </c>
      <c r="F6580" s="3" t="n">
        <v>0</v>
      </c>
      <c r="G6580" s="3" t="n">
        <v>1141.1</v>
      </c>
    </row>
    <row r="6581">
      <c r="A6581" s="3" t="inlineStr">
        <is>
          <t>Endulini (Pty) Ltd</t>
        </is>
      </c>
      <c r="B6581" s="4" t="n">
        <v>45291</v>
      </c>
      <c r="C6581" s="3" t="inlineStr">
        <is>
          <t>Assets</t>
        </is>
      </c>
      <c r="D6581" s="3" t="inlineStr">
        <is>
          <t>8410/000</t>
        </is>
      </c>
      <c r="E6581" s="3" t="inlineStr">
        <is>
          <t>Momentum Investor Account : RU 502229883</t>
        </is>
      </c>
      <c r="F6581" s="3" t="n">
        <v>0</v>
      </c>
      <c r="G6581" s="3" t="n">
        <v>24.03</v>
      </c>
    </row>
    <row r="6582">
      <c r="A6582" s="3" t="inlineStr">
        <is>
          <t>Opportunity Management Holdings (PTY) LTD</t>
        </is>
      </c>
      <c r="B6582" s="4" t="n">
        <v>45291</v>
      </c>
      <c r="C6582" s="3" t="inlineStr">
        <is>
          <t>Assets</t>
        </is>
      </c>
      <c r="D6582" s="3" t="inlineStr">
        <is>
          <t>8410/000</t>
        </is>
      </c>
      <c r="E6582" s="3" t="inlineStr">
        <is>
          <t>RMB Call Acc - 62312248851</t>
        </is>
      </c>
      <c r="F6582" s="3" t="n">
        <v>0</v>
      </c>
      <c r="G6582" s="3" t="n">
        <v>1432.34</v>
      </c>
    </row>
    <row r="6583">
      <c r="A6583" s="3" t="inlineStr">
        <is>
          <t>Noble Shield (Pty) Ltd ta Go Letting</t>
        </is>
      </c>
      <c r="B6583" s="4" t="n">
        <v>45291</v>
      </c>
      <c r="C6583" s="3" t="inlineStr">
        <is>
          <t>Assets</t>
        </is>
      </c>
      <c r="D6583" s="3" t="inlineStr">
        <is>
          <t>8410/000</t>
        </is>
      </c>
      <c r="E6583" s="3" t="inlineStr">
        <is>
          <t>RMB Trust Acc - 6250 615 1365</t>
        </is>
      </c>
      <c r="F6583" s="3" t="n">
        <v>0</v>
      </c>
      <c r="G6583" s="3" t="n">
        <v>881.61</v>
      </c>
    </row>
    <row r="6584">
      <c r="A6584" s="3" t="inlineStr">
        <is>
          <t>Quinate Consulting (Pty) Ltd</t>
        </is>
      </c>
      <c r="B6584" s="4" t="n">
        <v>45291</v>
      </c>
      <c r="C6584" s="3" t="inlineStr">
        <is>
          <t>Assets</t>
        </is>
      </c>
      <c r="D6584" s="3" t="inlineStr">
        <is>
          <t>8415/000</t>
        </is>
      </c>
      <c r="E6584" s="3" t="inlineStr">
        <is>
          <t>STD Acc 071 958 959 - Facility Acc</t>
        </is>
      </c>
      <c r="F6584" s="3" t="n">
        <v>0</v>
      </c>
      <c r="G6584" s="3" t="n">
        <v>2616.21</v>
      </c>
    </row>
    <row r="6585">
      <c r="A6585" s="3" t="inlineStr">
        <is>
          <t>Trademark Holdings (Pty) Ltd</t>
        </is>
      </c>
      <c r="B6585" s="4" t="n">
        <v>45291</v>
      </c>
      <c r="C6585" s="3" t="inlineStr">
        <is>
          <t>Assets</t>
        </is>
      </c>
      <c r="D6585" s="3" t="inlineStr">
        <is>
          <t>8420/000</t>
        </is>
      </c>
      <c r="E6585" s="3" t="inlineStr">
        <is>
          <t>FNB Credit Card</t>
        </is>
      </c>
      <c r="F6585" s="3" t="n">
        <v>52</v>
      </c>
      <c r="G6585" s="3" t="n">
        <v>572</v>
      </c>
    </row>
    <row r="6586">
      <c r="A6586" s="3" t="inlineStr">
        <is>
          <t>Quinate Consulting (Pty) Ltd</t>
        </is>
      </c>
      <c r="B6586" s="4" t="n">
        <v>45291</v>
      </c>
      <c r="C6586" s="3" t="inlineStr">
        <is>
          <t>Assets</t>
        </is>
      </c>
      <c r="D6586" s="3" t="inlineStr">
        <is>
          <t>8430/000</t>
        </is>
      </c>
      <c r="E6586" s="3" t="inlineStr">
        <is>
          <t>Momentum Investment Acc - RU502230185</t>
        </is>
      </c>
      <c r="F6586" s="3" t="n">
        <v>0</v>
      </c>
      <c r="G6586" s="3" t="n">
        <v>563.74</v>
      </c>
    </row>
    <row r="6587">
      <c r="A6587" s="3" t="inlineStr">
        <is>
          <t>Opportunity Global Investment (PTY) LTD</t>
        </is>
      </c>
      <c r="B6587" s="4" t="n">
        <v>45291</v>
      </c>
      <c r="C6587" s="3" t="inlineStr">
        <is>
          <t>Assets</t>
        </is>
      </c>
      <c r="D6587" s="3" t="inlineStr">
        <is>
          <t>8440/000</t>
        </is>
      </c>
      <c r="E6587" s="3" t="inlineStr">
        <is>
          <t>FNB - Call 627602764438</t>
        </is>
      </c>
      <c r="F6587" s="3" t="n">
        <v>-4.74</v>
      </c>
      <c r="G6587" s="3" t="n">
        <v>-39158.07</v>
      </c>
    </row>
    <row r="6588">
      <c r="A6588" s="3" t="inlineStr">
        <is>
          <t>Opportunity Global Investment (PTY) LTD</t>
        </is>
      </c>
      <c r="B6588" s="4" t="n">
        <v>45291</v>
      </c>
      <c r="C6588" s="3" t="inlineStr">
        <is>
          <t>Assets</t>
        </is>
      </c>
      <c r="D6588" s="3" t="inlineStr">
        <is>
          <t>8445/000</t>
        </is>
      </c>
      <c r="E6588" s="3" t="inlineStr">
        <is>
          <t>Momentum RU502230096</t>
        </is>
      </c>
      <c r="F6588" s="3" t="n">
        <v>0</v>
      </c>
      <c r="G6588" s="3" t="n">
        <v>4973.81</v>
      </c>
    </row>
    <row r="6589">
      <c r="A6589" s="3" t="inlineStr">
        <is>
          <t>Quinate Consulting (Pty) Ltd</t>
        </is>
      </c>
      <c r="B6589" s="4" t="n">
        <v>45291</v>
      </c>
      <c r="C6589" s="3" t="inlineStr">
        <is>
          <t>Assets</t>
        </is>
      </c>
      <c r="D6589" s="3" t="inlineStr">
        <is>
          <t>8450/000</t>
        </is>
      </c>
      <c r="E6589" s="3" t="inlineStr">
        <is>
          <t>A RMB 62275810820</t>
        </is>
      </c>
      <c r="F6589" s="3" t="n">
        <v>113792.8</v>
      </c>
      <c r="G6589" s="3" t="n">
        <v>219701.95</v>
      </c>
    </row>
    <row r="6590">
      <c r="A6590" s="3" t="inlineStr">
        <is>
          <t>Opportunity Management Holdings (PTY) LTD</t>
        </is>
      </c>
      <c r="B6590" s="4" t="n">
        <v>45291</v>
      </c>
      <c r="C6590" s="3" t="inlineStr">
        <is>
          <t>Assets</t>
        </is>
      </c>
      <c r="D6590" s="3" t="inlineStr">
        <is>
          <t>8450/000</t>
        </is>
      </c>
      <c r="E6590" s="3" t="inlineStr">
        <is>
          <t>Petty Cash - CT Office</t>
        </is>
      </c>
      <c r="F6590" s="3" t="n">
        <v>0</v>
      </c>
      <c r="G6590" s="3" t="n">
        <v>1016.2</v>
      </c>
    </row>
    <row r="6591">
      <c r="A6591" s="3" t="inlineStr">
        <is>
          <t>Quinate Consulting (Pty) Ltd</t>
        </is>
      </c>
      <c r="B6591" s="4" t="n">
        <v>45291</v>
      </c>
      <c r="C6591" s="3" t="inlineStr">
        <is>
          <t>Assets</t>
        </is>
      </c>
      <c r="D6591" s="3" t="inlineStr">
        <is>
          <t>8470/000</t>
        </is>
      </c>
      <c r="E6591" s="3" t="inlineStr">
        <is>
          <t>ABSA: Quinate</t>
        </is>
      </c>
      <c r="F6591" s="3" t="n">
        <v>0</v>
      </c>
      <c r="G6591" s="3" t="n">
        <v>500</v>
      </c>
    </row>
    <row r="6592">
      <c r="A6592" s="3" t="inlineStr">
        <is>
          <t>Opportunity Global Investment (PTY) LTD</t>
        </is>
      </c>
      <c r="B6592" s="4" t="n">
        <v>45322</v>
      </c>
      <c r="C6592" s="3" t="inlineStr">
        <is>
          <t>Assets</t>
        </is>
      </c>
      <c r="D6592" s="3" t="inlineStr">
        <is>
          <t>8400/000</t>
        </is>
      </c>
      <c r="E6592" s="3" t="inlineStr">
        <is>
          <t>FNB 62093491696</t>
        </is>
      </c>
      <c r="F6592" s="3" t="n">
        <v>7520.18</v>
      </c>
      <c r="G6592" s="3" t="n">
        <v>56567.35</v>
      </c>
    </row>
    <row r="6593">
      <c r="A6593" s="3" t="inlineStr">
        <is>
          <t>Opportunity Global Sales (PTY) LTD</t>
        </is>
      </c>
      <c r="B6593" s="4" t="n">
        <v>45322</v>
      </c>
      <c r="C6593" s="3" t="inlineStr">
        <is>
          <t>Assets</t>
        </is>
      </c>
      <c r="D6593" s="3" t="inlineStr">
        <is>
          <t>8400/000</t>
        </is>
      </c>
      <c r="E6593" s="3" t="inlineStr">
        <is>
          <t>FNB 62835620875</t>
        </is>
      </c>
      <c r="F6593" s="3" t="n">
        <v>26224.37</v>
      </c>
      <c r="G6593" s="3" t="n">
        <v>53494.93</v>
      </c>
    </row>
    <row r="6594">
      <c r="A6594" s="3" t="inlineStr">
        <is>
          <t>Quinate Consulting (Pty) Ltd</t>
        </is>
      </c>
      <c r="B6594" s="4" t="n">
        <v>45322</v>
      </c>
      <c r="C6594" s="3" t="inlineStr">
        <is>
          <t>Assets</t>
        </is>
      </c>
      <c r="D6594" s="3" t="inlineStr">
        <is>
          <t>8400/000</t>
        </is>
      </c>
      <c r="E6594" s="3" t="inlineStr">
        <is>
          <t>RMB - 62736659189 - Call Acc</t>
        </is>
      </c>
      <c r="F6594" s="3" t="n">
        <v>-1800000</v>
      </c>
      <c r="G6594" s="3" t="n">
        <v>1278619.83</v>
      </c>
    </row>
    <row r="6595">
      <c r="A6595" s="3" t="inlineStr">
        <is>
          <t>Trademark Holdings (Pty) Ltd</t>
        </is>
      </c>
      <c r="B6595" s="4" t="n">
        <v>45322</v>
      </c>
      <c r="C6595" s="3" t="inlineStr">
        <is>
          <t>Assets</t>
        </is>
      </c>
      <c r="D6595" s="3" t="inlineStr">
        <is>
          <t>8400/000</t>
        </is>
      </c>
      <c r="E6595" s="3" t="inlineStr">
        <is>
          <t>RMB 623 693 03640</t>
        </is>
      </c>
      <c r="F6595" s="3" t="n">
        <v>-41507.99</v>
      </c>
      <c r="G6595" s="3" t="n">
        <v>40017.69</v>
      </c>
    </row>
    <row r="6596">
      <c r="A6596" s="3" t="inlineStr">
        <is>
          <t>Noble Shield (Pty) Ltd ta Go Letting</t>
        </is>
      </c>
      <c r="B6596" s="4" t="n">
        <v>45322</v>
      </c>
      <c r="C6596" s="3" t="inlineStr">
        <is>
          <t>Assets</t>
        </is>
      </c>
      <c r="D6596" s="3" t="inlineStr">
        <is>
          <t>8400/000</t>
        </is>
      </c>
      <c r="E6596" s="3" t="inlineStr">
        <is>
          <t>RMB 6250 573 3833</t>
        </is>
      </c>
      <c r="F6596" s="3" t="n">
        <v>-9662.75</v>
      </c>
      <c r="G6596" s="3" t="n">
        <v>44398</v>
      </c>
    </row>
    <row r="6597">
      <c r="A6597" s="3" t="inlineStr">
        <is>
          <t>Endulini (Pty) Ltd</t>
        </is>
      </c>
      <c r="B6597" s="4" t="n">
        <v>45322</v>
      </c>
      <c r="C6597" s="3" t="inlineStr">
        <is>
          <t>Assets</t>
        </is>
      </c>
      <c r="D6597" s="3" t="inlineStr">
        <is>
          <t>8400/000</t>
        </is>
      </c>
      <c r="E6597" s="3" t="inlineStr">
        <is>
          <t>RMB 62906944576</t>
        </is>
      </c>
      <c r="F6597" s="3" t="n">
        <v>-123972.54</v>
      </c>
      <c r="G6597" s="3" t="n">
        <v>25470.03</v>
      </c>
    </row>
    <row r="6598">
      <c r="A6598" s="3" t="inlineStr">
        <is>
          <t>Opportunity Management Holdings (PTY) LTD</t>
        </is>
      </c>
      <c r="B6598" s="4" t="n">
        <v>45322</v>
      </c>
      <c r="C6598" s="3" t="inlineStr">
        <is>
          <t>Assets</t>
        </is>
      </c>
      <c r="D6598" s="3" t="inlineStr">
        <is>
          <t>8400/000</t>
        </is>
      </c>
      <c r="E6598" s="3" t="inlineStr">
        <is>
          <t>RMB Cheq - 62312246920</t>
        </is>
      </c>
      <c r="F6598" s="3" t="n">
        <v>22684.95</v>
      </c>
      <c r="G6598" s="3" t="n">
        <v>130002.15</v>
      </c>
    </row>
    <row r="6599">
      <c r="A6599" s="3" t="inlineStr">
        <is>
          <t>Opportunity Global Investment (PTY) LTD</t>
        </is>
      </c>
      <c r="B6599" s="4" t="n">
        <v>45322</v>
      </c>
      <c r="C6599" s="3" t="inlineStr">
        <is>
          <t>Assets</t>
        </is>
      </c>
      <c r="D6599" s="3" t="inlineStr">
        <is>
          <t>8405/000</t>
        </is>
      </c>
      <c r="E6599" s="3" t="inlineStr">
        <is>
          <t>FNB Trust 62762449265</t>
        </is>
      </c>
      <c r="F6599" s="3" t="n">
        <v>0</v>
      </c>
      <c r="G6599" s="3" t="n">
        <v>1141.1</v>
      </c>
    </row>
    <row r="6600">
      <c r="A6600" s="3" t="inlineStr">
        <is>
          <t>Endulini (Pty) Ltd</t>
        </is>
      </c>
      <c r="B6600" s="4" t="n">
        <v>45322</v>
      </c>
      <c r="C6600" s="3" t="inlineStr">
        <is>
          <t>Assets</t>
        </is>
      </c>
      <c r="D6600" s="3" t="inlineStr">
        <is>
          <t>8410/000</t>
        </is>
      </c>
      <c r="E6600" s="3" t="inlineStr">
        <is>
          <t>Momentum Investor Account : RU 502229883</t>
        </is>
      </c>
      <c r="F6600" s="3" t="n">
        <v>0</v>
      </c>
      <c r="G6600" s="3" t="n">
        <v>24.03</v>
      </c>
    </row>
    <row r="6601">
      <c r="A6601" s="3" t="inlineStr">
        <is>
          <t>Opportunity Management Holdings (PTY) LTD</t>
        </is>
      </c>
      <c r="B6601" s="4" t="n">
        <v>45322</v>
      </c>
      <c r="C6601" s="3" t="inlineStr">
        <is>
          <t>Assets</t>
        </is>
      </c>
      <c r="D6601" s="3" t="inlineStr">
        <is>
          <t>8410/000</t>
        </is>
      </c>
      <c r="E6601" s="3" t="inlineStr">
        <is>
          <t>RMB Call Acc - 62312248851</t>
        </is>
      </c>
      <c r="F6601" s="3" t="n">
        <v>0</v>
      </c>
      <c r="G6601" s="3" t="n">
        <v>1432.34</v>
      </c>
    </row>
    <row r="6602">
      <c r="A6602" s="3" t="inlineStr">
        <is>
          <t>Noble Shield (Pty) Ltd ta Go Letting</t>
        </is>
      </c>
      <c r="B6602" s="4" t="n">
        <v>45322</v>
      </c>
      <c r="C6602" s="3" t="inlineStr">
        <is>
          <t>Assets</t>
        </is>
      </c>
      <c r="D6602" s="3" t="inlineStr">
        <is>
          <t>8410/000</t>
        </is>
      </c>
      <c r="E6602" s="3" t="inlineStr">
        <is>
          <t>RMB Trust Acc - 6250 615 1365</t>
        </is>
      </c>
      <c r="F6602" s="3" t="n">
        <v>0</v>
      </c>
      <c r="G6602" s="3" t="n">
        <v>881.61</v>
      </c>
    </row>
    <row r="6603">
      <c r="A6603" s="3" t="inlineStr">
        <is>
          <t>Quinate Consulting (Pty) Ltd</t>
        </is>
      </c>
      <c r="B6603" s="4" t="n">
        <v>45322</v>
      </c>
      <c r="C6603" s="3" t="inlineStr">
        <is>
          <t>Assets</t>
        </is>
      </c>
      <c r="D6603" s="3" t="inlineStr">
        <is>
          <t>8415/000</t>
        </is>
      </c>
      <c r="E6603" s="3" t="inlineStr">
        <is>
          <t>STD Acc 071 958 959 - Facility Acc</t>
        </is>
      </c>
      <c r="F6603" s="3" t="n">
        <v>0</v>
      </c>
      <c r="G6603" s="3" t="n">
        <v>2616.21</v>
      </c>
    </row>
    <row r="6604">
      <c r="A6604" s="3" t="inlineStr">
        <is>
          <t>Trademark Holdings (Pty) Ltd</t>
        </is>
      </c>
      <c r="B6604" s="4" t="n">
        <v>45322</v>
      </c>
      <c r="C6604" s="3" t="inlineStr">
        <is>
          <t>Assets</t>
        </is>
      </c>
      <c r="D6604" s="3" t="inlineStr">
        <is>
          <t>8420/000</t>
        </is>
      </c>
      <c r="E6604" s="3" t="inlineStr">
        <is>
          <t>FNB Credit Card</t>
        </is>
      </c>
      <c r="F6604" s="3" t="n">
        <v>52</v>
      </c>
      <c r="G6604" s="3" t="n">
        <v>624</v>
      </c>
    </row>
    <row r="6605">
      <c r="A6605" s="3" t="inlineStr">
        <is>
          <t>Quinate Consulting (Pty) Ltd</t>
        </is>
      </c>
      <c r="B6605" s="4" t="n">
        <v>45322</v>
      </c>
      <c r="C6605" s="3" t="inlineStr">
        <is>
          <t>Assets</t>
        </is>
      </c>
      <c r="D6605" s="3" t="inlineStr">
        <is>
          <t>8430/000</t>
        </is>
      </c>
      <c r="E6605" s="3" t="inlineStr">
        <is>
          <t>Momentum Investment Acc - RU502230185</t>
        </is>
      </c>
      <c r="F6605" s="3" t="n">
        <v>0</v>
      </c>
      <c r="G6605" s="3" t="n">
        <v>563.74</v>
      </c>
    </row>
    <row r="6606">
      <c r="A6606" s="3" t="inlineStr">
        <is>
          <t>Opportunity Global Investment (PTY) LTD</t>
        </is>
      </c>
      <c r="B6606" s="4" t="n">
        <v>45322</v>
      </c>
      <c r="C6606" s="3" t="inlineStr">
        <is>
          <t>Assets</t>
        </is>
      </c>
      <c r="D6606" s="3" t="inlineStr">
        <is>
          <t>8440/000</t>
        </is>
      </c>
      <c r="E6606" s="3" t="inlineStr">
        <is>
          <t>FNB - Call 627602764438</t>
        </is>
      </c>
      <c r="F6606" s="3" t="n">
        <v>-3.16</v>
      </c>
      <c r="G6606" s="3" t="n">
        <v>-39161.23</v>
      </c>
    </row>
    <row r="6607">
      <c r="A6607" s="3" t="inlineStr">
        <is>
          <t>Opportunity Global Investment (PTY) LTD</t>
        </is>
      </c>
      <c r="B6607" s="4" t="n">
        <v>45322</v>
      </c>
      <c r="C6607" s="3" t="inlineStr">
        <is>
          <t>Assets</t>
        </is>
      </c>
      <c r="D6607" s="3" t="inlineStr">
        <is>
          <t>8445/000</t>
        </is>
      </c>
      <c r="E6607" s="3" t="inlineStr">
        <is>
          <t>Momentum RU502230096</t>
        </is>
      </c>
      <c r="F6607" s="3" t="n">
        <v>0</v>
      </c>
      <c r="G6607" s="3" t="n">
        <v>4973.81</v>
      </c>
    </row>
    <row r="6608">
      <c r="A6608" s="3" t="inlineStr">
        <is>
          <t>Quinate Consulting (Pty) Ltd</t>
        </is>
      </c>
      <c r="B6608" s="4" t="n">
        <v>45322</v>
      </c>
      <c r="C6608" s="3" t="inlineStr">
        <is>
          <t>Assets</t>
        </is>
      </c>
      <c r="D6608" s="3" t="inlineStr">
        <is>
          <t>8450/000</t>
        </is>
      </c>
      <c r="E6608" s="3" t="inlineStr">
        <is>
          <t>A RMB 62275810820</t>
        </is>
      </c>
      <c r="F6608" s="3" t="n">
        <v>1056758.01</v>
      </c>
      <c r="G6608" s="3" t="n">
        <v>1276459.96</v>
      </c>
    </row>
    <row r="6609">
      <c r="A6609" s="3" t="inlineStr">
        <is>
          <t>Opportunity Management Holdings (PTY) LTD</t>
        </is>
      </c>
      <c r="B6609" s="4" t="n">
        <v>45322</v>
      </c>
      <c r="C6609" s="3" t="inlineStr">
        <is>
          <t>Assets</t>
        </is>
      </c>
      <c r="D6609" s="3" t="inlineStr">
        <is>
          <t>8450/000</t>
        </is>
      </c>
      <c r="E6609" s="3" t="inlineStr">
        <is>
          <t>Petty Cash - CT Office</t>
        </is>
      </c>
      <c r="F6609" s="3" t="n">
        <v>0</v>
      </c>
      <c r="G6609" s="3" t="n">
        <v>1016.2</v>
      </c>
    </row>
    <row r="6610">
      <c r="A6610" s="3" t="inlineStr">
        <is>
          <t>Quinate Consulting (Pty) Ltd</t>
        </is>
      </c>
      <c r="B6610" s="4" t="n">
        <v>45322</v>
      </c>
      <c r="C6610" s="3" t="inlineStr">
        <is>
          <t>Assets</t>
        </is>
      </c>
      <c r="D6610" s="3" t="inlineStr">
        <is>
          <t>8470/000</t>
        </is>
      </c>
      <c r="E6610" s="3" t="inlineStr">
        <is>
          <t>ABSA: Quinate</t>
        </is>
      </c>
      <c r="F6610" s="3" t="n">
        <v>0</v>
      </c>
      <c r="G6610" s="3" t="n">
        <v>500</v>
      </c>
    </row>
    <row r="6611">
      <c r="A6611" s="3" t="inlineStr">
        <is>
          <t>Opportunity Global Investment (PTY) LTD</t>
        </is>
      </c>
      <c r="B6611" s="4" t="n">
        <v>45323</v>
      </c>
      <c r="C6611" s="3" t="inlineStr">
        <is>
          <t>Assets</t>
        </is>
      </c>
      <c r="D6611" s="3" t="inlineStr">
        <is>
          <t>8400/000</t>
        </is>
      </c>
      <c r="E6611" s="3" t="inlineStr">
        <is>
          <t>FNB 62093491696</t>
        </is>
      </c>
      <c r="F6611" s="3" t="n">
        <v>-1840.95</v>
      </c>
      <c r="G6611" s="3" t="n">
        <v>54726.4</v>
      </c>
    </row>
    <row r="6612">
      <c r="A6612" s="3" t="inlineStr">
        <is>
          <t>Opportunity Global Sales (PTY) LTD</t>
        </is>
      </c>
      <c r="B6612" s="4" t="n">
        <v>45323</v>
      </c>
      <c r="C6612" s="3" t="inlineStr">
        <is>
          <t>Assets</t>
        </is>
      </c>
      <c r="D6612" s="3" t="inlineStr">
        <is>
          <t>8400/000</t>
        </is>
      </c>
      <c r="E6612" s="3" t="inlineStr">
        <is>
          <t>FNB 62835620875</t>
        </is>
      </c>
      <c r="F6612" s="3" t="n">
        <v>3562.71</v>
      </c>
      <c r="G6612" s="3" t="n">
        <v>57057.64</v>
      </c>
    </row>
    <row r="6613">
      <c r="A6613" s="3" t="inlineStr">
        <is>
          <t>Quinate Consulting (Pty) Ltd</t>
        </is>
      </c>
      <c r="B6613" s="4" t="n">
        <v>45323</v>
      </c>
      <c r="C6613" s="3" t="inlineStr">
        <is>
          <t>Assets</t>
        </is>
      </c>
      <c r="D6613" s="3" t="inlineStr">
        <is>
          <t>8400/000</t>
        </is>
      </c>
      <c r="E6613" s="3" t="inlineStr">
        <is>
          <t>RMB - 62736659189 - Call Acc</t>
        </is>
      </c>
      <c r="F6613" s="3" t="n">
        <v>0</v>
      </c>
      <c r="G6613" s="3" t="n">
        <v>1296340.96</v>
      </c>
    </row>
    <row r="6614">
      <c r="A6614" s="3" t="inlineStr">
        <is>
          <t>Trademark Holdings (Pty) Ltd</t>
        </is>
      </c>
      <c r="B6614" s="4" t="n">
        <v>45323</v>
      </c>
      <c r="C6614" s="3" t="inlineStr">
        <is>
          <t>Assets</t>
        </is>
      </c>
      <c r="D6614" s="3" t="inlineStr">
        <is>
          <t>8400/000</t>
        </is>
      </c>
      <c r="E6614" s="3" t="inlineStr">
        <is>
          <t>RMB 623 693 03640</t>
        </is>
      </c>
      <c r="F6614" s="3" t="n">
        <v>3292.27</v>
      </c>
      <c r="G6614" s="3" t="n">
        <v>43309.96</v>
      </c>
    </row>
    <row r="6615">
      <c r="A6615" s="3" t="inlineStr">
        <is>
          <t>Noble Shield (Pty) Ltd ta Go Letting</t>
        </is>
      </c>
      <c r="B6615" s="4" t="n">
        <v>45323</v>
      </c>
      <c r="C6615" s="3" t="inlineStr">
        <is>
          <t>Assets</t>
        </is>
      </c>
      <c r="D6615" s="3" t="inlineStr">
        <is>
          <t>8400/000</t>
        </is>
      </c>
      <c r="E6615" s="3" t="inlineStr">
        <is>
          <t>RMB 6250 573 3833</t>
        </is>
      </c>
      <c r="F6615" s="3" t="n">
        <v>3667.98</v>
      </c>
      <c r="G6615" s="3" t="n">
        <v>48065.98</v>
      </c>
    </row>
    <row r="6616">
      <c r="A6616" s="3" t="inlineStr">
        <is>
          <t>Endulini (Pty) Ltd</t>
        </is>
      </c>
      <c r="B6616" s="4" t="n">
        <v>45323</v>
      </c>
      <c r="C6616" s="3" t="inlineStr">
        <is>
          <t>Assets</t>
        </is>
      </c>
      <c r="D6616" s="3" t="inlineStr">
        <is>
          <t>8400/000</t>
        </is>
      </c>
      <c r="E6616" s="3" t="inlineStr">
        <is>
          <t>RMB 62906944576</t>
        </is>
      </c>
      <c r="F6616" s="3" t="n">
        <v>0</v>
      </c>
      <c r="G6616" s="3" t="n">
        <v>25470.03</v>
      </c>
    </row>
    <row r="6617">
      <c r="A6617" s="3" t="inlineStr">
        <is>
          <t>Opportunity Management Holdings (PTY) LTD</t>
        </is>
      </c>
      <c r="B6617" s="4" t="n">
        <v>45323</v>
      </c>
      <c r="C6617" s="3" t="inlineStr">
        <is>
          <t>Assets</t>
        </is>
      </c>
      <c r="D6617" s="3" t="inlineStr">
        <is>
          <t>8400/000</t>
        </is>
      </c>
      <c r="E6617" s="3" t="inlineStr">
        <is>
          <t>RMB Cheq - 62312246920</t>
        </is>
      </c>
      <c r="F6617" s="3" t="n">
        <v>-8081.1</v>
      </c>
      <c r="G6617" s="3" t="n">
        <v>121921.05</v>
      </c>
    </row>
    <row r="6618">
      <c r="A6618" s="3" t="inlineStr">
        <is>
          <t>Opportunity Global Investment (PTY) LTD</t>
        </is>
      </c>
      <c r="B6618" s="4" t="n">
        <v>45323</v>
      </c>
      <c r="C6618" s="3" t="inlineStr">
        <is>
          <t>Assets</t>
        </is>
      </c>
      <c r="D6618" s="3" t="inlineStr">
        <is>
          <t>8405/000</t>
        </is>
      </c>
      <c r="E6618" s="3" t="inlineStr">
        <is>
          <t>FNB Trust 62762449265</t>
        </is>
      </c>
      <c r="F6618" s="3" t="n">
        <v>0</v>
      </c>
      <c r="G6618" s="3" t="n">
        <v>1141.1</v>
      </c>
    </row>
    <row r="6619">
      <c r="A6619" s="3" t="inlineStr">
        <is>
          <t>Endulini (Pty) Ltd</t>
        </is>
      </c>
      <c r="B6619" s="4" t="n">
        <v>45323</v>
      </c>
      <c r="C6619" s="3" t="inlineStr">
        <is>
          <t>Assets</t>
        </is>
      </c>
      <c r="D6619" s="3" t="inlineStr">
        <is>
          <t>8410/000</t>
        </is>
      </c>
      <c r="E6619" s="3" t="inlineStr">
        <is>
          <t>Momentum Investor Account : RU 502229883</t>
        </is>
      </c>
      <c r="F6619" s="3" t="n">
        <v>0</v>
      </c>
      <c r="G6619" s="3" t="n">
        <v>24.03</v>
      </c>
    </row>
    <row r="6620">
      <c r="A6620" s="3" t="inlineStr">
        <is>
          <t>Opportunity Management Holdings (PTY) LTD</t>
        </is>
      </c>
      <c r="B6620" s="4" t="n">
        <v>45323</v>
      </c>
      <c r="C6620" s="3" t="inlineStr">
        <is>
          <t>Assets</t>
        </is>
      </c>
      <c r="D6620" s="3" t="inlineStr">
        <is>
          <t>8410/000</t>
        </is>
      </c>
      <c r="E6620" s="3" t="inlineStr">
        <is>
          <t>RMB Call Acc - 62312248851</t>
        </is>
      </c>
      <c r="F6620" s="3" t="n">
        <v>0</v>
      </c>
      <c r="G6620" s="3" t="n">
        <v>1432.34</v>
      </c>
    </row>
    <row r="6621">
      <c r="A6621" s="3" t="inlineStr">
        <is>
          <t>Noble Shield (Pty) Ltd ta Go Letting</t>
        </is>
      </c>
      <c r="B6621" s="4" t="n">
        <v>45323</v>
      </c>
      <c r="C6621" s="3" t="inlineStr">
        <is>
          <t>Assets</t>
        </is>
      </c>
      <c r="D6621" s="3" t="inlineStr">
        <is>
          <t>8410/000</t>
        </is>
      </c>
      <c r="E6621" s="3" t="inlineStr">
        <is>
          <t>RMB Trust Acc - 6250 615 1365</t>
        </is>
      </c>
      <c r="F6621" s="3" t="n">
        <v>0</v>
      </c>
      <c r="G6621" s="3" t="n">
        <v>629.13</v>
      </c>
    </row>
    <row r="6622">
      <c r="A6622" s="3" t="inlineStr">
        <is>
          <t>Quinate Consulting (Pty) Ltd</t>
        </is>
      </c>
      <c r="B6622" s="4" t="n">
        <v>45323</v>
      </c>
      <c r="C6622" s="3" t="inlineStr">
        <is>
          <t>Assets</t>
        </is>
      </c>
      <c r="D6622" s="3" t="inlineStr">
        <is>
          <t>8415/000</t>
        </is>
      </c>
      <c r="E6622" s="3" t="inlineStr">
        <is>
          <t>STD Acc 071 958 959 - Facility Acc</t>
        </is>
      </c>
      <c r="F6622" s="3" t="n">
        <v>0</v>
      </c>
      <c r="G6622" s="3" t="n">
        <v>2361.21</v>
      </c>
    </row>
    <row r="6623">
      <c r="A6623" s="3" t="inlineStr">
        <is>
          <t>Trademark Holdings (Pty) Ltd</t>
        </is>
      </c>
      <c r="B6623" s="4" t="n">
        <v>45323</v>
      </c>
      <c r="C6623" s="3" t="inlineStr">
        <is>
          <t>Assets</t>
        </is>
      </c>
      <c r="D6623" s="3" t="inlineStr">
        <is>
          <t>8420/000</t>
        </is>
      </c>
      <c r="E6623" s="3" t="inlineStr">
        <is>
          <t>FNB Credit Card</t>
        </is>
      </c>
      <c r="F6623" s="3" t="n">
        <v>0</v>
      </c>
      <c r="G6623" s="3" t="n">
        <v>624</v>
      </c>
    </row>
    <row r="6624">
      <c r="A6624" s="3" t="inlineStr">
        <is>
          <t>Quinate Consulting (Pty) Ltd</t>
        </is>
      </c>
      <c r="B6624" s="4" t="n">
        <v>45323</v>
      </c>
      <c r="C6624" s="3" t="inlineStr">
        <is>
          <t>Assets</t>
        </is>
      </c>
      <c r="D6624" s="3" t="inlineStr">
        <is>
          <t>8430/000</t>
        </is>
      </c>
      <c r="E6624" s="3" t="inlineStr">
        <is>
          <t>Momentum Investment Acc - RU502230185</t>
        </is>
      </c>
      <c r="F6624" s="3" t="n">
        <v>0</v>
      </c>
      <c r="G6624" s="3" t="n">
        <v>563.74</v>
      </c>
    </row>
    <row r="6625">
      <c r="A6625" s="3" t="inlineStr">
        <is>
          <t>Opportunity Global Investment (PTY) LTD</t>
        </is>
      </c>
      <c r="B6625" s="4" t="n">
        <v>45323</v>
      </c>
      <c r="C6625" s="3" t="inlineStr">
        <is>
          <t>Assets</t>
        </is>
      </c>
      <c r="D6625" s="3" t="inlineStr">
        <is>
          <t>8440/000</t>
        </is>
      </c>
      <c r="E6625" s="3" t="inlineStr">
        <is>
          <t>FNB - Call 627602764438</t>
        </is>
      </c>
      <c r="F6625" s="3" t="n">
        <v>0</v>
      </c>
      <c r="G6625" s="3" t="n">
        <v>-841.9299999999999</v>
      </c>
    </row>
    <row r="6626">
      <c r="A6626" s="3" t="inlineStr">
        <is>
          <t>Opportunity Global Investment (PTY) LTD</t>
        </is>
      </c>
      <c r="B6626" s="4" t="n">
        <v>45323</v>
      </c>
      <c r="C6626" s="3" t="inlineStr">
        <is>
          <t>Assets</t>
        </is>
      </c>
      <c r="D6626" s="3" t="inlineStr">
        <is>
          <t>8445/000</t>
        </is>
      </c>
      <c r="E6626" s="3" t="inlineStr">
        <is>
          <t>Momentum RU502230096</t>
        </is>
      </c>
      <c r="F6626" s="3" t="n">
        <v>0</v>
      </c>
      <c r="G6626" s="3" t="n">
        <v>4973.81</v>
      </c>
    </row>
    <row r="6627">
      <c r="A6627" s="3" t="inlineStr">
        <is>
          <t>Quinate Consulting (Pty) Ltd</t>
        </is>
      </c>
      <c r="B6627" s="4" t="n">
        <v>45323</v>
      </c>
      <c r="C6627" s="3" t="inlineStr">
        <is>
          <t>Assets</t>
        </is>
      </c>
      <c r="D6627" s="3" t="inlineStr">
        <is>
          <t>8450/000</t>
        </is>
      </c>
      <c r="E6627" s="3" t="inlineStr">
        <is>
          <t>A RMB 62275810820</t>
        </is>
      </c>
      <c r="F6627" s="3" t="n">
        <v>-9437.870000000001</v>
      </c>
      <c r="G6627" s="3" t="n">
        <v>1267022.09</v>
      </c>
    </row>
    <row r="6628">
      <c r="A6628" s="3" t="inlineStr">
        <is>
          <t>Opportunity Management Holdings (PTY) LTD</t>
        </is>
      </c>
      <c r="B6628" s="4" t="n">
        <v>45323</v>
      </c>
      <c r="C6628" s="3" t="inlineStr">
        <is>
          <t>Assets</t>
        </is>
      </c>
      <c r="D6628" s="3" t="inlineStr">
        <is>
          <t>8450/000</t>
        </is>
      </c>
      <c r="E6628" s="3" t="inlineStr">
        <is>
          <t>Petty Cash - CT Office</t>
        </is>
      </c>
      <c r="F6628" s="3" t="n">
        <v>0</v>
      </c>
      <c r="G6628" s="3" t="n">
        <v>1016.2</v>
      </c>
    </row>
    <row r="6629">
      <c r="A6629" s="3" t="inlineStr">
        <is>
          <t>Quinate Consulting (Pty) Ltd</t>
        </is>
      </c>
      <c r="B6629" s="4" t="n">
        <v>45323</v>
      </c>
      <c r="C6629" s="3" t="inlineStr">
        <is>
          <t>Assets</t>
        </is>
      </c>
      <c r="D6629" s="3" t="inlineStr">
        <is>
          <t>8470/000</t>
        </is>
      </c>
      <c r="E6629" s="3" t="inlineStr">
        <is>
          <t>ABSA: Quinate</t>
        </is>
      </c>
      <c r="F6629" s="3" t="n">
        <v>0</v>
      </c>
      <c r="G6629" s="3" t="n">
        <v>500</v>
      </c>
    </row>
    <row r="6630">
      <c r="A6630" s="3" t="inlineStr">
        <is>
          <t>Opportunity Global Investment (PTY) LTD</t>
        </is>
      </c>
      <c r="B6630" s="4" t="n">
        <v>45351</v>
      </c>
      <c r="C6630" s="3" t="inlineStr">
        <is>
          <t>Assets</t>
        </is>
      </c>
      <c r="D6630" s="3" t="inlineStr">
        <is>
          <t>8400/000</t>
        </is>
      </c>
      <c r="E6630" s="3" t="inlineStr">
        <is>
          <t>FNB 62093491696</t>
        </is>
      </c>
      <c r="F6630" s="3" t="n">
        <v>-7145.17</v>
      </c>
      <c r="G6630" s="3" t="n">
        <v>49422.18</v>
      </c>
    </row>
    <row r="6631">
      <c r="A6631" s="3" t="inlineStr">
        <is>
          <t>Opportunity Private Capital (PTY) LTD</t>
        </is>
      </c>
      <c r="B6631" s="4" t="n">
        <v>45351</v>
      </c>
      <c r="C6631" s="3" t="inlineStr">
        <is>
          <t>Assets</t>
        </is>
      </c>
      <c r="D6631" s="3" t="inlineStr">
        <is>
          <t>8400/000</t>
        </is>
      </c>
      <c r="E6631" s="3" t="inlineStr">
        <is>
          <t>FNB 62093491696</t>
        </is>
      </c>
      <c r="F6631" s="3" t="n">
        <v>-7145.17</v>
      </c>
      <c r="G6631" s="3" t="n">
        <v>49422.18</v>
      </c>
    </row>
    <row r="6632">
      <c r="A6632" s="3" t="inlineStr">
        <is>
          <t>Opportunity Global Property (PTY) LTD</t>
        </is>
      </c>
      <c r="B6632" s="4" t="n">
        <v>45351</v>
      </c>
      <c r="C6632" s="3" t="inlineStr">
        <is>
          <t>Assets</t>
        </is>
      </c>
      <c r="D6632" s="3" t="inlineStr">
        <is>
          <t>8400/000</t>
        </is>
      </c>
      <c r="E6632" s="3" t="inlineStr">
        <is>
          <t>FNB 62835620875</t>
        </is>
      </c>
      <c r="F6632" s="3" t="n">
        <v>8654.15</v>
      </c>
      <c r="G6632" s="3" t="n">
        <v>62149.08</v>
      </c>
    </row>
    <row r="6633">
      <c r="A6633" s="3" t="inlineStr">
        <is>
          <t>Opportunity Global Sales (PTY) LTD</t>
        </is>
      </c>
      <c r="B6633" s="4" t="n">
        <v>45351</v>
      </c>
      <c r="C6633" s="3" t="inlineStr">
        <is>
          <t>Assets</t>
        </is>
      </c>
      <c r="D6633" s="3" t="inlineStr">
        <is>
          <t>8400/000</t>
        </is>
      </c>
      <c r="E6633" s="3" t="inlineStr">
        <is>
          <t>FNB 62835620875</t>
        </is>
      </c>
      <c r="F6633" s="3" t="n">
        <v>8654.15</v>
      </c>
      <c r="G6633" s="3" t="n">
        <v>62149.08</v>
      </c>
    </row>
    <row r="6634">
      <c r="A6634" s="3" t="inlineStr">
        <is>
          <t>Quinate Consulting (Pty) Ltd</t>
        </is>
      </c>
      <c r="B6634" s="4" t="n">
        <v>45351</v>
      </c>
      <c r="C6634" s="3" t="inlineStr">
        <is>
          <t>Assets</t>
        </is>
      </c>
      <c r="D6634" s="3" t="inlineStr">
        <is>
          <t>8400/000</t>
        </is>
      </c>
      <c r="E6634" s="3" t="inlineStr">
        <is>
          <t>RMB - 62736659189 - Call Acc</t>
        </is>
      </c>
      <c r="F6634" s="3" t="n">
        <v>-487498.9</v>
      </c>
      <c r="G6634" s="3" t="n">
        <v>808842.0600000001</v>
      </c>
    </row>
    <row r="6635">
      <c r="A6635" s="3" t="inlineStr">
        <is>
          <t>Trademark Holdings (Pty) Ltd</t>
        </is>
      </c>
      <c r="B6635" s="4" t="n">
        <v>45351</v>
      </c>
      <c r="C6635" s="3" t="inlineStr">
        <is>
          <t>Assets</t>
        </is>
      </c>
      <c r="D6635" s="3" t="inlineStr">
        <is>
          <t>8400/000</t>
        </is>
      </c>
      <c r="E6635" s="3" t="inlineStr">
        <is>
          <t>RMB 623 693 03640</t>
        </is>
      </c>
      <c r="F6635" s="3" t="n">
        <v>30137.7</v>
      </c>
      <c r="G6635" s="3" t="n">
        <v>70155.39</v>
      </c>
    </row>
    <row r="6636">
      <c r="A6636" s="3" t="inlineStr">
        <is>
          <t>Noble Shield (Pty) Ltd ta Go Letting</t>
        </is>
      </c>
      <c r="B6636" s="4" t="n">
        <v>45351</v>
      </c>
      <c r="C6636" s="3" t="inlineStr">
        <is>
          <t>Assets</t>
        </is>
      </c>
      <c r="D6636" s="3" t="inlineStr">
        <is>
          <t>8400/000</t>
        </is>
      </c>
      <c r="E6636" s="3" t="inlineStr">
        <is>
          <t>RMB 6250 573 3833</t>
        </is>
      </c>
      <c r="F6636" s="3" t="n">
        <v>3706.19</v>
      </c>
      <c r="G6636" s="3" t="n">
        <v>48104.19</v>
      </c>
    </row>
    <row r="6637">
      <c r="A6637" s="3" t="inlineStr">
        <is>
          <t>Endulini (Pty) Ltd</t>
        </is>
      </c>
      <c r="B6637" s="4" t="n">
        <v>45351</v>
      </c>
      <c r="C6637" s="3" t="inlineStr">
        <is>
          <t>Assets</t>
        </is>
      </c>
      <c r="D6637" s="3" t="inlineStr">
        <is>
          <t>8400/000</t>
        </is>
      </c>
      <c r="E6637" s="3" t="inlineStr">
        <is>
          <t>RMB 62906944576</t>
        </is>
      </c>
      <c r="F6637" s="3" t="n">
        <v>8597.379999999999</v>
      </c>
      <c r="G6637" s="3" t="n">
        <v>34067.41</v>
      </c>
    </row>
    <row r="6638">
      <c r="A6638" s="3" t="inlineStr">
        <is>
          <t>Opportunity Management Holdings (PTY) LTD</t>
        </is>
      </c>
      <c r="B6638" s="4" t="n">
        <v>45351</v>
      </c>
      <c r="C6638" s="3" t="inlineStr">
        <is>
          <t>Assets</t>
        </is>
      </c>
      <c r="D6638" s="3" t="inlineStr">
        <is>
          <t>8400/000</t>
        </is>
      </c>
      <c r="E6638" s="3" t="inlineStr">
        <is>
          <t>RMB Cheq - 62312246920</t>
        </is>
      </c>
      <c r="F6638" s="3" t="n">
        <v>-67757.13</v>
      </c>
      <c r="G6638" s="3" t="n">
        <v>62245.02</v>
      </c>
    </row>
    <row r="6639">
      <c r="A6639" s="3" t="inlineStr">
        <is>
          <t>Opportunity Global Investment (PTY) LTD</t>
        </is>
      </c>
      <c r="B6639" s="4" t="n">
        <v>45351</v>
      </c>
      <c r="C6639" s="3" t="inlineStr">
        <is>
          <t>Assets</t>
        </is>
      </c>
      <c r="D6639" s="3" t="inlineStr">
        <is>
          <t>8405/000</t>
        </is>
      </c>
      <c r="E6639" s="3" t="inlineStr">
        <is>
          <t>FNB Trust 62762449265</t>
        </is>
      </c>
      <c r="F6639" s="3" t="n">
        <v>0</v>
      </c>
      <c r="G6639" s="3" t="n">
        <v>1141.1</v>
      </c>
    </row>
    <row r="6640">
      <c r="A6640" s="3" t="inlineStr">
        <is>
          <t>Opportunity Private Capital (PTY) LTD</t>
        </is>
      </c>
      <c r="B6640" s="4" t="n">
        <v>45351</v>
      </c>
      <c r="C6640" s="3" t="inlineStr">
        <is>
          <t>Assets</t>
        </is>
      </c>
      <c r="D6640" s="3" t="inlineStr">
        <is>
          <t>8405/000</t>
        </is>
      </c>
      <c r="E6640" s="3" t="inlineStr">
        <is>
          <t>FNB Trust 62762449265</t>
        </is>
      </c>
      <c r="F6640" s="3" t="n">
        <v>0</v>
      </c>
      <c r="G6640" s="3" t="n">
        <v>1141.1</v>
      </c>
    </row>
    <row r="6641">
      <c r="A6641" s="3" t="inlineStr">
        <is>
          <t>Endulini (Pty) Ltd</t>
        </is>
      </c>
      <c r="B6641" s="4" t="n">
        <v>45351</v>
      </c>
      <c r="C6641" s="3" t="inlineStr">
        <is>
          <t>Assets</t>
        </is>
      </c>
      <c r="D6641" s="3" t="inlineStr">
        <is>
          <t>8410/000</t>
        </is>
      </c>
      <c r="E6641" s="3" t="inlineStr">
        <is>
          <t>Momentum Investor Account : RU 502229883</t>
        </is>
      </c>
      <c r="F6641" s="3" t="n">
        <v>0.49</v>
      </c>
      <c r="G6641" s="3" t="n">
        <v>24.52</v>
      </c>
    </row>
    <row r="6642">
      <c r="A6642" s="3" t="inlineStr">
        <is>
          <t>Opportunity Management Holdings (PTY) LTD</t>
        </is>
      </c>
      <c r="B6642" s="4" t="n">
        <v>45351</v>
      </c>
      <c r="C6642" s="3" t="inlineStr">
        <is>
          <t>Assets</t>
        </is>
      </c>
      <c r="D6642" s="3" t="inlineStr">
        <is>
          <t>8410/000</t>
        </is>
      </c>
      <c r="E6642" s="3" t="inlineStr">
        <is>
          <t>RMB Call Acc - 62312248851</t>
        </is>
      </c>
      <c r="F6642" s="3" t="n">
        <v>0</v>
      </c>
      <c r="G6642" s="3" t="n">
        <v>1432.34</v>
      </c>
    </row>
    <row r="6643">
      <c r="A6643" s="3" t="inlineStr">
        <is>
          <t>Noble Shield (Pty) Ltd ta Go Letting</t>
        </is>
      </c>
      <c r="B6643" s="4" t="n">
        <v>45351</v>
      </c>
      <c r="C6643" s="3" t="inlineStr">
        <is>
          <t>Assets</t>
        </is>
      </c>
      <c r="D6643" s="3" t="inlineStr">
        <is>
          <t>8410/000</t>
        </is>
      </c>
      <c r="E6643" s="3" t="inlineStr">
        <is>
          <t>RMB Trust Acc - 6250 615 1365</t>
        </is>
      </c>
      <c r="F6643" s="3" t="n">
        <v>-149.06</v>
      </c>
      <c r="G6643" s="3" t="n">
        <v>480.07</v>
      </c>
    </row>
    <row r="6644">
      <c r="A6644" s="3" t="inlineStr">
        <is>
          <t>Quinate Consulting (Pty) Ltd</t>
        </is>
      </c>
      <c r="B6644" s="4" t="n">
        <v>45351</v>
      </c>
      <c r="C6644" s="3" t="inlineStr">
        <is>
          <t>Assets</t>
        </is>
      </c>
      <c r="D6644" s="3" t="inlineStr">
        <is>
          <t>8415/000</t>
        </is>
      </c>
      <c r="E6644" s="3" t="inlineStr">
        <is>
          <t>STD Acc 071 958 959 - Facility Acc</t>
        </is>
      </c>
      <c r="F6644" s="3" t="n">
        <v>-85</v>
      </c>
      <c r="G6644" s="3" t="n">
        <v>2276.21</v>
      </c>
    </row>
    <row r="6645">
      <c r="A6645" s="3" t="inlineStr">
        <is>
          <t>Trademark Holdings (Pty) Ltd</t>
        </is>
      </c>
      <c r="B6645" s="4" t="n">
        <v>45351</v>
      </c>
      <c r="C6645" s="3" t="inlineStr">
        <is>
          <t>Assets</t>
        </is>
      </c>
      <c r="D6645" s="3" t="inlineStr">
        <is>
          <t>8420/000</t>
        </is>
      </c>
      <c r="E6645" s="3" t="inlineStr">
        <is>
          <t>FNB Credit Card</t>
        </is>
      </c>
      <c r="F6645" s="3" t="n">
        <v>0</v>
      </c>
      <c r="G6645" s="3" t="n">
        <v>624</v>
      </c>
    </row>
    <row r="6646">
      <c r="A6646" s="3" t="inlineStr">
        <is>
          <t>Quinate Consulting (Pty) Ltd</t>
        </is>
      </c>
      <c r="B6646" s="4" t="n">
        <v>45351</v>
      </c>
      <c r="C6646" s="3" t="inlineStr">
        <is>
          <t>Assets</t>
        </is>
      </c>
      <c r="D6646" s="3" t="inlineStr">
        <is>
          <t>8430/000</t>
        </is>
      </c>
      <c r="E6646" s="3" t="inlineStr">
        <is>
          <t>Momentum Investment Acc - RU502230185</t>
        </is>
      </c>
      <c r="F6646" s="3" t="n">
        <v>11.14</v>
      </c>
      <c r="G6646" s="3" t="n">
        <v>574.88</v>
      </c>
    </row>
    <row r="6647">
      <c r="A6647" s="3" t="inlineStr">
        <is>
          <t>Opportunity Global Investment (PTY) LTD</t>
        </is>
      </c>
      <c r="B6647" s="4" t="n">
        <v>45351</v>
      </c>
      <c r="C6647" s="3" t="inlineStr">
        <is>
          <t>Assets</t>
        </is>
      </c>
      <c r="D6647" s="3" t="inlineStr">
        <is>
          <t>8440/000</t>
        </is>
      </c>
      <c r="E6647" s="3" t="inlineStr">
        <is>
          <t>FNB - Call 627602764438</t>
        </is>
      </c>
      <c r="F6647" s="3" t="n">
        <v>-838.77</v>
      </c>
      <c r="G6647" s="3" t="n">
        <v>-1680.7</v>
      </c>
    </row>
    <row r="6648">
      <c r="A6648" s="3" t="inlineStr">
        <is>
          <t>Opportunity Private Capital (PTY) LTD</t>
        </is>
      </c>
      <c r="B6648" s="4" t="n">
        <v>45351</v>
      </c>
      <c r="C6648" s="3" t="inlineStr">
        <is>
          <t>Assets</t>
        </is>
      </c>
      <c r="D6648" s="3" t="inlineStr">
        <is>
          <t>8440/000</t>
        </is>
      </c>
      <c r="E6648" s="3" t="inlineStr">
        <is>
          <t>FNB - Call 627602764438</t>
        </is>
      </c>
      <c r="F6648" s="3" t="n">
        <v>-838.77</v>
      </c>
      <c r="G6648" s="3" t="n">
        <v>-1680.7</v>
      </c>
    </row>
    <row r="6649">
      <c r="A6649" s="3" t="inlineStr">
        <is>
          <t>Opportunity Global Investment (PTY) LTD</t>
        </is>
      </c>
      <c r="B6649" s="4" t="n">
        <v>45351</v>
      </c>
      <c r="C6649" s="3" t="inlineStr">
        <is>
          <t>Assets</t>
        </is>
      </c>
      <c r="D6649" s="3" t="inlineStr">
        <is>
          <t>8445/000</t>
        </is>
      </c>
      <c r="E6649" s="3" t="inlineStr">
        <is>
          <t>Momentum RU502230096</t>
        </is>
      </c>
      <c r="F6649" s="3" t="n">
        <v>108.08</v>
      </c>
      <c r="G6649" s="3" t="n">
        <v>5081.89</v>
      </c>
    </row>
    <row r="6650">
      <c r="A6650" s="3" t="inlineStr">
        <is>
          <t>Opportunity Private Capital (PTY) LTD</t>
        </is>
      </c>
      <c r="B6650" s="4" t="n">
        <v>45351</v>
      </c>
      <c r="C6650" s="3" t="inlineStr">
        <is>
          <t>Assets</t>
        </is>
      </c>
      <c r="D6650" s="3" t="inlineStr">
        <is>
          <t>8445/000</t>
        </is>
      </c>
      <c r="E6650" s="3" t="inlineStr">
        <is>
          <t>Momentum RU502230096</t>
        </is>
      </c>
      <c r="F6650" s="3" t="n">
        <v>108.08</v>
      </c>
      <c r="G6650" s="3" t="n">
        <v>5081.89</v>
      </c>
    </row>
    <row r="6651">
      <c r="A6651" s="3" t="inlineStr">
        <is>
          <t>Quinate Consulting (Pty) Ltd</t>
        </is>
      </c>
      <c r="B6651" s="4" t="n">
        <v>45351</v>
      </c>
      <c r="C6651" s="3" t="inlineStr">
        <is>
          <t>Assets</t>
        </is>
      </c>
      <c r="D6651" s="3" t="inlineStr">
        <is>
          <t>8450/000</t>
        </is>
      </c>
      <c r="E6651" s="3" t="inlineStr">
        <is>
          <t>A RMB 62275810820</t>
        </is>
      </c>
      <c r="F6651" s="3" t="n">
        <v>-1097566.61</v>
      </c>
      <c r="G6651" s="3" t="n">
        <v>178893.35</v>
      </c>
    </row>
    <row r="6652">
      <c r="A6652" s="3" t="inlineStr">
        <is>
          <t>Opportunity Management Holdings (PTY) LTD</t>
        </is>
      </c>
      <c r="B6652" s="4" t="n">
        <v>45351</v>
      </c>
      <c r="C6652" s="3" t="inlineStr">
        <is>
          <t>Assets</t>
        </is>
      </c>
      <c r="D6652" s="3" t="inlineStr">
        <is>
          <t>8450/000</t>
        </is>
      </c>
      <c r="E6652" s="3" t="inlineStr">
        <is>
          <t>Petty Cash - CT Office</t>
        </is>
      </c>
      <c r="F6652" s="3" t="n">
        <v>0</v>
      </c>
      <c r="G6652" s="3" t="n">
        <v>1016.2</v>
      </c>
    </row>
    <row r="6653">
      <c r="A6653" s="3" t="inlineStr">
        <is>
          <t>Quinate Consulting (Pty) Ltd</t>
        </is>
      </c>
      <c r="B6653" s="4" t="n">
        <v>45351</v>
      </c>
      <c r="C6653" s="3" t="inlineStr">
        <is>
          <t>Assets</t>
        </is>
      </c>
      <c r="D6653" s="3" t="inlineStr">
        <is>
          <t>8470/000</t>
        </is>
      </c>
      <c r="E6653" s="3" t="inlineStr">
        <is>
          <t>ABSA: Quinate</t>
        </is>
      </c>
      <c r="F6653" s="3" t="n">
        <v>0</v>
      </c>
      <c r="G6653" s="3" t="n">
        <v>500</v>
      </c>
    </row>
    <row r="6654">
      <c r="A6654" s="3" t="inlineStr">
        <is>
          <t>Opportunity Private Capital (PTY) LTD</t>
        </is>
      </c>
      <c r="B6654" s="4" t="n">
        <v>45382</v>
      </c>
      <c r="C6654" s="3" t="inlineStr">
        <is>
          <t>Assets</t>
        </is>
      </c>
      <c r="D6654" s="3" t="inlineStr">
        <is>
          <t>8400/000</t>
        </is>
      </c>
      <c r="E6654" s="3" t="inlineStr">
        <is>
          <t>FNB 62093491696</t>
        </is>
      </c>
      <c r="F6654" s="3" t="n">
        <v>242815.69</v>
      </c>
      <c r="G6654" s="3" t="n">
        <v>292237.87</v>
      </c>
    </row>
    <row r="6655">
      <c r="A6655" s="3" t="inlineStr">
        <is>
          <t>Opportunity Global Property (PTY) LTD</t>
        </is>
      </c>
      <c r="B6655" s="4" t="n">
        <v>45382</v>
      </c>
      <c r="C6655" s="3" t="inlineStr">
        <is>
          <t>Assets</t>
        </is>
      </c>
      <c r="D6655" s="3" t="inlineStr">
        <is>
          <t>8400/000</t>
        </is>
      </c>
      <c r="E6655" s="3" t="inlineStr">
        <is>
          <t>FNB 62835620875</t>
        </is>
      </c>
      <c r="F6655" s="3" t="n">
        <v>-4585.24</v>
      </c>
      <c r="G6655" s="3" t="n">
        <v>57563.84</v>
      </c>
    </row>
    <row r="6656">
      <c r="A6656" s="3" t="inlineStr">
        <is>
          <t>Quinate Consulting (Pty) Ltd</t>
        </is>
      </c>
      <c r="B6656" s="4" t="n">
        <v>45382</v>
      </c>
      <c r="C6656" s="3" t="inlineStr">
        <is>
          <t>Assets</t>
        </is>
      </c>
      <c r="D6656" s="3" t="inlineStr">
        <is>
          <t>8400/000</t>
        </is>
      </c>
      <c r="E6656" s="3" t="inlineStr">
        <is>
          <t>RMB - 62736659189 - Call Acc</t>
        </is>
      </c>
      <c r="F6656" s="3" t="n">
        <v>-100099.98</v>
      </c>
      <c r="G6656" s="3" t="n">
        <v>708742.08</v>
      </c>
    </row>
    <row r="6657">
      <c r="A6657" s="3" t="inlineStr">
        <is>
          <t>Trademark Holdings (Pty) Ltd</t>
        </is>
      </c>
      <c r="B6657" s="4" t="n">
        <v>45382</v>
      </c>
      <c r="C6657" s="3" t="inlineStr">
        <is>
          <t>Assets</t>
        </is>
      </c>
      <c r="D6657" s="3" t="inlineStr">
        <is>
          <t>8400/000</t>
        </is>
      </c>
      <c r="E6657" s="3" t="inlineStr">
        <is>
          <t>RMB 623 693 03640</t>
        </is>
      </c>
      <c r="F6657" s="3" t="n">
        <v>-30690.91</v>
      </c>
      <c r="G6657" s="3" t="n">
        <v>39464.48</v>
      </c>
    </row>
    <row r="6658">
      <c r="A6658" s="3" t="inlineStr">
        <is>
          <t>Noble Shield (Pty) Ltd ta Go Letting</t>
        </is>
      </c>
      <c r="B6658" s="4" t="n">
        <v>45382</v>
      </c>
      <c r="C6658" s="3" t="inlineStr">
        <is>
          <t>Assets</t>
        </is>
      </c>
      <c r="D6658" s="3" t="inlineStr">
        <is>
          <t>8400/000</t>
        </is>
      </c>
      <c r="E6658" s="3" t="inlineStr">
        <is>
          <t>RMB 6250 573 3833</t>
        </is>
      </c>
      <c r="F6658" s="3" t="n">
        <v>-36196.67</v>
      </c>
      <c r="G6658" s="3" t="n">
        <v>11907.52</v>
      </c>
    </row>
    <row r="6659">
      <c r="A6659" s="3" t="inlineStr">
        <is>
          <t>Endulini (Pty) Ltd</t>
        </is>
      </c>
      <c r="B6659" s="4" t="n">
        <v>45382</v>
      </c>
      <c r="C6659" s="3" t="inlineStr">
        <is>
          <t>Assets</t>
        </is>
      </c>
      <c r="D6659" s="3" t="inlineStr">
        <is>
          <t>8400/000</t>
        </is>
      </c>
      <c r="E6659" s="3" t="inlineStr">
        <is>
          <t>RMB 62906944576</t>
        </is>
      </c>
      <c r="F6659" s="3" t="n">
        <v>-1070677.34</v>
      </c>
      <c r="G6659" s="3" t="n">
        <v>-1036609.93</v>
      </c>
    </row>
    <row r="6660">
      <c r="A6660" s="3" t="inlineStr">
        <is>
          <t>Opportunity Management Holdings (PTY) LTD</t>
        </is>
      </c>
      <c r="B6660" s="4" t="n">
        <v>45382</v>
      </c>
      <c r="C6660" s="3" t="inlineStr">
        <is>
          <t>Assets</t>
        </is>
      </c>
      <c r="D6660" s="3" t="inlineStr">
        <is>
          <t>8400/000</t>
        </is>
      </c>
      <c r="E6660" s="3" t="inlineStr">
        <is>
          <t>RMB Cheq - 62312246920</t>
        </is>
      </c>
      <c r="F6660" s="3" t="n">
        <v>-297968.16</v>
      </c>
      <c r="G6660" s="3" t="n">
        <v>-235723.14</v>
      </c>
    </row>
    <row r="6661">
      <c r="A6661" s="3" t="inlineStr">
        <is>
          <t>Opportunity Global Property (PTY) LTD</t>
        </is>
      </c>
      <c r="B6661" s="4" t="n">
        <v>45382</v>
      </c>
      <c r="C6661" s="3" t="inlineStr">
        <is>
          <t>Assets</t>
        </is>
      </c>
      <c r="D6661" s="3" t="inlineStr">
        <is>
          <t>8405/000</t>
        </is>
      </c>
      <c r="E6661" s="3" t="inlineStr">
        <is>
          <t>FNB Trust 62762449265</t>
        </is>
      </c>
      <c r="F6661" s="3" t="n">
        <v>-141.72</v>
      </c>
      <c r="G6661" s="3" t="n">
        <v>-141.72</v>
      </c>
    </row>
    <row r="6662">
      <c r="A6662" s="3" t="inlineStr">
        <is>
          <t>Opportunity Private Capital (PTY) LTD</t>
        </is>
      </c>
      <c r="B6662" s="4" t="n">
        <v>45382</v>
      </c>
      <c r="C6662" s="3" t="inlineStr">
        <is>
          <t>Assets</t>
        </is>
      </c>
      <c r="D6662" s="3" t="inlineStr">
        <is>
          <t>8405/000</t>
        </is>
      </c>
      <c r="E6662" s="3" t="inlineStr">
        <is>
          <t>FNB Trust 62762449265</t>
        </is>
      </c>
      <c r="F6662" s="3" t="n">
        <v>0</v>
      </c>
      <c r="G6662" s="3" t="n">
        <v>1141.1</v>
      </c>
    </row>
    <row r="6663">
      <c r="A6663" s="3" t="inlineStr">
        <is>
          <t>Endulini (Pty) Ltd</t>
        </is>
      </c>
      <c r="B6663" s="4" t="n">
        <v>45382</v>
      </c>
      <c r="C6663" s="3" t="inlineStr">
        <is>
          <t>Assets</t>
        </is>
      </c>
      <c r="D6663" s="3" t="inlineStr">
        <is>
          <t>8410/000</t>
        </is>
      </c>
      <c r="E6663" s="3" t="inlineStr">
        <is>
          <t>Momentum Investor Account : RU 502229883</t>
        </is>
      </c>
      <c r="F6663" s="3" t="n">
        <v>0</v>
      </c>
      <c r="G6663" s="3" t="n">
        <v>24.52</v>
      </c>
    </row>
    <row r="6664">
      <c r="A6664" s="3" t="inlineStr">
        <is>
          <t>Opportunity Management Holdings (PTY) LTD</t>
        </is>
      </c>
      <c r="B6664" s="4" t="n">
        <v>45382</v>
      </c>
      <c r="C6664" s="3" t="inlineStr">
        <is>
          <t>Assets</t>
        </is>
      </c>
      <c r="D6664" s="3" t="inlineStr">
        <is>
          <t>8410/000</t>
        </is>
      </c>
      <c r="E6664" s="3" t="inlineStr">
        <is>
          <t>RMB Call Acc - 62312248851</t>
        </is>
      </c>
      <c r="F6664" s="3" t="n">
        <v>0</v>
      </c>
      <c r="G6664" s="3" t="n">
        <v>1432.34</v>
      </c>
    </row>
    <row r="6665">
      <c r="A6665" s="3" t="inlineStr">
        <is>
          <t>Noble Shield (Pty) Ltd ta Go Letting</t>
        </is>
      </c>
      <c r="B6665" s="4" t="n">
        <v>45382</v>
      </c>
      <c r="C6665" s="3" t="inlineStr">
        <is>
          <t>Assets</t>
        </is>
      </c>
      <c r="D6665" s="3" t="inlineStr">
        <is>
          <t>8410/000</t>
        </is>
      </c>
      <c r="E6665" s="3" t="inlineStr">
        <is>
          <t>RMB Trust Acc - 6250 615 1365</t>
        </is>
      </c>
      <c r="F6665" s="3" t="n">
        <v>-77.42</v>
      </c>
      <c r="G6665" s="3" t="n">
        <v>402.65</v>
      </c>
    </row>
    <row r="6666">
      <c r="A6666" s="3" t="inlineStr">
        <is>
          <t>Quinate Consulting (Pty) Ltd</t>
        </is>
      </c>
      <c r="B6666" s="4" t="n">
        <v>45382</v>
      </c>
      <c r="C6666" s="3" t="inlineStr">
        <is>
          <t>Assets</t>
        </is>
      </c>
      <c r="D6666" s="3" t="inlineStr">
        <is>
          <t>8415/000</t>
        </is>
      </c>
      <c r="E6666" s="3" t="inlineStr">
        <is>
          <t>STD Acc 071 958 959 - Facility Acc</t>
        </is>
      </c>
      <c r="F6666" s="3" t="n">
        <v>0</v>
      </c>
      <c r="G6666" s="3" t="n">
        <v>2276.21</v>
      </c>
    </row>
    <row r="6667">
      <c r="A6667" s="3" t="inlineStr">
        <is>
          <t>Trademark Holdings (Pty) Ltd</t>
        </is>
      </c>
      <c r="B6667" s="4" t="n">
        <v>45382</v>
      </c>
      <c r="C6667" s="3" t="inlineStr">
        <is>
          <t>Assets</t>
        </is>
      </c>
      <c r="D6667" s="3" t="inlineStr">
        <is>
          <t>8420/000</t>
        </is>
      </c>
      <c r="E6667" s="3" t="inlineStr">
        <is>
          <t>FNB Credit Card</t>
        </is>
      </c>
      <c r="F6667" s="3" t="n">
        <v>0</v>
      </c>
      <c r="G6667" s="3" t="n">
        <v>624</v>
      </c>
    </row>
    <row r="6668">
      <c r="A6668" s="3" t="inlineStr">
        <is>
          <t>Quinate Consulting (Pty) Ltd</t>
        </is>
      </c>
      <c r="B6668" s="4" t="n">
        <v>45382</v>
      </c>
      <c r="C6668" s="3" t="inlineStr">
        <is>
          <t>Assets</t>
        </is>
      </c>
      <c r="D6668" s="3" t="inlineStr">
        <is>
          <t>8430/000</t>
        </is>
      </c>
      <c r="E6668" s="3" t="inlineStr">
        <is>
          <t>Momentum Investment Acc - RU502230185</t>
        </is>
      </c>
      <c r="F6668" s="3" t="n">
        <v>0</v>
      </c>
      <c r="G6668" s="3" t="n">
        <v>574.88</v>
      </c>
    </row>
    <row r="6669">
      <c r="A6669" s="3" t="inlineStr">
        <is>
          <t>Opportunity Private Capital (PTY) LTD</t>
        </is>
      </c>
      <c r="B6669" s="4" t="n">
        <v>45382</v>
      </c>
      <c r="C6669" s="3" t="inlineStr">
        <is>
          <t>Assets</t>
        </is>
      </c>
      <c r="D6669" s="3" t="inlineStr">
        <is>
          <t>8440/000</t>
        </is>
      </c>
      <c r="E6669" s="3" t="inlineStr">
        <is>
          <t>FNB - Call 627602764438</t>
        </is>
      </c>
      <c r="F6669" s="3" t="n">
        <v>0</v>
      </c>
      <c r="G6669" s="3" t="n">
        <v>-1680.7</v>
      </c>
    </row>
    <row r="6670">
      <c r="A6670" s="3" t="inlineStr">
        <is>
          <t>Opportunity Private Capital (PTY) LTD</t>
        </is>
      </c>
      <c r="B6670" s="4" t="n">
        <v>45382</v>
      </c>
      <c r="C6670" s="3" t="inlineStr">
        <is>
          <t>Assets</t>
        </is>
      </c>
      <c r="D6670" s="3" t="inlineStr">
        <is>
          <t>8445/000</t>
        </is>
      </c>
      <c r="E6670" s="3" t="inlineStr">
        <is>
          <t>Momentum RU502230096</t>
        </is>
      </c>
      <c r="F6670" s="3" t="n">
        <v>0</v>
      </c>
      <c r="G6670" s="3" t="n">
        <v>5081.89</v>
      </c>
    </row>
    <row r="6671">
      <c r="A6671" s="3" t="inlineStr">
        <is>
          <t>Quinate Consulting (Pty) Ltd</t>
        </is>
      </c>
      <c r="B6671" s="4" t="n">
        <v>45382</v>
      </c>
      <c r="C6671" s="3" t="inlineStr">
        <is>
          <t>Assets</t>
        </is>
      </c>
      <c r="D6671" s="3" t="inlineStr">
        <is>
          <t>8450/000</t>
        </is>
      </c>
      <c r="E6671" s="3" t="inlineStr">
        <is>
          <t>A RMB 62275810820</t>
        </is>
      </c>
      <c r="F6671" s="3" t="n">
        <v>-16123.01</v>
      </c>
      <c r="G6671" s="3" t="n">
        <v>162770.34</v>
      </c>
    </row>
    <row r="6672">
      <c r="A6672" s="3" t="inlineStr">
        <is>
          <t>Opportunity Management Holdings (PTY) LTD</t>
        </is>
      </c>
      <c r="B6672" s="4" t="n">
        <v>45382</v>
      </c>
      <c r="C6672" s="3" t="inlineStr">
        <is>
          <t>Assets</t>
        </is>
      </c>
      <c r="D6672" s="3" t="inlineStr">
        <is>
          <t>8450/000</t>
        </is>
      </c>
      <c r="E6672" s="3" t="inlineStr">
        <is>
          <t>Petty Cash - CT Office</t>
        </is>
      </c>
      <c r="F6672" s="3" t="n">
        <v>0</v>
      </c>
      <c r="G6672" s="3" t="n">
        <v>1016.2</v>
      </c>
    </row>
    <row r="6673">
      <c r="A6673" s="3" t="inlineStr">
        <is>
          <t>Quinate Consulting (Pty) Ltd</t>
        </is>
      </c>
      <c r="B6673" s="4" t="n">
        <v>45382</v>
      </c>
      <c r="C6673" s="3" t="inlineStr">
        <is>
          <t>Assets</t>
        </is>
      </c>
      <c r="D6673" s="3" t="inlineStr">
        <is>
          <t>8470/000</t>
        </is>
      </c>
      <c r="E6673" s="3" t="inlineStr">
        <is>
          <t>ABSA: Quinate</t>
        </is>
      </c>
      <c r="F6673" s="3" t="n">
        <v>0</v>
      </c>
      <c r="G6673" s="3" t="n">
        <v>500</v>
      </c>
    </row>
  </sheetData>
  <autoFilter ref="A4:G6673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1072BA"/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Other Costs</t>
        </is>
      </c>
    </row>
    <row r="2">
      <c r="A2" t="inlineStr"/>
    </row>
    <row r="3">
      <c r="A3" t="inlineStr"/>
    </row>
    <row r="5">
      <c r="A5" t="inlineStr">
        <is>
          <t>CPSD</t>
        </is>
      </c>
      <c r="B5" t="inlineStr">
        <is>
          <t>Expenses</t>
        </is>
      </c>
      <c r="C5" s="7" t="n">
        <v>45230</v>
      </c>
      <c r="D5" t="n">
        <v>5125504.85</v>
      </c>
    </row>
    <row r="6">
      <c r="A6" t="inlineStr">
        <is>
          <t>CPSD</t>
        </is>
      </c>
      <c r="B6" t="inlineStr">
        <is>
          <t>Expenses</t>
        </is>
      </c>
      <c r="C6" s="7" t="n">
        <v>45260</v>
      </c>
      <c r="D6" t="n">
        <v>314037.88</v>
      </c>
    </row>
    <row r="7">
      <c r="A7" t="inlineStr">
        <is>
          <t>CPSD</t>
        </is>
      </c>
      <c r="B7" t="inlineStr">
        <is>
          <t>Expenses</t>
        </is>
      </c>
      <c r="C7" s="7" t="n">
        <v>45291</v>
      </c>
      <c r="D7" t="n">
        <v>314037.88</v>
      </c>
    </row>
    <row r="8">
      <c r="A8" t="inlineStr">
        <is>
          <t>CPSD</t>
        </is>
      </c>
      <c r="B8" t="inlineStr">
        <is>
          <t>Expenses</t>
        </is>
      </c>
      <c r="C8" s="7" t="n">
        <v>45322</v>
      </c>
      <c r="D8" t="n">
        <v>314037.88</v>
      </c>
    </row>
    <row r="9">
      <c r="A9" t="inlineStr">
        <is>
          <t>CPSD</t>
        </is>
      </c>
      <c r="B9" t="inlineStr">
        <is>
          <t>Expenses</t>
        </is>
      </c>
      <c r="C9" s="7" t="n">
        <v>45351</v>
      </c>
      <c r="D9" t="n">
        <v>314037.88</v>
      </c>
    </row>
    <row r="10">
      <c r="A10" t="inlineStr">
        <is>
          <t>CPSD</t>
        </is>
      </c>
      <c r="B10" t="inlineStr">
        <is>
          <t>Expenses</t>
        </is>
      </c>
      <c r="C10" s="7" t="n">
        <v>45382</v>
      </c>
      <c r="D10" t="n">
        <v>314037.88</v>
      </c>
    </row>
    <row r="11">
      <c r="A11" t="inlineStr">
        <is>
          <t>CPSD</t>
        </is>
      </c>
      <c r="B11" t="inlineStr">
        <is>
          <t>Expenses</t>
        </is>
      </c>
      <c r="C11" s="7" t="n">
        <v>45412</v>
      </c>
      <c r="D11" t="n">
        <v>314037.88</v>
      </c>
    </row>
    <row r="12">
      <c r="A12" t="inlineStr">
        <is>
          <t>CPSD</t>
        </is>
      </c>
      <c r="B12" t="inlineStr">
        <is>
          <t>Expenses</t>
        </is>
      </c>
      <c r="C12" s="7" t="n">
        <v>45443</v>
      </c>
      <c r="D12" t="n">
        <v>314037.88</v>
      </c>
    </row>
    <row r="13">
      <c r="A13" t="inlineStr">
        <is>
          <t>CPSD</t>
        </is>
      </c>
      <c r="B13" t="inlineStr">
        <is>
          <t>Expenses</t>
        </is>
      </c>
      <c r="C13" s="7" t="n">
        <v>45473</v>
      </c>
      <c r="D13" t="n">
        <v>314037.88</v>
      </c>
    </row>
    <row r="14">
      <c r="A14" t="inlineStr">
        <is>
          <t>CPSD</t>
        </is>
      </c>
      <c r="B14" t="inlineStr">
        <is>
          <t>Expenses</t>
        </is>
      </c>
      <c r="C14" s="7" t="n">
        <v>45504</v>
      </c>
      <c r="D14" t="n">
        <v>314037.88</v>
      </c>
    </row>
    <row r="15">
      <c r="A15" t="inlineStr">
        <is>
          <t>CPSD</t>
        </is>
      </c>
      <c r="B15" t="inlineStr">
        <is>
          <t>Expenses</t>
        </is>
      </c>
      <c r="C15" s="7" t="n">
        <v>45535</v>
      </c>
      <c r="D15" t="n">
        <v>314037.88</v>
      </c>
    </row>
    <row r="16">
      <c r="A16" t="inlineStr">
        <is>
          <t>OppInvest</t>
        </is>
      </c>
      <c r="B16" t="inlineStr">
        <is>
          <t>Expenses</t>
        </is>
      </c>
      <c r="C16" s="7" t="n">
        <v>45230</v>
      </c>
      <c r="D16" t="n">
        <v>5676905</v>
      </c>
    </row>
    <row r="17">
      <c r="A17" t="inlineStr">
        <is>
          <t>OppInvest</t>
        </is>
      </c>
      <c r="B17" t="inlineStr">
        <is>
          <t>Expenses</t>
        </is>
      </c>
      <c r="C17" s="7" t="n">
        <v>45260</v>
      </c>
      <c r="D17" t="n">
        <v>392914.302</v>
      </c>
    </row>
    <row r="18">
      <c r="A18" t="inlineStr">
        <is>
          <t>OppInvest</t>
        </is>
      </c>
      <c r="B18" t="inlineStr">
        <is>
          <t>Expenses</t>
        </is>
      </c>
      <c r="C18" s="7" t="n">
        <v>45291</v>
      </c>
      <c r="D18" t="n">
        <v>392914.302</v>
      </c>
    </row>
    <row r="19">
      <c r="A19" t="inlineStr">
        <is>
          <t>OppInvest</t>
        </is>
      </c>
      <c r="B19" t="inlineStr">
        <is>
          <t>Expenses</t>
        </is>
      </c>
      <c r="C19" s="7" t="n">
        <v>45322</v>
      </c>
      <c r="D19" t="n">
        <v>392914.302</v>
      </c>
    </row>
    <row r="20">
      <c r="A20" t="inlineStr">
        <is>
          <t>OppInvest</t>
        </is>
      </c>
      <c r="B20" t="inlineStr">
        <is>
          <t>Expenses</t>
        </is>
      </c>
      <c r="C20" s="7" t="n">
        <v>45351</v>
      </c>
      <c r="D20" t="n">
        <v>392914.302</v>
      </c>
    </row>
    <row r="21">
      <c r="A21" t="inlineStr">
        <is>
          <t>OppInvest</t>
        </is>
      </c>
      <c r="B21" t="inlineStr">
        <is>
          <t>Expenses</t>
        </is>
      </c>
      <c r="C21" s="7" t="n">
        <v>45382</v>
      </c>
      <c r="D21" t="n">
        <v>392914.302</v>
      </c>
    </row>
    <row r="22">
      <c r="A22" t="inlineStr">
        <is>
          <t>OppInvest</t>
        </is>
      </c>
      <c r="B22" t="inlineStr">
        <is>
          <t>Expenses</t>
        </is>
      </c>
      <c r="C22" s="7" t="n">
        <v>45412</v>
      </c>
      <c r="D22" t="n">
        <v>392914.302</v>
      </c>
    </row>
    <row r="23">
      <c r="A23" t="inlineStr">
        <is>
          <t>OppInvest</t>
        </is>
      </c>
      <c r="B23" t="inlineStr">
        <is>
          <t>Expenses</t>
        </is>
      </c>
      <c r="C23" s="7" t="n">
        <v>45443</v>
      </c>
      <c r="D23" t="n">
        <v>392914.302</v>
      </c>
    </row>
    <row r="24">
      <c r="A24" t="inlineStr">
        <is>
          <t>OppInvest</t>
        </is>
      </c>
      <c r="B24" t="inlineStr">
        <is>
          <t>Expenses</t>
        </is>
      </c>
      <c r="C24" s="7" t="n">
        <v>45473</v>
      </c>
      <c r="D24" t="n">
        <v>392914.302</v>
      </c>
    </row>
    <row r="25">
      <c r="A25" t="inlineStr">
        <is>
          <t>OppInvest</t>
        </is>
      </c>
      <c r="B25" t="inlineStr">
        <is>
          <t>Expenses</t>
        </is>
      </c>
      <c r="C25" s="7" t="n">
        <v>45504</v>
      </c>
      <c r="D25" t="n">
        <v>392914.302</v>
      </c>
    </row>
    <row r="26">
      <c r="A26" t="inlineStr">
        <is>
          <t>OppInvest</t>
        </is>
      </c>
      <c r="B26" t="inlineStr">
        <is>
          <t>Expenses</t>
        </is>
      </c>
      <c r="C26" s="7" t="n">
        <v>45535</v>
      </c>
      <c r="D26" t="n">
        <v>392914.302</v>
      </c>
    </row>
    <row r="27">
      <c r="A27" t="inlineStr">
        <is>
          <t>Rent Salaries and Wages</t>
        </is>
      </c>
      <c r="B27" t="inlineStr">
        <is>
          <t>Expenses</t>
        </is>
      </c>
      <c r="C27" s="7" t="n">
        <v>45230</v>
      </c>
      <c r="D27" t="n">
        <v>17272544</v>
      </c>
    </row>
    <row r="28">
      <c r="A28" t="inlineStr">
        <is>
          <t>Rent Salaries and Wages</t>
        </is>
      </c>
      <c r="B28" t="inlineStr">
        <is>
          <t>Expenses</t>
        </is>
      </c>
      <c r="C28" s="7" t="n">
        <v>45260</v>
      </c>
      <c r="D28" t="n">
        <v>800000</v>
      </c>
    </row>
    <row r="29">
      <c r="A29" t="inlineStr">
        <is>
          <t>Rent Salaries and Wages</t>
        </is>
      </c>
      <c r="B29" t="inlineStr">
        <is>
          <t>Expenses</t>
        </is>
      </c>
      <c r="C29" s="7" t="n">
        <v>45291</v>
      </c>
      <c r="D29" t="n">
        <v>800000</v>
      </c>
    </row>
    <row r="30">
      <c r="A30" t="inlineStr">
        <is>
          <t>Rent Salaries and Wages</t>
        </is>
      </c>
      <c r="B30" t="inlineStr">
        <is>
          <t>Expenses</t>
        </is>
      </c>
      <c r="C30" s="7" t="n">
        <v>45322</v>
      </c>
      <c r="D30" t="n">
        <v>800000</v>
      </c>
    </row>
    <row r="31">
      <c r="A31" t="inlineStr">
        <is>
          <t>Rent Salaries and Wages</t>
        </is>
      </c>
      <c r="B31" t="inlineStr">
        <is>
          <t>Expenses</t>
        </is>
      </c>
      <c r="C31" s="7" t="n">
        <v>45351</v>
      </c>
      <c r="D31" t="n">
        <v>800000</v>
      </c>
    </row>
    <row r="32">
      <c r="A32" t="inlineStr">
        <is>
          <t>Rent Salaries and Wages</t>
        </is>
      </c>
      <c r="B32" t="inlineStr">
        <is>
          <t>Expenses</t>
        </is>
      </c>
      <c r="C32" s="7" t="n">
        <v>45382</v>
      </c>
      <c r="D32" t="n">
        <v>800000</v>
      </c>
    </row>
    <row r="33">
      <c r="A33" t="inlineStr">
        <is>
          <t>Rent Salaries and Wages</t>
        </is>
      </c>
      <c r="B33" t="inlineStr">
        <is>
          <t>Expenses</t>
        </is>
      </c>
      <c r="C33" s="7" t="n">
        <v>45412</v>
      </c>
      <c r="D33" t="n">
        <v>800000</v>
      </c>
    </row>
    <row r="34">
      <c r="A34" t="inlineStr">
        <is>
          <t>Rent Salaries and Wages</t>
        </is>
      </c>
      <c r="B34" t="inlineStr">
        <is>
          <t>Expenses</t>
        </is>
      </c>
      <c r="C34" s="7" t="n">
        <v>45443</v>
      </c>
      <c r="D34" t="n">
        <v>800000</v>
      </c>
    </row>
    <row r="35">
      <c r="A35" t="inlineStr">
        <is>
          <t>Rent Salaries and Wages</t>
        </is>
      </c>
      <c r="B35" t="inlineStr">
        <is>
          <t>Expenses</t>
        </is>
      </c>
      <c r="C35" s="7" t="n">
        <v>45473</v>
      </c>
      <c r="D35" t="n">
        <v>800000</v>
      </c>
    </row>
    <row r="36">
      <c r="A36" t="inlineStr">
        <is>
          <t>Rent Salaries and Wages</t>
        </is>
      </c>
      <c r="B36" t="inlineStr">
        <is>
          <t>Expenses</t>
        </is>
      </c>
      <c r="C36" s="7" t="n">
        <v>45504</v>
      </c>
      <c r="D36" t="n">
        <v>800000</v>
      </c>
    </row>
    <row r="37">
      <c r="A37" t="inlineStr">
        <is>
          <t>Rent Salaries and Wages</t>
        </is>
      </c>
      <c r="B37" t="inlineStr">
        <is>
          <t>Expenses</t>
        </is>
      </c>
      <c r="C37" s="7" t="n">
        <v>45535</v>
      </c>
      <c r="D37" t="n">
        <v>800000</v>
      </c>
    </row>
    <row r="38">
      <c r="A38" t="inlineStr">
        <is>
          <t>Professional Fees</t>
        </is>
      </c>
      <c r="B38" t="inlineStr">
        <is>
          <t>Expenses</t>
        </is>
      </c>
      <c r="C38" s="7" t="n">
        <v>45230</v>
      </c>
      <c r="D38" t="n">
        <v>5361342.92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F204E"/>
    <outlinePr summaryBelow="1" summaryRight="1"/>
    <pageSetUpPr/>
  </sheetPr>
  <dimension ref="A1:W58"/>
  <sheetViews>
    <sheetView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2.5" customWidth="1" min="1" max="1"/>
    <col width="16.5" customWidth="1" min="2" max="2"/>
    <col width="10" customWidth="1" min="3" max="3"/>
    <col width="20" customWidth="1" min="4" max="4"/>
    <col width="7" customWidth="1" min="5" max="5"/>
    <col width="20" customWidth="1" min="6" max="6"/>
    <col width="7" customWidth="1" min="7" max="7"/>
    <col width="20" customWidth="1" min="8" max="8"/>
    <col width="7" customWidth="1" min="9" max="9"/>
    <col width="20" customWidth="1" min="10" max="10"/>
    <col width="7" customWidth="1" min="11" max="11"/>
    <col width="20" customWidth="1" min="12" max="12"/>
    <col width="7" customWidth="1" min="13" max="13"/>
    <col width="20" customWidth="1" min="14" max="14"/>
    <col width="7" customWidth="1" min="15" max="15"/>
    <col width="20" customWidth="1" min="16" max="16"/>
    <col width="7" customWidth="1" min="17" max="17"/>
    <col width="20" customWidth="1" min="18" max="18"/>
    <col width="7" customWidth="1" min="19" max="19"/>
    <col width="20" customWidth="1" min="20" max="20"/>
    <col width="7" customWidth="1" min="21" max="21"/>
    <col width="20" customWidth="1" min="22" max="22"/>
    <col width="7" customWidth="1" min="23" max="23"/>
  </cols>
  <sheetData>
    <row r="1">
      <c r="A1" s="10" t="inlineStr">
        <is>
          <t>Cashflow Projection</t>
        </is>
      </c>
      <c r="W1" s="11" t="inlineStr">
        <is>
          <t>C.3.e</t>
        </is>
      </c>
    </row>
    <row r="2">
      <c r="A2" s="12" t="inlineStr">
        <is>
          <t>Date</t>
        </is>
      </c>
      <c r="B2" s="12" t="inlineStr">
        <is>
          <t>31-Mar-2024</t>
        </is>
      </c>
    </row>
    <row r="3">
      <c r="A3" s="13" t="inlineStr">
        <is>
          <t>NSST Cashflow Projection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5" t="n"/>
    </row>
    <row r="4">
      <c r="A4" s="16" t="inlineStr"/>
      <c r="W4" s="17" t="n"/>
    </row>
    <row r="5">
      <c r="A5" s="18" t="inlineStr">
        <is>
          <t>PROJECTION</t>
        </is>
      </c>
      <c r="B5" t="inlineStr"/>
      <c r="C5" t="inlineStr"/>
      <c r="D5" s="12" t="inlineStr">
        <is>
          <t>TOTAL</t>
        </is>
      </c>
      <c r="F5" s="19">
        <f>EOMONTH(EDATE($B$2, 0), 1)</f>
        <v/>
      </c>
      <c r="H5" s="19">
        <f>EOMONTH(EDATE($F$5, 0), 1)</f>
        <v/>
      </c>
      <c r="J5" s="19">
        <f>EOMONTH(EDATE($H$5, 0), 1)</f>
        <v/>
      </c>
      <c r="L5" s="19">
        <f>EOMONTH(EDATE($J$5, 0), 1)</f>
        <v/>
      </c>
      <c r="N5" s="19">
        <f>EOMONTH(EDATE($L$5, 0), 1)</f>
        <v/>
      </c>
      <c r="P5" s="19">
        <f>EOMONTH(EDATE($N$5, 0), 1)</f>
        <v/>
      </c>
      <c r="R5" s="19">
        <f>EOMONTH(EDATE($P$5, 0), 1)</f>
        <v/>
      </c>
      <c r="T5" s="19">
        <f>EOMONTH(EDATE($R$5, 0), 1)</f>
        <v/>
      </c>
      <c r="V5" s="19">
        <f>EOMONTH(EDATE($T$5, 0), 1)</f>
        <v/>
      </c>
      <c r="W5" s="17" t="n"/>
    </row>
    <row r="6">
      <c r="A6" s="18" t="inlineStr">
        <is>
          <t>SALES</t>
        </is>
      </c>
      <c r="D6" s="20">
        <f>SUM(D7:D23)</f>
        <v/>
      </c>
      <c r="E6" s="21">
        <f>SUM(E7:E23)</f>
        <v/>
      </c>
      <c r="F6" s="22">
        <f>SUM(F7:F23)</f>
        <v/>
      </c>
      <c r="G6" s="23">
        <f>SUM(G7:G23)</f>
        <v/>
      </c>
      <c r="H6" s="22">
        <f>SUM(H7:H23)</f>
        <v/>
      </c>
      <c r="I6" s="23">
        <f>SUM(I7:I23)</f>
        <v/>
      </c>
      <c r="J6" s="22">
        <f>SUM(J7:J23)</f>
        <v/>
      </c>
      <c r="K6" s="23">
        <f>SUM(K7:K23)</f>
        <v/>
      </c>
      <c r="L6" s="22">
        <f>SUM(L7:L23)</f>
        <v/>
      </c>
      <c r="M6" s="23">
        <f>SUM(M7:M23)</f>
        <v/>
      </c>
      <c r="N6" s="22">
        <f>SUM(N7:N23)</f>
        <v/>
      </c>
      <c r="O6" s="23">
        <f>SUM(O7:O23)</f>
        <v/>
      </c>
      <c r="P6" s="22">
        <f>SUM(P7:P23)</f>
        <v/>
      </c>
      <c r="Q6" s="23">
        <f>SUM(Q7:Q23)</f>
        <v/>
      </c>
      <c r="R6" s="22">
        <f>SUM(R7:R23)</f>
        <v/>
      </c>
      <c r="S6" s="23">
        <f>SUM(S7:S23)</f>
        <v/>
      </c>
      <c r="T6" s="22">
        <f>SUM(T7:T23)</f>
        <v/>
      </c>
      <c r="U6" s="23">
        <f>SUM(U7:U23)</f>
        <v/>
      </c>
      <c r="V6" s="22">
        <f>SUM(V7:V23)</f>
        <v/>
      </c>
      <c r="W6" s="24">
        <f>SUM(W7:W23)</f>
        <v/>
      </c>
    </row>
    <row r="7">
      <c r="A7" s="18" t="inlineStr">
        <is>
          <t>Endulini</t>
        </is>
      </c>
      <c r="B7" s="25" t="inlineStr">
        <is>
          <t>A</t>
        </is>
      </c>
      <c r="C7" s="25">
        <f>IF(A7&lt;&gt;"Heron View",1,IF(ISERROR(VLOOKUP($B7,$A$33:$B$45,2,FALSE)),1,SUMIFS($B$33:$B$45,$A$33:$A$45,B7)))</f>
        <v/>
      </c>
      <c r="D7" s="26">
        <f>+F7+H7+J7+L7+N7+P7+R7+T7+V7</f>
        <v/>
      </c>
      <c r="E7" s="27">
        <f>+G7+I7+K7+M7+O7+Q7+S7+U7+W7</f>
        <v/>
      </c>
      <c r="F7" s="26">
        <f>SUMIFS(Sales!$S:$S,Sales!$H:$H,"&lt;="&amp;'Cashflow Projection'!F$5,Sales!$E:$E,FALSE,Sales!$F:$F,'Cashflow Projection'!$C7,Sales!$A:$A,'Cashflow Projection'!$A7,Sales!$B:$B,'Cashflow Projection'!$B7,Sales!$H:$H,"&gt;"&amp;'Cashflow Projection'!B$2)*$C7</f>
        <v/>
      </c>
      <c r="G7" s="27">
        <f>COUNTIFS(Sales!$H:$H,"&lt;="&amp;'Cashflow Projection'!F$5,Sales!$H:$H,"&gt;"&amp;'Cashflow Projection'!B$2,Sales!$A:$A,'Cashflow Projection'!$A7,Sales!$B:$B,'Cashflow Projection'!$B7,Sales!$F:$F,'Cashflow Projection'!$C7,Sales!$E:$E,FALSE)*$C7</f>
        <v/>
      </c>
      <c r="H7" s="26">
        <f>SUMIFS(Sales!$S:$S,Sales!$H:$H,"&lt;="&amp;'Cashflow Projection'!H$5,Sales!$E:$E,FALSE,Sales!$F:$F,'Cashflow Projection'!$C7,Sales!$A:$A,'Cashflow Projection'!$A7,Sales!$B:$B,'Cashflow Projection'!$B7,Sales!$H:$H,"&gt;"&amp;'Cashflow Projection'!F$5)*$C7</f>
        <v/>
      </c>
      <c r="I7" s="27">
        <f>COUNTIFS(Sales!$H:$H,"&lt;="&amp;'Cashflow Projection'!H$5,Sales!$H:$H,"&gt;"&amp;'Cashflow Projection'!F$5,Sales!$A:$A,'Cashflow Projection'!$A7,Sales!$B:$B,'Cashflow Projection'!$B7,Sales!$F:$F,'Cashflow Projection'!$C7,Sales!$E:$E,FALSE)*$C7</f>
        <v/>
      </c>
      <c r="J7" s="26">
        <f>SUMIFS(Sales!$S:$S,Sales!$H:$H,"&lt;="&amp;'Cashflow Projection'!J$5,Sales!$E:$E,FALSE,Sales!$F:$F,'Cashflow Projection'!$C7,Sales!$A:$A,'Cashflow Projection'!$A7,Sales!$B:$B,'Cashflow Projection'!$B7,Sales!$H:$H,"&gt;"&amp;'Cashflow Projection'!H$5)*$C7</f>
        <v/>
      </c>
      <c r="K7" s="27">
        <f>COUNTIFS(Sales!$H:$H,"&lt;="&amp;'Cashflow Projection'!J$5,Sales!$H:$H,"&gt;"&amp;'Cashflow Projection'!H$5,Sales!$A:$A,'Cashflow Projection'!$A7,Sales!$B:$B,'Cashflow Projection'!$B7,Sales!$F:$F,'Cashflow Projection'!$C7,Sales!$E:$E,FALSE)*$C7</f>
        <v/>
      </c>
      <c r="L7" s="26">
        <f>SUMIFS(Sales!$S:$S,Sales!$H:$H,"&lt;="&amp;'Cashflow Projection'!L$5,Sales!$E:$E,FALSE,Sales!$F:$F,'Cashflow Projection'!$C7,Sales!$A:$A,'Cashflow Projection'!$A7,Sales!$B:$B,'Cashflow Projection'!$B7,Sales!$H:$H,"&gt;"&amp;'Cashflow Projection'!J$5)*$C7</f>
        <v/>
      </c>
      <c r="M7" s="27">
        <f>COUNTIFS(Sales!$H:$H,"&lt;="&amp;'Cashflow Projection'!L$5,Sales!$H:$H,"&gt;"&amp;'Cashflow Projection'!J$5,Sales!$A:$A,'Cashflow Projection'!$A7,Sales!$B:$B,'Cashflow Projection'!$B7,Sales!$F:$F,'Cashflow Projection'!$C7,Sales!$E:$E,FALSE)*$C7</f>
        <v/>
      </c>
      <c r="N7" s="26">
        <f>SUMIFS(Sales!$S:$S,Sales!$H:$H,"&lt;="&amp;'Cashflow Projection'!N$5,Sales!$E:$E,FALSE,Sales!$F:$F,'Cashflow Projection'!$C7,Sales!$A:$A,'Cashflow Projection'!$A7,Sales!$B:$B,'Cashflow Projection'!$B7,Sales!$H:$H,"&gt;"&amp;'Cashflow Projection'!L$5)*$C7</f>
        <v/>
      </c>
      <c r="O7" s="27">
        <f>COUNTIFS(Sales!$H:$H,"&lt;="&amp;'Cashflow Projection'!N$5,Sales!$H:$H,"&gt;"&amp;'Cashflow Projection'!L$5,Sales!$A:$A,'Cashflow Projection'!$A7,Sales!$B:$B,'Cashflow Projection'!$B7,Sales!$F:$F,'Cashflow Projection'!$C7,Sales!$E:$E,FALSE)*$C7</f>
        <v/>
      </c>
      <c r="P7" s="26">
        <f>SUMIFS(Sales!$S:$S,Sales!$H:$H,"&lt;="&amp;'Cashflow Projection'!P$5,Sales!$E:$E,FALSE,Sales!$F:$F,'Cashflow Projection'!$C7,Sales!$A:$A,'Cashflow Projection'!$A7,Sales!$B:$B,'Cashflow Projection'!$B7,Sales!$H:$H,"&gt;"&amp;'Cashflow Projection'!N$5)*$C7</f>
        <v/>
      </c>
      <c r="Q7" s="27">
        <f>COUNTIFS(Sales!$H:$H,"&lt;="&amp;'Cashflow Projection'!P$5,Sales!$H:$H,"&gt;"&amp;'Cashflow Projection'!N$5,Sales!$A:$A,'Cashflow Projection'!$A7,Sales!$B:$B,'Cashflow Projection'!$B7,Sales!$F:$F,'Cashflow Projection'!$C7,Sales!$E:$E,FALSE)*$C7</f>
        <v/>
      </c>
      <c r="R7" s="26">
        <f>SUMIFS(Sales!$S:$S,Sales!$H:$H,"&lt;="&amp;'Cashflow Projection'!R$5,Sales!$E:$E,FALSE,Sales!$F:$F,'Cashflow Projection'!$C7,Sales!$A:$A,'Cashflow Projection'!$A7,Sales!$B:$B,'Cashflow Projection'!$B7,Sales!$H:$H,"&gt;"&amp;'Cashflow Projection'!P$5)*$C7</f>
        <v/>
      </c>
      <c r="S7" s="27">
        <f>COUNTIFS(Sales!$H:$H,"&lt;="&amp;'Cashflow Projection'!R$5,Sales!$H:$H,"&gt;"&amp;'Cashflow Projection'!P$5,Sales!$A:$A,'Cashflow Projection'!$A7,Sales!$B:$B,'Cashflow Projection'!$B7,Sales!$F:$F,'Cashflow Projection'!$C7,Sales!$E:$E,FALSE)*$C7</f>
        <v/>
      </c>
      <c r="T7" s="26">
        <f>SUMIFS(Sales!$S:$S,Sales!$H:$H,"&lt;="&amp;'Cashflow Projection'!T$5,Sales!$E:$E,FALSE,Sales!$F:$F,'Cashflow Projection'!$C7,Sales!$A:$A,'Cashflow Projection'!$A7,Sales!$B:$B,'Cashflow Projection'!$B7,Sales!$H:$H,"&gt;"&amp;'Cashflow Projection'!R$5)*$C7</f>
        <v/>
      </c>
      <c r="U7" s="27">
        <f>COUNTIFS(Sales!$H:$H,"&lt;="&amp;'Cashflow Projection'!T$5,Sales!$H:$H,"&gt;"&amp;'Cashflow Projection'!R$5,Sales!$A:$A,'Cashflow Projection'!$A7,Sales!$B:$B,'Cashflow Projection'!$B7,Sales!$F:$F,'Cashflow Projection'!$C7,Sales!$E:$E,FALSE)*$C7</f>
        <v/>
      </c>
      <c r="V7" s="26">
        <f>SUMIFS(Sales!$S:$S,Sales!$H:$H,"&lt;="&amp;'Cashflow Projection'!V$5,Sales!$E:$E,FALSE,Sales!$F:$F,'Cashflow Projection'!$C7,Sales!$A:$A,'Cashflow Projection'!$A7,Sales!$B:$B,'Cashflow Projection'!$B7,Sales!$H:$H,"&gt;"&amp;'Cashflow Projection'!T$5)*$C7</f>
        <v/>
      </c>
      <c r="W7" s="24">
        <f>COUNTIFS(Sales!$H:$H,"&lt;="&amp;'Cashflow Projection'!V$5,Sales!$H:$H,"&gt;"&amp;'Cashflow Projection'!T$5,Sales!$A:$A,'Cashflow Projection'!$A7,Sales!$B:$B,'Cashflow Projection'!$B7,Sales!$F:$F,'Cashflow Projection'!$C7,Sales!$E:$E,FALSE)*$C7</f>
        <v/>
      </c>
    </row>
    <row r="8">
      <c r="A8" s="18" t="inlineStr">
        <is>
          <t>Endulini</t>
        </is>
      </c>
      <c r="B8" s="25" t="inlineStr">
        <is>
          <t>B</t>
        </is>
      </c>
      <c r="C8" s="25">
        <f>IF(A8&lt;&gt;"Heron View",1,IF(ISERROR(VLOOKUP($B8,$A$33:$B$45,2,FALSE)),1,SUMIFS($B$33:$B$45,$A$33:$A$45,B8)))</f>
        <v/>
      </c>
      <c r="D8" s="26">
        <f>+F8+H8+J8+L8+N8+P8+R8+T8+V8</f>
        <v/>
      </c>
      <c r="E8" s="27">
        <f>+G8+I8+K8+M8+O8+Q8+S8+U8+W8</f>
        <v/>
      </c>
      <c r="F8" s="26">
        <f>SUMIFS(Sales!$S:$S,Sales!$H:$H,"&lt;="&amp;'Cashflow Projection'!F$5,Sales!$E:$E,FALSE,Sales!$F:$F,'Cashflow Projection'!$C8,Sales!$A:$A,'Cashflow Projection'!$A8,Sales!$B:$B,'Cashflow Projection'!$B8,Sales!$H:$H,"&gt;"&amp;'Cashflow Projection'!B$2)*$C8</f>
        <v/>
      </c>
      <c r="G8" s="27">
        <f>COUNTIFS(Sales!$H:$H,"&lt;="&amp;'Cashflow Projection'!F$5,Sales!$H:$H,"&gt;"&amp;'Cashflow Projection'!B$2,Sales!$A:$A,'Cashflow Projection'!$A8,Sales!$B:$B,'Cashflow Projection'!$B8,Sales!$F:$F,'Cashflow Projection'!$C8,Sales!$E:$E,FALSE)*$C8</f>
        <v/>
      </c>
      <c r="H8" s="26">
        <f>SUMIFS(Sales!$S:$S,Sales!$H:$H,"&lt;="&amp;'Cashflow Projection'!H$5,Sales!$E:$E,FALSE,Sales!$F:$F,'Cashflow Projection'!$C8,Sales!$A:$A,'Cashflow Projection'!$A8,Sales!$B:$B,'Cashflow Projection'!$B8,Sales!$H:$H,"&gt;"&amp;'Cashflow Projection'!F$5)*$C8</f>
        <v/>
      </c>
      <c r="I8" s="27">
        <f>COUNTIFS(Sales!$H:$H,"&lt;="&amp;'Cashflow Projection'!H$5,Sales!$H:$H,"&gt;"&amp;'Cashflow Projection'!F$5,Sales!$A:$A,'Cashflow Projection'!$A8,Sales!$B:$B,'Cashflow Projection'!$B8,Sales!$F:$F,'Cashflow Projection'!$C8,Sales!$E:$E,FALSE)*$C8</f>
        <v/>
      </c>
      <c r="J8" s="26">
        <f>SUMIFS(Sales!$S:$S,Sales!$H:$H,"&lt;="&amp;'Cashflow Projection'!J$5,Sales!$E:$E,FALSE,Sales!$F:$F,'Cashflow Projection'!$C8,Sales!$A:$A,'Cashflow Projection'!$A8,Sales!$B:$B,'Cashflow Projection'!$B8,Sales!$H:$H,"&gt;"&amp;'Cashflow Projection'!H$5)*$C8</f>
        <v/>
      </c>
      <c r="K8" s="27">
        <f>COUNTIFS(Sales!$H:$H,"&lt;="&amp;'Cashflow Projection'!J$5,Sales!$H:$H,"&gt;"&amp;'Cashflow Projection'!H$5,Sales!$A:$A,'Cashflow Projection'!$A8,Sales!$B:$B,'Cashflow Projection'!$B8,Sales!$F:$F,'Cashflow Projection'!$C8,Sales!$E:$E,FALSE)*$C8</f>
        <v/>
      </c>
      <c r="L8" s="26">
        <f>SUMIFS(Sales!$S:$S,Sales!$H:$H,"&lt;="&amp;'Cashflow Projection'!L$5,Sales!$E:$E,FALSE,Sales!$F:$F,'Cashflow Projection'!$C8,Sales!$A:$A,'Cashflow Projection'!$A8,Sales!$B:$B,'Cashflow Projection'!$B8,Sales!$H:$H,"&gt;"&amp;'Cashflow Projection'!J$5)*$C8</f>
        <v/>
      </c>
      <c r="M8" s="27">
        <f>COUNTIFS(Sales!$H:$H,"&lt;="&amp;'Cashflow Projection'!L$5,Sales!$H:$H,"&gt;"&amp;'Cashflow Projection'!J$5,Sales!$A:$A,'Cashflow Projection'!$A8,Sales!$B:$B,'Cashflow Projection'!$B8,Sales!$F:$F,'Cashflow Projection'!$C8,Sales!$E:$E,FALSE)*$C8</f>
        <v/>
      </c>
      <c r="N8" s="26">
        <f>SUMIFS(Sales!$S:$S,Sales!$H:$H,"&lt;="&amp;'Cashflow Projection'!N$5,Sales!$E:$E,FALSE,Sales!$F:$F,'Cashflow Projection'!$C8,Sales!$A:$A,'Cashflow Projection'!$A8,Sales!$B:$B,'Cashflow Projection'!$B8,Sales!$H:$H,"&gt;"&amp;'Cashflow Projection'!L$5)*$C8</f>
        <v/>
      </c>
      <c r="O8" s="27">
        <f>COUNTIFS(Sales!$H:$H,"&lt;="&amp;'Cashflow Projection'!N$5,Sales!$H:$H,"&gt;"&amp;'Cashflow Projection'!L$5,Sales!$A:$A,'Cashflow Projection'!$A8,Sales!$B:$B,'Cashflow Projection'!$B8,Sales!$F:$F,'Cashflow Projection'!$C8,Sales!$E:$E,FALSE)*$C8</f>
        <v/>
      </c>
      <c r="P8" s="26">
        <f>SUMIFS(Sales!$S:$S,Sales!$H:$H,"&lt;="&amp;'Cashflow Projection'!P$5,Sales!$E:$E,FALSE,Sales!$F:$F,'Cashflow Projection'!$C8,Sales!$A:$A,'Cashflow Projection'!$A8,Sales!$B:$B,'Cashflow Projection'!$B8,Sales!$H:$H,"&gt;"&amp;'Cashflow Projection'!N$5)*$C8</f>
        <v/>
      </c>
      <c r="Q8" s="27">
        <f>COUNTIFS(Sales!$H:$H,"&lt;="&amp;'Cashflow Projection'!P$5,Sales!$H:$H,"&gt;"&amp;'Cashflow Projection'!N$5,Sales!$A:$A,'Cashflow Projection'!$A8,Sales!$B:$B,'Cashflow Projection'!$B8,Sales!$F:$F,'Cashflow Projection'!$C8,Sales!$E:$E,FALSE)*$C8</f>
        <v/>
      </c>
      <c r="R8" s="26">
        <f>SUMIFS(Sales!$S:$S,Sales!$H:$H,"&lt;="&amp;'Cashflow Projection'!R$5,Sales!$E:$E,FALSE,Sales!$F:$F,'Cashflow Projection'!$C8,Sales!$A:$A,'Cashflow Projection'!$A8,Sales!$B:$B,'Cashflow Projection'!$B8,Sales!$H:$H,"&gt;"&amp;'Cashflow Projection'!P$5)*$C8</f>
        <v/>
      </c>
      <c r="S8" s="27">
        <f>COUNTIFS(Sales!$H:$H,"&lt;="&amp;'Cashflow Projection'!R$5,Sales!$H:$H,"&gt;"&amp;'Cashflow Projection'!P$5,Sales!$A:$A,'Cashflow Projection'!$A8,Sales!$B:$B,'Cashflow Projection'!$B8,Sales!$F:$F,'Cashflow Projection'!$C8,Sales!$E:$E,FALSE)*$C8</f>
        <v/>
      </c>
      <c r="T8" s="26">
        <f>SUMIFS(Sales!$S:$S,Sales!$H:$H,"&lt;="&amp;'Cashflow Projection'!T$5,Sales!$E:$E,FALSE,Sales!$F:$F,'Cashflow Projection'!$C8,Sales!$A:$A,'Cashflow Projection'!$A8,Sales!$B:$B,'Cashflow Projection'!$B8,Sales!$H:$H,"&gt;"&amp;'Cashflow Projection'!R$5)*$C8</f>
        <v/>
      </c>
      <c r="U8" s="27">
        <f>COUNTIFS(Sales!$H:$H,"&lt;="&amp;'Cashflow Projection'!T$5,Sales!$H:$H,"&gt;"&amp;'Cashflow Projection'!R$5,Sales!$A:$A,'Cashflow Projection'!$A8,Sales!$B:$B,'Cashflow Projection'!$B8,Sales!$F:$F,'Cashflow Projection'!$C8,Sales!$E:$E,FALSE)*$C8</f>
        <v/>
      </c>
      <c r="V8" s="26">
        <f>SUMIFS(Sales!$S:$S,Sales!$H:$H,"&lt;="&amp;'Cashflow Projection'!V$5,Sales!$E:$E,FALSE,Sales!$F:$F,'Cashflow Projection'!$C8,Sales!$A:$A,'Cashflow Projection'!$A8,Sales!$B:$B,'Cashflow Projection'!$B8,Sales!$H:$H,"&gt;"&amp;'Cashflow Projection'!T$5)*$C8</f>
        <v/>
      </c>
      <c r="W8" s="24">
        <f>COUNTIFS(Sales!$H:$H,"&lt;="&amp;'Cashflow Projection'!V$5,Sales!$H:$H,"&gt;"&amp;'Cashflow Projection'!T$5,Sales!$A:$A,'Cashflow Projection'!$A8,Sales!$B:$B,'Cashflow Projection'!$B8,Sales!$F:$F,'Cashflow Projection'!$C8,Sales!$E:$E,FALSE)*$C8</f>
        <v/>
      </c>
    </row>
    <row r="9">
      <c r="A9" s="18" t="inlineStr">
        <is>
          <t>Heron Fields</t>
        </is>
      </c>
      <c r="B9" s="25" t="inlineStr">
        <is>
          <t>B</t>
        </is>
      </c>
      <c r="C9" s="25">
        <f>IF(A9&lt;&gt;"Heron View",1,IF(ISERROR(VLOOKUP($B9,$A$33:$B$45,2,FALSE)),1,SUMIFS($B$33:$B$45,$A$33:$A$45,B9)))</f>
        <v/>
      </c>
      <c r="D9" s="26">
        <f>+F9+H9+J9+L9+N9+P9+R9+T9+V9</f>
        <v/>
      </c>
      <c r="E9" s="27">
        <f>+G9+I9+K9+M9+O9+Q9+S9+U9+W9</f>
        <v/>
      </c>
      <c r="F9" s="26">
        <f>SUMIFS(Sales!$S:$S,Sales!$H:$H,"&lt;="&amp;'Cashflow Projection'!F$5,Sales!$E:$E,FALSE,Sales!$F:$F,'Cashflow Projection'!$C9,Sales!$A:$A,'Cashflow Projection'!$A9,Sales!$B:$B,'Cashflow Projection'!$B9,Sales!$H:$H,"&gt;"&amp;'Cashflow Projection'!B$2)*$C9</f>
        <v/>
      </c>
      <c r="G9" s="27">
        <f>COUNTIFS(Sales!$H:$H,"&lt;="&amp;'Cashflow Projection'!F$5,Sales!$H:$H,"&gt;"&amp;'Cashflow Projection'!B$2,Sales!$A:$A,'Cashflow Projection'!$A9,Sales!$B:$B,'Cashflow Projection'!$B9,Sales!$F:$F,'Cashflow Projection'!$C9,Sales!$E:$E,FALSE)*$C9</f>
        <v/>
      </c>
      <c r="H9" s="26">
        <f>SUMIFS(Sales!$S:$S,Sales!$H:$H,"&lt;="&amp;'Cashflow Projection'!H$5,Sales!$E:$E,FALSE,Sales!$F:$F,'Cashflow Projection'!$C9,Sales!$A:$A,'Cashflow Projection'!$A9,Sales!$B:$B,'Cashflow Projection'!$B9,Sales!$H:$H,"&gt;"&amp;'Cashflow Projection'!F$5)*$C9</f>
        <v/>
      </c>
      <c r="I9" s="27">
        <f>COUNTIFS(Sales!$H:$H,"&lt;="&amp;'Cashflow Projection'!H$5,Sales!$H:$H,"&gt;"&amp;'Cashflow Projection'!F$5,Sales!$A:$A,'Cashflow Projection'!$A9,Sales!$B:$B,'Cashflow Projection'!$B9,Sales!$F:$F,'Cashflow Projection'!$C9,Sales!$E:$E,FALSE)*$C9</f>
        <v/>
      </c>
      <c r="J9" s="26">
        <f>SUMIFS(Sales!$S:$S,Sales!$H:$H,"&lt;="&amp;'Cashflow Projection'!J$5,Sales!$E:$E,FALSE,Sales!$F:$F,'Cashflow Projection'!$C9,Sales!$A:$A,'Cashflow Projection'!$A9,Sales!$B:$B,'Cashflow Projection'!$B9,Sales!$H:$H,"&gt;"&amp;'Cashflow Projection'!H$5)*$C9</f>
        <v/>
      </c>
      <c r="K9" s="27">
        <f>COUNTIFS(Sales!$H:$H,"&lt;="&amp;'Cashflow Projection'!J$5,Sales!$H:$H,"&gt;"&amp;'Cashflow Projection'!H$5,Sales!$A:$A,'Cashflow Projection'!$A9,Sales!$B:$B,'Cashflow Projection'!$B9,Sales!$F:$F,'Cashflow Projection'!$C9,Sales!$E:$E,FALSE)*$C9</f>
        <v/>
      </c>
      <c r="L9" s="26">
        <f>SUMIFS(Sales!$S:$S,Sales!$H:$H,"&lt;="&amp;'Cashflow Projection'!L$5,Sales!$E:$E,FALSE,Sales!$F:$F,'Cashflow Projection'!$C9,Sales!$A:$A,'Cashflow Projection'!$A9,Sales!$B:$B,'Cashflow Projection'!$B9,Sales!$H:$H,"&gt;"&amp;'Cashflow Projection'!J$5)*$C9</f>
        <v/>
      </c>
      <c r="M9" s="27">
        <f>COUNTIFS(Sales!$H:$H,"&lt;="&amp;'Cashflow Projection'!L$5,Sales!$H:$H,"&gt;"&amp;'Cashflow Projection'!J$5,Sales!$A:$A,'Cashflow Projection'!$A9,Sales!$B:$B,'Cashflow Projection'!$B9,Sales!$F:$F,'Cashflow Projection'!$C9,Sales!$E:$E,FALSE)*$C9</f>
        <v/>
      </c>
      <c r="N9" s="26">
        <f>SUMIFS(Sales!$S:$S,Sales!$H:$H,"&lt;="&amp;'Cashflow Projection'!N$5,Sales!$E:$E,FALSE,Sales!$F:$F,'Cashflow Projection'!$C9,Sales!$A:$A,'Cashflow Projection'!$A9,Sales!$B:$B,'Cashflow Projection'!$B9,Sales!$H:$H,"&gt;"&amp;'Cashflow Projection'!L$5)*$C9</f>
        <v/>
      </c>
      <c r="O9" s="27">
        <f>COUNTIFS(Sales!$H:$H,"&lt;="&amp;'Cashflow Projection'!N$5,Sales!$H:$H,"&gt;"&amp;'Cashflow Projection'!L$5,Sales!$A:$A,'Cashflow Projection'!$A9,Sales!$B:$B,'Cashflow Projection'!$B9,Sales!$F:$F,'Cashflow Projection'!$C9,Sales!$E:$E,FALSE)*$C9</f>
        <v/>
      </c>
      <c r="P9" s="26">
        <f>SUMIFS(Sales!$S:$S,Sales!$H:$H,"&lt;="&amp;'Cashflow Projection'!P$5,Sales!$E:$E,FALSE,Sales!$F:$F,'Cashflow Projection'!$C9,Sales!$A:$A,'Cashflow Projection'!$A9,Sales!$B:$B,'Cashflow Projection'!$B9,Sales!$H:$H,"&gt;"&amp;'Cashflow Projection'!N$5)*$C9</f>
        <v/>
      </c>
      <c r="Q9" s="27">
        <f>COUNTIFS(Sales!$H:$H,"&lt;="&amp;'Cashflow Projection'!P$5,Sales!$H:$H,"&gt;"&amp;'Cashflow Projection'!N$5,Sales!$A:$A,'Cashflow Projection'!$A9,Sales!$B:$B,'Cashflow Projection'!$B9,Sales!$F:$F,'Cashflow Projection'!$C9,Sales!$E:$E,FALSE)*$C9</f>
        <v/>
      </c>
      <c r="R9" s="26">
        <f>SUMIFS(Sales!$S:$S,Sales!$H:$H,"&lt;="&amp;'Cashflow Projection'!R$5,Sales!$E:$E,FALSE,Sales!$F:$F,'Cashflow Projection'!$C9,Sales!$A:$A,'Cashflow Projection'!$A9,Sales!$B:$B,'Cashflow Projection'!$B9,Sales!$H:$H,"&gt;"&amp;'Cashflow Projection'!P$5)*$C9</f>
        <v/>
      </c>
      <c r="S9" s="27">
        <f>COUNTIFS(Sales!$H:$H,"&lt;="&amp;'Cashflow Projection'!R$5,Sales!$H:$H,"&gt;"&amp;'Cashflow Projection'!P$5,Sales!$A:$A,'Cashflow Projection'!$A9,Sales!$B:$B,'Cashflow Projection'!$B9,Sales!$F:$F,'Cashflow Projection'!$C9,Sales!$E:$E,FALSE)*$C9</f>
        <v/>
      </c>
      <c r="T9" s="26">
        <f>SUMIFS(Sales!$S:$S,Sales!$H:$H,"&lt;="&amp;'Cashflow Projection'!T$5,Sales!$E:$E,FALSE,Sales!$F:$F,'Cashflow Projection'!$C9,Sales!$A:$A,'Cashflow Projection'!$A9,Sales!$B:$B,'Cashflow Projection'!$B9,Sales!$H:$H,"&gt;"&amp;'Cashflow Projection'!R$5)*$C9</f>
        <v/>
      </c>
      <c r="U9" s="27">
        <f>COUNTIFS(Sales!$H:$H,"&lt;="&amp;'Cashflow Projection'!T$5,Sales!$H:$H,"&gt;"&amp;'Cashflow Projection'!R$5,Sales!$A:$A,'Cashflow Projection'!$A9,Sales!$B:$B,'Cashflow Projection'!$B9,Sales!$F:$F,'Cashflow Projection'!$C9,Sales!$E:$E,FALSE)*$C9</f>
        <v/>
      </c>
      <c r="V9" s="26">
        <f>SUMIFS(Sales!$S:$S,Sales!$H:$H,"&lt;="&amp;'Cashflow Projection'!V$5,Sales!$E:$E,FALSE,Sales!$F:$F,'Cashflow Projection'!$C9,Sales!$A:$A,'Cashflow Projection'!$A9,Sales!$B:$B,'Cashflow Projection'!$B9,Sales!$H:$H,"&gt;"&amp;'Cashflow Projection'!T$5)*$C9</f>
        <v/>
      </c>
      <c r="W9" s="24">
        <f>COUNTIFS(Sales!$H:$H,"&lt;="&amp;'Cashflow Projection'!V$5,Sales!$H:$H,"&gt;"&amp;'Cashflow Projection'!T$5,Sales!$A:$A,'Cashflow Projection'!$A9,Sales!$B:$B,'Cashflow Projection'!$B9,Sales!$F:$F,'Cashflow Projection'!$C9,Sales!$E:$E,FALSE)*$C9</f>
        <v/>
      </c>
    </row>
    <row r="10">
      <c r="A10" s="18" t="inlineStr">
        <is>
          <t>Heron View</t>
        </is>
      </c>
      <c r="B10" s="25" t="inlineStr">
        <is>
          <t>C</t>
        </is>
      </c>
      <c r="C10" s="25">
        <f>IF(A10&lt;&gt;"Heron View",1,IF(ISERROR(VLOOKUP($B10,$A$33:$B$45,2,FALSE)),1,SUMIFS($B$33:$B$45,$A$33:$A$45,B10)))</f>
        <v/>
      </c>
      <c r="D10" s="26">
        <f>+F10+H10+J10+L10+N10+P10+R10+T10+V10</f>
        <v/>
      </c>
      <c r="E10" s="27">
        <f>+G10+I10+K10+M10+O10+Q10+S10+U10+W10</f>
        <v/>
      </c>
      <c r="F10" s="26">
        <f>SUMIFS(Sales!$S:$S,Sales!$H:$H,"&lt;="&amp;'Cashflow Projection'!F$5,Sales!$E:$E,FALSE,Sales!$F:$F,'Cashflow Projection'!$C10,Sales!$A:$A,'Cashflow Projection'!$A10,Sales!$B:$B,'Cashflow Projection'!$B10,Sales!$H:$H,"&gt;"&amp;'Cashflow Projection'!B$2)*$C10</f>
        <v/>
      </c>
      <c r="G10" s="27">
        <f>COUNTIFS(Sales!$H:$H,"&lt;="&amp;'Cashflow Projection'!F$5,Sales!$H:$H,"&gt;"&amp;'Cashflow Projection'!B$2,Sales!$A:$A,'Cashflow Projection'!$A10,Sales!$B:$B,'Cashflow Projection'!$B10,Sales!$F:$F,'Cashflow Projection'!$C10,Sales!$E:$E,FALSE)*$C10</f>
        <v/>
      </c>
      <c r="H10" s="26">
        <f>SUMIFS(Sales!$S:$S,Sales!$H:$H,"&lt;="&amp;'Cashflow Projection'!H$5,Sales!$E:$E,FALSE,Sales!$F:$F,'Cashflow Projection'!$C10,Sales!$A:$A,'Cashflow Projection'!$A10,Sales!$B:$B,'Cashflow Projection'!$B10,Sales!$H:$H,"&gt;"&amp;'Cashflow Projection'!F$5)*$C10</f>
        <v/>
      </c>
      <c r="I10" s="27">
        <f>COUNTIFS(Sales!$H:$H,"&lt;="&amp;'Cashflow Projection'!H$5,Sales!$H:$H,"&gt;"&amp;'Cashflow Projection'!F$5,Sales!$A:$A,'Cashflow Projection'!$A10,Sales!$B:$B,'Cashflow Projection'!$B10,Sales!$F:$F,'Cashflow Projection'!$C10,Sales!$E:$E,FALSE)*$C10</f>
        <v/>
      </c>
      <c r="J10" s="26">
        <f>SUMIFS(Sales!$S:$S,Sales!$H:$H,"&lt;="&amp;'Cashflow Projection'!J$5,Sales!$E:$E,FALSE,Sales!$F:$F,'Cashflow Projection'!$C10,Sales!$A:$A,'Cashflow Projection'!$A10,Sales!$B:$B,'Cashflow Projection'!$B10,Sales!$H:$H,"&gt;"&amp;'Cashflow Projection'!H$5)*$C10</f>
        <v/>
      </c>
      <c r="K10" s="27">
        <f>COUNTIFS(Sales!$H:$H,"&lt;="&amp;'Cashflow Projection'!J$5,Sales!$H:$H,"&gt;"&amp;'Cashflow Projection'!H$5,Sales!$A:$A,'Cashflow Projection'!$A10,Sales!$B:$B,'Cashflow Projection'!$B10,Sales!$F:$F,'Cashflow Projection'!$C10,Sales!$E:$E,FALSE)*$C10</f>
        <v/>
      </c>
      <c r="L10" s="26">
        <f>SUMIFS(Sales!$S:$S,Sales!$H:$H,"&lt;="&amp;'Cashflow Projection'!L$5,Sales!$E:$E,FALSE,Sales!$F:$F,'Cashflow Projection'!$C10,Sales!$A:$A,'Cashflow Projection'!$A10,Sales!$B:$B,'Cashflow Projection'!$B10,Sales!$H:$H,"&gt;"&amp;'Cashflow Projection'!J$5)*$C10</f>
        <v/>
      </c>
      <c r="M10" s="27">
        <f>COUNTIFS(Sales!$H:$H,"&lt;="&amp;'Cashflow Projection'!L$5,Sales!$H:$H,"&gt;"&amp;'Cashflow Projection'!J$5,Sales!$A:$A,'Cashflow Projection'!$A10,Sales!$B:$B,'Cashflow Projection'!$B10,Sales!$F:$F,'Cashflow Projection'!$C10,Sales!$E:$E,FALSE)*$C10</f>
        <v/>
      </c>
      <c r="N10" s="26">
        <f>SUMIFS(Sales!$S:$S,Sales!$H:$H,"&lt;="&amp;'Cashflow Projection'!N$5,Sales!$E:$E,FALSE,Sales!$F:$F,'Cashflow Projection'!$C10,Sales!$A:$A,'Cashflow Projection'!$A10,Sales!$B:$B,'Cashflow Projection'!$B10,Sales!$H:$H,"&gt;"&amp;'Cashflow Projection'!L$5)*$C10</f>
        <v/>
      </c>
      <c r="O10" s="27">
        <f>COUNTIFS(Sales!$H:$H,"&lt;="&amp;'Cashflow Projection'!N$5,Sales!$H:$H,"&gt;"&amp;'Cashflow Projection'!L$5,Sales!$A:$A,'Cashflow Projection'!$A10,Sales!$B:$B,'Cashflow Projection'!$B10,Sales!$F:$F,'Cashflow Projection'!$C10,Sales!$E:$E,FALSE)*$C10</f>
        <v/>
      </c>
      <c r="P10" s="26">
        <f>SUMIFS(Sales!$S:$S,Sales!$H:$H,"&lt;="&amp;'Cashflow Projection'!P$5,Sales!$E:$E,FALSE,Sales!$F:$F,'Cashflow Projection'!$C10,Sales!$A:$A,'Cashflow Projection'!$A10,Sales!$B:$B,'Cashflow Projection'!$B10,Sales!$H:$H,"&gt;"&amp;'Cashflow Projection'!N$5)*$C10</f>
        <v/>
      </c>
      <c r="Q10" s="27">
        <f>COUNTIFS(Sales!$H:$H,"&lt;="&amp;'Cashflow Projection'!P$5,Sales!$H:$H,"&gt;"&amp;'Cashflow Projection'!N$5,Sales!$A:$A,'Cashflow Projection'!$A10,Sales!$B:$B,'Cashflow Projection'!$B10,Sales!$F:$F,'Cashflow Projection'!$C10,Sales!$E:$E,FALSE)*$C10</f>
        <v/>
      </c>
      <c r="R10" s="26">
        <f>SUMIFS(Sales!$S:$S,Sales!$H:$H,"&lt;="&amp;'Cashflow Projection'!R$5,Sales!$E:$E,FALSE,Sales!$F:$F,'Cashflow Projection'!$C10,Sales!$A:$A,'Cashflow Projection'!$A10,Sales!$B:$B,'Cashflow Projection'!$B10,Sales!$H:$H,"&gt;"&amp;'Cashflow Projection'!P$5)*$C10</f>
        <v/>
      </c>
      <c r="S10" s="27">
        <f>COUNTIFS(Sales!$H:$H,"&lt;="&amp;'Cashflow Projection'!R$5,Sales!$H:$H,"&gt;"&amp;'Cashflow Projection'!P$5,Sales!$A:$A,'Cashflow Projection'!$A10,Sales!$B:$B,'Cashflow Projection'!$B10,Sales!$F:$F,'Cashflow Projection'!$C10,Sales!$E:$E,FALSE)*$C10</f>
        <v/>
      </c>
      <c r="T10" s="26">
        <f>SUMIFS(Sales!$S:$S,Sales!$H:$H,"&lt;="&amp;'Cashflow Projection'!T$5,Sales!$E:$E,FALSE,Sales!$F:$F,'Cashflow Projection'!$C10,Sales!$A:$A,'Cashflow Projection'!$A10,Sales!$B:$B,'Cashflow Projection'!$B10,Sales!$H:$H,"&gt;"&amp;'Cashflow Projection'!R$5)*$C10</f>
        <v/>
      </c>
      <c r="U10" s="27">
        <f>COUNTIFS(Sales!$H:$H,"&lt;="&amp;'Cashflow Projection'!T$5,Sales!$H:$H,"&gt;"&amp;'Cashflow Projection'!R$5,Sales!$A:$A,'Cashflow Projection'!$A10,Sales!$B:$B,'Cashflow Projection'!$B10,Sales!$F:$F,'Cashflow Projection'!$C10,Sales!$E:$E,FALSE)*$C10</f>
        <v/>
      </c>
      <c r="V10" s="26">
        <f>SUMIFS(Sales!$S:$S,Sales!$H:$H,"&lt;="&amp;'Cashflow Projection'!V$5,Sales!$E:$E,FALSE,Sales!$F:$F,'Cashflow Projection'!$C10,Sales!$A:$A,'Cashflow Projection'!$A10,Sales!$B:$B,'Cashflow Projection'!$B10,Sales!$H:$H,"&gt;"&amp;'Cashflow Projection'!T$5)*$C10</f>
        <v/>
      </c>
      <c r="W10" s="24">
        <f>COUNTIFS(Sales!$H:$H,"&lt;="&amp;'Cashflow Projection'!V$5,Sales!$H:$H,"&gt;"&amp;'Cashflow Projection'!T$5,Sales!$A:$A,'Cashflow Projection'!$A10,Sales!$B:$B,'Cashflow Projection'!$B10,Sales!$F:$F,'Cashflow Projection'!$C10,Sales!$E:$E,FALSE)*$C10</f>
        <v/>
      </c>
    </row>
    <row r="11">
      <c r="A11" s="18" t="inlineStr">
        <is>
          <t>Heron View</t>
        </is>
      </c>
      <c r="B11" s="25" t="inlineStr">
        <is>
          <t>D</t>
        </is>
      </c>
      <c r="C11" s="25">
        <f>IF(A11&lt;&gt;"Heron View",1,IF(ISERROR(VLOOKUP($B11,$A$33:$B$45,2,FALSE)),1,SUMIFS($B$33:$B$45,$A$33:$A$45,B11)))</f>
        <v/>
      </c>
      <c r="D11" s="26">
        <f>+F11+H11+J11+L11+N11+P11+R11+T11+V11</f>
        <v/>
      </c>
      <c r="E11" s="27">
        <f>+G11+I11+K11+M11+O11+Q11+S11+U11+W11</f>
        <v/>
      </c>
      <c r="F11" s="26">
        <f>SUMIFS(Sales!$S:$S,Sales!$H:$H,"&lt;="&amp;'Cashflow Projection'!F$5,Sales!$E:$E,FALSE,Sales!$F:$F,'Cashflow Projection'!$C11,Sales!$A:$A,'Cashflow Projection'!$A11,Sales!$B:$B,'Cashflow Projection'!$B11,Sales!$H:$H,"&gt;"&amp;'Cashflow Projection'!B$2)*$C11</f>
        <v/>
      </c>
      <c r="G11" s="27">
        <f>COUNTIFS(Sales!$H:$H,"&lt;="&amp;'Cashflow Projection'!F$5,Sales!$H:$H,"&gt;"&amp;'Cashflow Projection'!B$2,Sales!$A:$A,'Cashflow Projection'!$A11,Sales!$B:$B,'Cashflow Projection'!$B11,Sales!$F:$F,'Cashflow Projection'!$C11,Sales!$E:$E,FALSE)*$C11</f>
        <v/>
      </c>
      <c r="H11" s="26">
        <f>SUMIFS(Sales!$S:$S,Sales!$H:$H,"&lt;="&amp;'Cashflow Projection'!H$5,Sales!$E:$E,FALSE,Sales!$F:$F,'Cashflow Projection'!$C11,Sales!$A:$A,'Cashflow Projection'!$A11,Sales!$B:$B,'Cashflow Projection'!$B11,Sales!$H:$H,"&gt;"&amp;'Cashflow Projection'!F$5)*$C11</f>
        <v/>
      </c>
      <c r="I11" s="27">
        <f>COUNTIFS(Sales!$H:$H,"&lt;="&amp;'Cashflow Projection'!H$5,Sales!$H:$H,"&gt;"&amp;'Cashflow Projection'!F$5,Sales!$A:$A,'Cashflow Projection'!$A11,Sales!$B:$B,'Cashflow Projection'!$B11,Sales!$F:$F,'Cashflow Projection'!$C11,Sales!$E:$E,FALSE)*$C11</f>
        <v/>
      </c>
      <c r="J11" s="26">
        <f>SUMIFS(Sales!$S:$S,Sales!$H:$H,"&lt;="&amp;'Cashflow Projection'!J$5,Sales!$E:$E,FALSE,Sales!$F:$F,'Cashflow Projection'!$C11,Sales!$A:$A,'Cashflow Projection'!$A11,Sales!$B:$B,'Cashflow Projection'!$B11,Sales!$H:$H,"&gt;"&amp;'Cashflow Projection'!H$5)*$C11</f>
        <v/>
      </c>
      <c r="K11" s="27">
        <f>COUNTIFS(Sales!$H:$H,"&lt;="&amp;'Cashflow Projection'!J$5,Sales!$H:$H,"&gt;"&amp;'Cashflow Projection'!H$5,Sales!$A:$A,'Cashflow Projection'!$A11,Sales!$B:$B,'Cashflow Projection'!$B11,Sales!$F:$F,'Cashflow Projection'!$C11,Sales!$E:$E,FALSE)*$C11</f>
        <v/>
      </c>
      <c r="L11" s="26">
        <f>SUMIFS(Sales!$S:$S,Sales!$H:$H,"&lt;="&amp;'Cashflow Projection'!L$5,Sales!$E:$E,FALSE,Sales!$F:$F,'Cashflow Projection'!$C11,Sales!$A:$A,'Cashflow Projection'!$A11,Sales!$B:$B,'Cashflow Projection'!$B11,Sales!$H:$H,"&gt;"&amp;'Cashflow Projection'!J$5)*$C11</f>
        <v/>
      </c>
      <c r="M11" s="27">
        <f>COUNTIFS(Sales!$H:$H,"&lt;="&amp;'Cashflow Projection'!L$5,Sales!$H:$H,"&gt;"&amp;'Cashflow Projection'!J$5,Sales!$A:$A,'Cashflow Projection'!$A11,Sales!$B:$B,'Cashflow Projection'!$B11,Sales!$F:$F,'Cashflow Projection'!$C11,Sales!$E:$E,FALSE)*$C11</f>
        <v/>
      </c>
      <c r="N11" s="26">
        <f>SUMIFS(Sales!$S:$S,Sales!$H:$H,"&lt;="&amp;'Cashflow Projection'!N$5,Sales!$E:$E,FALSE,Sales!$F:$F,'Cashflow Projection'!$C11,Sales!$A:$A,'Cashflow Projection'!$A11,Sales!$B:$B,'Cashflow Projection'!$B11,Sales!$H:$H,"&gt;"&amp;'Cashflow Projection'!L$5)*$C11</f>
        <v/>
      </c>
      <c r="O11" s="27">
        <f>COUNTIFS(Sales!$H:$H,"&lt;="&amp;'Cashflow Projection'!N$5,Sales!$H:$H,"&gt;"&amp;'Cashflow Projection'!L$5,Sales!$A:$A,'Cashflow Projection'!$A11,Sales!$B:$B,'Cashflow Projection'!$B11,Sales!$F:$F,'Cashflow Projection'!$C11,Sales!$E:$E,FALSE)*$C11</f>
        <v/>
      </c>
      <c r="P11" s="26">
        <f>SUMIFS(Sales!$S:$S,Sales!$H:$H,"&lt;="&amp;'Cashflow Projection'!P$5,Sales!$E:$E,FALSE,Sales!$F:$F,'Cashflow Projection'!$C11,Sales!$A:$A,'Cashflow Projection'!$A11,Sales!$B:$B,'Cashflow Projection'!$B11,Sales!$H:$H,"&gt;"&amp;'Cashflow Projection'!N$5)*$C11</f>
        <v/>
      </c>
      <c r="Q11" s="27">
        <f>COUNTIFS(Sales!$H:$H,"&lt;="&amp;'Cashflow Projection'!P$5,Sales!$H:$H,"&gt;"&amp;'Cashflow Projection'!N$5,Sales!$A:$A,'Cashflow Projection'!$A11,Sales!$B:$B,'Cashflow Projection'!$B11,Sales!$F:$F,'Cashflow Projection'!$C11,Sales!$E:$E,FALSE)*$C11</f>
        <v/>
      </c>
      <c r="R11" s="26">
        <f>SUMIFS(Sales!$S:$S,Sales!$H:$H,"&lt;="&amp;'Cashflow Projection'!R$5,Sales!$E:$E,FALSE,Sales!$F:$F,'Cashflow Projection'!$C11,Sales!$A:$A,'Cashflow Projection'!$A11,Sales!$B:$B,'Cashflow Projection'!$B11,Sales!$H:$H,"&gt;"&amp;'Cashflow Projection'!P$5)*$C11</f>
        <v/>
      </c>
      <c r="S11" s="27">
        <f>COUNTIFS(Sales!$H:$H,"&lt;="&amp;'Cashflow Projection'!R$5,Sales!$H:$H,"&gt;"&amp;'Cashflow Projection'!P$5,Sales!$A:$A,'Cashflow Projection'!$A11,Sales!$B:$B,'Cashflow Projection'!$B11,Sales!$F:$F,'Cashflow Projection'!$C11,Sales!$E:$E,FALSE)*$C11</f>
        <v/>
      </c>
      <c r="T11" s="26">
        <f>SUMIFS(Sales!$S:$S,Sales!$H:$H,"&lt;="&amp;'Cashflow Projection'!T$5,Sales!$E:$E,FALSE,Sales!$F:$F,'Cashflow Projection'!$C11,Sales!$A:$A,'Cashflow Projection'!$A11,Sales!$B:$B,'Cashflow Projection'!$B11,Sales!$H:$H,"&gt;"&amp;'Cashflow Projection'!R$5)*$C11</f>
        <v/>
      </c>
      <c r="U11" s="27">
        <f>COUNTIFS(Sales!$H:$H,"&lt;="&amp;'Cashflow Projection'!T$5,Sales!$H:$H,"&gt;"&amp;'Cashflow Projection'!R$5,Sales!$A:$A,'Cashflow Projection'!$A11,Sales!$B:$B,'Cashflow Projection'!$B11,Sales!$F:$F,'Cashflow Projection'!$C11,Sales!$E:$E,FALSE)*$C11</f>
        <v/>
      </c>
      <c r="V11" s="26">
        <f>SUMIFS(Sales!$S:$S,Sales!$H:$H,"&lt;="&amp;'Cashflow Projection'!V$5,Sales!$E:$E,FALSE,Sales!$F:$F,'Cashflow Projection'!$C11,Sales!$A:$A,'Cashflow Projection'!$A11,Sales!$B:$B,'Cashflow Projection'!$B11,Sales!$H:$H,"&gt;"&amp;'Cashflow Projection'!T$5)*$C11</f>
        <v/>
      </c>
      <c r="W11" s="24">
        <f>COUNTIFS(Sales!$H:$H,"&lt;="&amp;'Cashflow Projection'!V$5,Sales!$H:$H,"&gt;"&amp;'Cashflow Projection'!T$5,Sales!$A:$A,'Cashflow Projection'!$A11,Sales!$B:$B,'Cashflow Projection'!$B11,Sales!$F:$F,'Cashflow Projection'!$C11,Sales!$E:$E,FALSE)*$C11</f>
        <v/>
      </c>
    </row>
    <row r="12">
      <c r="A12" s="18" t="inlineStr">
        <is>
          <t>Heron View</t>
        </is>
      </c>
      <c r="B12" s="25" t="inlineStr">
        <is>
          <t>E</t>
        </is>
      </c>
      <c r="C12" s="25">
        <f>IF(A12&lt;&gt;"Heron View",1,IF(ISERROR(VLOOKUP($B12,$A$33:$B$45,2,FALSE)),1,SUMIFS($B$33:$B$45,$A$33:$A$45,B12)))</f>
        <v/>
      </c>
      <c r="D12" s="26">
        <f>+F12+H12+J12+L12+N12+P12+R12+T12+V12</f>
        <v/>
      </c>
      <c r="E12" s="27">
        <f>+G12+I12+K12+M12+O12+Q12+S12+U12+W12</f>
        <v/>
      </c>
      <c r="F12" s="26">
        <f>SUMIFS(Sales!$S:$S,Sales!$H:$H,"&lt;="&amp;'Cashflow Projection'!F$5,Sales!$E:$E,FALSE,Sales!$F:$F,'Cashflow Projection'!$C12,Sales!$A:$A,'Cashflow Projection'!$A12,Sales!$B:$B,'Cashflow Projection'!$B12,Sales!$H:$H,"&gt;"&amp;'Cashflow Projection'!B$2)*$C12</f>
        <v/>
      </c>
      <c r="G12" s="27">
        <f>COUNTIFS(Sales!$H:$H,"&lt;="&amp;'Cashflow Projection'!F$5,Sales!$H:$H,"&gt;"&amp;'Cashflow Projection'!B$2,Sales!$A:$A,'Cashflow Projection'!$A12,Sales!$B:$B,'Cashflow Projection'!$B12,Sales!$F:$F,'Cashflow Projection'!$C12,Sales!$E:$E,FALSE)*$C12</f>
        <v/>
      </c>
      <c r="H12" s="26">
        <f>SUMIFS(Sales!$S:$S,Sales!$H:$H,"&lt;="&amp;'Cashflow Projection'!H$5,Sales!$E:$E,FALSE,Sales!$F:$F,'Cashflow Projection'!$C12,Sales!$A:$A,'Cashflow Projection'!$A12,Sales!$B:$B,'Cashflow Projection'!$B12,Sales!$H:$H,"&gt;"&amp;'Cashflow Projection'!F$5)*$C12</f>
        <v/>
      </c>
      <c r="I12" s="27">
        <f>COUNTIFS(Sales!$H:$H,"&lt;="&amp;'Cashflow Projection'!H$5,Sales!$H:$H,"&gt;"&amp;'Cashflow Projection'!F$5,Sales!$A:$A,'Cashflow Projection'!$A12,Sales!$B:$B,'Cashflow Projection'!$B12,Sales!$F:$F,'Cashflow Projection'!$C12,Sales!$E:$E,FALSE)*$C12</f>
        <v/>
      </c>
      <c r="J12" s="26">
        <f>SUMIFS(Sales!$S:$S,Sales!$H:$H,"&lt;="&amp;'Cashflow Projection'!J$5,Sales!$E:$E,FALSE,Sales!$F:$F,'Cashflow Projection'!$C12,Sales!$A:$A,'Cashflow Projection'!$A12,Sales!$B:$B,'Cashflow Projection'!$B12,Sales!$H:$H,"&gt;"&amp;'Cashflow Projection'!H$5)*$C12</f>
        <v/>
      </c>
      <c r="K12" s="27">
        <f>COUNTIFS(Sales!$H:$H,"&lt;="&amp;'Cashflow Projection'!J$5,Sales!$H:$H,"&gt;"&amp;'Cashflow Projection'!H$5,Sales!$A:$A,'Cashflow Projection'!$A12,Sales!$B:$B,'Cashflow Projection'!$B12,Sales!$F:$F,'Cashflow Projection'!$C12,Sales!$E:$E,FALSE)*$C12</f>
        <v/>
      </c>
      <c r="L12" s="26">
        <f>SUMIFS(Sales!$S:$S,Sales!$H:$H,"&lt;="&amp;'Cashflow Projection'!L$5,Sales!$E:$E,FALSE,Sales!$F:$F,'Cashflow Projection'!$C12,Sales!$A:$A,'Cashflow Projection'!$A12,Sales!$B:$B,'Cashflow Projection'!$B12,Sales!$H:$H,"&gt;"&amp;'Cashflow Projection'!J$5)*$C12</f>
        <v/>
      </c>
      <c r="M12" s="27">
        <f>COUNTIFS(Sales!$H:$H,"&lt;="&amp;'Cashflow Projection'!L$5,Sales!$H:$H,"&gt;"&amp;'Cashflow Projection'!J$5,Sales!$A:$A,'Cashflow Projection'!$A12,Sales!$B:$B,'Cashflow Projection'!$B12,Sales!$F:$F,'Cashflow Projection'!$C12,Sales!$E:$E,FALSE)*$C12</f>
        <v/>
      </c>
      <c r="N12" s="26">
        <f>SUMIFS(Sales!$S:$S,Sales!$H:$H,"&lt;="&amp;'Cashflow Projection'!N$5,Sales!$E:$E,FALSE,Sales!$F:$F,'Cashflow Projection'!$C12,Sales!$A:$A,'Cashflow Projection'!$A12,Sales!$B:$B,'Cashflow Projection'!$B12,Sales!$H:$H,"&gt;"&amp;'Cashflow Projection'!L$5)*$C12</f>
        <v/>
      </c>
      <c r="O12" s="27">
        <f>COUNTIFS(Sales!$H:$H,"&lt;="&amp;'Cashflow Projection'!N$5,Sales!$H:$H,"&gt;"&amp;'Cashflow Projection'!L$5,Sales!$A:$A,'Cashflow Projection'!$A12,Sales!$B:$B,'Cashflow Projection'!$B12,Sales!$F:$F,'Cashflow Projection'!$C12,Sales!$E:$E,FALSE)*$C12</f>
        <v/>
      </c>
      <c r="P12" s="26">
        <f>SUMIFS(Sales!$S:$S,Sales!$H:$H,"&lt;="&amp;'Cashflow Projection'!P$5,Sales!$E:$E,FALSE,Sales!$F:$F,'Cashflow Projection'!$C12,Sales!$A:$A,'Cashflow Projection'!$A12,Sales!$B:$B,'Cashflow Projection'!$B12,Sales!$H:$H,"&gt;"&amp;'Cashflow Projection'!N$5)*$C12</f>
        <v/>
      </c>
      <c r="Q12" s="27">
        <f>COUNTIFS(Sales!$H:$H,"&lt;="&amp;'Cashflow Projection'!P$5,Sales!$H:$H,"&gt;"&amp;'Cashflow Projection'!N$5,Sales!$A:$A,'Cashflow Projection'!$A12,Sales!$B:$B,'Cashflow Projection'!$B12,Sales!$F:$F,'Cashflow Projection'!$C12,Sales!$E:$E,FALSE)*$C12</f>
        <v/>
      </c>
      <c r="R12" s="26">
        <f>SUMIFS(Sales!$S:$S,Sales!$H:$H,"&lt;="&amp;'Cashflow Projection'!R$5,Sales!$E:$E,FALSE,Sales!$F:$F,'Cashflow Projection'!$C12,Sales!$A:$A,'Cashflow Projection'!$A12,Sales!$B:$B,'Cashflow Projection'!$B12,Sales!$H:$H,"&gt;"&amp;'Cashflow Projection'!P$5)*$C12</f>
        <v/>
      </c>
      <c r="S12" s="27">
        <f>COUNTIFS(Sales!$H:$H,"&lt;="&amp;'Cashflow Projection'!R$5,Sales!$H:$H,"&gt;"&amp;'Cashflow Projection'!P$5,Sales!$A:$A,'Cashflow Projection'!$A12,Sales!$B:$B,'Cashflow Projection'!$B12,Sales!$F:$F,'Cashflow Projection'!$C12,Sales!$E:$E,FALSE)*$C12</f>
        <v/>
      </c>
      <c r="T12" s="26">
        <f>SUMIFS(Sales!$S:$S,Sales!$H:$H,"&lt;="&amp;'Cashflow Projection'!T$5,Sales!$E:$E,FALSE,Sales!$F:$F,'Cashflow Projection'!$C12,Sales!$A:$A,'Cashflow Projection'!$A12,Sales!$B:$B,'Cashflow Projection'!$B12,Sales!$H:$H,"&gt;"&amp;'Cashflow Projection'!R$5)*$C12</f>
        <v/>
      </c>
      <c r="U12" s="27">
        <f>COUNTIFS(Sales!$H:$H,"&lt;="&amp;'Cashflow Projection'!T$5,Sales!$H:$H,"&gt;"&amp;'Cashflow Projection'!R$5,Sales!$A:$A,'Cashflow Projection'!$A12,Sales!$B:$B,'Cashflow Projection'!$B12,Sales!$F:$F,'Cashflow Projection'!$C12,Sales!$E:$E,FALSE)*$C12</f>
        <v/>
      </c>
      <c r="V12" s="26">
        <f>SUMIFS(Sales!$S:$S,Sales!$H:$H,"&lt;="&amp;'Cashflow Projection'!V$5,Sales!$E:$E,FALSE,Sales!$F:$F,'Cashflow Projection'!$C12,Sales!$A:$A,'Cashflow Projection'!$A12,Sales!$B:$B,'Cashflow Projection'!$B12,Sales!$H:$H,"&gt;"&amp;'Cashflow Projection'!T$5)*$C12</f>
        <v/>
      </c>
      <c r="W12" s="24">
        <f>COUNTIFS(Sales!$H:$H,"&lt;="&amp;'Cashflow Projection'!V$5,Sales!$H:$H,"&gt;"&amp;'Cashflow Projection'!T$5,Sales!$A:$A,'Cashflow Projection'!$A12,Sales!$B:$B,'Cashflow Projection'!$B12,Sales!$F:$F,'Cashflow Projection'!$C12,Sales!$E:$E,FALSE)*$C12</f>
        <v/>
      </c>
    </row>
    <row r="13">
      <c r="A13" s="18" t="inlineStr">
        <is>
          <t>Heron View</t>
        </is>
      </c>
      <c r="B13" s="25" t="inlineStr">
        <is>
          <t>F</t>
        </is>
      </c>
      <c r="C13" s="25">
        <f>IF(A13&lt;&gt;"Heron View",1,IF(ISERROR(VLOOKUP($B13,$A$33:$B$45,2,FALSE)),1,SUMIFS($B$33:$B$45,$A$33:$A$45,B13)))</f>
        <v/>
      </c>
      <c r="D13" s="26">
        <f>+F13+H13+J13+L13+N13+P13+R13+T13+V13</f>
        <v/>
      </c>
      <c r="E13" s="27">
        <f>+G13+I13+K13+M13+O13+Q13+S13+U13+W13</f>
        <v/>
      </c>
      <c r="F13" s="26">
        <f>SUMIFS(Sales!$S:$S,Sales!$H:$H,"&lt;="&amp;'Cashflow Projection'!F$5,Sales!$E:$E,FALSE,Sales!$F:$F,'Cashflow Projection'!$C13,Sales!$A:$A,'Cashflow Projection'!$A13,Sales!$B:$B,'Cashflow Projection'!$B13,Sales!$H:$H,"&gt;"&amp;'Cashflow Projection'!B$2)*$C13</f>
        <v/>
      </c>
      <c r="G13" s="27">
        <f>COUNTIFS(Sales!$H:$H,"&lt;="&amp;'Cashflow Projection'!F$5,Sales!$H:$H,"&gt;"&amp;'Cashflow Projection'!B$2,Sales!$A:$A,'Cashflow Projection'!$A13,Sales!$B:$B,'Cashflow Projection'!$B13,Sales!$F:$F,'Cashflow Projection'!$C13,Sales!$E:$E,FALSE)*$C13</f>
        <v/>
      </c>
      <c r="H13" s="26">
        <f>SUMIFS(Sales!$S:$S,Sales!$H:$H,"&lt;="&amp;'Cashflow Projection'!H$5,Sales!$E:$E,FALSE,Sales!$F:$F,'Cashflow Projection'!$C13,Sales!$A:$A,'Cashflow Projection'!$A13,Sales!$B:$B,'Cashflow Projection'!$B13,Sales!$H:$H,"&gt;"&amp;'Cashflow Projection'!F$5)*$C13</f>
        <v/>
      </c>
      <c r="I13" s="27">
        <f>COUNTIFS(Sales!$H:$H,"&lt;="&amp;'Cashflow Projection'!H$5,Sales!$H:$H,"&gt;"&amp;'Cashflow Projection'!F$5,Sales!$A:$A,'Cashflow Projection'!$A13,Sales!$B:$B,'Cashflow Projection'!$B13,Sales!$F:$F,'Cashflow Projection'!$C13,Sales!$E:$E,FALSE)*$C13</f>
        <v/>
      </c>
      <c r="J13" s="26">
        <f>SUMIFS(Sales!$S:$S,Sales!$H:$H,"&lt;="&amp;'Cashflow Projection'!J$5,Sales!$E:$E,FALSE,Sales!$F:$F,'Cashflow Projection'!$C13,Sales!$A:$A,'Cashflow Projection'!$A13,Sales!$B:$B,'Cashflow Projection'!$B13,Sales!$H:$H,"&gt;"&amp;'Cashflow Projection'!H$5)*$C13</f>
        <v/>
      </c>
      <c r="K13" s="27">
        <f>COUNTIFS(Sales!$H:$H,"&lt;="&amp;'Cashflow Projection'!J$5,Sales!$H:$H,"&gt;"&amp;'Cashflow Projection'!H$5,Sales!$A:$A,'Cashflow Projection'!$A13,Sales!$B:$B,'Cashflow Projection'!$B13,Sales!$F:$F,'Cashflow Projection'!$C13,Sales!$E:$E,FALSE)*$C13</f>
        <v/>
      </c>
      <c r="L13" s="26">
        <f>SUMIFS(Sales!$S:$S,Sales!$H:$H,"&lt;="&amp;'Cashflow Projection'!L$5,Sales!$E:$E,FALSE,Sales!$F:$F,'Cashflow Projection'!$C13,Sales!$A:$A,'Cashflow Projection'!$A13,Sales!$B:$B,'Cashflow Projection'!$B13,Sales!$H:$H,"&gt;"&amp;'Cashflow Projection'!J$5)*$C13</f>
        <v/>
      </c>
      <c r="M13" s="27">
        <f>COUNTIFS(Sales!$H:$H,"&lt;="&amp;'Cashflow Projection'!L$5,Sales!$H:$H,"&gt;"&amp;'Cashflow Projection'!J$5,Sales!$A:$A,'Cashflow Projection'!$A13,Sales!$B:$B,'Cashflow Projection'!$B13,Sales!$F:$F,'Cashflow Projection'!$C13,Sales!$E:$E,FALSE)*$C13</f>
        <v/>
      </c>
      <c r="N13" s="26">
        <f>SUMIFS(Sales!$S:$S,Sales!$H:$H,"&lt;="&amp;'Cashflow Projection'!N$5,Sales!$E:$E,FALSE,Sales!$F:$F,'Cashflow Projection'!$C13,Sales!$A:$A,'Cashflow Projection'!$A13,Sales!$B:$B,'Cashflow Projection'!$B13,Sales!$H:$H,"&gt;"&amp;'Cashflow Projection'!L$5)*$C13</f>
        <v/>
      </c>
      <c r="O13" s="27">
        <f>COUNTIFS(Sales!$H:$H,"&lt;="&amp;'Cashflow Projection'!N$5,Sales!$H:$H,"&gt;"&amp;'Cashflow Projection'!L$5,Sales!$A:$A,'Cashflow Projection'!$A13,Sales!$B:$B,'Cashflow Projection'!$B13,Sales!$F:$F,'Cashflow Projection'!$C13,Sales!$E:$E,FALSE)*$C13</f>
        <v/>
      </c>
      <c r="P13" s="26">
        <f>SUMIFS(Sales!$S:$S,Sales!$H:$H,"&lt;="&amp;'Cashflow Projection'!P$5,Sales!$E:$E,FALSE,Sales!$F:$F,'Cashflow Projection'!$C13,Sales!$A:$A,'Cashflow Projection'!$A13,Sales!$B:$B,'Cashflow Projection'!$B13,Sales!$H:$H,"&gt;"&amp;'Cashflow Projection'!N$5)*$C13</f>
        <v/>
      </c>
      <c r="Q13" s="27">
        <f>COUNTIFS(Sales!$H:$H,"&lt;="&amp;'Cashflow Projection'!P$5,Sales!$H:$H,"&gt;"&amp;'Cashflow Projection'!N$5,Sales!$A:$A,'Cashflow Projection'!$A13,Sales!$B:$B,'Cashflow Projection'!$B13,Sales!$F:$F,'Cashflow Projection'!$C13,Sales!$E:$E,FALSE)*$C13</f>
        <v/>
      </c>
      <c r="R13" s="26">
        <f>SUMIFS(Sales!$S:$S,Sales!$H:$H,"&lt;="&amp;'Cashflow Projection'!R$5,Sales!$E:$E,FALSE,Sales!$F:$F,'Cashflow Projection'!$C13,Sales!$A:$A,'Cashflow Projection'!$A13,Sales!$B:$B,'Cashflow Projection'!$B13,Sales!$H:$H,"&gt;"&amp;'Cashflow Projection'!P$5)*$C13</f>
        <v/>
      </c>
      <c r="S13" s="27">
        <f>COUNTIFS(Sales!$H:$H,"&lt;="&amp;'Cashflow Projection'!R$5,Sales!$H:$H,"&gt;"&amp;'Cashflow Projection'!P$5,Sales!$A:$A,'Cashflow Projection'!$A13,Sales!$B:$B,'Cashflow Projection'!$B13,Sales!$F:$F,'Cashflow Projection'!$C13,Sales!$E:$E,FALSE)*$C13</f>
        <v/>
      </c>
      <c r="T13" s="26">
        <f>SUMIFS(Sales!$S:$S,Sales!$H:$H,"&lt;="&amp;'Cashflow Projection'!T$5,Sales!$E:$E,FALSE,Sales!$F:$F,'Cashflow Projection'!$C13,Sales!$A:$A,'Cashflow Projection'!$A13,Sales!$B:$B,'Cashflow Projection'!$B13,Sales!$H:$H,"&gt;"&amp;'Cashflow Projection'!R$5)*$C13</f>
        <v/>
      </c>
      <c r="U13" s="27">
        <f>COUNTIFS(Sales!$H:$H,"&lt;="&amp;'Cashflow Projection'!T$5,Sales!$H:$H,"&gt;"&amp;'Cashflow Projection'!R$5,Sales!$A:$A,'Cashflow Projection'!$A13,Sales!$B:$B,'Cashflow Projection'!$B13,Sales!$F:$F,'Cashflow Projection'!$C13,Sales!$E:$E,FALSE)*$C13</f>
        <v/>
      </c>
      <c r="V13" s="26">
        <f>SUMIFS(Sales!$S:$S,Sales!$H:$H,"&lt;="&amp;'Cashflow Projection'!V$5,Sales!$E:$E,FALSE,Sales!$F:$F,'Cashflow Projection'!$C13,Sales!$A:$A,'Cashflow Projection'!$A13,Sales!$B:$B,'Cashflow Projection'!$B13,Sales!$H:$H,"&gt;"&amp;'Cashflow Projection'!T$5)*$C13</f>
        <v/>
      </c>
      <c r="W13" s="24">
        <f>COUNTIFS(Sales!$H:$H,"&lt;="&amp;'Cashflow Projection'!V$5,Sales!$H:$H,"&gt;"&amp;'Cashflow Projection'!T$5,Sales!$A:$A,'Cashflow Projection'!$A13,Sales!$B:$B,'Cashflow Projection'!$B13,Sales!$F:$F,'Cashflow Projection'!$C13,Sales!$E:$E,FALSE)*$C13</f>
        <v/>
      </c>
    </row>
    <row r="14">
      <c r="A14" s="18" t="inlineStr">
        <is>
          <t>Heron View</t>
        </is>
      </c>
      <c r="B14" s="25" t="inlineStr">
        <is>
          <t>G</t>
        </is>
      </c>
      <c r="C14" s="25">
        <f>IF(A14&lt;&gt;"Heron View",1,IF(ISERROR(VLOOKUP($B14,$A$33:$B$45,2,FALSE)),1,SUMIFS($B$33:$B$45,$A$33:$A$45,B14)))</f>
        <v/>
      </c>
      <c r="D14" s="26">
        <f>+F14+H14+J14+L14+N14+P14+R14+T14+V14</f>
        <v/>
      </c>
      <c r="E14" s="27">
        <f>+G14+I14+K14+M14+O14+Q14+S14+U14+W14</f>
        <v/>
      </c>
      <c r="F14" s="26">
        <f>SUMIFS(Sales!$S:$S,Sales!$H:$H,"&lt;="&amp;'Cashflow Projection'!F$5,Sales!$E:$E,FALSE,Sales!$F:$F,'Cashflow Projection'!$C14,Sales!$A:$A,'Cashflow Projection'!$A14,Sales!$B:$B,'Cashflow Projection'!$B14,Sales!$H:$H,"&gt;"&amp;'Cashflow Projection'!B$2)*$C14</f>
        <v/>
      </c>
      <c r="G14" s="27">
        <f>COUNTIFS(Sales!$H:$H,"&lt;="&amp;'Cashflow Projection'!F$5,Sales!$H:$H,"&gt;"&amp;'Cashflow Projection'!B$2,Sales!$A:$A,'Cashflow Projection'!$A14,Sales!$B:$B,'Cashflow Projection'!$B14,Sales!$F:$F,'Cashflow Projection'!$C14,Sales!$E:$E,FALSE)*$C14</f>
        <v/>
      </c>
      <c r="H14" s="26">
        <f>SUMIFS(Sales!$S:$S,Sales!$H:$H,"&lt;="&amp;'Cashflow Projection'!H$5,Sales!$E:$E,FALSE,Sales!$F:$F,'Cashflow Projection'!$C14,Sales!$A:$A,'Cashflow Projection'!$A14,Sales!$B:$B,'Cashflow Projection'!$B14,Sales!$H:$H,"&gt;"&amp;'Cashflow Projection'!F$5)*$C14</f>
        <v/>
      </c>
      <c r="I14" s="27">
        <f>COUNTIFS(Sales!$H:$H,"&lt;="&amp;'Cashflow Projection'!H$5,Sales!$H:$H,"&gt;"&amp;'Cashflow Projection'!F$5,Sales!$A:$A,'Cashflow Projection'!$A14,Sales!$B:$B,'Cashflow Projection'!$B14,Sales!$F:$F,'Cashflow Projection'!$C14,Sales!$E:$E,FALSE)*$C14</f>
        <v/>
      </c>
      <c r="J14" s="26">
        <f>SUMIFS(Sales!$S:$S,Sales!$H:$H,"&lt;="&amp;'Cashflow Projection'!J$5,Sales!$E:$E,FALSE,Sales!$F:$F,'Cashflow Projection'!$C14,Sales!$A:$A,'Cashflow Projection'!$A14,Sales!$B:$B,'Cashflow Projection'!$B14,Sales!$H:$H,"&gt;"&amp;'Cashflow Projection'!H$5)*$C14</f>
        <v/>
      </c>
      <c r="K14" s="27">
        <f>COUNTIFS(Sales!$H:$H,"&lt;="&amp;'Cashflow Projection'!J$5,Sales!$H:$H,"&gt;"&amp;'Cashflow Projection'!H$5,Sales!$A:$A,'Cashflow Projection'!$A14,Sales!$B:$B,'Cashflow Projection'!$B14,Sales!$F:$F,'Cashflow Projection'!$C14,Sales!$E:$E,FALSE)*$C14</f>
        <v/>
      </c>
      <c r="L14" s="26">
        <f>SUMIFS(Sales!$S:$S,Sales!$H:$H,"&lt;="&amp;'Cashflow Projection'!L$5,Sales!$E:$E,FALSE,Sales!$F:$F,'Cashflow Projection'!$C14,Sales!$A:$A,'Cashflow Projection'!$A14,Sales!$B:$B,'Cashflow Projection'!$B14,Sales!$H:$H,"&gt;"&amp;'Cashflow Projection'!J$5)*$C14</f>
        <v/>
      </c>
      <c r="M14" s="27">
        <f>COUNTIFS(Sales!$H:$H,"&lt;="&amp;'Cashflow Projection'!L$5,Sales!$H:$H,"&gt;"&amp;'Cashflow Projection'!J$5,Sales!$A:$A,'Cashflow Projection'!$A14,Sales!$B:$B,'Cashflow Projection'!$B14,Sales!$F:$F,'Cashflow Projection'!$C14,Sales!$E:$E,FALSE)*$C14</f>
        <v/>
      </c>
      <c r="N14" s="26">
        <f>SUMIFS(Sales!$S:$S,Sales!$H:$H,"&lt;="&amp;'Cashflow Projection'!N$5,Sales!$E:$E,FALSE,Sales!$F:$F,'Cashflow Projection'!$C14,Sales!$A:$A,'Cashflow Projection'!$A14,Sales!$B:$B,'Cashflow Projection'!$B14,Sales!$H:$H,"&gt;"&amp;'Cashflow Projection'!L$5)*$C14</f>
        <v/>
      </c>
      <c r="O14" s="27">
        <f>COUNTIFS(Sales!$H:$H,"&lt;="&amp;'Cashflow Projection'!N$5,Sales!$H:$H,"&gt;"&amp;'Cashflow Projection'!L$5,Sales!$A:$A,'Cashflow Projection'!$A14,Sales!$B:$B,'Cashflow Projection'!$B14,Sales!$F:$F,'Cashflow Projection'!$C14,Sales!$E:$E,FALSE)*$C14</f>
        <v/>
      </c>
      <c r="P14" s="26">
        <f>SUMIFS(Sales!$S:$S,Sales!$H:$H,"&lt;="&amp;'Cashflow Projection'!P$5,Sales!$E:$E,FALSE,Sales!$F:$F,'Cashflow Projection'!$C14,Sales!$A:$A,'Cashflow Projection'!$A14,Sales!$B:$B,'Cashflow Projection'!$B14,Sales!$H:$H,"&gt;"&amp;'Cashflow Projection'!N$5)*$C14</f>
        <v/>
      </c>
      <c r="Q14" s="27">
        <f>COUNTIFS(Sales!$H:$H,"&lt;="&amp;'Cashflow Projection'!P$5,Sales!$H:$H,"&gt;"&amp;'Cashflow Projection'!N$5,Sales!$A:$A,'Cashflow Projection'!$A14,Sales!$B:$B,'Cashflow Projection'!$B14,Sales!$F:$F,'Cashflow Projection'!$C14,Sales!$E:$E,FALSE)*$C14</f>
        <v/>
      </c>
      <c r="R14" s="26">
        <f>SUMIFS(Sales!$S:$S,Sales!$H:$H,"&lt;="&amp;'Cashflow Projection'!R$5,Sales!$E:$E,FALSE,Sales!$F:$F,'Cashflow Projection'!$C14,Sales!$A:$A,'Cashflow Projection'!$A14,Sales!$B:$B,'Cashflow Projection'!$B14,Sales!$H:$H,"&gt;"&amp;'Cashflow Projection'!P$5)*$C14</f>
        <v/>
      </c>
      <c r="S14" s="27">
        <f>COUNTIFS(Sales!$H:$H,"&lt;="&amp;'Cashflow Projection'!R$5,Sales!$H:$H,"&gt;"&amp;'Cashflow Projection'!P$5,Sales!$A:$A,'Cashflow Projection'!$A14,Sales!$B:$B,'Cashflow Projection'!$B14,Sales!$F:$F,'Cashflow Projection'!$C14,Sales!$E:$E,FALSE)*$C14</f>
        <v/>
      </c>
      <c r="T14" s="26">
        <f>SUMIFS(Sales!$S:$S,Sales!$H:$H,"&lt;="&amp;'Cashflow Projection'!T$5,Sales!$E:$E,FALSE,Sales!$F:$F,'Cashflow Projection'!$C14,Sales!$A:$A,'Cashflow Projection'!$A14,Sales!$B:$B,'Cashflow Projection'!$B14,Sales!$H:$H,"&gt;"&amp;'Cashflow Projection'!R$5)*$C14</f>
        <v/>
      </c>
      <c r="U14" s="27">
        <f>COUNTIFS(Sales!$H:$H,"&lt;="&amp;'Cashflow Projection'!T$5,Sales!$H:$H,"&gt;"&amp;'Cashflow Projection'!R$5,Sales!$A:$A,'Cashflow Projection'!$A14,Sales!$B:$B,'Cashflow Projection'!$B14,Sales!$F:$F,'Cashflow Projection'!$C14,Sales!$E:$E,FALSE)*$C14</f>
        <v/>
      </c>
      <c r="V14" s="26">
        <f>SUMIFS(Sales!$S:$S,Sales!$H:$H,"&lt;="&amp;'Cashflow Projection'!V$5,Sales!$E:$E,FALSE,Sales!$F:$F,'Cashflow Projection'!$C14,Sales!$A:$A,'Cashflow Projection'!$A14,Sales!$B:$B,'Cashflow Projection'!$B14,Sales!$H:$H,"&gt;"&amp;'Cashflow Projection'!T$5)*$C14</f>
        <v/>
      </c>
      <c r="W14" s="24">
        <f>COUNTIFS(Sales!$H:$H,"&lt;="&amp;'Cashflow Projection'!V$5,Sales!$H:$H,"&gt;"&amp;'Cashflow Projection'!T$5,Sales!$A:$A,'Cashflow Projection'!$A14,Sales!$B:$B,'Cashflow Projection'!$B14,Sales!$F:$F,'Cashflow Projection'!$C14,Sales!$E:$E,FALSE)*$C14</f>
        <v/>
      </c>
    </row>
    <row r="15">
      <c r="A15" s="18" t="inlineStr">
        <is>
          <t>Heron View</t>
        </is>
      </c>
      <c r="B15" s="25" t="inlineStr">
        <is>
          <t>H</t>
        </is>
      </c>
      <c r="C15" s="25">
        <f>IF(A15&lt;&gt;"Heron View",1,IF(ISERROR(VLOOKUP($B15,$A$33:$B$45,2,FALSE)),1,SUMIFS($B$33:$B$45,$A$33:$A$45,B15)))</f>
        <v/>
      </c>
      <c r="D15" s="26">
        <f>+F15+H15+J15+L15+N15+P15+R15+T15+V15</f>
        <v/>
      </c>
      <c r="E15" s="27">
        <f>+G15+I15+K15+M15+O15+Q15+S15+U15+W15</f>
        <v/>
      </c>
      <c r="F15" s="26">
        <f>SUMIFS(Sales!$S:$S,Sales!$H:$H,"&lt;="&amp;'Cashflow Projection'!F$5,Sales!$E:$E,FALSE,Sales!$F:$F,'Cashflow Projection'!$C15,Sales!$A:$A,'Cashflow Projection'!$A15,Sales!$B:$B,'Cashflow Projection'!$B15,Sales!$H:$H,"&gt;"&amp;'Cashflow Projection'!B$2)*$C15</f>
        <v/>
      </c>
      <c r="G15" s="27">
        <f>COUNTIFS(Sales!$H:$H,"&lt;="&amp;'Cashflow Projection'!F$5,Sales!$H:$H,"&gt;"&amp;'Cashflow Projection'!B$2,Sales!$A:$A,'Cashflow Projection'!$A15,Sales!$B:$B,'Cashflow Projection'!$B15,Sales!$F:$F,'Cashflow Projection'!$C15,Sales!$E:$E,FALSE)*$C15</f>
        <v/>
      </c>
      <c r="H15" s="26">
        <f>SUMIFS(Sales!$S:$S,Sales!$H:$H,"&lt;="&amp;'Cashflow Projection'!H$5,Sales!$E:$E,FALSE,Sales!$F:$F,'Cashflow Projection'!$C15,Sales!$A:$A,'Cashflow Projection'!$A15,Sales!$B:$B,'Cashflow Projection'!$B15,Sales!$H:$H,"&gt;"&amp;'Cashflow Projection'!F$5)*$C15</f>
        <v/>
      </c>
      <c r="I15" s="27">
        <f>COUNTIFS(Sales!$H:$H,"&lt;="&amp;'Cashflow Projection'!H$5,Sales!$H:$H,"&gt;"&amp;'Cashflow Projection'!F$5,Sales!$A:$A,'Cashflow Projection'!$A15,Sales!$B:$B,'Cashflow Projection'!$B15,Sales!$F:$F,'Cashflow Projection'!$C15,Sales!$E:$E,FALSE)*$C15</f>
        <v/>
      </c>
      <c r="J15" s="26">
        <f>SUMIFS(Sales!$S:$S,Sales!$H:$H,"&lt;="&amp;'Cashflow Projection'!J$5,Sales!$E:$E,FALSE,Sales!$F:$F,'Cashflow Projection'!$C15,Sales!$A:$A,'Cashflow Projection'!$A15,Sales!$B:$B,'Cashflow Projection'!$B15,Sales!$H:$H,"&gt;"&amp;'Cashflow Projection'!H$5)*$C15</f>
        <v/>
      </c>
      <c r="K15" s="27">
        <f>COUNTIFS(Sales!$H:$H,"&lt;="&amp;'Cashflow Projection'!J$5,Sales!$H:$H,"&gt;"&amp;'Cashflow Projection'!H$5,Sales!$A:$A,'Cashflow Projection'!$A15,Sales!$B:$B,'Cashflow Projection'!$B15,Sales!$F:$F,'Cashflow Projection'!$C15,Sales!$E:$E,FALSE)*$C15</f>
        <v/>
      </c>
      <c r="L15" s="26">
        <f>SUMIFS(Sales!$S:$S,Sales!$H:$H,"&lt;="&amp;'Cashflow Projection'!L$5,Sales!$E:$E,FALSE,Sales!$F:$F,'Cashflow Projection'!$C15,Sales!$A:$A,'Cashflow Projection'!$A15,Sales!$B:$B,'Cashflow Projection'!$B15,Sales!$H:$H,"&gt;"&amp;'Cashflow Projection'!J$5)*$C15</f>
        <v/>
      </c>
      <c r="M15" s="27">
        <f>COUNTIFS(Sales!$H:$H,"&lt;="&amp;'Cashflow Projection'!L$5,Sales!$H:$H,"&gt;"&amp;'Cashflow Projection'!J$5,Sales!$A:$A,'Cashflow Projection'!$A15,Sales!$B:$B,'Cashflow Projection'!$B15,Sales!$F:$F,'Cashflow Projection'!$C15,Sales!$E:$E,FALSE)*$C15</f>
        <v/>
      </c>
      <c r="N15" s="26">
        <f>SUMIFS(Sales!$S:$S,Sales!$H:$H,"&lt;="&amp;'Cashflow Projection'!N$5,Sales!$E:$E,FALSE,Sales!$F:$F,'Cashflow Projection'!$C15,Sales!$A:$A,'Cashflow Projection'!$A15,Sales!$B:$B,'Cashflow Projection'!$B15,Sales!$H:$H,"&gt;"&amp;'Cashflow Projection'!L$5)*$C15</f>
        <v/>
      </c>
      <c r="O15" s="27">
        <f>COUNTIFS(Sales!$H:$H,"&lt;="&amp;'Cashflow Projection'!N$5,Sales!$H:$H,"&gt;"&amp;'Cashflow Projection'!L$5,Sales!$A:$A,'Cashflow Projection'!$A15,Sales!$B:$B,'Cashflow Projection'!$B15,Sales!$F:$F,'Cashflow Projection'!$C15,Sales!$E:$E,FALSE)*$C15</f>
        <v/>
      </c>
      <c r="P15" s="26">
        <f>SUMIFS(Sales!$S:$S,Sales!$H:$H,"&lt;="&amp;'Cashflow Projection'!P$5,Sales!$E:$E,FALSE,Sales!$F:$F,'Cashflow Projection'!$C15,Sales!$A:$A,'Cashflow Projection'!$A15,Sales!$B:$B,'Cashflow Projection'!$B15,Sales!$H:$H,"&gt;"&amp;'Cashflow Projection'!N$5)*$C15</f>
        <v/>
      </c>
      <c r="Q15" s="27">
        <f>COUNTIFS(Sales!$H:$H,"&lt;="&amp;'Cashflow Projection'!P$5,Sales!$H:$H,"&gt;"&amp;'Cashflow Projection'!N$5,Sales!$A:$A,'Cashflow Projection'!$A15,Sales!$B:$B,'Cashflow Projection'!$B15,Sales!$F:$F,'Cashflow Projection'!$C15,Sales!$E:$E,FALSE)*$C15</f>
        <v/>
      </c>
      <c r="R15" s="26">
        <f>SUMIFS(Sales!$S:$S,Sales!$H:$H,"&lt;="&amp;'Cashflow Projection'!R$5,Sales!$E:$E,FALSE,Sales!$F:$F,'Cashflow Projection'!$C15,Sales!$A:$A,'Cashflow Projection'!$A15,Sales!$B:$B,'Cashflow Projection'!$B15,Sales!$H:$H,"&gt;"&amp;'Cashflow Projection'!P$5)*$C15</f>
        <v/>
      </c>
      <c r="S15" s="27">
        <f>COUNTIFS(Sales!$H:$H,"&lt;="&amp;'Cashflow Projection'!R$5,Sales!$H:$H,"&gt;"&amp;'Cashflow Projection'!P$5,Sales!$A:$A,'Cashflow Projection'!$A15,Sales!$B:$B,'Cashflow Projection'!$B15,Sales!$F:$F,'Cashflow Projection'!$C15,Sales!$E:$E,FALSE)*$C15</f>
        <v/>
      </c>
      <c r="T15" s="26">
        <f>SUMIFS(Sales!$S:$S,Sales!$H:$H,"&lt;="&amp;'Cashflow Projection'!T$5,Sales!$E:$E,FALSE,Sales!$F:$F,'Cashflow Projection'!$C15,Sales!$A:$A,'Cashflow Projection'!$A15,Sales!$B:$B,'Cashflow Projection'!$B15,Sales!$H:$H,"&gt;"&amp;'Cashflow Projection'!R$5)*$C15</f>
        <v/>
      </c>
      <c r="U15" s="27">
        <f>COUNTIFS(Sales!$H:$H,"&lt;="&amp;'Cashflow Projection'!T$5,Sales!$H:$H,"&gt;"&amp;'Cashflow Projection'!R$5,Sales!$A:$A,'Cashflow Projection'!$A15,Sales!$B:$B,'Cashflow Projection'!$B15,Sales!$F:$F,'Cashflow Projection'!$C15,Sales!$E:$E,FALSE)*$C15</f>
        <v/>
      </c>
      <c r="V15" s="26">
        <f>SUMIFS(Sales!$S:$S,Sales!$H:$H,"&lt;="&amp;'Cashflow Projection'!V$5,Sales!$E:$E,FALSE,Sales!$F:$F,'Cashflow Projection'!$C15,Sales!$A:$A,'Cashflow Projection'!$A15,Sales!$B:$B,'Cashflow Projection'!$B15,Sales!$H:$H,"&gt;"&amp;'Cashflow Projection'!T$5)*$C15</f>
        <v/>
      </c>
      <c r="W15" s="24">
        <f>COUNTIFS(Sales!$H:$H,"&lt;="&amp;'Cashflow Projection'!V$5,Sales!$H:$H,"&gt;"&amp;'Cashflow Projection'!T$5,Sales!$A:$A,'Cashflow Projection'!$A15,Sales!$B:$B,'Cashflow Projection'!$B15,Sales!$F:$F,'Cashflow Projection'!$C15,Sales!$E:$E,FALSE)*$C15</f>
        <v/>
      </c>
    </row>
    <row r="16">
      <c r="A16" s="18" t="inlineStr">
        <is>
          <t>Heron View</t>
        </is>
      </c>
      <c r="B16" s="25" t="inlineStr">
        <is>
          <t>I</t>
        </is>
      </c>
      <c r="C16" s="25">
        <f>IF(A16&lt;&gt;"Heron View",1,IF(ISERROR(VLOOKUP($B16,$A$33:$B$45,2,FALSE)),1,SUMIFS($B$33:$B$45,$A$33:$A$45,B16)))</f>
        <v/>
      </c>
      <c r="D16" s="26">
        <f>+F16+H16+J16+L16+N16+P16+R16+T16+V16</f>
        <v/>
      </c>
      <c r="E16" s="27">
        <f>+G16+I16+K16+M16+O16+Q16+S16+U16+W16</f>
        <v/>
      </c>
      <c r="F16" s="26">
        <f>SUMIFS(Sales!$S:$S,Sales!$H:$H,"&lt;="&amp;'Cashflow Projection'!F$5,Sales!$E:$E,FALSE,Sales!$F:$F,'Cashflow Projection'!$C16,Sales!$A:$A,'Cashflow Projection'!$A16,Sales!$B:$B,'Cashflow Projection'!$B16,Sales!$H:$H,"&gt;"&amp;'Cashflow Projection'!B$2)*$C16</f>
        <v/>
      </c>
      <c r="G16" s="27">
        <f>COUNTIFS(Sales!$H:$H,"&lt;="&amp;'Cashflow Projection'!F$5,Sales!$H:$H,"&gt;"&amp;'Cashflow Projection'!B$2,Sales!$A:$A,'Cashflow Projection'!$A16,Sales!$B:$B,'Cashflow Projection'!$B16,Sales!$F:$F,'Cashflow Projection'!$C16,Sales!$E:$E,FALSE)*$C16</f>
        <v/>
      </c>
      <c r="H16" s="26">
        <f>SUMIFS(Sales!$S:$S,Sales!$H:$H,"&lt;="&amp;'Cashflow Projection'!H$5,Sales!$E:$E,FALSE,Sales!$F:$F,'Cashflow Projection'!$C16,Sales!$A:$A,'Cashflow Projection'!$A16,Sales!$B:$B,'Cashflow Projection'!$B16,Sales!$H:$H,"&gt;"&amp;'Cashflow Projection'!F$5)*$C16</f>
        <v/>
      </c>
      <c r="I16" s="27">
        <f>COUNTIFS(Sales!$H:$H,"&lt;="&amp;'Cashflow Projection'!H$5,Sales!$H:$H,"&gt;"&amp;'Cashflow Projection'!F$5,Sales!$A:$A,'Cashflow Projection'!$A16,Sales!$B:$B,'Cashflow Projection'!$B16,Sales!$F:$F,'Cashflow Projection'!$C16,Sales!$E:$E,FALSE)*$C16</f>
        <v/>
      </c>
      <c r="J16" s="26">
        <f>SUMIFS(Sales!$S:$S,Sales!$H:$H,"&lt;="&amp;'Cashflow Projection'!J$5,Sales!$E:$E,FALSE,Sales!$F:$F,'Cashflow Projection'!$C16,Sales!$A:$A,'Cashflow Projection'!$A16,Sales!$B:$B,'Cashflow Projection'!$B16,Sales!$H:$H,"&gt;"&amp;'Cashflow Projection'!H$5)*$C16</f>
        <v/>
      </c>
      <c r="K16" s="27">
        <f>COUNTIFS(Sales!$H:$H,"&lt;="&amp;'Cashflow Projection'!J$5,Sales!$H:$H,"&gt;"&amp;'Cashflow Projection'!H$5,Sales!$A:$A,'Cashflow Projection'!$A16,Sales!$B:$B,'Cashflow Projection'!$B16,Sales!$F:$F,'Cashflow Projection'!$C16,Sales!$E:$E,FALSE)*$C16</f>
        <v/>
      </c>
      <c r="L16" s="26">
        <f>SUMIFS(Sales!$S:$S,Sales!$H:$H,"&lt;="&amp;'Cashflow Projection'!L$5,Sales!$E:$E,FALSE,Sales!$F:$F,'Cashflow Projection'!$C16,Sales!$A:$A,'Cashflow Projection'!$A16,Sales!$B:$B,'Cashflow Projection'!$B16,Sales!$H:$H,"&gt;"&amp;'Cashflow Projection'!J$5)*$C16</f>
        <v/>
      </c>
      <c r="M16" s="27">
        <f>COUNTIFS(Sales!$H:$H,"&lt;="&amp;'Cashflow Projection'!L$5,Sales!$H:$H,"&gt;"&amp;'Cashflow Projection'!J$5,Sales!$A:$A,'Cashflow Projection'!$A16,Sales!$B:$B,'Cashflow Projection'!$B16,Sales!$F:$F,'Cashflow Projection'!$C16,Sales!$E:$E,FALSE)*$C16</f>
        <v/>
      </c>
      <c r="N16" s="26">
        <f>SUMIFS(Sales!$S:$S,Sales!$H:$H,"&lt;="&amp;'Cashflow Projection'!N$5,Sales!$E:$E,FALSE,Sales!$F:$F,'Cashflow Projection'!$C16,Sales!$A:$A,'Cashflow Projection'!$A16,Sales!$B:$B,'Cashflow Projection'!$B16,Sales!$H:$H,"&gt;"&amp;'Cashflow Projection'!L$5)*$C16</f>
        <v/>
      </c>
      <c r="O16" s="27">
        <f>COUNTIFS(Sales!$H:$H,"&lt;="&amp;'Cashflow Projection'!N$5,Sales!$H:$H,"&gt;"&amp;'Cashflow Projection'!L$5,Sales!$A:$A,'Cashflow Projection'!$A16,Sales!$B:$B,'Cashflow Projection'!$B16,Sales!$F:$F,'Cashflow Projection'!$C16,Sales!$E:$E,FALSE)*$C16</f>
        <v/>
      </c>
      <c r="P16" s="26">
        <f>SUMIFS(Sales!$S:$S,Sales!$H:$H,"&lt;="&amp;'Cashflow Projection'!P$5,Sales!$E:$E,FALSE,Sales!$F:$F,'Cashflow Projection'!$C16,Sales!$A:$A,'Cashflow Projection'!$A16,Sales!$B:$B,'Cashflow Projection'!$B16,Sales!$H:$H,"&gt;"&amp;'Cashflow Projection'!N$5)*$C16</f>
        <v/>
      </c>
      <c r="Q16" s="27">
        <f>COUNTIFS(Sales!$H:$H,"&lt;="&amp;'Cashflow Projection'!P$5,Sales!$H:$H,"&gt;"&amp;'Cashflow Projection'!N$5,Sales!$A:$A,'Cashflow Projection'!$A16,Sales!$B:$B,'Cashflow Projection'!$B16,Sales!$F:$F,'Cashflow Projection'!$C16,Sales!$E:$E,FALSE)*$C16</f>
        <v/>
      </c>
      <c r="R16" s="26">
        <f>SUMIFS(Sales!$S:$S,Sales!$H:$H,"&lt;="&amp;'Cashflow Projection'!R$5,Sales!$E:$E,FALSE,Sales!$F:$F,'Cashflow Projection'!$C16,Sales!$A:$A,'Cashflow Projection'!$A16,Sales!$B:$B,'Cashflow Projection'!$B16,Sales!$H:$H,"&gt;"&amp;'Cashflow Projection'!P$5)*$C16</f>
        <v/>
      </c>
      <c r="S16" s="27">
        <f>COUNTIFS(Sales!$H:$H,"&lt;="&amp;'Cashflow Projection'!R$5,Sales!$H:$H,"&gt;"&amp;'Cashflow Projection'!P$5,Sales!$A:$A,'Cashflow Projection'!$A16,Sales!$B:$B,'Cashflow Projection'!$B16,Sales!$F:$F,'Cashflow Projection'!$C16,Sales!$E:$E,FALSE)*$C16</f>
        <v/>
      </c>
      <c r="T16" s="26">
        <f>SUMIFS(Sales!$S:$S,Sales!$H:$H,"&lt;="&amp;'Cashflow Projection'!T$5,Sales!$E:$E,FALSE,Sales!$F:$F,'Cashflow Projection'!$C16,Sales!$A:$A,'Cashflow Projection'!$A16,Sales!$B:$B,'Cashflow Projection'!$B16,Sales!$H:$H,"&gt;"&amp;'Cashflow Projection'!R$5)*$C16</f>
        <v/>
      </c>
      <c r="U16" s="27">
        <f>COUNTIFS(Sales!$H:$H,"&lt;="&amp;'Cashflow Projection'!T$5,Sales!$H:$H,"&gt;"&amp;'Cashflow Projection'!R$5,Sales!$A:$A,'Cashflow Projection'!$A16,Sales!$B:$B,'Cashflow Projection'!$B16,Sales!$F:$F,'Cashflow Projection'!$C16,Sales!$E:$E,FALSE)*$C16</f>
        <v/>
      </c>
      <c r="V16" s="26">
        <f>SUMIFS(Sales!$S:$S,Sales!$H:$H,"&lt;="&amp;'Cashflow Projection'!V$5,Sales!$E:$E,FALSE,Sales!$F:$F,'Cashflow Projection'!$C16,Sales!$A:$A,'Cashflow Projection'!$A16,Sales!$B:$B,'Cashflow Projection'!$B16,Sales!$H:$H,"&gt;"&amp;'Cashflow Projection'!T$5)*$C16</f>
        <v/>
      </c>
      <c r="W16" s="24">
        <f>COUNTIFS(Sales!$H:$H,"&lt;="&amp;'Cashflow Projection'!V$5,Sales!$H:$H,"&gt;"&amp;'Cashflow Projection'!T$5,Sales!$A:$A,'Cashflow Projection'!$A16,Sales!$B:$B,'Cashflow Projection'!$B16,Sales!$F:$F,'Cashflow Projection'!$C16,Sales!$E:$E,FALSE)*$C16</f>
        <v/>
      </c>
    </row>
    <row r="17">
      <c r="A17" s="18" t="inlineStr">
        <is>
          <t>Heron View</t>
        </is>
      </c>
      <c r="B17" s="25" t="inlineStr">
        <is>
          <t>J</t>
        </is>
      </c>
      <c r="C17" s="25">
        <f>IF(A17&lt;&gt;"Heron View",1,IF(ISERROR(VLOOKUP($B17,$A$33:$B$45,2,FALSE)),1,SUMIFS($B$33:$B$45,$A$33:$A$45,B17)))</f>
        <v/>
      </c>
      <c r="D17" s="26">
        <f>+F17+H17+J17+L17+N17+P17+R17+T17+V17</f>
        <v/>
      </c>
      <c r="E17" s="27">
        <f>+G17+I17+K17+M17+O17+Q17+S17+U17+W17</f>
        <v/>
      </c>
      <c r="F17" s="26">
        <f>SUMIFS(Sales!$S:$S,Sales!$H:$H,"&lt;="&amp;'Cashflow Projection'!F$5,Sales!$E:$E,FALSE,Sales!$F:$F,'Cashflow Projection'!$C17,Sales!$A:$A,'Cashflow Projection'!$A17,Sales!$B:$B,'Cashflow Projection'!$B17,Sales!$H:$H,"&gt;"&amp;'Cashflow Projection'!B$2)*$C17</f>
        <v/>
      </c>
      <c r="G17" s="27">
        <f>COUNTIFS(Sales!$H:$H,"&lt;="&amp;'Cashflow Projection'!F$5,Sales!$H:$H,"&gt;"&amp;'Cashflow Projection'!B$2,Sales!$A:$A,'Cashflow Projection'!$A17,Sales!$B:$B,'Cashflow Projection'!$B17,Sales!$F:$F,'Cashflow Projection'!$C17,Sales!$E:$E,FALSE)*$C17</f>
        <v/>
      </c>
      <c r="H17" s="26">
        <f>SUMIFS(Sales!$S:$S,Sales!$H:$H,"&lt;="&amp;'Cashflow Projection'!H$5,Sales!$E:$E,FALSE,Sales!$F:$F,'Cashflow Projection'!$C17,Sales!$A:$A,'Cashflow Projection'!$A17,Sales!$B:$B,'Cashflow Projection'!$B17,Sales!$H:$H,"&gt;"&amp;'Cashflow Projection'!F$5)*$C17</f>
        <v/>
      </c>
      <c r="I17" s="27">
        <f>COUNTIFS(Sales!$H:$H,"&lt;="&amp;'Cashflow Projection'!H$5,Sales!$H:$H,"&gt;"&amp;'Cashflow Projection'!F$5,Sales!$A:$A,'Cashflow Projection'!$A17,Sales!$B:$B,'Cashflow Projection'!$B17,Sales!$F:$F,'Cashflow Projection'!$C17,Sales!$E:$E,FALSE)*$C17</f>
        <v/>
      </c>
      <c r="J17" s="26">
        <f>SUMIFS(Sales!$S:$S,Sales!$H:$H,"&lt;="&amp;'Cashflow Projection'!J$5,Sales!$E:$E,FALSE,Sales!$F:$F,'Cashflow Projection'!$C17,Sales!$A:$A,'Cashflow Projection'!$A17,Sales!$B:$B,'Cashflow Projection'!$B17,Sales!$H:$H,"&gt;"&amp;'Cashflow Projection'!H$5)*$C17</f>
        <v/>
      </c>
      <c r="K17" s="27">
        <f>COUNTIFS(Sales!$H:$H,"&lt;="&amp;'Cashflow Projection'!J$5,Sales!$H:$H,"&gt;"&amp;'Cashflow Projection'!H$5,Sales!$A:$A,'Cashflow Projection'!$A17,Sales!$B:$B,'Cashflow Projection'!$B17,Sales!$F:$F,'Cashflow Projection'!$C17,Sales!$E:$E,FALSE)*$C17</f>
        <v/>
      </c>
      <c r="L17" s="26">
        <f>SUMIFS(Sales!$S:$S,Sales!$H:$H,"&lt;="&amp;'Cashflow Projection'!L$5,Sales!$E:$E,FALSE,Sales!$F:$F,'Cashflow Projection'!$C17,Sales!$A:$A,'Cashflow Projection'!$A17,Sales!$B:$B,'Cashflow Projection'!$B17,Sales!$H:$H,"&gt;"&amp;'Cashflow Projection'!J$5)*$C17</f>
        <v/>
      </c>
      <c r="M17" s="27">
        <f>COUNTIFS(Sales!$H:$H,"&lt;="&amp;'Cashflow Projection'!L$5,Sales!$H:$H,"&gt;"&amp;'Cashflow Projection'!J$5,Sales!$A:$A,'Cashflow Projection'!$A17,Sales!$B:$B,'Cashflow Projection'!$B17,Sales!$F:$F,'Cashflow Projection'!$C17,Sales!$E:$E,FALSE)*$C17</f>
        <v/>
      </c>
      <c r="N17" s="26">
        <f>SUMIFS(Sales!$S:$S,Sales!$H:$H,"&lt;="&amp;'Cashflow Projection'!N$5,Sales!$E:$E,FALSE,Sales!$F:$F,'Cashflow Projection'!$C17,Sales!$A:$A,'Cashflow Projection'!$A17,Sales!$B:$B,'Cashflow Projection'!$B17,Sales!$H:$H,"&gt;"&amp;'Cashflow Projection'!L$5)*$C17</f>
        <v/>
      </c>
      <c r="O17" s="27">
        <f>COUNTIFS(Sales!$H:$H,"&lt;="&amp;'Cashflow Projection'!N$5,Sales!$H:$H,"&gt;"&amp;'Cashflow Projection'!L$5,Sales!$A:$A,'Cashflow Projection'!$A17,Sales!$B:$B,'Cashflow Projection'!$B17,Sales!$F:$F,'Cashflow Projection'!$C17,Sales!$E:$E,FALSE)*$C17</f>
        <v/>
      </c>
      <c r="P17" s="26">
        <f>SUMIFS(Sales!$S:$S,Sales!$H:$H,"&lt;="&amp;'Cashflow Projection'!P$5,Sales!$E:$E,FALSE,Sales!$F:$F,'Cashflow Projection'!$C17,Sales!$A:$A,'Cashflow Projection'!$A17,Sales!$B:$B,'Cashflow Projection'!$B17,Sales!$H:$H,"&gt;"&amp;'Cashflow Projection'!N$5)*$C17</f>
        <v/>
      </c>
      <c r="Q17" s="27">
        <f>COUNTIFS(Sales!$H:$H,"&lt;="&amp;'Cashflow Projection'!P$5,Sales!$H:$H,"&gt;"&amp;'Cashflow Projection'!N$5,Sales!$A:$A,'Cashflow Projection'!$A17,Sales!$B:$B,'Cashflow Projection'!$B17,Sales!$F:$F,'Cashflow Projection'!$C17,Sales!$E:$E,FALSE)*$C17</f>
        <v/>
      </c>
      <c r="R17" s="26">
        <f>SUMIFS(Sales!$S:$S,Sales!$H:$H,"&lt;="&amp;'Cashflow Projection'!R$5,Sales!$E:$E,FALSE,Sales!$F:$F,'Cashflow Projection'!$C17,Sales!$A:$A,'Cashflow Projection'!$A17,Sales!$B:$B,'Cashflow Projection'!$B17,Sales!$H:$H,"&gt;"&amp;'Cashflow Projection'!P$5)*$C17</f>
        <v/>
      </c>
      <c r="S17" s="27">
        <f>COUNTIFS(Sales!$H:$H,"&lt;="&amp;'Cashflow Projection'!R$5,Sales!$H:$H,"&gt;"&amp;'Cashflow Projection'!P$5,Sales!$A:$A,'Cashflow Projection'!$A17,Sales!$B:$B,'Cashflow Projection'!$B17,Sales!$F:$F,'Cashflow Projection'!$C17,Sales!$E:$E,FALSE)*$C17</f>
        <v/>
      </c>
      <c r="T17" s="26">
        <f>SUMIFS(Sales!$S:$S,Sales!$H:$H,"&lt;="&amp;'Cashflow Projection'!T$5,Sales!$E:$E,FALSE,Sales!$F:$F,'Cashflow Projection'!$C17,Sales!$A:$A,'Cashflow Projection'!$A17,Sales!$B:$B,'Cashflow Projection'!$B17,Sales!$H:$H,"&gt;"&amp;'Cashflow Projection'!R$5)*$C17</f>
        <v/>
      </c>
      <c r="U17" s="27">
        <f>COUNTIFS(Sales!$H:$H,"&lt;="&amp;'Cashflow Projection'!T$5,Sales!$H:$H,"&gt;"&amp;'Cashflow Projection'!R$5,Sales!$A:$A,'Cashflow Projection'!$A17,Sales!$B:$B,'Cashflow Projection'!$B17,Sales!$F:$F,'Cashflow Projection'!$C17,Sales!$E:$E,FALSE)*$C17</f>
        <v/>
      </c>
      <c r="V17" s="26">
        <f>SUMIFS(Sales!$S:$S,Sales!$H:$H,"&lt;="&amp;'Cashflow Projection'!V$5,Sales!$E:$E,FALSE,Sales!$F:$F,'Cashflow Projection'!$C17,Sales!$A:$A,'Cashflow Projection'!$A17,Sales!$B:$B,'Cashflow Projection'!$B17,Sales!$H:$H,"&gt;"&amp;'Cashflow Projection'!T$5)*$C17</f>
        <v/>
      </c>
      <c r="W17" s="24">
        <f>COUNTIFS(Sales!$H:$H,"&lt;="&amp;'Cashflow Projection'!V$5,Sales!$H:$H,"&gt;"&amp;'Cashflow Projection'!T$5,Sales!$A:$A,'Cashflow Projection'!$A17,Sales!$B:$B,'Cashflow Projection'!$B17,Sales!$F:$F,'Cashflow Projection'!$C17,Sales!$E:$E,FALSE)*$C17</f>
        <v/>
      </c>
    </row>
    <row r="18">
      <c r="A18" s="18" t="inlineStr">
        <is>
          <t>Heron View</t>
        </is>
      </c>
      <c r="B18" s="25" t="inlineStr">
        <is>
          <t>K</t>
        </is>
      </c>
      <c r="C18" s="25">
        <f>IF(A18&lt;&gt;"Heron View",1,IF(ISERROR(VLOOKUP($B18,$A$33:$B$45,2,FALSE)),1,SUMIFS($B$33:$B$45,$A$33:$A$45,B18)))</f>
        <v/>
      </c>
      <c r="D18" s="26">
        <f>+F18+H18+J18+L18+N18+P18+R18+T18+V18</f>
        <v/>
      </c>
      <c r="E18" s="27">
        <f>+G18+I18+K18+M18+O18+Q18+S18+U18+W18</f>
        <v/>
      </c>
      <c r="F18" s="26">
        <f>SUMIFS(Sales!$S:$S,Sales!$H:$H,"&lt;="&amp;'Cashflow Projection'!F$5,Sales!$E:$E,FALSE,Sales!$F:$F,'Cashflow Projection'!$C18,Sales!$A:$A,'Cashflow Projection'!$A18,Sales!$B:$B,'Cashflow Projection'!$B18,Sales!$H:$H,"&gt;"&amp;'Cashflow Projection'!B$2)*$C18</f>
        <v/>
      </c>
      <c r="G18" s="27">
        <f>COUNTIFS(Sales!$H:$H,"&lt;="&amp;'Cashflow Projection'!F$5,Sales!$H:$H,"&gt;"&amp;'Cashflow Projection'!B$2,Sales!$A:$A,'Cashflow Projection'!$A18,Sales!$B:$B,'Cashflow Projection'!$B18,Sales!$F:$F,'Cashflow Projection'!$C18,Sales!$E:$E,FALSE)*$C18</f>
        <v/>
      </c>
      <c r="H18" s="26">
        <f>SUMIFS(Sales!$S:$S,Sales!$H:$H,"&lt;="&amp;'Cashflow Projection'!H$5,Sales!$E:$E,FALSE,Sales!$F:$F,'Cashflow Projection'!$C18,Sales!$A:$A,'Cashflow Projection'!$A18,Sales!$B:$B,'Cashflow Projection'!$B18,Sales!$H:$H,"&gt;"&amp;'Cashflow Projection'!F$5)*$C18</f>
        <v/>
      </c>
      <c r="I18" s="27">
        <f>COUNTIFS(Sales!$H:$H,"&lt;="&amp;'Cashflow Projection'!H$5,Sales!$H:$H,"&gt;"&amp;'Cashflow Projection'!F$5,Sales!$A:$A,'Cashflow Projection'!$A18,Sales!$B:$B,'Cashflow Projection'!$B18,Sales!$F:$F,'Cashflow Projection'!$C18,Sales!$E:$E,FALSE)*$C18</f>
        <v/>
      </c>
      <c r="J18" s="26">
        <f>SUMIFS(Sales!$S:$S,Sales!$H:$H,"&lt;="&amp;'Cashflow Projection'!J$5,Sales!$E:$E,FALSE,Sales!$F:$F,'Cashflow Projection'!$C18,Sales!$A:$A,'Cashflow Projection'!$A18,Sales!$B:$B,'Cashflow Projection'!$B18,Sales!$H:$H,"&gt;"&amp;'Cashflow Projection'!H$5)*$C18</f>
        <v/>
      </c>
      <c r="K18" s="27">
        <f>COUNTIFS(Sales!$H:$H,"&lt;="&amp;'Cashflow Projection'!J$5,Sales!$H:$H,"&gt;"&amp;'Cashflow Projection'!H$5,Sales!$A:$A,'Cashflow Projection'!$A18,Sales!$B:$B,'Cashflow Projection'!$B18,Sales!$F:$F,'Cashflow Projection'!$C18,Sales!$E:$E,FALSE)*$C18</f>
        <v/>
      </c>
      <c r="L18" s="26">
        <f>SUMIFS(Sales!$S:$S,Sales!$H:$H,"&lt;="&amp;'Cashflow Projection'!L$5,Sales!$E:$E,FALSE,Sales!$F:$F,'Cashflow Projection'!$C18,Sales!$A:$A,'Cashflow Projection'!$A18,Sales!$B:$B,'Cashflow Projection'!$B18,Sales!$H:$H,"&gt;"&amp;'Cashflow Projection'!J$5)*$C18</f>
        <v/>
      </c>
      <c r="M18" s="27">
        <f>COUNTIFS(Sales!$H:$H,"&lt;="&amp;'Cashflow Projection'!L$5,Sales!$H:$H,"&gt;"&amp;'Cashflow Projection'!J$5,Sales!$A:$A,'Cashflow Projection'!$A18,Sales!$B:$B,'Cashflow Projection'!$B18,Sales!$F:$F,'Cashflow Projection'!$C18,Sales!$E:$E,FALSE)*$C18</f>
        <v/>
      </c>
      <c r="N18" s="26">
        <f>SUMIFS(Sales!$S:$S,Sales!$H:$H,"&lt;="&amp;'Cashflow Projection'!N$5,Sales!$E:$E,FALSE,Sales!$F:$F,'Cashflow Projection'!$C18,Sales!$A:$A,'Cashflow Projection'!$A18,Sales!$B:$B,'Cashflow Projection'!$B18,Sales!$H:$H,"&gt;"&amp;'Cashflow Projection'!L$5)*$C18</f>
        <v/>
      </c>
      <c r="O18" s="27">
        <f>COUNTIFS(Sales!$H:$H,"&lt;="&amp;'Cashflow Projection'!N$5,Sales!$H:$H,"&gt;"&amp;'Cashflow Projection'!L$5,Sales!$A:$A,'Cashflow Projection'!$A18,Sales!$B:$B,'Cashflow Projection'!$B18,Sales!$F:$F,'Cashflow Projection'!$C18,Sales!$E:$E,FALSE)*$C18</f>
        <v/>
      </c>
      <c r="P18" s="26">
        <f>SUMIFS(Sales!$S:$S,Sales!$H:$H,"&lt;="&amp;'Cashflow Projection'!P$5,Sales!$E:$E,FALSE,Sales!$F:$F,'Cashflow Projection'!$C18,Sales!$A:$A,'Cashflow Projection'!$A18,Sales!$B:$B,'Cashflow Projection'!$B18,Sales!$H:$H,"&gt;"&amp;'Cashflow Projection'!N$5)*$C18</f>
        <v/>
      </c>
      <c r="Q18" s="27">
        <f>COUNTIFS(Sales!$H:$H,"&lt;="&amp;'Cashflow Projection'!P$5,Sales!$H:$H,"&gt;"&amp;'Cashflow Projection'!N$5,Sales!$A:$A,'Cashflow Projection'!$A18,Sales!$B:$B,'Cashflow Projection'!$B18,Sales!$F:$F,'Cashflow Projection'!$C18,Sales!$E:$E,FALSE)*$C18</f>
        <v/>
      </c>
      <c r="R18" s="26">
        <f>SUMIFS(Sales!$S:$S,Sales!$H:$H,"&lt;="&amp;'Cashflow Projection'!R$5,Sales!$E:$E,FALSE,Sales!$F:$F,'Cashflow Projection'!$C18,Sales!$A:$A,'Cashflow Projection'!$A18,Sales!$B:$B,'Cashflow Projection'!$B18,Sales!$H:$H,"&gt;"&amp;'Cashflow Projection'!P$5)*$C18</f>
        <v/>
      </c>
      <c r="S18" s="27">
        <f>COUNTIFS(Sales!$H:$H,"&lt;="&amp;'Cashflow Projection'!R$5,Sales!$H:$H,"&gt;"&amp;'Cashflow Projection'!P$5,Sales!$A:$A,'Cashflow Projection'!$A18,Sales!$B:$B,'Cashflow Projection'!$B18,Sales!$F:$F,'Cashflow Projection'!$C18,Sales!$E:$E,FALSE)*$C18</f>
        <v/>
      </c>
      <c r="T18" s="26">
        <f>SUMIFS(Sales!$S:$S,Sales!$H:$H,"&lt;="&amp;'Cashflow Projection'!T$5,Sales!$E:$E,FALSE,Sales!$F:$F,'Cashflow Projection'!$C18,Sales!$A:$A,'Cashflow Projection'!$A18,Sales!$B:$B,'Cashflow Projection'!$B18,Sales!$H:$H,"&gt;"&amp;'Cashflow Projection'!R$5)*$C18</f>
        <v/>
      </c>
      <c r="U18" s="27">
        <f>COUNTIFS(Sales!$H:$H,"&lt;="&amp;'Cashflow Projection'!T$5,Sales!$H:$H,"&gt;"&amp;'Cashflow Projection'!R$5,Sales!$A:$A,'Cashflow Projection'!$A18,Sales!$B:$B,'Cashflow Projection'!$B18,Sales!$F:$F,'Cashflow Projection'!$C18,Sales!$E:$E,FALSE)*$C18</f>
        <v/>
      </c>
      <c r="V18" s="26">
        <f>SUMIFS(Sales!$S:$S,Sales!$H:$H,"&lt;="&amp;'Cashflow Projection'!V$5,Sales!$E:$E,FALSE,Sales!$F:$F,'Cashflow Projection'!$C18,Sales!$A:$A,'Cashflow Projection'!$A18,Sales!$B:$B,'Cashflow Projection'!$B18,Sales!$H:$H,"&gt;"&amp;'Cashflow Projection'!T$5)*$C18</f>
        <v/>
      </c>
      <c r="W18" s="24">
        <f>COUNTIFS(Sales!$H:$H,"&lt;="&amp;'Cashflow Projection'!V$5,Sales!$H:$H,"&gt;"&amp;'Cashflow Projection'!T$5,Sales!$A:$A,'Cashflow Projection'!$A18,Sales!$B:$B,'Cashflow Projection'!$B18,Sales!$F:$F,'Cashflow Projection'!$C18,Sales!$E:$E,FALSE)*$C18</f>
        <v/>
      </c>
    </row>
    <row r="19">
      <c r="A19" s="18" t="inlineStr">
        <is>
          <t>Heron View</t>
        </is>
      </c>
      <c r="B19" s="25" t="inlineStr">
        <is>
          <t>L</t>
        </is>
      </c>
      <c r="C19" s="25">
        <f>IF(A19&lt;&gt;"Heron View",1,IF(ISERROR(VLOOKUP($B19,$A$33:$B$45,2,FALSE)),1,SUMIFS($B$33:$B$45,$A$33:$A$45,B19)))</f>
        <v/>
      </c>
      <c r="D19" s="26">
        <f>+F19+H19+J19+L19+N19+P19+R19+T19+V19</f>
        <v/>
      </c>
      <c r="E19" s="27">
        <f>+G19+I19+K19+M19+O19+Q19+S19+U19+W19</f>
        <v/>
      </c>
      <c r="F19" s="26">
        <f>SUMIFS(Sales!$S:$S,Sales!$H:$H,"&lt;="&amp;'Cashflow Projection'!F$5,Sales!$E:$E,FALSE,Sales!$F:$F,'Cashflow Projection'!$C19,Sales!$A:$A,'Cashflow Projection'!$A19,Sales!$B:$B,'Cashflow Projection'!$B19,Sales!$H:$H,"&gt;"&amp;'Cashflow Projection'!B$2)*$C19</f>
        <v/>
      </c>
      <c r="G19" s="27">
        <f>COUNTIFS(Sales!$H:$H,"&lt;="&amp;'Cashflow Projection'!F$5,Sales!$H:$H,"&gt;"&amp;'Cashflow Projection'!B$2,Sales!$A:$A,'Cashflow Projection'!$A19,Sales!$B:$B,'Cashflow Projection'!$B19,Sales!$F:$F,'Cashflow Projection'!$C19,Sales!$E:$E,FALSE)*$C19</f>
        <v/>
      </c>
      <c r="H19" s="26">
        <f>SUMIFS(Sales!$S:$S,Sales!$H:$H,"&lt;="&amp;'Cashflow Projection'!H$5,Sales!$E:$E,FALSE,Sales!$F:$F,'Cashflow Projection'!$C19,Sales!$A:$A,'Cashflow Projection'!$A19,Sales!$B:$B,'Cashflow Projection'!$B19,Sales!$H:$H,"&gt;"&amp;'Cashflow Projection'!F$5)*$C19</f>
        <v/>
      </c>
      <c r="I19" s="27">
        <f>COUNTIFS(Sales!$H:$H,"&lt;="&amp;'Cashflow Projection'!H$5,Sales!$H:$H,"&gt;"&amp;'Cashflow Projection'!F$5,Sales!$A:$A,'Cashflow Projection'!$A19,Sales!$B:$B,'Cashflow Projection'!$B19,Sales!$F:$F,'Cashflow Projection'!$C19,Sales!$E:$E,FALSE)*$C19</f>
        <v/>
      </c>
      <c r="J19" s="26">
        <f>SUMIFS(Sales!$S:$S,Sales!$H:$H,"&lt;="&amp;'Cashflow Projection'!J$5,Sales!$E:$E,FALSE,Sales!$F:$F,'Cashflow Projection'!$C19,Sales!$A:$A,'Cashflow Projection'!$A19,Sales!$B:$B,'Cashflow Projection'!$B19,Sales!$H:$H,"&gt;"&amp;'Cashflow Projection'!H$5)*$C19</f>
        <v/>
      </c>
      <c r="K19" s="27">
        <f>COUNTIFS(Sales!$H:$H,"&lt;="&amp;'Cashflow Projection'!J$5,Sales!$H:$H,"&gt;"&amp;'Cashflow Projection'!H$5,Sales!$A:$A,'Cashflow Projection'!$A19,Sales!$B:$B,'Cashflow Projection'!$B19,Sales!$F:$F,'Cashflow Projection'!$C19,Sales!$E:$E,FALSE)*$C19</f>
        <v/>
      </c>
      <c r="L19" s="26">
        <f>SUMIFS(Sales!$S:$S,Sales!$H:$H,"&lt;="&amp;'Cashflow Projection'!L$5,Sales!$E:$E,FALSE,Sales!$F:$F,'Cashflow Projection'!$C19,Sales!$A:$A,'Cashflow Projection'!$A19,Sales!$B:$B,'Cashflow Projection'!$B19,Sales!$H:$H,"&gt;"&amp;'Cashflow Projection'!J$5)*$C19</f>
        <v/>
      </c>
      <c r="M19" s="27">
        <f>COUNTIFS(Sales!$H:$H,"&lt;="&amp;'Cashflow Projection'!L$5,Sales!$H:$H,"&gt;"&amp;'Cashflow Projection'!J$5,Sales!$A:$A,'Cashflow Projection'!$A19,Sales!$B:$B,'Cashflow Projection'!$B19,Sales!$F:$F,'Cashflow Projection'!$C19,Sales!$E:$E,FALSE)*$C19</f>
        <v/>
      </c>
      <c r="N19" s="26">
        <f>SUMIFS(Sales!$S:$S,Sales!$H:$H,"&lt;="&amp;'Cashflow Projection'!N$5,Sales!$E:$E,FALSE,Sales!$F:$F,'Cashflow Projection'!$C19,Sales!$A:$A,'Cashflow Projection'!$A19,Sales!$B:$B,'Cashflow Projection'!$B19,Sales!$H:$H,"&gt;"&amp;'Cashflow Projection'!L$5)*$C19</f>
        <v/>
      </c>
      <c r="O19" s="27">
        <f>COUNTIFS(Sales!$H:$H,"&lt;="&amp;'Cashflow Projection'!N$5,Sales!$H:$H,"&gt;"&amp;'Cashflow Projection'!L$5,Sales!$A:$A,'Cashflow Projection'!$A19,Sales!$B:$B,'Cashflow Projection'!$B19,Sales!$F:$F,'Cashflow Projection'!$C19,Sales!$E:$E,FALSE)*$C19</f>
        <v/>
      </c>
      <c r="P19" s="26">
        <f>SUMIFS(Sales!$S:$S,Sales!$H:$H,"&lt;="&amp;'Cashflow Projection'!P$5,Sales!$E:$E,FALSE,Sales!$F:$F,'Cashflow Projection'!$C19,Sales!$A:$A,'Cashflow Projection'!$A19,Sales!$B:$B,'Cashflow Projection'!$B19,Sales!$H:$H,"&gt;"&amp;'Cashflow Projection'!N$5)*$C19</f>
        <v/>
      </c>
      <c r="Q19" s="27">
        <f>COUNTIFS(Sales!$H:$H,"&lt;="&amp;'Cashflow Projection'!P$5,Sales!$H:$H,"&gt;"&amp;'Cashflow Projection'!N$5,Sales!$A:$A,'Cashflow Projection'!$A19,Sales!$B:$B,'Cashflow Projection'!$B19,Sales!$F:$F,'Cashflow Projection'!$C19,Sales!$E:$E,FALSE)*$C19</f>
        <v/>
      </c>
      <c r="R19" s="26">
        <f>SUMIFS(Sales!$S:$S,Sales!$H:$H,"&lt;="&amp;'Cashflow Projection'!R$5,Sales!$E:$E,FALSE,Sales!$F:$F,'Cashflow Projection'!$C19,Sales!$A:$A,'Cashflow Projection'!$A19,Sales!$B:$B,'Cashflow Projection'!$B19,Sales!$H:$H,"&gt;"&amp;'Cashflow Projection'!P$5)*$C19</f>
        <v/>
      </c>
      <c r="S19" s="27">
        <f>COUNTIFS(Sales!$H:$H,"&lt;="&amp;'Cashflow Projection'!R$5,Sales!$H:$H,"&gt;"&amp;'Cashflow Projection'!P$5,Sales!$A:$A,'Cashflow Projection'!$A19,Sales!$B:$B,'Cashflow Projection'!$B19,Sales!$F:$F,'Cashflow Projection'!$C19,Sales!$E:$E,FALSE)*$C19</f>
        <v/>
      </c>
      <c r="T19" s="26">
        <f>SUMIFS(Sales!$S:$S,Sales!$H:$H,"&lt;="&amp;'Cashflow Projection'!T$5,Sales!$E:$E,FALSE,Sales!$F:$F,'Cashflow Projection'!$C19,Sales!$A:$A,'Cashflow Projection'!$A19,Sales!$B:$B,'Cashflow Projection'!$B19,Sales!$H:$H,"&gt;"&amp;'Cashflow Projection'!R$5)*$C19</f>
        <v/>
      </c>
      <c r="U19" s="27">
        <f>COUNTIFS(Sales!$H:$H,"&lt;="&amp;'Cashflow Projection'!T$5,Sales!$H:$H,"&gt;"&amp;'Cashflow Projection'!R$5,Sales!$A:$A,'Cashflow Projection'!$A19,Sales!$B:$B,'Cashflow Projection'!$B19,Sales!$F:$F,'Cashflow Projection'!$C19,Sales!$E:$E,FALSE)*$C19</f>
        <v/>
      </c>
      <c r="V19" s="26">
        <f>SUMIFS(Sales!$S:$S,Sales!$H:$H,"&lt;="&amp;'Cashflow Projection'!V$5,Sales!$E:$E,FALSE,Sales!$F:$F,'Cashflow Projection'!$C19,Sales!$A:$A,'Cashflow Projection'!$A19,Sales!$B:$B,'Cashflow Projection'!$B19,Sales!$H:$H,"&gt;"&amp;'Cashflow Projection'!T$5)*$C19</f>
        <v/>
      </c>
      <c r="W19" s="24">
        <f>COUNTIFS(Sales!$H:$H,"&lt;="&amp;'Cashflow Projection'!V$5,Sales!$H:$H,"&gt;"&amp;'Cashflow Projection'!T$5,Sales!$A:$A,'Cashflow Projection'!$A19,Sales!$B:$B,'Cashflow Projection'!$B19,Sales!$F:$F,'Cashflow Projection'!$C19,Sales!$E:$E,FALSE)*$C19</f>
        <v/>
      </c>
    </row>
    <row r="20">
      <c r="A20" s="18" t="inlineStr">
        <is>
          <t>Heron View</t>
        </is>
      </c>
      <c r="B20" s="25" t="inlineStr">
        <is>
          <t>M</t>
        </is>
      </c>
      <c r="C20" s="25">
        <f>IF(A20&lt;&gt;"Heron View",1,IF(ISERROR(VLOOKUP($B20,$A$33:$B$45,2,FALSE)),1,SUMIFS($B$33:$B$45,$A$33:$A$45,B20)))</f>
        <v/>
      </c>
      <c r="D20" s="26">
        <f>+F20+H20+J20+L20+N20+P20+R20+T20+V20</f>
        <v/>
      </c>
      <c r="E20" s="27">
        <f>+G20+I20+K20+M20+O20+Q20+S20+U20+W20</f>
        <v/>
      </c>
      <c r="F20" s="26">
        <f>SUMIFS(Sales!$S:$S,Sales!$H:$H,"&lt;="&amp;'Cashflow Projection'!F$5,Sales!$E:$E,FALSE,Sales!$F:$F,'Cashflow Projection'!$C20,Sales!$A:$A,'Cashflow Projection'!$A20,Sales!$B:$B,'Cashflow Projection'!$B20,Sales!$H:$H,"&gt;"&amp;'Cashflow Projection'!B$2)*$C20</f>
        <v/>
      </c>
      <c r="G20" s="27">
        <f>COUNTIFS(Sales!$H:$H,"&lt;="&amp;'Cashflow Projection'!F$5,Sales!$H:$H,"&gt;"&amp;'Cashflow Projection'!B$2,Sales!$A:$A,'Cashflow Projection'!$A20,Sales!$B:$B,'Cashflow Projection'!$B20,Sales!$F:$F,'Cashflow Projection'!$C20,Sales!$E:$E,FALSE)*$C20</f>
        <v/>
      </c>
      <c r="H20" s="26">
        <f>SUMIFS(Sales!$S:$S,Sales!$H:$H,"&lt;="&amp;'Cashflow Projection'!H$5,Sales!$E:$E,FALSE,Sales!$F:$F,'Cashflow Projection'!$C20,Sales!$A:$A,'Cashflow Projection'!$A20,Sales!$B:$B,'Cashflow Projection'!$B20,Sales!$H:$H,"&gt;"&amp;'Cashflow Projection'!F$5)*$C20</f>
        <v/>
      </c>
      <c r="I20" s="27">
        <f>COUNTIFS(Sales!$H:$H,"&lt;="&amp;'Cashflow Projection'!H$5,Sales!$H:$H,"&gt;"&amp;'Cashflow Projection'!F$5,Sales!$A:$A,'Cashflow Projection'!$A20,Sales!$B:$B,'Cashflow Projection'!$B20,Sales!$F:$F,'Cashflow Projection'!$C20,Sales!$E:$E,FALSE)*$C20</f>
        <v/>
      </c>
      <c r="J20" s="26">
        <f>SUMIFS(Sales!$S:$S,Sales!$H:$H,"&lt;="&amp;'Cashflow Projection'!J$5,Sales!$E:$E,FALSE,Sales!$F:$F,'Cashflow Projection'!$C20,Sales!$A:$A,'Cashflow Projection'!$A20,Sales!$B:$B,'Cashflow Projection'!$B20,Sales!$H:$H,"&gt;"&amp;'Cashflow Projection'!H$5)*$C20</f>
        <v/>
      </c>
      <c r="K20" s="27">
        <f>COUNTIFS(Sales!$H:$H,"&lt;="&amp;'Cashflow Projection'!J$5,Sales!$H:$H,"&gt;"&amp;'Cashflow Projection'!H$5,Sales!$A:$A,'Cashflow Projection'!$A20,Sales!$B:$B,'Cashflow Projection'!$B20,Sales!$F:$F,'Cashflow Projection'!$C20,Sales!$E:$E,FALSE)*$C20</f>
        <v/>
      </c>
      <c r="L20" s="26">
        <f>SUMIFS(Sales!$S:$S,Sales!$H:$H,"&lt;="&amp;'Cashflow Projection'!L$5,Sales!$E:$E,FALSE,Sales!$F:$F,'Cashflow Projection'!$C20,Sales!$A:$A,'Cashflow Projection'!$A20,Sales!$B:$B,'Cashflow Projection'!$B20,Sales!$H:$H,"&gt;"&amp;'Cashflow Projection'!J$5)*$C20</f>
        <v/>
      </c>
      <c r="M20" s="27">
        <f>COUNTIFS(Sales!$H:$H,"&lt;="&amp;'Cashflow Projection'!L$5,Sales!$H:$H,"&gt;"&amp;'Cashflow Projection'!J$5,Sales!$A:$A,'Cashflow Projection'!$A20,Sales!$B:$B,'Cashflow Projection'!$B20,Sales!$F:$F,'Cashflow Projection'!$C20,Sales!$E:$E,FALSE)*$C20</f>
        <v/>
      </c>
      <c r="N20" s="26">
        <f>SUMIFS(Sales!$S:$S,Sales!$H:$H,"&lt;="&amp;'Cashflow Projection'!N$5,Sales!$E:$E,FALSE,Sales!$F:$F,'Cashflow Projection'!$C20,Sales!$A:$A,'Cashflow Projection'!$A20,Sales!$B:$B,'Cashflow Projection'!$B20,Sales!$H:$H,"&gt;"&amp;'Cashflow Projection'!L$5)*$C20</f>
        <v/>
      </c>
      <c r="O20" s="27">
        <f>COUNTIFS(Sales!$H:$H,"&lt;="&amp;'Cashflow Projection'!N$5,Sales!$H:$H,"&gt;"&amp;'Cashflow Projection'!L$5,Sales!$A:$A,'Cashflow Projection'!$A20,Sales!$B:$B,'Cashflow Projection'!$B20,Sales!$F:$F,'Cashflow Projection'!$C20,Sales!$E:$E,FALSE)*$C20</f>
        <v/>
      </c>
      <c r="P20" s="26">
        <f>SUMIFS(Sales!$S:$S,Sales!$H:$H,"&lt;="&amp;'Cashflow Projection'!P$5,Sales!$E:$E,FALSE,Sales!$F:$F,'Cashflow Projection'!$C20,Sales!$A:$A,'Cashflow Projection'!$A20,Sales!$B:$B,'Cashflow Projection'!$B20,Sales!$H:$H,"&gt;"&amp;'Cashflow Projection'!N$5)*$C20</f>
        <v/>
      </c>
      <c r="Q20" s="27">
        <f>COUNTIFS(Sales!$H:$H,"&lt;="&amp;'Cashflow Projection'!P$5,Sales!$H:$H,"&gt;"&amp;'Cashflow Projection'!N$5,Sales!$A:$A,'Cashflow Projection'!$A20,Sales!$B:$B,'Cashflow Projection'!$B20,Sales!$F:$F,'Cashflow Projection'!$C20,Sales!$E:$E,FALSE)*$C20</f>
        <v/>
      </c>
      <c r="R20" s="26">
        <f>SUMIFS(Sales!$S:$S,Sales!$H:$H,"&lt;="&amp;'Cashflow Projection'!R$5,Sales!$E:$E,FALSE,Sales!$F:$F,'Cashflow Projection'!$C20,Sales!$A:$A,'Cashflow Projection'!$A20,Sales!$B:$B,'Cashflow Projection'!$B20,Sales!$H:$H,"&gt;"&amp;'Cashflow Projection'!P$5)*$C20</f>
        <v/>
      </c>
      <c r="S20" s="27">
        <f>COUNTIFS(Sales!$H:$H,"&lt;="&amp;'Cashflow Projection'!R$5,Sales!$H:$H,"&gt;"&amp;'Cashflow Projection'!P$5,Sales!$A:$A,'Cashflow Projection'!$A20,Sales!$B:$B,'Cashflow Projection'!$B20,Sales!$F:$F,'Cashflow Projection'!$C20,Sales!$E:$E,FALSE)*$C20</f>
        <v/>
      </c>
      <c r="T20" s="26">
        <f>SUMIFS(Sales!$S:$S,Sales!$H:$H,"&lt;="&amp;'Cashflow Projection'!T$5,Sales!$E:$E,FALSE,Sales!$F:$F,'Cashflow Projection'!$C20,Sales!$A:$A,'Cashflow Projection'!$A20,Sales!$B:$B,'Cashflow Projection'!$B20,Sales!$H:$H,"&gt;"&amp;'Cashflow Projection'!R$5)*$C20</f>
        <v/>
      </c>
      <c r="U20" s="27">
        <f>COUNTIFS(Sales!$H:$H,"&lt;="&amp;'Cashflow Projection'!T$5,Sales!$H:$H,"&gt;"&amp;'Cashflow Projection'!R$5,Sales!$A:$A,'Cashflow Projection'!$A20,Sales!$B:$B,'Cashflow Projection'!$B20,Sales!$F:$F,'Cashflow Projection'!$C20,Sales!$E:$E,FALSE)*$C20</f>
        <v/>
      </c>
      <c r="V20" s="26">
        <f>SUMIFS(Sales!$S:$S,Sales!$H:$H,"&lt;="&amp;'Cashflow Projection'!V$5,Sales!$E:$E,FALSE,Sales!$F:$F,'Cashflow Projection'!$C20,Sales!$A:$A,'Cashflow Projection'!$A20,Sales!$B:$B,'Cashflow Projection'!$B20,Sales!$H:$H,"&gt;"&amp;'Cashflow Projection'!T$5)*$C20</f>
        <v/>
      </c>
      <c r="W20" s="24">
        <f>COUNTIFS(Sales!$H:$H,"&lt;="&amp;'Cashflow Projection'!V$5,Sales!$H:$H,"&gt;"&amp;'Cashflow Projection'!T$5,Sales!$A:$A,'Cashflow Projection'!$A20,Sales!$B:$B,'Cashflow Projection'!$B20,Sales!$F:$F,'Cashflow Projection'!$C20,Sales!$E:$E,FALSE)*$C20</f>
        <v/>
      </c>
    </row>
    <row r="21">
      <c r="A21" s="18" t="inlineStr">
        <is>
          <t>Heron View</t>
        </is>
      </c>
      <c r="B21" s="25" t="inlineStr">
        <is>
          <t>N</t>
        </is>
      </c>
      <c r="C21" s="25">
        <f>IF(A21&lt;&gt;"Heron View",1,IF(ISERROR(VLOOKUP($B21,$A$33:$B$45,2,FALSE)),1,SUMIFS($B$33:$B$45,$A$33:$A$45,B21)))</f>
        <v/>
      </c>
      <c r="D21" s="26">
        <f>+F21+H21+J21+L21+N21+P21+R21+T21+V21</f>
        <v/>
      </c>
      <c r="E21" s="27">
        <f>+G21+I21+K21+M21+O21+Q21+S21+U21+W21</f>
        <v/>
      </c>
      <c r="F21" s="26">
        <f>SUMIFS(Sales!$S:$S,Sales!$H:$H,"&lt;="&amp;'Cashflow Projection'!F$5,Sales!$E:$E,FALSE,Sales!$F:$F,'Cashflow Projection'!$C21,Sales!$A:$A,'Cashflow Projection'!$A21,Sales!$B:$B,'Cashflow Projection'!$B21,Sales!$H:$H,"&gt;"&amp;'Cashflow Projection'!B$2)*$C21</f>
        <v/>
      </c>
      <c r="G21" s="27">
        <f>COUNTIFS(Sales!$H:$H,"&lt;="&amp;'Cashflow Projection'!F$5,Sales!$H:$H,"&gt;"&amp;'Cashflow Projection'!B$2,Sales!$A:$A,'Cashflow Projection'!$A21,Sales!$B:$B,'Cashflow Projection'!$B21,Sales!$F:$F,'Cashflow Projection'!$C21,Sales!$E:$E,FALSE)*$C21</f>
        <v/>
      </c>
      <c r="H21" s="26">
        <f>SUMIFS(Sales!$S:$S,Sales!$H:$H,"&lt;="&amp;'Cashflow Projection'!H$5,Sales!$E:$E,FALSE,Sales!$F:$F,'Cashflow Projection'!$C21,Sales!$A:$A,'Cashflow Projection'!$A21,Sales!$B:$B,'Cashflow Projection'!$B21,Sales!$H:$H,"&gt;"&amp;'Cashflow Projection'!F$5)*$C21</f>
        <v/>
      </c>
      <c r="I21" s="27">
        <f>COUNTIFS(Sales!$H:$H,"&lt;="&amp;'Cashflow Projection'!H$5,Sales!$H:$H,"&gt;"&amp;'Cashflow Projection'!F$5,Sales!$A:$A,'Cashflow Projection'!$A21,Sales!$B:$B,'Cashflow Projection'!$B21,Sales!$F:$F,'Cashflow Projection'!$C21,Sales!$E:$E,FALSE)*$C21</f>
        <v/>
      </c>
      <c r="J21" s="26">
        <f>SUMIFS(Sales!$S:$S,Sales!$H:$H,"&lt;="&amp;'Cashflow Projection'!J$5,Sales!$E:$E,FALSE,Sales!$F:$F,'Cashflow Projection'!$C21,Sales!$A:$A,'Cashflow Projection'!$A21,Sales!$B:$B,'Cashflow Projection'!$B21,Sales!$H:$H,"&gt;"&amp;'Cashflow Projection'!H$5)*$C21</f>
        <v/>
      </c>
      <c r="K21" s="27">
        <f>COUNTIFS(Sales!$H:$H,"&lt;="&amp;'Cashflow Projection'!J$5,Sales!$H:$H,"&gt;"&amp;'Cashflow Projection'!H$5,Sales!$A:$A,'Cashflow Projection'!$A21,Sales!$B:$B,'Cashflow Projection'!$B21,Sales!$F:$F,'Cashflow Projection'!$C21,Sales!$E:$E,FALSE)*$C21</f>
        <v/>
      </c>
      <c r="L21" s="26">
        <f>SUMIFS(Sales!$S:$S,Sales!$H:$H,"&lt;="&amp;'Cashflow Projection'!L$5,Sales!$E:$E,FALSE,Sales!$F:$F,'Cashflow Projection'!$C21,Sales!$A:$A,'Cashflow Projection'!$A21,Sales!$B:$B,'Cashflow Projection'!$B21,Sales!$H:$H,"&gt;"&amp;'Cashflow Projection'!J$5)*$C21</f>
        <v/>
      </c>
      <c r="M21" s="27">
        <f>COUNTIFS(Sales!$H:$H,"&lt;="&amp;'Cashflow Projection'!L$5,Sales!$H:$H,"&gt;"&amp;'Cashflow Projection'!J$5,Sales!$A:$A,'Cashflow Projection'!$A21,Sales!$B:$B,'Cashflow Projection'!$B21,Sales!$F:$F,'Cashflow Projection'!$C21,Sales!$E:$E,FALSE)*$C21</f>
        <v/>
      </c>
      <c r="N21" s="26">
        <f>SUMIFS(Sales!$S:$S,Sales!$H:$H,"&lt;="&amp;'Cashflow Projection'!N$5,Sales!$E:$E,FALSE,Sales!$F:$F,'Cashflow Projection'!$C21,Sales!$A:$A,'Cashflow Projection'!$A21,Sales!$B:$B,'Cashflow Projection'!$B21,Sales!$H:$H,"&gt;"&amp;'Cashflow Projection'!L$5)*$C21</f>
        <v/>
      </c>
      <c r="O21" s="27">
        <f>COUNTIFS(Sales!$H:$H,"&lt;="&amp;'Cashflow Projection'!N$5,Sales!$H:$H,"&gt;"&amp;'Cashflow Projection'!L$5,Sales!$A:$A,'Cashflow Projection'!$A21,Sales!$B:$B,'Cashflow Projection'!$B21,Sales!$F:$F,'Cashflow Projection'!$C21,Sales!$E:$E,FALSE)*$C21</f>
        <v/>
      </c>
      <c r="P21" s="26">
        <f>SUMIFS(Sales!$S:$S,Sales!$H:$H,"&lt;="&amp;'Cashflow Projection'!P$5,Sales!$E:$E,FALSE,Sales!$F:$F,'Cashflow Projection'!$C21,Sales!$A:$A,'Cashflow Projection'!$A21,Sales!$B:$B,'Cashflow Projection'!$B21,Sales!$H:$H,"&gt;"&amp;'Cashflow Projection'!N$5)*$C21</f>
        <v/>
      </c>
      <c r="Q21" s="27">
        <f>COUNTIFS(Sales!$H:$H,"&lt;="&amp;'Cashflow Projection'!P$5,Sales!$H:$H,"&gt;"&amp;'Cashflow Projection'!N$5,Sales!$A:$A,'Cashflow Projection'!$A21,Sales!$B:$B,'Cashflow Projection'!$B21,Sales!$F:$F,'Cashflow Projection'!$C21,Sales!$E:$E,FALSE)*$C21</f>
        <v/>
      </c>
      <c r="R21" s="26">
        <f>SUMIFS(Sales!$S:$S,Sales!$H:$H,"&lt;="&amp;'Cashflow Projection'!R$5,Sales!$E:$E,FALSE,Sales!$F:$F,'Cashflow Projection'!$C21,Sales!$A:$A,'Cashflow Projection'!$A21,Sales!$B:$B,'Cashflow Projection'!$B21,Sales!$H:$H,"&gt;"&amp;'Cashflow Projection'!P$5)*$C21</f>
        <v/>
      </c>
      <c r="S21" s="27">
        <f>COUNTIFS(Sales!$H:$H,"&lt;="&amp;'Cashflow Projection'!R$5,Sales!$H:$H,"&gt;"&amp;'Cashflow Projection'!P$5,Sales!$A:$A,'Cashflow Projection'!$A21,Sales!$B:$B,'Cashflow Projection'!$B21,Sales!$F:$F,'Cashflow Projection'!$C21,Sales!$E:$E,FALSE)*$C21</f>
        <v/>
      </c>
      <c r="T21" s="26">
        <f>SUMIFS(Sales!$S:$S,Sales!$H:$H,"&lt;="&amp;'Cashflow Projection'!T$5,Sales!$E:$E,FALSE,Sales!$F:$F,'Cashflow Projection'!$C21,Sales!$A:$A,'Cashflow Projection'!$A21,Sales!$B:$B,'Cashflow Projection'!$B21,Sales!$H:$H,"&gt;"&amp;'Cashflow Projection'!R$5)*$C21</f>
        <v/>
      </c>
      <c r="U21" s="27">
        <f>COUNTIFS(Sales!$H:$H,"&lt;="&amp;'Cashflow Projection'!T$5,Sales!$H:$H,"&gt;"&amp;'Cashflow Projection'!R$5,Sales!$A:$A,'Cashflow Projection'!$A21,Sales!$B:$B,'Cashflow Projection'!$B21,Sales!$F:$F,'Cashflow Projection'!$C21,Sales!$E:$E,FALSE)*$C21</f>
        <v/>
      </c>
      <c r="V21" s="26">
        <f>SUMIFS(Sales!$S:$S,Sales!$H:$H,"&lt;="&amp;'Cashflow Projection'!V$5,Sales!$E:$E,FALSE,Sales!$F:$F,'Cashflow Projection'!$C21,Sales!$A:$A,'Cashflow Projection'!$A21,Sales!$B:$B,'Cashflow Projection'!$B21,Sales!$H:$H,"&gt;"&amp;'Cashflow Projection'!T$5)*$C21</f>
        <v/>
      </c>
      <c r="W21" s="24">
        <f>COUNTIFS(Sales!$H:$H,"&lt;="&amp;'Cashflow Projection'!V$5,Sales!$H:$H,"&gt;"&amp;'Cashflow Projection'!T$5,Sales!$A:$A,'Cashflow Projection'!$A21,Sales!$B:$B,'Cashflow Projection'!$B21,Sales!$F:$F,'Cashflow Projection'!$C21,Sales!$E:$E,FALSE)*$C21</f>
        <v/>
      </c>
    </row>
    <row r="22">
      <c r="A22" s="18" t="inlineStr">
        <is>
          <t>Heron View</t>
        </is>
      </c>
      <c r="B22" s="25" t="inlineStr">
        <is>
          <t>O</t>
        </is>
      </c>
      <c r="C22" s="25">
        <f>IF(A22&lt;&gt;"Heron View",1,IF(ISERROR(VLOOKUP($B22,$A$33:$B$45,2,FALSE)),1,SUMIFS($B$33:$B$45,$A$33:$A$45,B22)))</f>
        <v/>
      </c>
      <c r="D22" s="26">
        <f>+F22+H22+J22+L22+N22+P22+R22+T22+V22</f>
        <v/>
      </c>
      <c r="E22" s="27">
        <f>+G22+I22+K22+M22+O22+Q22+S22+U22+W22</f>
        <v/>
      </c>
      <c r="F22" s="26">
        <f>SUMIFS(Sales!$S:$S,Sales!$H:$H,"&lt;="&amp;'Cashflow Projection'!F$5,Sales!$E:$E,FALSE,Sales!$F:$F,'Cashflow Projection'!$C22,Sales!$A:$A,'Cashflow Projection'!$A22,Sales!$B:$B,'Cashflow Projection'!$B22,Sales!$H:$H,"&gt;"&amp;'Cashflow Projection'!B$2)*$C22</f>
        <v/>
      </c>
      <c r="G22" s="27">
        <f>COUNTIFS(Sales!$H:$H,"&lt;="&amp;'Cashflow Projection'!F$5,Sales!$H:$H,"&gt;"&amp;'Cashflow Projection'!B$2,Sales!$A:$A,'Cashflow Projection'!$A22,Sales!$B:$B,'Cashflow Projection'!$B22,Sales!$F:$F,'Cashflow Projection'!$C22,Sales!$E:$E,FALSE)*$C22</f>
        <v/>
      </c>
      <c r="H22" s="26">
        <f>SUMIFS(Sales!$S:$S,Sales!$H:$H,"&lt;="&amp;'Cashflow Projection'!H$5,Sales!$E:$E,FALSE,Sales!$F:$F,'Cashflow Projection'!$C22,Sales!$A:$A,'Cashflow Projection'!$A22,Sales!$B:$B,'Cashflow Projection'!$B22,Sales!$H:$H,"&gt;"&amp;'Cashflow Projection'!F$5)*$C22</f>
        <v/>
      </c>
      <c r="I22" s="27">
        <f>COUNTIFS(Sales!$H:$H,"&lt;="&amp;'Cashflow Projection'!H$5,Sales!$H:$H,"&gt;"&amp;'Cashflow Projection'!F$5,Sales!$A:$A,'Cashflow Projection'!$A22,Sales!$B:$B,'Cashflow Projection'!$B22,Sales!$F:$F,'Cashflow Projection'!$C22,Sales!$E:$E,FALSE)*$C22</f>
        <v/>
      </c>
      <c r="J22" s="26">
        <f>SUMIFS(Sales!$S:$S,Sales!$H:$H,"&lt;="&amp;'Cashflow Projection'!J$5,Sales!$E:$E,FALSE,Sales!$F:$F,'Cashflow Projection'!$C22,Sales!$A:$A,'Cashflow Projection'!$A22,Sales!$B:$B,'Cashflow Projection'!$B22,Sales!$H:$H,"&gt;"&amp;'Cashflow Projection'!H$5)*$C22</f>
        <v/>
      </c>
      <c r="K22" s="27">
        <f>COUNTIFS(Sales!$H:$H,"&lt;="&amp;'Cashflow Projection'!J$5,Sales!$H:$H,"&gt;"&amp;'Cashflow Projection'!H$5,Sales!$A:$A,'Cashflow Projection'!$A22,Sales!$B:$B,'Cashflow Projection'!$B22,Sales!$F:$F,'Cashflow Projection'!$C22,Sales!$E:$E,FALSE)*$C22</f>
        <v/>
      </c>
      <c r="L22" s="26">
        <f>SUMIFS(Sales!$S:$S,Sales!$H:$H,"&lt;="&amp;'Cashflow Projection'!L$5,Sales!$E:$E,FALSE,Sales!$F:$F,'Cashflow Projection'!$C22,Sales!$A:$A,'Cashflow Projection'!$A22,Sales!$B:$B,'Cashflow Projection'!$B22,Sales!$H:$H,"&gt;"&amp;'Cashflow Projection'!J$5)*$C22</f>
        <v/>
      </c>
      <c r="M22" s="27">
        <f>COUNTIFS(Sales!$H:$H,"&lt;="&amp;'Cashflow Projection'!L$5,Sales!$H:$H,"&gt;"&amp;'Cashflow Projection'!J$5,Sales!$A:$A,'Cashflow Projection'!$A22,Sales!$B:$B,'Cashflow Projection'!$B22,Sales!$F:$F,'Cashflow Projection'!$C22,Sales!$E:$E,FALSE)*$C22</f>
        <v/>
      </c>
      <c r="N22" s="26">
        <f>SUMIFS(Sales!$S:$S,Sales!$H:$H,"&lt;="&amp;'Cashflow Projection'!N$5,Sales!$E:$E,FALSE,Sales!$F:$F,'Cashflow Projection'!$C22,Sales!$A:$A,'Cashflow Projection'!$A22,Sales!$B:$B,'Cashflow Projection'!$B22,Sales!$H:$H,"&gt;"&amp;'Cashflow Projection'!L$5)*$C22</f>
        <v/>
      </c>
      <c r="O22" s="27">
        <f>COUNTIFS(Sales!$H:$H,"&lt;="&amp;'Cashflow Projection'!N$5,Sales!$H:$H,"&gt;"&amp;'Cashflow Projection'!L$5,Sales!$A:$A,'Cashflow Projection'!$A22,Sales!$B:$B,'Cashflow Projection'!$B22,Sales!$F:$F,'Cashflow Projection'!$C22,Sales!$E:$E,FALSE)*$C22</f>
        <v/>
      </c>
      <c r="P22" s="26">
        <f>SUMIFS(Sales!$S:$S,Sales!$H:$H,"&lt;="&amp;'Cashflow Projection'!P$5,Sales!$E:$E,FALSE,Sales!$F:$F,'Cashflow Projection'!$C22,Sales!$A:$A,'Cashflow Projection'!$A22,Sales!$B:$B,'Cashflow Projection'!$B22,Sales!$H:$H,"&gt;"&amp;'Cashflow Projection'!N$5)*$C22</f>
        <v/>
      </c>
      <c r="Q22" s="27">
        <f>COUNTIFS(Sales!$H:$H,"&lt;="&amp;'Cashflow Projection'!P$5,Sales!$H:$H,"&gt;"&amp;'Cashflow Projection'!N$5,Sales!$A:$A,'Cashflow Projection'!$A22,Sales!$B:$B,'Cashflow Projection'!$B22,Sales!$F:$F,'Cashflow Projection'!$C22,Sales!$E:$E,FALSE)*$C22</f>
        <v/>
      </c>
      <c r="R22" s="26">
        <f>SUMIFS(Sales!$S:$S,Sales!$H:$H,"&lt;="&amp;'Cashflow Projection'!R$5,Sales!$E:$E,FALSE,Sales!$F:$F,'Cashflow Projection'!$C22,Sales!$A:$A,'Cashflow Projection'!$A22,Sales!$B:$B,'Cashflow Projection'!$B22,Sales!$H:$H,"&gt;"&amp;'Cashflow Projection'!P$5)*$C22</f>
        <v/>
      </c>
      <c r="S22" s="27">
        <f>COUNTIFS(Sales!$H:$H,"&lt;="&amp;'Cashflow Projection'!R$5,Sales!$H:$H,"&gt;"&amp;'Cashflow Projection'!P$5,Sales!$A:$A,'Cashflow Projection'!$A22,Sales!$B:$B,'Cashflow Projection'!$B22,Sales!$F:$F,'Cashflow Projection'!$C22,Sales!$E:$E,FALSE)*$C22</f>
        <v/>
      </c>
      <c r="T22" s="26">
        <f>SUMIFS(Sales!$S:$S,Sales!$H:$H,"&lt;="&amp;'Cashflow Projection'!T$5,Sales!$E:$E,FALSE,Sales!$F:$F,'Cashflow Projection'!$C22,Sales!$A:$A,'Cashflow Projection'!$A22,Sales!$B:$B,'Cashflow Projection'!$B22,Sales!$H:$H,"&gt;"&amp;'Cashflow Projection'!R$5)*$C22</f>
        <v/>
      </c>
      <c r="U22" s="27">
        <f>COUNTIFS(Sales!$H:$H,"&lt;="&amp;'Cashflow Projection'!T$5,Sales!$H:$H,"&gt;"&amp;'Cashflow Projection'!R$5,Sales!$A:$A,'Cashflow Projection'!$A22,Sales!$B:$B,'Cashflow Projection'!$B22,Sales!$F:$F,'Cashflow Projection'!$C22,Sales!$E:$E,FALSE)*$C22</f>
        <v/>
      </c>
      <c r="V22" s="26">
        <f>SUMIFS(Sales!$S:$S,Sales!$H:$H,"&lt;="&amp;'Cashflow Projection'!V$5,Sales!$E:$E,FALSE,Sales!$F:$F,'Cashflow Projection'!$C22,Sales!$A:$A,'Cashflow Projection'!$A22,Sales!$B:$B,'Cashflow Projection'!$B22,Sales!$H:$H,"&gt;"&amp;'Cashflow Projection'!T$5)*$C22</f>
        <v/>
      </c>
      <c r="W22" s="24">
        <f>COUNTIFS(Sales!$H:$H,"&lt;="&amp;'Cashflow Projection'!V$5,Sales!$H:$H,"&gt;"&amp;'Cashflow Projection'!T$5,Sales!$A:$A,'Cashflow Projection'!$A22,Sales!$B:$B,'Cashflow Projection'!$B22,Sales!$F:$F,'Cashflow Projection'!$C22,Sales!$E:$E,FALSE)*$C22</f>
        <v/>
      </c>
    </row>
    <row r="23">
      <c r="A23" s="18" t="inlineStr">
        <is>
          <t>Heron View</t>
        </is>
      </c>
      <c r="B23" s="25" t="inlineStr">
        <is>
          <t>P</t>
        </is>
      </c>
      <c r="C23" s="25">
        <f>IF(A23&lt;&gt;"Heron View",1,IF(ISERROR(VLOOKUP($B23,$A$33:$B$45,2,FALSE)),1,SUMIFS($B$33:$B$45,$A$33:$A$45,B23)))</f>
        <v/>
      </c>
      <c r="D23" s="26">
        <f>+F23+H23+J23+L23+N23+P23+R23+T23+V23</f>
        <v/>
      </c>
      <c r="E23" s="27">
        <f>+G23+I23+K23+M23+O23+Q23+S23+U23+W23</f>
        <v/>
      </c>
      <c r="F23" s="26">
        <f>SUMIFS(Sales!$S:$S,Sales!$H:$H,"&lt;="&amp;'Cashflow Projection'!F$5,Sales!$E:$E,FALSE,Sales!$F:$F,'Cashflow Projection'!$C23,Sales!$A:$A,'Cashflow Projection'!$A23,Sales!$B:$B,'Cashflow Projection'!$B23,Sales!$H:$H,"&gt;"&amp;'Cashflow Projection'!B$2)*$C23</f>
        <v/>
      </c>
      <c r="G23" s="27">
        <f>COUNTIFS(Sales!$H:$H,"&lt;="&amp;'Cashflow Projection'!F$5,Sales!$H:$H,"&gt;"&amp;'Cashflow Projection'!B$2,Sales!$A:$A,'Cashflow Projection'!$A23,Sales!$B:$B,'Cashflow Projection'!$B23,Sales!$F:$F,'Cashflow Projection'!$C23,Sales!$E:$E,FALSE)*$C23</f>
        <v/>
      </c>
      <c r="H23" s="26">
        <f>SUMIFS(Sales!$S:$S,Sales!$H:$H,"&lt;="&amp;'Cashflow Projection'!H$5,Sales!$E:$E,FALSE,Sales!$F:$F,'Cashflow Projection'!$C23,Sales!$A:$A,'Cashflow Projection'!$A23,Sales!$B:$B,'Cashflow Projection'!$B23,Sales!$H:$H,"&gt;"&amp;'Cashflow Projection'!F$5)*$C23</f>
        <v/>
      </c>
      <c r="I23" s="27">
        <f>COUNTIFS(Sales!$H:$H,"&lt;="&amp;'Cashflow Projection'!H$5,Sales!$H:$H,"&gt;"&amp;'Cashflow Projection'!F$5,Sales!$A:$A,'Cashflow Projection'!$A23,Sales!$B:$B,'Cashflow Projection'!$B23,Sales!$F:$F,'Cashflow Projection'!$C23,Sales!$E:$E,FALSE)*$C23</f>
        <v/>
      </c>
      <c r="J23" s="26">
        <f>SUMIFS(Sales!$S:$S,Sales!$H:$H,"&lt;="&amp;'Cashflow Projection'!J$5,Sales!$E:$E,FALSE,Sales!$F:$F,'Cashflow Projection'!$C23,Sales!$A:$A,'Cashflow Projection'!$A23,Sales!$B:$B,'Cashflow Projection'!$B23,Sales!$H:$H,"&gt;"&amp;'Cashflow Projection'!H$5)*$C23</f>
        <v/>
      </c>
      <c r="K23" s="27">
        <f>COUNTIFS(Sales!$H:$H,"&lt;="&amp;'Cashflow Projection'!J$5,Sales!$H:$H,"&gt;"&amp;'Cashflow Projection'!H$5,Sales!$A:$A,'Cashflow Projection'!$A23,Sales!$B:$B,'Cashflow Projection'!$B23,Sales!$F:$F,'Cashflow Projection'!$C23,Sales!$E:$E,FALSE)*$C23</f>
        <v/>
      </c>
      <c r="L23" s="26">
        <f>SUMIFS(Sales!$S:$S,Sales!$H:$H,"&lt;="&amp;'Cashflow Projection'!L$5,Sales!$E:$E,FALSE,Sales!$F:$F,'Cashflow Projection'!$C23,Sales!$A:$A,'Cashflow Projection'!$A23,Sales!$B:$B,'Cashflow Projection'!$B23,Sales!$H:$H,"&gt;"&amp;'Cashflow Projection'!J$5)*$C23</f>
        <v/>
      </c>
      <c r="M23" s="27">
        <f>COUNTIFS(Sales!$H:$H,"&lt;="&amp;'Cashflow Projection'!L$5,Sales!$H:$H,"&gt;"&amp;'Cashflow Projection'!J$5,Sales!$A:$A,'Cashflow Projection'!$A23,Sales!$B:$B,'Cashflow Projection'!$B23,Sales!$F:$F,'Cashflow Projection'!$C23,Sales!$E:$E,FALSE)*$C23</f>
        <v/>
      </c>
      <c r="N23" s="26">
        <f>SUMIFS(Sales!$S:$S,Sales!$H:$H,"&lt;="&amp;'Cashflow Projection'!N$5,Sales!$E:$E,FALSE,Sales!$F:$F,'Cashflow Projection'!$C23,Sales!$A:$A,'Cashflow Projection'!$A23,Sales!$B:$B,'Cashflow Projection'!$B23,Sales!$H:$H,"&gt;"&amp;'Cashflow Projection'!L$5)*$C23</f>
        <v/>
      </c>
      <c r="O23" s="27">
        <f>COUNTIFS(Sales!$H:$H,"&lt;="&amp;'Cashflow Projection'!N$5,Sales!$H:$H,"&gt;"&amp;'Cashflow Projection'!L$5,Sales!$A:$A,'Cashflow Projection'!$A23,Sales!$B:$B,'Cashflow Projection'!$B23,Sales!$F:$F,'Cashflow Projection'!$C23,Sales!$E:$E,FALSE)*$C23</f>
        <v/>
      </c>
      <c r="P23" s="26">
        <f>SUMIFS(Sales!$S:$S,Sales!$H:$H,"&lt;="&amp;'Cashflow Projection'!P$5,Sales!$E:$E,FALSE,Sales!$F:$F,'Cashflow Projection'!$C23,Sales!$A:$A,'Cashflow Projection'!$A23,Sales!$B:$B,'Cashflow Projection'!$B23,Sales!$H:$H,"&gt;"&amp;'Cashflow Projection'!N$5)*$C23</f>
        <v/>
      </c>
      <c r="Q23" s="27">
        <f>COUNTIFS(Sales!$H:$H,"&lt;="&amp;'Cashflow Projection'!P$5,Sales!$H:$H,"&gt;"&amp;'Cashflow Projection'!N$5,Sales!$A:$A,'Cashflow Projection'!$A23,Sales!$B:$B,'Cashflow Projection'!$B23,Sales!$F:$F,'Cashflow Projection'!$C23,Sales!$E:$E,FALSE)*$C23</f>
        <v/>
      </c>
      <c r="R23" s="26">
        <f>SUMIFS(Sales!$S:$S,Sales!$H:$H,"&lt;="&amp;'Cashflow Projection'!R$5,Sales!$E:$E,FALSE,Sales!$F:$F,'Cashflow Projection'!$C23,Sales!$A:$A,'Cashflow Projection'!$A23,Sales!$B:$B,'Cashflow Projection'!$B23,Sales!$H:$H,"&gt;"&amp;'Cashflow Projection'!P$5)*$C23</f>
        <v/>
      </c>
      <c r="S23" s="27">
        <f>COUNTIFS(Sales!$H:$H,"&lt;="&amp;'Cashflow Projection'!R$5,Sales!$H:$H,"&gt;"&amp;'Cashflow Projection'!P$5,Sales!$A:$A,'Cashflow Projection'!$A23,Sales!$B:$B,'Cashflow Projection'!$B23,Sales!$F:$F,'Cashflow Projection'!$C23,Sales!$E:$E,FALSE)*$C23</f>
        <v/>
      </c>
      <c r="T23" s="26">
        <f>SUMIFS(Sales!$S:$S,Sales!$H:$H,"&lt;="&amp;'Cashflow Projection'!T$5,Sales!$E:$E,FALSE,Sales!$F:$F,'Cashflow Projection'!$C23,Sales!$A:$A,'Cashflow Projection'!$A23,Sales!$B:$B,'Cashflow Projection'!$B23,Sales!$H:$H,"&gt;"&amp;'Cashflow Projection'!R$5)*$C23</f>
        <v/>
      </c>
      <c r="U23" s="27">
        <f>COUNTIFS(Sales!$H:$H,"&lt;="&amp;'Cashflow Projection'!T$5,Sales!$H:$H,"&gt;"&amp;'Cashflow Projection'!R$5,Sales!$A:$A,'Cashflow Projection'!$A23,Sales!$B:$B,'Cashflow Projection'!$B23,Sales!$F:$F,'Cashflow Projection'!$C23,Sales!$E:$E,FALSE)*$C23</f>
        <v/>
      </c>
      <c r="V23" s="26">
        <f>SUMIFS(Sales!$S:$S,Sales!$H:$H,"&lt;="&amp;'Cashflow Projection'!V$5,Sales!$E:$E,FALSE,Sales!$F:$F,'Cashflow Projection'!$C23,Sales!$A:$A,'Cashflow Projection'!$A23,Sales!$B:$B,'Cashflow Projection'!$B23,Sales!$H:$H,"&gt;"&amp;'Cashflow Projection'!T$5)*$C23</f>
        <v/>
      </c>
      <c r="W23" s="24">
        <f>COUNTIFS(Sales!$H:$H,"&lt;="&amp;'Cashflow Projection'!V$5,Sales!$H:$H,"&gt;"&amp;'Cashflow Projection'!T$5,Sales!$A:$A,'Cashflow Projection'!$A23,Sales!$B:$B,'Cashflow Projection'!$B23,Sales!$F:$F,'Cashflow Projection'!$C23,Sales!$E:$E,FALSE)*$C23</f>
        <v/>
      </c>
    </row>
    <row r="24">
      <c r="A24" s="18" t="n"/>
      <c r="B24" s="25" t="n"/>
      <c r="C24" s="25" t="n"/>
      <c r="W24" s="17" t="n"/>
    </row>
    <row r="25">
      <c r="A25" s="16" t="n"/>
      <c r="W25" s="17" t="n"/>
    </row>
    <row r="26">
      <c r="A26" s="18" t="inlineStr">
        <is>
          <t>VAT ON SALES</t>
        </is>
      </c>
      <c r="B26" t="inlineStr"/>
      <c r="C26" s="12" t="n">
        <v>1</v>
      </c>
      <c r="D26" s="28">
        <f>+F26+H26+J26+L26+N26+P26+R26+T26+V26</f>
        <v/>
      </c>
      <c r="F26" s="28">
        <f>-SUMIFS(Sales!$J:$J,Sales!$E:$E,FALSE, Sales!$U:$U,"&lt;="&amp;'Cashflow Projection'!F$5,Sales!$F:$F,1)*$C26</f>
        <v/>
      </c>
      <c r="H26" s="28">
        <f>-SUMIFS(Sales!$J:$J,Sales!$E:$E,FALSE, Sales!$U:$U,"&lt;="&amp;'Cashflow Projection'!H$5,Sales!$U:$U,"&gt;"&amp;'Cashflow Projection'!F$5,Sales!$F:$F,1)*$C26</f>
        <v/>
      </c>
      <c r="J26" s="28">
        <f>-SUMIFS(Sales!$J:$J,Sales!$E:$E,FALSE, Sales!$U:$U,"&lt;="&amp;'Cashflow Projection'!J$5,Sales!$U:$U,"&gt;"&amp;'Cashflow Projection'!H$5,Sales!$F:$F,1)*$C26</f>
        <v/>
      </c>
      <c r="L26" s="28">
        <f>-SUMIFS(Sales!$J:$J,Sales!$E:$E,FALSE, Sales!$U:$U,"&lt;="&amp;'Cashflow Projection'!L$5,Sales!$U:$U,"&gt;"&amp;'Cashflow Projection'!J$5,Sales!$F:$F,1)*$C26</f>
        <v/>
      </c>
      <c r="N26" s="28">
        <f>-SUMIFS(Sales!$J:$J,Sales!$E:$E,FALSE, Sales!$U:$U,"&lt;="&amp;'Cashflow Projection'!N$5,Sales!$U:$U,"&gt;"&amp;'Cashflow Projection'!L$5,Sales!$F:$F,1)*$C26</f>
        <v/>
      </c>
      <c r="P26" s="28">
        <f>-SUMIFS(Sales!$J:$J,Sales!$E:$E,FALSE, Sales!$U:$U,"&lt;="&amp;'Cashflow Projection'!P$5,Sales!$U:$U,"&gt;"&amp;'Cashflow Projection'!N$5,Sales!$F:$F,1)*$C26</f>
        <v/>
      </c>
      <c r="R26" s="28">
        <f>-SUMIFS(Sales!$J:$J,Sales!$E:$E,FALSE, Sales!$U:$U,"&lt;="&amp;'Cashflow Projection'!R$5,Sales!$U:$U,"&gt;"&amp;'Cashflow Projection'!P$5,Sales!$F:$F,1)*$C26</f>
        <v/>
      </c>
      <c r="T26" s="28">
        <f>-SUMIFS(Sales!$J:$J,Sales!$E:$E,FALSE, Sales!$U:$U,"&lt;="&amp;'Cashflow Projection'!T$5,Sales!$U:$U,"&gt;"&amp;'Cashflow Projection'!R$5,Sales!$F:$F,1)*$C26</f>
        <v/>
      </c>
      <c r="V26" s="28">
        <f>-SUMIFS(Sales!$J:$J,Sales!$E:$E,FALSE, Sales!$U:$U,"&lt;="&amp;'Cashflow Projection'!V$5,Sales!$U:$U,"&gt;"&amp;'Cashflow Projection'!T$5,Sales!$F:$F,1)*$C26</f>
        <v/>
      </c>
      <c r="W26" s="17" t="n"/>
    </row>
    <row r="27">
      <c r="A27" s="16" t="n"/>
      <c r="W27" s="17" t="n"/>
    </row>
    <row r="28">
      <c r="A28" s="29" t="inlineStr">
        <is>
          <t>Income (Profit on Sale)</t>
        </is>
      </c>
      <c r="D28" s="30">
        <f>+F28+H28+J28+L28+N28+P28+R28+T28+V28</f>
        <v/>
      </c>
      <c r="F28" s="31">
        <f>SUMIFS(Sales!$S:$S,Sales!$E:$E,FALSE,Sales!$F:$F,1,Sales!$H:$H,"&lt;="&amp;'Cashflow Projection'!F$5,Sales!$H:$H,"&gt;"&amp;'Cashflow Projection'!$B$2)</f>
        <v/>
      </c>
      <c r="H28" s="31">
        <f>SUMIFS(Sales!$S:$S,Sales!$E:$E,FALSE,Sales!$F:$F,1,Sales!$H:$H,"&lt;="&amp;'Cashflow Projection'!H$5,Sales!$H:$H,"&gt;"&amp;'Cashflow Projection'!F$5)</f>
        <v/>
      </c>
      <c r="J28" s="31">
        <f>SUMIFS(Sales!$S:$S,Sales!$E:$E,FALSE,Sales!$F:$F,1,Sales!$H:$H,"&lt;="&amp;'Cashflow Projection'!J$5,Sales!$H:$H,"&gt;"&amp;'Cashflow Projection'!H$5)</f>
        <v/>
      </c>
      <c r="L28" s="31">
        <f>SUMIFS(Sales!$S:$S,Sales!$E:$E,FALSE,Sales!$F:$F,1,Sales!$H:$H,"&lt;="&amp;'Cashflow Projection'!L$5,Sales!$H:$H,"&gt;"&amp;'Cashflow Projection'!J$5)</f>
        <v/>
      </c>
      <c r="N28" s="31">
        <f>SUMIFS(Sales!$S:$S,Sales!$E:$E,FALSE,Sales!$F:$F,1,Sales!$H:$H,"&lt;="&amp;'Cashflow Projection'!N$5,Sales!$H:$H,"&gt;"&amp;'Cashflow Projection'!L$5)</f>
        <v/>
      </c>
      <c r="P28" s="31">
        <f>SUMIFS(Sales!$S:$S,Sales!$E:$E,FALSE,Sales!$F:$F,1,Sales!$H:$H,"&lt;="&amp;'Cashflow Projection'!P$5,Sales!$H:$H,"&gt;"&amp;'Cashflow Projection'!N$5)</f>
        <v/>
      </c>
      <c r="R28" s="31">
        <f>SUMIFS(Sales!$S:$S,Sales!$E:$E,FALSE,Sales!$F:$F,1,Sales!$H:$H,"&lt;="&amp;'Cashflow Projection'!R$5,Sales!$H:$H,"&gt;"&amp;'Cashflow Projection'!P$5)</f>
        <v/>
      </c>
      <c r="T28" s="31">
        <f>SUMIFS(Sales!$S:$S,Sales!$E:$E,FALSE,Sales!$F:$F,1,Sales!$H:$H,"&lt;="&amp;'Cashflow Projection'!T$5,Sales!$H:$H,"&gt;"&amp;'Cashflow Projection'!R$5)</f>
        <v/>
      </c>
      <c r="V28" s="31">
        <f>SUMIFS(Sales!$S:$S,Sales!$E:$E,FALSE,Sales!$F:$F,1,Sales!$H:$H,"&lt;="&amp;'Cashflow Projection'!V$5,Sales!$H:$H,"&gt;"&amp;'Cashflow Projection'!T$5)</f>
        <v/>
      </c>
      <c r="W28" s="17" t="n"/>
    </row>
    <row r="29">
      <c r="A29" s="16" t="n"/>
      <c r="W29" s="17" t="n"/>
    </row>
    <row r="30">
      <c r="A30" s="16" t="inlineStr">
        <is>
          <t>Costs To Complete</t>
        </is>
      </c>
      <c r="W30" s="17" t="n"/>
    </row>
    <row r="31">
      <c r="A31" s="18" t="inlineStr">
        <is>
          <t>UNITS</t>
        </is>
      </c>
      <c r="W31" s="17" t="n"/>
    </row>
    <row r="32">
      <c r="A32" s="32" t="n"/>
      <c r="B32" s="33" t="n"/>
      <c r="C32" s="34">
        <f>SUM(C33:C45)</f>
        <v/>
      </c>
      <c r="D32" s="35">
        <f>SUM(D33:D45)</f>
        <v/>
      </c>
      <c r="F32" s="36">
        <f>SUM(F33:F45)</f>
        <v/>
      </c>
      <c r="H32" s="36">
        <f>SUM(H33:H45)</f>
        <v/>
      </c>
      <c r="J32" s="36">
        <f>SUM(J33:J45)</f>
        <v/>
      </c>
      <c r="L32" s="36">
        <f>SUM(L33:L45)</f>
        <v/>
      </c>
      <c r="N32" s="36">
        <f>SUM(N33:N45)</f>
        <v/>
      </c>
      <c r="P32" s="36">
        <f>SUM(P33:P45)</f>
        <v/>
      </c>
      <c r="R32" s="36">
        <f>SUM(R33:R45)</f>
        <v/>
      </c>
      <c r="T32" s="36">
        <f>SUM(T33:T45)</f>
        <v/>
      </c>
      <c r="V32" s="36">
        <f>SUM(V33:V45)</f>
        <v/>
      </c>
      <c r="W32" s="17" t="n"/>
    </row>
    <row r="33">
      <c r="A33" s="37" t="inlineStr">
        <is>
          <t>Clubhouse</t>
        </is>
      </c>
      <c r="B33" s="38" t="n">
        <v>1</v>
      </c>
      <c r="C33" s="39" t="n"/>
      <c r="D33" s="26">
        <f>+F33+H33+J33+L33+N33+P33+R33+T33+V33</f>
        <v/>
      </c>
      <c r="F33" s="26">
        <f>-(SUMIFS('Updated Construction'!$F:$F,'Updated Construction'!$A:$A,FALSE,'Updated Construction'!$G:$G,'Cashflow Projection'!$A33,'Updated Construction'!$E:$E,"&lt;="&amp;'Cashflow Projection'!F$5,'Updated Construction'!$E:$E,"&gt;"&amp;'Cashflow Projection'!$B$2)+(SUMIFS('Updated Construction'!$F:$F,'Updated Construction'!$A:$A,TRUE,'Updated Construction'!$G:$G,'Cashflow Projection'!$A33,'Updated Construction'!$E:$E,"&lt;="&amp;'Cashflow Projection'!F$5,'Updated Construction'!$E:$E,"&gt;"&amp;'Cashflow Projection'!$B$2)*$B33))*1.15</f>
        <v/>
      </c>
      <c r="H33" s="26">
        <f>-(SUMIFS('Updated Construction'!$F:$F,'Updated Construction'!$A:$A,FALSE,'Updated Construction'!$G:$G,'Cashflow Projection'!$A33,'Updated Construction'!$E:$E,"&lt;="&amp;'Cashflow Projection'!H$5,'Updated Construction'!$E:$E,"&gt;"&amp;'Cashflow Projection'!F$5)+(SUMIFS('Updated Construction'!$F:$F,'Updated Construction'!$A:$A,TRUE,'Updated Construction'!$G:$G,'Cashflow Projection'!$A33,'Updated Construction'!$E:$E,"&lt;="&amp;'Cashflow Projection'!H$5,'Updated Construction'!$E:$E,"&gt;"&amp;'Cashflow Projection'!F$5)*$B33))*1.15</f>
        <v/>
      </c>
      <c r="J33" s="26">
        <f>-(SUMIFS('Updated Construction'!$F:$F,'Updated Construction'!$A:$A,FALSE,'Updated Construction'!$G:$G,'Cashflow Projection'!$A33,'Updated Construction'!$E:$E,"&lt;="&amp;'Cashflow Projection'!J$5,'Updated Construction'!$E:$E,"&gt;"&amp;'Cashflow Projection'!H$5)+(SUMIFS('Updated Construction'!$F:$F,'Updated Construction'!$A:$A,TRUE,'Updated Construction'!$G:$G,'Cashflow Projection'!$A33,'Updated Construction'!$E:$E,"&lt;="&amp;'Cashflow Projection'!J$5,'Updated Construction'!$E:$E,"&gt;"&amp;'Cashflow Projection'!H$5)*$B33))*1.15</f>
        <v/>
      </c>
      <c r="L33" s="26">
        <f>-(SUMIFS('Updated Construction'!$F:$F,'Updated Construction'!$A:$A,FALSE,'Updated Construction'!$G:$G,'Cashflow Projection'!$A33,'Updated Construction'!$E:$E,"&lt;="&amp;'Cashflow Projection'!L$5,'Updated Construction'!$E:$E,"&gt;"&amp;'Cashflow Projection'!J$5)+(SUMIFS('Updated Construction'!$F:$F,'Updated Construction'!$A:$A,TRUE,'Updated Construction'!$G:$G,'Cashflow Projection'!$A33,'Updated Construction'!$E:$E,"&lt;="&amp;'Cashflow Projection'!L$5,'Updated Construction'!$E:$E,"&gt;"&amp;'Cashflow Projection'!J$5)*$B33))*1.15</f>
        <v/>
      </c>
      <c r="N33" s="26">
        <f>-(SUMIFS('Updated Construction'!$F:$F,'Updated Construction'!$A:$A,FALSE,'Updated Construction'!$G:$G,'Cashflow Projection'!$A33,'Updated Construction'!$E:$E,"&lt;="&amp;'Cashflow Projection'!N$5,'Updated Construction'!$E:$E,"&gt;"&amp;'Cashflow Projection'!L$5)+(SUMIFS('Updated Construction'!$F:$F,'Updated Construction'!$A:$A,TRUE,'Updated Construction'!$G:$G,'Cashflow Projection'!$A33,'Updated Construction'!$E:$E,"&lt;="&amp;'Cashflow Projection'!N$5,'Updated Construction'!$E:$E,"&gt;"&amp;'Cashflow Projection'!L$5)*$B33))*1.15</f>
        <v/>
      </c>
      <c r="P33" s="26">
        <f>-(SUMIFS('Updated Construction'!$F:$F,'Updated Construction'!$A:$A,FALSE,'Updated Construction'!$G:$G,'Cashflow Projection'!$A33,'Updated Construction'!$E:$E,"&lt;="&amp;'Cashflow Projection'!P$5,'Updated Construction'!$E:$E,"&gt;"&amp;'Cashflow Projection'!N$5)+(SUMIFS('Updated Construction'!$F:$F,'Updated Construction'!$A:$A,TRUE,'Updated Construction'!$G:$G,'Cashflow Projection'!$A33,'Updated Construction'!$E:$E,"&lt;="&amp;'Cashflow Projection'!P$5,'Updated Construction'!$E:$E,"&gt;"&amp;'Cashflow Projection'!N$5)*$B33))*1.15</f>
        <v/>
      </c>
      <c r="R33" s="26">
        <f>-(SUMIFS('Updated Construction'!$F:$F,'Updated Construction'!$A:$A,FALSE,'Updated Construction'!$G:$G,'Cashflow Projection'!$A33,'Updated Construction'!$E:$E,"&lt;="&amp;'Cashflow Projection'!R$5,'Updated Construction'!$E:$E,"&gt;"&amp;'Cashflow Projection'!P$5)+(SUMIFS('Updated Construction'!$F:$F,'Updated Construction'!$A:$A,TRUE,'Updated Construction'!$G:$G,'Cashflow Projection'!$A33,'Updated Construction'!$E:$E,"&lt;="&amp;'Cashflow Projection'!R$5,'Updated Construction'!$E:$E,"&gt;"&amp;'Cashflow Projection'!P$5)*$B33))*1.15</f>
        <v/>
      </c>
      <c r="T33" s="26">
        <f>-(SUMIFS('Updated Construction'!$F:$F,'Updated Construction'!$A:$A,FALSE,'Updated Construction'!$G:$G,'Cashflow Projection'!$A33,'Updated Construction'!$E:$E,"&lt;="&amp;'Cashflow Projection'!T$5,'Updated Construction'!$E:$E,"&gt;"&amp;'Cashflow Projection'!R$5)+(SUMIFS('Updated Construction'!$F:$F,'Updated Construction'!$A:$A,TRUE,'Updated Construction'!$G:$G,'Cashflow Projection'!$A33,'Updated Construction'!$E:$E,"&lt;="&amp;'Cashflow Projection'!T$5,'Updated Construction'!$E:$E,"&gt;"&amp;'Cashflow Projection'!R$5)*$B33))*1.15</f>
        <v/>
      </c>
      <c r="V33" s="26">
        <f>-(SUMIFS('Updated Construction'!$F:$F,'Updated Construction'!$A:$A,FALSE,'Updated Construction'!$G:$G,'Cashflow Projection'!$A33,'Updated Construction'!$E:$E,"&lt;="&amp;'Cashflow Projection'!V$5,'Updated Construction'!$E:$E,"&gt;"&amp;'Cashflow Projection'!T$5)+(SUMIFS('Updated Construction'!$F:$F,'Updated Construction'!$A:$A,TRUE,'Updated Construction'!$G:$G,'Cashflow Projection'!$A33,'Updated Construction'!$E:$E,"&lt;="&amp;'Cashflow Projection'!V$5,'Updated Construction'!$E:$E,"&gt;"&amp;'Cashflow Projection'!T$5)*$B33))*1.15</f>
        <v/>
      </c>
      <c r="W33" s="17" t="n"/>
    </row>
    <row r="34">
      <c r="A34" s="37" t="inlineStr">
        <is>
          <t>D</t>
        </is>
      </c>
      <c r="B34" s="38" t="n">
        <v>1</v>
      </c>
      <c r="C34" s="39" t="n"/>
      <c r="D34" s="26">
        <f>+F34+H34+J34+L34+N34+P34+R34+T34+V34</f>
        <v/>
      </c>
      <c r="F34" s="26">
        <f>-(SUMIFS('Updated Construction'!$F:$F,'Updated Construction'!$A:$A,FALSE,'Updated Construction'!$G:$G,'Cashflow Projection'!$A34,'Updated Construction'!$E:$E,"&lt;="&amp;'Cashflow Projection'!F$5,'Updated Construction'!$E:$E,"&gt;"&amp;'Cashflow Projection'!$B$2)+(SUMIFS('Updated Construction'!$F:$F,'Updated Construction'!$A:$A,TRUE,'Updated Construction'!$G:$G,'Cashflow Projection'!$A34,'Updated Construction'!$E:$E,"&lt;="&amp;'Cashflow Projection'!F$5,'Updated Construction'!$E:$E,"&gt;"&amp;'Cashflow Projection'!$B$2)*$B34))*1.15</f>
        <v/>
      </c>
      <c r="H34" s="26">
        <f>-(SUMIFS('Updated Construction'!$F:$F,'Updated Construction'!$A:$A,FALSE,'Updated Construction'!$G:$G,'Cashflow Projection'!$A34,'Updated Construction'!$E:$E,"&lt;="&amp;'Cashflow Projection'!H$5,'Updated Construction'!$E:$E,"&gt;"&amp;'Cashflow Projection'!F$5)+(SUMIFS('Updated Construction'!$F:$F,'Updated Construction'!$A:$A,TRUE,'Updated Construction'!$G:$G,'Cashflow Projection'!$A34,'Updated Construction'!$E:$E,"&lt;="&amp;'Cashflow Projection'!H$5,'Updated Construction'!$E:$E,"&gt;"&amp;'Cashflow Projection'!F$5)*$B34))*1.15</f>
        <v/>
      </c>
      <c r="J34" s="26">
        <f>-(SUMIFS('Updated Construction'!$F:$F,'Updated Construction'!$A:$A,FALSE,'Updated Construction'!$G:$G,'Cashflow Projection'!$A34,'Updated Construction'!$E:$E,"&lt;="&amp;'Cashflow Projection'!J$5,'Updated Construction'!$E:$E,"&gt;"&amp;'Cashflow Projection'!H$5)+(SUMIFS('Updated Construction'!$F:$F,'Updated Construction'!$A:$A,TRUE,'Updated Construction'!$G:$G,'Cashflow Projection'!$A34,'Updated Construction'!$E:$E,"&lt;="&amp;'Cashflow Projection'!J$5,'Updated Construction'!$E:$E,"&gt;"&amp;'Cashflow Projection'!H$5)*$B34))*1.15</f>
        <v/>
      </c>
      <c r="L34" s="26">
        <f>-(SUMIFS('Updated Construction'!$F:$F,'Updated Construction'!$A:$A,FALSE,'Updated Construction'!$G:$G,'Cashflow Projection'!$A34,'Updated Construction'!$E:$E,"&lt;="&amp;'Cashflow Projection'!L$5,'Updated Construction'!$E:$E,"&gt;"&amp;'Cashflow Projection'!J$5)+(SUMIFS('Updated Construction'!$F:$F,'Updated Construction'!$A:$A,TRUE,'Updated Construction'!$G:$G,'Cashflow Projection'!$A34,'Updated Construction'!$E:$E,"&lt;="&amp;'Cashflow Projection'!L$5,'Updated Construction'!$E:$E,"&gt;"&amp;'Cashflow Projection'!J$5)*$B34))*1.15</f>
        <v/>
      </c>
      <c r="N34" s="26">
        <f>-(SUMIFS('Updated Construction'!$F:$F,'Updated Construction'!$A:$A,FALSE,'Updated Construction'!$G:$G,'Cashflow Projection'!$A34,'Updated Construction'!$E:$E,"&lt;="&amp;'Cashflow Projection'!N$5,'Updated Construction'!$E:$E,"&gt;"&amp;'Cashflow Projection'!L$5)+(SUMIFS('Updated Construction'!$F:$F,'Updated Construction'!$A:$A,TRUE,'Updated Construction'!$G:$G,'Cashflow Projection'!$A34,'Updated Construction'!$E:$E,"&lt;="&amp;'Cashflow Projection'!N$5,'Updated Construction'!$E:$E,"&gt;"&amp;'Cashflow Projection'!L$5)*$B34))*1.15</f>
        <v/>
      </c>
      <c r="P34" s="26">
        <f>-(SUMIFS('Updated Construction'!$F:$F,'Updated Construction'!$A:$A,FALSE,'Updated Construction'!$G:$G,'Cashflow Projection'!$A34,'Updated Construction'!$E:$E,"&lt;="&amp;'Cashflow Projection'!P$5,'Updated Construction'!$E:$E,"&gt;"&amp;'Cashflow Projection'!N$5)+(SUMIFS('Updated Construction'!$F:$F,'Updated Construction'!$A:$A,TRUE,'Updated Construction'!$G:$G,'Cashflow Projection'!$A34,'Updated Construction'!$E:$E,"&lt;="&amp;'Cashflow Projection'!P$5,'Updated Construction'!$E:$E,"&gt;"&amp;'Cashflow Projection'!N$5)*$B34))*1.15</f>
        <v/>
      </c>
      <c r="R34" s="26">
        <f>-(SUMIFS('Updated Construction'!$F:$F,'Updated Construction'!$A:$A,FALSE,'Updated Construction'!$G:$G,'Cashflow Projection'!$A34,'Updated Construction'!$E:$E,"&lt;="&amp;'Cashflow Projection'!R$5,'Updated Construction'!$E:$E,"&gt;"&amp;'Cashflow Projection'!P$5)+(SUMIFS('Updated Construction'!$F:$F,'Updated Construction'!$A:$A,TRUE,'Updated Construction'!$G:$G,'Cashflow Projection'!$A34,'Updated Construction'!$E:$E,"&lt;="&amp;'Cashflow Projection'!R$5,'Updated Construction'!$E:$E,"&gt;"&amp;'Cashflow Projection'!P$5)*$B34))*1.15</f>
        <v/>
      </c>
      <c r="T34" s="26">
        <f>-(SUMIFS('Updated Construction'!$F:$F,'Updated Construction'!$A:$A,FALSE,'Updated Construction'!$G:$G,'Cashflow Projection'!$A34,'Updated Construction'!$E:$E,"&lt;="&amp;'Cashflow Projection'!T$5,'Updated Construction'!$E:$E,"&gt;"&amp;'Cashflow Projection'!R$5)+(SUMIFS('Updated Construction'!$F:$F,'Updated Construction'!$A:$A,TRUE,'Updated Construction'!$G:$G,'Cashflow Projection'!$A34,'Updated Construction'!$E:$E,"&lt;="&amp;'Cashflow Projection'!T$5,'Updated Construction'!$E:$E,"&gt;"&amp;'Cashflow Projection'!R$5)*$B34))*1.15</f>
        <v/>
      </c>
      <c r="V34" s="26">
        <f>-(SUMIFS('Updated Construction'!$F:$F,'Updated Construction'!$A:$A,FALSE,'Updated Construction'!$G:$G,'Cashflow Projection'!$A34,'Updated Construction'!$E:$E,"&lt;="&amp;'Cashflow Projection'!V$5,'Updated Construction'!$E:$E,"&gt;"&amp;'Cashflow Projection'!T$5)+(SUMIFS('Updated Construction'!$F:$F,'Updated Construction'!$A:$A,TRUE,'Updated Construction'!$G:$G,'Cashflow Projection'!$A34,'Updated Construction'!$E:$E,"&lt;="&amp;'Cashflow Projection'!V$5,'Updated Construction'!$E:$E,"&gt;"&amp;'Cashflow Projection'!T$5)*$B34))*1.15</f>
        <v/>
      </c>
      <c r="W34" s="17" t="n"/>
    </row>
    <row r="35">
      <c r="A35" s="40" t="inlineStr">
        <is>
          <t>E</t>
        </is>
      </c>
      <c r="B35" s="41" t="n">
        <v>0</v>
      </c>
      <c r="C35" s="39">
        <f>12*B35</f>
        <v/>
      </c>
      <c r="D35" s="26">
        <f>+F35+H35+J35+L35+N35+P35+R35+T35+V35</f>
        <v/>
      </c>
      <c r="F35" s="26">
        <f>-(SUMIFS('Updated Construction'!$F:$F,'Updated Construction'!$A:$A,FALSE,'Updated Construction'!$G:$G,'Cashflow Projection'!$A35,'Updated Construction'!$E:$E,"&lt;="&amp;'Cashflow Projection'!F$5,'Updated Construction'!$E:$E,"&gt;"&amp;'Cashflow Projection'!$B$2)+(SUMIFS('Updated Construction'!$F:$F,'Updated Construction'!$A:$A,TRUE,'Updated Construction'!$G:$G,'Cashflow Projection'!$A35,'Updated Construction'!$E:$E,"&lt;="&amp;'Cashflow Projection'!F$5,'Updated Construction'!$E:$E,"&gt;"&amp;'Cashflow Projection'!$B$2)*$B35))*1.15</f>
        <v/>
      </c>
      <c r="H35" s="26">
        <f>-(SUMIFS('Updated Construction'!$F:$F,'Updated Construction'!$A:$A,FALSE,'Updated Construction'!$G:$G,'Cashflow Projection'!$A35,'Updated Construction'!$E:$E,"&lt;="&amp;'Cashflow Projection'!H$5,'Updated Construction'!$E:$E,"&gt;"&amp;'Cashflow Projection'!F$5)+(SUMIFS('Updated Construction'!$F:$F,'Updated Construction'!$A:$A,TRUE,'Updated Construction'!$G:$G,'Cashflow Projection'!$A35,'Updated Construction'!$E:$E,"&lt;="&amp;'Cashflow Projection'!H$5,'Updated Construction'!$E:$E,"&gt;"&amp;'Cashflow Projection'!F$5)*$B35))*1.15</f>
        <v/>
      </c>
      <c r="J35" s="26">
        <f>-(SUMIFS('Updated Construction'!$F:$F,'Updated Construction'!$A:$A,FALSE,'Updated Construction'!$G:$G,'Cashflow Projection'!$A35,'Updated Construction'!$E:$E,"&lt;="&amp;'Cashflow Projection'!J$5,'Updated Construction'!$E:$E,"&gt;"&amp;'Cashflow Projection'!H$5)+(SUMIFS('Updated Construction'!$F:$F,'Updated Construction'!$A:$A,TRUE,'Updated Construction'!$G:$G,'Cashflow Projection'!$A35,'Updated Construction'!$E:$E,"&lt;="&amp;'Cashflow Projection'!J$5,'Updated Construction'!$E:$E,"&gt;"&amp;'Cashflow Projection'!H$5)*$B35))*1.15</f>
        <v/>
      </c>
      <c r="L35" s="26">
        <f>-(SUMIFS('Updated Construction'!$F:$F,'Updated Construction'!$A:$A,FALSE,'Updated Construction'!$G:$G,'Cashflow Projection'!$A35,'Updated Construction'!$E:$E,"&lt;="&amp;'Cashflow Projection'!L$5,'Updated Construction'!$E:$E,"&gt;"&amp;'Cashflow Projection'!J$5)+(SUMIFS('Updated Construction'!$F:$F,'Updated Construction'!$A:$A,TRUE,'Updated Construction'!$G:$G,'Cashflow Projection'!$A35,'Updated Construction'!$E:$E,"&lt;="&amp;'Cashflow Projection'!L$5,'Updated Construction'!$E:$E,"&gt;"&amp;'Cashflow Projection'!J$5)*$B35))*1.15</f>
        <v/>
      </c>
      <c r="N35" s="26">
        <f>-(SUMIFS('Updated Construction'!$F:$F,'Updated Construction'!$A:$A,FALSE,'Updated Construction'!$G:$G,'Cashflow Projection'!$A35,'Updated Construction'!$E:$E,"&lt;="&amp;'Cashflow Projection'!N$5,'Updated Construction'!$E:$E,"&gt;"&amp;'Cashflow Projection'!L$5)+(SUMIFS('Updated Construction'!$F:$F,'Updated Construction'!$A:$A,TRUE,'Updated Construction'!$G:$G,'Cashflow Projection'!$A35,'Updated Construction'!$E:$E,"&lt;="&amp;'Cashflow Projection'!N$5,'Updated Construction'!$E:$E,"&gt;"&amp;'Cashflow Projection'!L$5)*$B35))*1.15</f>
        <v/>
      </c>
      <c r="P35" s="26">
        <f>-(SUMIFS('Updated Construction'!$F:$F,'Updated Construction'!$A:$A,FALSE,'Updated Construction'!$G:$G,'Cashflow Projection'!$A35,'Updated Construction'!$E:$E,"&lt;="&amp;'Cashflow Projection'!P$5,'Updated Construction'!$E:$E,"&gt;"&amp;'Cashflow Projection'!N$5)+(SUMIFS('Updated Construction'!$F:$F,'Updated Construction'!$A:$A,TRUE,'Updated Construction'!$G:$G,'Cashflow Projection'!$A35,'Updated Construction'!$E:$E,"&lt;="&amp;'Cashflow Projection'!P$5,'Updated Construction'!$E:$E,"&gt;"&amp;'Cashflow Projection'!N$5)*$B35))*1.15</f>
        <v/>
      </c>
      <c r="R35" s="26">
        <f>-(SUMIFS('Updated Construction'!$F:$F,'Updated Construction'!$A:$A,FALSE,'Updated Construction'!$G:$G,'Cashflow Projection'!$A35,'Updated Construction'!$E:$E,"&lt;="&amp;'Cashflow Projection'!R$5,'Updated Construction'!$E:$E,"&gt;"&amp;'Cashflow Projection'!P$5)+(SUMIFS('Updated Construction'!$F:$F,'Updated Construction'!$A:$A,TRUE,'Updated Construction'!$G:$G,'Cashflow Projection'!$A35,'Updated Construction'!$E:$E,"&lt;="&amp;'Cashflow Projection'!R$5,'Updated Construction'!$E:$E,"&gt;"&amp;'Cashflow Projection'!P$5)*$B35))*1.15</f>
        <v/>
      </c>
      <c r="T35" s="26">
        <f>-(SUMIFS('Updated Construction'!$F:$F,'Updated Construction'!$A:$A,FALSE,'Updated Construction'!$G:$G,'Cashflow Projection'!$A35,'Updated Construction'!$E:$E,"&lt;="&amp;'Cashflow Projection'!T$5,'Updated Construction'!$E:$E,"&gt;"&amp;'Cashflow Projection'!R$5)+(SUMIFS('Updated Construction'!$F:$F,'Updated Construction'!$A:$A,TRUE,'Updated Construction'!$G:$G,'Cashflow Projection'!$A35,'Updated Construction'!$E:$E,"&lt;="&amp;'Cashflow Projection'!T$5,'Updated Construction'!$E:$E,"&gt;"&amp;'Cashflow Projection'!R$5)*$B35))*1.15</f>
        <v/>
      </c>
      <c r="V35" s="26">
        <f>-(SUMIFS('Updated Construction'!$F:$F,'Updated Construction'!$A:$A,FALSE,'Updated Construction'!$G:$G,'Cashflow Projection'!$A35,'Updated Construction'!$E:$E,"&lt;="&amp;'Cashflow Projection'!V$5,'Updated Construction'!$E:$E,"&gt;"&amp;'Cashflow Projection'!T$5)+(SUMIFS('Updated Construction'!$F:$F,'Updated Construction'!$A:$A,TRUE,'Updated Construction'!$G:$G,'Cashflow Projection'!$A35,'Updated Construction'!$E:$E,"&lt;="&amp;'Cashflow Projection'!V$5,'Updated Construction'!$E:$E,"&gt;"&amp;'Cashflow Projection'!T$5)*$B35))*1.15</f>
        <v/>
      </c>
      <c r="W35" s="17" t="n"/>
    </row>
    <row r="36">
      <c r="A36" s="40" t="inlineStr">
        <is>
          <t>F</t>
        </is>
      </c>
      <c r="B36" s="41" t="n">
        <v>0</v>
      </c>
      <c r="C36" s="39">
        <f>8*B36</f>
        <v/>
      </c>
      <c r="D36" s="26">
        <f>+F36+H36+J36+L36+N36+P36+R36+T36+V36</f>
        <v/>
      </c>
      <c r="F36" s="26">
        <f>-(SUMIFS('Updated Construction'!$F:$F,'Updated Construction'!$A:$A,FALSE,'Updated Construction'!$G:$G,'Cashflow Projection'!$A36,'Updated Construction'!$E:$E,"&lt;="&amp;'Cashflow Projection'!F$5,'Updated Construction'!$E:$E,"&gt;"&amp;'Cashflow Projection'!$B$2)+(SUMIFS('Updated Construction'!$F:$F,'Updated Construction'!$A:$A,TRUE,'Updated Construction'!$G:$G,'Cashflow Projection'!$A36,'Updated Construction'!$E:$E,"&lt;="&amp;'Cashflow Projection'!F$5,'Updated Construction'!$E:$E,"&gt;"&amp;'Cashflow Projection'!$B$2)*$B36))*1.15</f>
        <v/>
      </c>
      <c r="H36" s="26">
        <f>-(SUMIFS('Updated Construction'!$F:$F,'Updated Construction'!$A:$A,FALSE,'Updated Construction'!$G:$G,'Cashflow Projection'!$A36,'Updated Construction'!$E:$E,"&lt;="&amp;'Cashflow Projection'!H$5,'Updated Construction'!$E:$E,"&gt;"&amp;'Cashflow Projection'!F$5)+(SUMIFS('Updated Construction'!$F:$F,'Updated Construction'!$A:$A,TRUE,'Updated Construction'!$G:$G,'Cashflow Projection'!$A36,'Updated Construction'!$E:$E,"&lt;="&amp;'Cashflow Projection'!H$5,'Updated Construction'!$E:$E,"&gt;"&amp;'Cashflow Projection'!F$5)*$B36))*1.15</f>
        <v/>
      </c>
      <c r="J36" s="26">
        <f>-(SUMIFS('Updated Construction'!$F:$F,'Updated Construction'!$A:$A,FALSE,'Updated Construction'!$G:$G,'Cashflow Projection'!$A36,'Updated Construction'!$E:$E,"&lt;="&amp;'Cashflow Projection'!J$5,'Updated Construction'!$E:$E,"&gt;"&amp;'Cashflow Projection'!H$5)+(SUMIFS('Updated Construction'!$F:$F,'Updated Construction'!$A:$A,TRUE,'Updated Construction'!$G:$G,'Cashflow Projection'!$A36,'Updated Construction'!$E:$E,"&lt;="&amp;'Cashflow Projection'!J$5,'Updated Construction'!$E:$E,"&gt;"&amp;'Cashflow Projection'!H$5)*$B36))*1.15</f>
        <v/>
      </c>
      <c r="L36" s="26">
        <f>-(SUMIFS('Updated Construction'!$F:$F,'Updated Construction'!$A:$A,FALSE,'Updated Construction'!$G:$G,'Cashflow Projection'!$A36,'Updated Construction'!$E:$E,"&lt;="&amp;'Cashflow Projection'!L$5,'Updated Construction'!$E:$E,"&gt;"&amp;'Cashflow Projection'!J$5)+(SUMIFS('Updated Construction'!$F:$F,'Updated Construction'!$A:$A,TRUE,'Updated Construction'!$G:$G,'Cashflow Projection'!$A36,'Updated Construction'!$E:$E,"&lt;="&amp;'Cashflow Projection'!L$5,'Updated Construction'!$E:$E,"&gt;"&amp;'Cashflow Projection'!J$5)*$B36))*1.15</f>
        <v/>
      </c>
      <c r="N36" s="26">
        <f>-(SUMIFS('Updated Construction'!$F:$F,'Updated Construction'!$A:$A,FALSE,'Updated Construction'!$G:$G,'Cashflow Projection'!$A36,'Updated Construction'!$E:$E,"&lt;="&amp;'Cashflow Projection'!N$5,'Updated Construction'!$E:$E,"&gt;"&amp;'Cashflow Projection'!L$5)+(SUMIFS('Updated Construction'!$F:$F,'Updated Construction'!$A:$A,TRUE,'Updated Construction'!$G:$G,'Cashflow Projection'!$A36,'Updated Construction'!$E:$E,"&lt;="&amp;'Cashflow Projection'!N$5,'Updated Construction'!$E:$E,"&gt;"&amp;'Cashflow Projection'!L$5)*$B36))*1.15</f>
        <v/>
      </c>
      <c r="P36" s="26">
        <f>-(SUMIFS('Updated Construction'!$F:$F,'Updated Construction'!$A:$A,FALSE,'Updated Construction'!$G:$G,'Cashflow Projection'!$A36,'Updated Construction'!$E:$E,"&lt;="&amp;'Cashflow Projection'!P$5,'Updated Construction'!$E:$E,"&gt;"&amp;'Cashflow Projection'!N$5)+(SUMIFS('Updated Construction'!$F:$F,'Updated Construction'!$A:$A,TRUE,'Updated Construction'!$G:$G,'Cashflow Projection'!$A36,'Updated Construction'!$E:$E,"&lt;="&amp;'Cashflow Projection'!P$5,'Updated Construction'!$E:$E,"&gt;"&amp;'Cashflow Projection'!N$5)*$B36))*1.15</f>
        <v/>
      </c>
      <c r="R36" s="26">
        <f>-(SUMIFS('Updated Construction'!$F:$F,'Updated Construction'!$A:$A,FALSE,'Updated Construction'!$G:$G,'Cashflow Projection'!$A36,'Updated Construction'!$E:$E,"&lt;="&amp;'Cashflow Projection'!R$5,'Updated Construction'!$E:$E,"&gt;"&amp;'Cashflow Projection'!P$5)+(SUMIFS('Updated Construction'!$F:$F,'Updated Construction'!$A:$A,TRUE,'Updated Construction'!$G:$G,'Cashflow Projection'!$A36,'Updated Construction'!$E:$E,"&lt;="&amp;'Cashflow Projection'!R$5,'Updated Construction'!$E:$E,"&gt;"&amp;'Cashflow Projection'!P$5)*$B36))*1.15</f>
        <v/>
      </c>
      <c r="T36" s="26">
        <f>-(SUMIFS('Updated Construction'!$F:$F,'Updated Construction'!$A:$A,FALSE,'Updated Construction'!$G:$G,'Cashflow Projection'!$A36,'Updated Construction'!$E:$E,"&lt;="&amp;'Cashflow Projection'!T$5,'Updated Construction'!$E:$E,"&gt;"&amp;'Cashflow Projection'!R$5)+(SUMIFS('Updated Construction'!$F:$F,'Updated Construction'!$A:$A,TRUE,'Updated Construction'!$G:$G,'Cashflow Projection'!$A36,'Updated Construction'!$E:$E,"&lt;="&amp;'Cashflow Projection'!T$5,'Updated Construction'!$E:$E,"&gt;"&amp;'Cashflow Projection'!R$5)*$B36))*1.15</f>
        <v/>
      </c>
      <c r="V36" s="26">
        <f>-(SUMIFS('Updated Construction'!$F:$F,'Updated Construction'!$A:$A,FALSE,'Updated Construction'!$G:$G,'Cashflow Projection'!$A36,'Updated Construction'!$E:$E,"&lt;="&amp;'Cashflow Projection'!V$5,'Updated Construction'!$E:$E,"&gt;"&amp;'Cashflow Projection'!T$5)+(SUMIFS('Updated Construction'!$F:$F,'Updated Construction'!$A:$A,TRUE,'Updated Construction'!$G:$G,'Cashflow Projection'!$A36,'Updated Construction'!$E:$E,"&lt;="&amp;'Cashflow Projection'!V$5,'Updated Construction'!$E:$E,"&gt;"&amp;'Cashflow Projection'!T$5)*$B36))*1.15</f>
        <v/>
      </c>
      <c r="W36" s="17" t="n"/>
    </row>
    <row r="37">
      <c r="A37" s="40" t="inlineStr">
        <is>
          <t>G</t>
        </is>
      </c>
      <c r="B37" s="41" t="n">
        <v>0</v>
      </c>
      <c r="C37" s="39">
        <f>12*B37</f>
        <v/>
      </c>
      <c r="D37" s="26">
        <f>+F37+H37+J37+L37+N37+P37+R37+T37+V37</f>
        <v/>
      </c>
      <c r="F37" s="26">
        <f>-(SUMIFS('Updated Construction'!$F:$F,'Updated Construction'!$A:$A,FALSE,'Updated Construction'!$G:$G,'Cashflow Projection'!$A37,'Updated Construction'!$E:$E,"&lt;="&amp;'Cashflow Projection'!F$5,'Updated Construction'!$E:$E,"&gt;"&amp;'Cashflow Projection'!$B$2)+(SUMIFS('Updated Construction'!$F:$F,'Updated Construction'!$A:$A,TRUE,'Updated Construction'!$G:$G,'Cashflow Projection'!$A37,'Updated Construction'!$E:$E,"&lt;="&amp;'Cashflow Projection'!F$5,'Updated Construction'!$E:$E,"&gt;"&amp;'Cashflow Projection'!$B$2)*$B37))*1.15</f>
        <v/>
      </c>
      <c r="H37" s="26">
        <f>-(SUMIFS('Updated Construction'!$F:$F,'Updated Construction'!$A:$A,FALSE,'Updated Construction'!$G:$G,'Cashflow Projection'!$A37,'Updated Construction'!$E:$E,"&lt;="&amp;'Cashflow Projection'!H$5,'Updated Construction'!$E:$E,"&gt;"&amp;'Cashflow Projection'!F$5)+(SUMIFS('Updated Construction'!$F:$F,'Updated Construction'!$A:$A,TRUE,'Updated Construction'!$G:$G,'Cashflow Projection'!$A37,'Updated Construction'!$E:$E,"&lt;="&amp;'Cashflow Projection'!H$5,'Updated Construction'!$E:$E,"&gt;"&amp;'Cashflow Projection'!F$5)*$B37))*1.15</f>
        <v/>
      </c>
      <c r="J37" s="26">
        <f>-(SUMIFS('Updated Construction'!$F:$F,'Updated Construction'!$A:$A,FALSE,'Updated Construction'!$G:$G,'Cashflow Projection'!$A37,'Updated Construction'!$E:$E,"&lt;="&amp;'Cashflow Projection'!J$5,'Updated Construction'!$E:$E,"&gt;"&amp;'Cashflow Projection'!H$5)+(SUMIFS('Updated Construction'!$F:$F,'Updated Construction'!$A:$A,TRUE,'Updated Construction'!$G:$G,'Cashflow Projection'!$A37,'Updated Construction'!$E:$E,"&lt;="&amp;'Cashflow Projection'!J$5,'Updated Construction'!$E:$E,"&gt;"&amp;'Cashflow Projection'!H$5)*$B37))*1.15</f>
        <v/>
      </c>
      <c r="L37" s="26">
        <f>-(SUMIFS('Updated Construction'!$F:$F,'Updated Construction'!$A:$A,FALSE,'Updated Construction'!$G:$G,'Cashflow Projection'!$A37,'Updated Construction'!$E:$E,"&lt;="&amp;'Cashflow Projection'!L$5,'Updated Construction'!$E:$E,"&gt;"&amp;'Cashflow Projection'!J$5)+(SUMIFS('Updated Construction'!$F:$F,'Updated Construction'!$A:$A,TRUE,'Updated Construction'!$G:$G,'Cashflow Projection'!$A37,'Updated Construction'!$E:$E,"&lt;="&amp;'Cashflow Projection'!L$5,'Updated Construction'!$E:$E,"&gt;"&amp;'Cashflow Projection'!J$5)*$B37))*1.15</f>
        <v/>
      </c>
      <c r="N37" s="26">
        <f>-(SUMIFS('Updated Construction'!$F:$F,'Updated Construction'!$A:$A,FALSE,'Updated Construction'!$G:$G,'Cashflow Projection'!$A37,'Updated Construction'!$E:$E,"&lt;="&amp;'Cashflow Projection'!N$5,'Updated Construction'!$E:$E,"&gt;"&amp;'Cashflow Projection'!L$5)+(SUMIFS('Updated Construction'!$F:$F,'Updated Construction'!$A:$A,TRUE,'Updated Construction'!$G:$G,'Cashflow Projection'!$A37,'Updated Construction'!$E:$E,"&lt;="&amp;'Cashflow Projection'!N$5,'Updated Construction'!$E:$E,"&gt;"&amp;'Cashflow Projection'!L$5)*$B37))*1.15</f>
        <v/>
      </c>
      <c r="P37" s="26">
        <f>-(SUMIFS('Updated Construction'!$F:$F,'Updated Construction'!$A:$A,FALSE,'Updated Construction'!$G:$G,'Cashflow Projection'!$A37,'Updated Construction'!$E:$E,"&lt;="&amp;'Cashflow Projection'!P$5,'Updated Construction'!$E:$E,"&gt;"&amp;'Cashflow Projection'!N$5)+(SUMIFS('Updated Construction'!$F:$F,'Updated Construction'!$A:$A,TRUE,'Updated Construction'!$G:$G,'Cashflow Projection'!$A37,'Updated Construction'!$E:$E,"&lt;="&amp;'Cashflow Projection'!P$5,'Updated Construction'!$E:$E,"&gt;"&amp;'Cashflow Projection'!N$5)*$B37))*1.15</f>
        <v/>
      </c>
      <c r="R37" s="26">
        <f>-(SUMIFS('Updated Construction'!$F:$F,'Updated Construction'!$A:$A,FALSE,'Updated Construction'!$G:$G,'Cashflow Projection'!$A37,'Updated Construction'!$E:$E,"&lt;="&amp;'Cashflow Projection'!R$5,'Updated Construction'!$E:$E,"&gt;"&amp;'Cashflow Projection'!P$5)+(SUMIFS('Updated Construction'!$F:$F,'Updated Construction'!$A:$A,TRUE,'Updated Construction'!$G:$G,'Cashflow Projection'!$A37,'Updated Construction'!$E:$E,"&lt;="&amp;'Cashflow Projection'!R$5,'Updated Construction'!$E:$E,"&gt;"&amp;'Cashflow Projection'!P$5)*$B37))*1.15</f>
        <v/>
      </c>
      <c r="T37" s="26">
        <f>-(SUMIFS('Updated Construction'!$F:$F,'Updated Construction'!$A:$A,FALSE,'Updated Construction'!$G:$G,'Cashflow Projection'!$A37,'Updated Construction'!$E:$E,"&lt;="&amp;'Cashflow Projection'!T$5,'Updated Construction'!$E:$E,"&gt;"&amp;'Cashflow Projection'!R$5)+(SUMIFS('Updated Construction'!$F:$F,'Updated Construction'!$A:$A,TRUE,'Updated Construction'!$G:$G,'Cashflow Projection'!$A37,'Updated Construction'!$E:$E,"&lt;="&amp;'Cashflow Projection'!T$5,'Updated Construction'!$E:$E,"&gt;"&amp;'Cashflow Projection'!R$5)*$B37))*1.15</f>
        <v/>
      </c>
      <c r="V37" s="26">
        <f>-(SUMIFS('Updated Construction'!$F:$F,'Updated Construction'!$A:$A,FALSE,'Updated Construction'!$G:$G,'Cashflow Projection'!$A37,'Updated Construction'!$E:$E,"&lt;="&amp;'Cashflow Projection'!V$5,'Updated Construction'!$E:$E,"&gt;"&amp;'Cashflow Projection'!T$5)+(SUMIFS('Updated Construction'!$F:$F,'Updated Construction'!$A:$A,TRUE,'Updated Construction'!$G:$G,'Cashflow Projection'!$A37,'Updated Construction'!$E:$E,"&lt;="&amp;'Cashflow Projection'!V$5,'Updated Construction'!$E:$E,"&gt;"&amp;'Cashflow Projection'!T$5)*$B37))*1.15</f>
        <v/>
      </c>
      <c r="W37" s="17" t="n"/>
    </row>
    <row r="38">
      <c r="A38" s="37" t="inlineStr">
        <is>
          <t>H</t>
        </is>
      </c>
      <c r="B38" s="38" t="n">
        <v>1</v>
      </c>
      <c r="C38" s="39" t="n"/>
      <c r="D38" s="26">
        <f>+F38+H38+J38+L38+N38+P38+R38+T38+V38</f>
        <v/>
      </c>
      <c r="F38" s="26">
        <f>-(SUMIFS('Updated Construction'!$F:$F,'Updated Construction'!$A:$A,FALSE,'Updated Construction'!$G:$G,'Cashflow Projection'!$A38,'Updated Construction'!$E:$E,"&lt;="&amp;'Cashflow Projection'!F$5,'Updated Construction'!$E:$E,"&gt;"&amp;'Cashflow Projection'!$B$2)+(SUMIFS('Updated Construction'!$F:$F,'Updated Construction'!$A:$A,TRUE,'Updated Construction'!$G:$G,'Cashflow Projection'!$A38,'Updated Construction'!$E:$E,"&lt;="&amp;'Cashflow Projection'!F$5,'Updated Construction'!$E:$E,"&gt;"&amp;'Cashflow Projection'!$B$2)*$B38))*1.15</f>
        <v/>
      </c>
      <c r="H38" s="26">
        <f>-(SUMIFS('Updated Construction'!$F:$F,'Updated Construction'!$A:$A,FALSE,'Updated Construction'!$G:$G,'Cashflow Projection'!$A38,'Updated Construction'!$E:$E,"&lt;="&amp;'Cashflow Projection'!H$5,'Updated Construction'!$E:$E,"&gt;"&amp;'Cashflow Projection'!F$5)+(SUMIFS('Updated Construction'!$F:$F,'Updated Construction'!$A:$A,TRUE,'Updated Construction'!$G:$G,'Cashflow Projection'!$A38,'Updated Construction'!$E:$E,"&lt;="&amp;'Cashflow Projection'!H$5,'Updated Construction'!$E:$E,"&gt;"&amp;'Cashflow Projection'!F$5)*$B38))*1.15</f>
        <v/>
      </c>
      <c r="J38" s="26">
        <f>-(SUMIFS('Updated Construction'!$F:$F,'Updated Construction'!$A:$A,FALSE,'Updated Construction'!$G:$G,'Cashflow Projection'!$A38,'Updated Construction'!$E:$E,"&lt;="&amp;'Cashflow Projection'!J$5,'Updated Construction'!$E:$E,"&gt;"&amp;'Cashflow Projection'!H$5)+(SUMIFS('Updated Construction'!$F:$F,'Updated Construction'!$A:$A,TRUE,'Updated Construction'!$G:$G,'Cashflow Projection'!$A38,'Updated Construction'!$E:$E,"&lt;="&amp;'Cashflow Projection'!J$5,'Updated Construction'!$E:$E,"&gt;"&amp;'Cashflow Projection'!H$5)*$B38))*1.15</f>
        <v/>
      </c>
      <c r="L38" s="26">
        <f>-(SUMIFS('Updated Construction'!$F:$F,'Updated Construction'!$A:$A,FALSE,'Updated Construction'!$G:$G,'Cashflow Projection'!$A38,'Updated Construction'!$E:$E,"&lt;="&amp;'Cashflow Projection'!L$5,'Updated Construction'!$E:$E,"&gt;"&amp;'Cashflow Projection'!J$5)+(SUMIFS('Updated Construction'!$F:$F,'Updated Construction'!$A:$A,TRUE,'Updated Construction'!$G:$G,'Cashflow Projection'!$A38,'Updated Construction'!$E:$E,"&lt;="&amp;'Cashflow Projection'!L$5,'Updated Construction'!$E:$E,"&gt;"&amp;'Cashflow Projection'!J$5)*$B38))*1.15</f>
        <v/>
      </c>
      <c r="N38" s="26">
        <f>-(SUMIFS('Updated Construction'!$F:$F,'Updated Construction'!$A:$A,FALSE,'Updated Construction'!$G:$G,'Cashflow Projection'!$A38,'Updated Construction'!$E:$E,"&lt;="&amp;'Cashflow Projection'!N$5,'Updated Construction'!$E:$E,"&gt;"&amp;'Cashflow Projection'!L$5)+(SUMIFS('Updated Construction'!$F:$F,'Updated Construction'!$A:$A,TRUE,'Updated Construction'!$G:$G,'Cashflow Projection'!$A38,'Updated Construction'!$E:$E,"&lt;="&amp;'Cashflow Projection'!N$5,'Updated Construction'!$E:$E,"&gt;"&amp;'Cashflow Projection'!L$5)*$B38))*1.15</f>
        <v/>
      </c>
      <c r="P38" s="26">
        <f>-(SUMIFS('Updated Construction'!$F:$F,'Updated Construction'!$A:$A,FALSE,'Updated Construction'!$G:$G,'Cashflow Projection'!$A38,'Updated Construction'!$E:$E,"&lt;="&amp;'Cashflow Projection'!P$5,'Updated Construction'!$E:$E,"&gt;"&amp;'Cashflow Projection'!N$5)+(SUMIFS('Updated Construction'!$F:$F,'Updated Construction'!$A:$A,TRUE,'Updated Construction'!$G:$G,'Cashflow Projection'!$A38,'Updated Construction'!$E:$E,"&lt;="&amp;'Cashflow Projection'!P$5,'Updated Construction'!$E:$E,"&gt;"&amp;'Cashflow Projection'!N$5)*$B38))*1.15</f>
        <v/>
      </c>
      <c r="R38" s="26">
        <f>-(SUMIFS('Updated Construction'!$F:$F,'Updated Construction'!$A:$A,FALSE,'Updated Construction'!$G:$G,'Cashflow Projection'!$A38,'Updated Construction'!$E:$E,"&lt;="&amp;'Cashflow Projection'!R$5,'Updated Construction'!$E:$E,"&gt;"&amp;'Cashflow Projection'!P$5)+(SUMIFS('Updated Construction'!$F:$F,'Updated Construction'!$A:$A,TRUE,'Updated Construction'!$G:$G,'Cashflow Projection'!$A38,'Updated Construction'!$E:$E,"&lt;="&amp;'Cashflow Projection'!R$5,'Updated Construction'!$E:$E,"&gt;"&amp;'Cashflow Projection'!P$5)*$B38))*1.15</f>
        <v/>
      </c>
      <c r="T38" s="26">
        <f>-(SUMIFS('Updated Construction'!$F:$F,'Updated Construction'!$A:$A,FALSE,'Updated Construction'!$G:$G,'Cashflow Projection'!$A38,'Updated Construction'!$E:$E,"&lt;="&amp;'Cashflow Projection'!T$5,'Updated Construction'!$E:$E,"&gt;"&amp;'Cashflow Projection'!R$5)+(SUMIFS('Updated Construction'!$F:$F,'Updated Construction'!$A:$A,TRUE,'Updated Construction'!$G:$G,'Cashflow Projection'!$A38,'Updated Construction'!$E:$E,"&lt;="&amp;'Cashflow Projection'!T$5,'Updated Construction'!$E:$E,"&gt;"&amp;'Cashflow Projection'!R$5)*$B38))*1.15</f>
        <v/>
      </c>
      <c r="V38" s="26">
        <f>-(SUMIFS('Updated Construction'!$F:$F,'Updated Construction'!$A:$A,FALSE,'Updated Construction'!$G:$G,'Cashflow Projection'!$A38,'Updated Construction'!$E:$E,"&lt;="&amp;'Cashflow Projection'!V$5,'Updated Construction'!$E:$E,"&gt;"&amp;'Cashflow Projection'!T$5)+(SUMIFS('Updated Construction'!$F:$F,'Updated Construction'!$A:$A,TRUE,'Updated Construction'!$G:$G,'Cashflow Projection'!$A38,'Updated Construction'!$E:$E,"&lt;="&amp;'Cashflow Projection'!V$5,'Updated Construction'!$E:$E,"&gt;"&amp;'Cashflow Projection'!T$5)*$B38))*1.15</f>
        <v/>
      </c>
      <c r="W38" s="17" t="n"/>
    </row>
    <row r="39">
      <c r="A39" s="40" t="inlineStr">
        <is>
          <t>I</t>
        </is>
      </c>
      <c r="B39" s="41" t="n">
        <v>0</v>
      </c>
      <c r="C39" s="39">
        <f>8*B39</f>
        <v/>
      </c>
      <c r="D39" s="26">
        <f>+F39+H39+J39+L39+N39+P39+R39+T39+V39</f>
        <v/>
      </c>
      <c r="F39" s="26">
        <f>-(SUMIFS('Updated Construction'!$F:$F,'Updated Construction'!$A:$A,FALSE,'Updated Construction'!$G:$G,'Cashflow Projection'!$A39,'Updated Construction'!$E:$E,"&lt;="&amp;'Cashflow Projection'!F$5,'Updated Construction'!$E:$E,"&gt;"&amp;'Cashflow Projection'!$B$2)+(SUMIFS('Updated Construction'!$F:$F,'Updated Construction'!$A:$A,TRUE,'Updated Construction'!$G:$G,'Cashflow Projection'!$A39,'Updated Construction'!$E:$E,"&lt;="&amp;'Cashflow Projection'!F$5,'Updated Construction'!$E:$E,"&gt;"&amp;'Cashflow Projection'!$B$2)*$B39))*1.15</f>
        <v/>
      </c>
      <c r="H39" s="26">
        <f>-(SUMIFS('Updated Construction'!$F:$F,'Updated Construction'!$A:$A,FALSE,'Updated Construction'!$G:$G,'Cashflow Projection'!$A39,'Updated Construction'!$E:$E,"&lt;="&amp;'Cashflow Projection'!H$5,'Updated Construction'!$E:$E,"&gt;"&amp;'Cashflow Projection'!F$5)+(SUMIFS('Updated Construction'!$F:$F,'Updated Construction'!$A:$A,TRUE,'Updated Construction'!$G:$G,'Cashflow Projection'!$A39,'Updated Construction'!$E:$E,"&lt;="&amp;'Cashflow Projection'!H$5,'Updated Construction'!$E:$E,"&gt;"&amp;'Cashflow Projection'!F$5)*$B39))*1.15</f>
        <v/>
      </c>
      <c r="J39" s="26">
        <f>-(SUMIFS('Updated Construction'!$F:$F,'Updated Construction'!$A:$A,FALSE,'Updated Construction'!$G:$G,'Cashflow Projection'!$A39,'Updated Construction'!$E:$E,"&lt;="&amp;'Cashflow Projection'!J$5,'Updated Construction'!$E:$E,"&gt;"&amp;'Cashflow Projection'!H$5)+(SUMIFS('Updated Construction'!$F:$F,'Updated Construction'!$A:$A,TRUE,'Updated Construction'!$G:$G,'Cashflow Projection'!$A39,'Updated Construction'!$E:$E,"&lt;="&amp;'Cashflow Projection'!J$5,'Updated Construction'!$E:$E,"&gt;"&amp;'Cashflow Projection'!H$5)*$B39))*1.15</f>
        <v/>
      </c>
      <c r="L39" s="26">
        <f>-(SUMIFS('Updated Construction'!$F:$F,'Updated Construction'!$A:$A,FALSE,'Updated Construction'!$G:$G,'Cashflow Projection'!$A39,'Updated Construction'!$E:$E,"&lt;="&amp;'Cashflow Projection'!L$5,'Updated Construction'!$E:$E,"&gt;"&amp;'Cashflow Projection'!J$5)+(SUMIFS('Updated Construction'!$F:$F,'Updated Construction'!$A:$A,TRUE,'Updated Construction'!$G:$G,'Cashflow Projection'!$A39,'Updated Construction'!$E:$E,"&lt;="&amp;'Cashflow Projection'!L$5,'Updated Construction'!$E:$E,"&gt;"&amp;'Cashflow Projection'!J$5)*$B39))*1.15</f>
        <v/>
      </c>
      <c r="N39" s="26">
        <f>-(SUMIFS('Updated Construction'!$F:$F,'Updated Construction'!$A:$A,FALSE,'Updated Construction'!$G:$G,'Cashflow Projection'!$A39,'Updated Construction'!$E:$E,"&lt;="&amp;'Cashflow Projection'!N$5,'Updated Construction'!$E:$E,"&gt;"&amp;'Cashflow Projection'!L$5)+(SUMIFS('Updated Construction'!$F:$F,'Updated Construction'!$A:$A,TRUE,'Updated Construction'!$G:$G,'Cashflow Projection'!$A39,'Updated Construction'!$E:$E,"&lt;="&amp;'Cashflow Projection'!N$5,'Updated Construction'!$E:$E,"&gt;"&amp;'Cashflow Projection'!L$5)*$B39))*1.15</f>
        <v/>
      </c>
      <c r="P39" s="26">
        <f>-(SUMIFS('Updated Construction'!$F:$F,'Updated Construction'!$A:$A,FALSE,'Updated Construction'!$G:$G,'Cashflow Projection'!$A39,'Updated Construction'!$E:$E,"&lt;="&amp;'Cashflow Projection'!P$5,'Updated Construction'!$E:$E,"&gt;"&amp;'Cashflow Projection'!N$5)+(SUMIFS('Updated Construction'!$F:$F,'Updated Construction'!$A:$A,TRUE,'Updated Construction'!$G:$G,'Cashflow Projection'!$A39,'Updated Construction'!$E:$E,"&lt;="&amp;'Cashflow Projection'!P$5,'Updated Construction'!$E:$E,"&gt;"&amp;'Cashflow Projection'!N$5)*$B39))*1.15</f>
        <v/>
      </c>
      <c r="R39" s="26">
        <f>-(SUMIFS('Updated Construction'!$F:$F,'Updated Construction'!$A:$A,FALSE,'Updated Construction'!$G:$G,'Cashflow Projection'!$A39,'Updated Construction'!$E:$E,"&lt;="&amp;'Cashflow Projection'!R$5,'Updated Construction'!$E:$E,"&gt;"&amp;'Cashflow Projection'!P$5)+(SUMIFS('Updated Construction'!$F:$F,'Updated Construction'!$A:$A,TRUE,'Updated Construction'!$G:$G,'Cashflow Projection'!$A39,'Updated Construction'!$E:$E,"&lt;="&amp;'Cashflow Projection'!R$5,'Updated Construction'!$E:$E,"&gt;"&amp;'Cashflow Projection'!P$5)*$B39))*1.15</f>
        <v/>
      </c>
      <c r="T39" s="26">
        <f>-(SUMIFS('Updated Construction'!$F:$F,'Updated Construction'!$A:$A,FALSE,'Updated Construction'!$G:$G,'Cashflow Projection'!$A39,'Updated Construction'!$E:$E,"&lt;="&amp;'Cashflow Projection'!T$5,'Updated Construction'!$E:$E,"&gt;"&amp;'Cashflow Projection'!R$5)+(SUMIFS('Updated Construction'!$F:$F,'Updated Construction'!$A:$A,TRUE,'Updated Construction'!$G:$G,'Cashflow Projection'!$A39,'Updated Construction'!$E:$E,"&lt;="&amp;'Cashflow Projection'!T$5,'Updated Construction'!$E:$E,"&gt;"&amp;'Cashflow Projection'!R$5)*$B39))*1.15</f>
        <v/>
      </c>
      <c r="V39" s="26">
        <f>-(SUMIFS('Updated Construction'!$F:$F,'Updated Construction'!$A:$A,FALSE,'Updated Construction'!$G:$G,'Cashflow Projection'!$A39,'Updated Construction'!$E:$E,"&lt;="&amp;'Cashflow Projection'!V$5,'Updated Construction'!$E:$E,"&gt;"&amp;'Cashflow Projection'!T$5)+(SUMIFS('Updated Construction'!$F:$F,'Updated Construction'!$A:$A,TRUE,'Updated Construction'!$G:$G,'Cashflow Projection'!$A39,'Updated Construction'!$E:$E,"&lt;="&amp;'Cashflow Projection'!V$5,'Updated Construction'!$E:$E,"&gt;"&amp;'Cashflow Projection'!T$5)*$B39))*1.15</f>
        <v/>
      </c>
      <c r="W39" s="17" t="n"/>
    </row>
    <row r="40">
      <c r="A40" s="40" t="inlineStr">
        <is>
          <t>J</t>
        </is>
      </c>
      <c r="B40" s="41" t="n">
        <v>1</v>
      </c>
      <c r="C40" s="39">
        <f>12*B40</f>
        <v/>
      </c>
      <c r="D40" s="26">
        <f>+F40+H40+J40+L40+N40+P40+R40+T40+V40</f>
        <v/>
      </c>
      <c r="F40" s="26">
        <f>-(SUMIFS('Updated Construction'!$F:$F,'Updated Construction'!$A:$A,FALSE,'Updated Construction'!$G:$G,'Cashflow Projection'!$A40,'Updated Construction'!$E:$E,"&lt;="&amp;'Cashflow Projection'!F$5,'Updated Construction'!$E:$E,"&gt;"&amp;'Cashflow Projection'!$B$2)+(SUMIFS('Updated Construction'!$F:$F,'Updated Construction'!$A:$A,TRUE,'Updated Construction'!$G:$G,'Cashflow Projection'!$A40,'Updated Construction'!$E:$E,"&lt;="&amp;'Cashflow Projection'!F$5,'Updated Construction'!$E:$E,"&gt;"&amp;'Cashflow Projection'!$B$2)*$B40))*1.15</f>
        <v/>
      </c>
      <c r="H40" s="26">
        <f>-(SUMIFS('Updated Construction'!$F:$F,'Updated Construction'!$A:$A,FALSE,'Updated Construction'!$G:$G,'Cashflow Projection'!$A40,'Updated Construction'!$E:$E,"&lt;="&amp;'Cashflow Projection'!H$5,'Updated Construction'!$E:$E,"&gt;"&amp;'Cashflow Projection'!F$5)+(SUMIFS('Updated Construction'!$F:$F,'Updated Construction'!$A:$A,TRUE,'Updated Construction'!$G:$G,'Cashflow Projection'!$A40,'Updated Construction'!$E:$E,"&lt;="&amp;'Cashflow Projection'!H$5,'Updated Construction'!$E:$E,"&gt;"&amp;'Cashflow Projection'!F$5)*$B40))*1.15</f>
        <v/>
      </c>
      <c r="J40" s="26">
        <f>-(SUMIFS('Updated Construction'!$F:$F,'Updated Construction'!$A:$A,FALSE,'Updated Construction'!$G:$G,'Cashflow Projection'!$A40,'Updated Construction'!$E:$E,"&lt;="&amp;'Cashflow Projection'!J$5,'Updated Construction'!$E:$E,"&gt;"&amp;'Cashflow Projection'!H$5)+(SUMIFS('Updated Construction'!$F:$F,'Updated Construction'!$A:$A,TRUE,'Updated Construction'!$G:$G,'Cashflow Projection'!$A40,'Updated Construction'!$E:$E,"&lt;="&amp;'Cashflow Projection'!J$5,'Updated Construction'!$E:$E,"&gt;"&amp;'Cashflow Projection'!H$5)*$B40))*1.15</f>
        <v/>
      </c>
      <c r="L40" s="26">
        <f>-(SUMIFS('Updated Construction'!$F:$F,'Updated Construction'!$A:$A,FALSE,'Updated Construction'!$G:$G,'Cashflow Projection'!$A40,'Updated Construction'!$E:$E,"&lt;="&amp;'Cashflow Projection'!L$5,'Updated Construction'!$E:$E,"&gt;"&amp;'Cashflow Projection'!J$5)+(SUMIFS('Updated Construction'!$F:$F,'Updated Construction'!$A:$A,TRUE,'Updated Construction'!$G:$G,'Cashflow Projection'!$A40,'Updated Construction'!$E:$E,"&lt;="&amp;'Cashflow Projection'!L$5,'Updated Construction'!$E:$E,"&gt;"&amp;'Cashflow Projection'!J$5)*$B40))*1.15</f>
        <v/>
      </c>
      <c r="N40" s="26">
        <f>-(SUMIFS('Updated Construction'!$F:$F,'Updated Construction'!$A:$A,FALSE,'Updated Construction'!$G:$G,'Cashflow Projection'!$A40,'Updated Construction'!$E:$E,"&lt;="&amp;'Cashflow Projection'!N$5,'Updated Construction'!$E:$E,"&gt;"&amp;'Cashflow Projection'!L$5)+(SUMIFS('Updated Construction'!$F:$F,'Updated Construction'!$A:$A,TRUE,'Updated Construction'!$G:$G,'Cashflow Projection'!$A40,'Updated Construction'!$E:$E,"&lt;="&amp;'Cashflow Projection'!N$5,'Updated Construction'!$E:$E,"&gt;"&amp;'Cashflow Projection'!L$5)*$B40))*1.15</f>
        <v/>
      </c>
      <c r="P40" s="26">
        <f>-(SUMIFS('Updated Construction'!$F:$F,'Updated Construction'!$A:$A,FALSE,'Updated Construction'!$G:$G,'Cashflow Projection'!$A40,'Updated Construction'!$E:$E,"&lt;="&amp;'Cashflow Projection'!P$5,'Updated Construction'!$E:$E,"&gt;"&amp;'Cashflow Projection'!N$5)+(SUMIFS('Updated Construction'!$F:$F,'Updated Construction'!$A:$A,TRUE,'Updated Construction'!$G:$G,'Cashflow Projection'!$A40,'Updated Construction'!$E:$E,"&lt;="&amp;'Cashflow Projection'!P$5,'Updated Construction'!$E:$E,"&gt;"&amp;'Cashflow Projection'!N$5)*$B40))*1.15</f>
        <v/>
      </c>
      <c r="R40" s="26">
        <f>-(SUMIFS('Updated Construction'!$F:$F,'Updated Construction'!$A:$A,FALSE,'Updated Construction'!$G:$G,'Cashflow Projection'!$A40,'Updated Construction'!$E:$E,"&lt;="&amp;'Cashflow Projection'!R$5,'Updated Construction'!$E:$E,"&gt;"&amp;'Cashflow Projection'!P$5)+(SUMIFS('Updated Construction'!$F:$F,'Updated Construction'!$A:$A,TRUE,'Updated Construction'!$G:$G,'Cashflow Projection'!$A40,'Updated Construction'!$E:$E,"&lt;="&amp;'Cashflow Projection'!R$5,'Updated Construction'!$E:$E,"&gt;"&amp;'Cashflow Projection'!P$5)*$B40))*1.15</f>
        <v/>
      </c>
      <c r="T40" s="26">
        <f>-(SUMIFS('Updated Construction'!$F:$F,'Updated Construction'!$A:$A,FALSE,'Updated Construction'!$G:$G,'Cashflow Projection'!$A40,'Updated Construction'!$E:$E,"&lt;="&amp;'Cashflow Projection'!T$5,'Updated Construction'!$E:$E,"&gt;"&amp;'Cashflow Projection'!R$5)+(SUMIFS('Updated Construction'!$F:$F,'Updated Construction'!$A:$A,TRUE,'Updated Construction'!$G:$G,'Cashflow Projection'!$A40,'Updated Construction'!$E:$E,"&lt;="&amp;'Cashflow Projection'!T$5,'Updated Construction'!$E:$E,"&gt;"&amp;'Cashflow Projection'!R$5)*$B40))*1.15</f>
        <v/>
      </c>
      <c r="V40" s="26">
        <f>-(SUMIFS('Updated Construction'!$F:$F,'Updated Construction'!$A:$A,FALSE,'Updated Construction'!$G:$G,'Cashflow Projection'!$A40,'Updated Construction'!$E:$E,"&lt;="&amp;'Cashflow Projection'!V$5,'Updated Construction'!$E:$E,"&gt;"&amp;'Cashflow Projection'!T$5)+(SUMIFS('Updated Construction'!$F:$F,'Updated Construction'!$A:$A,TRUE,'Updated Construction'!$G:$G,'Cashflow Projection'!$A40,'Updated Construction'!$E:$E,"&lt;="&amp;'Cashflow Projection'!V$5,'Updated Construction'!$E:$E,"&gt;"&amp;'Cashflow Projection'!T$5)*$B40))*1.15</f>
        <v/>
      </c>
      <c r="W40" s="17" t="n"/>
    </row>
    <row r="41">
      <c r="A41" s="40" t="inlineStr">
        <is>
          <t>K</t>
        </is>
      </c>
      <c r="B41" s="41" t="n">
        <v>0</v>
      </c>
      <c r="C41" s="39">
        <f>24*B41</f>
        <v/>
      </c>
      <c r="D41" s="26">
        <f>+F41+H41+J41+L41+N41+P41+R41+T41+V41</f>
        <v/>
      </c>
      <c r="F41" s="26">
        <f>-(SUMIFS('Updated Construction'!$F:$F,'Updated Construction'!$A:$A,FALSE,'Updated Construction'!$G:$G,'Cashflow Projection'!$A41,'Updated Construction'!$E:$E,"&lt;="&amp;'Cashflow Projection'!F$5,'Updated Construction'!$E:$E,"&gt;"&amp;'Cashflow Projection'!$B$2)+(SUMIFS('Updated Construction'!$F:$F,'Updated Construction'!$A:$A,TRUE,'Updated Construction'!$G:$G,'Cashflow Projection'!$A41,'Updated Construction'!$E:$E,"&lt;="&amp;'Cashflow Projection'!F$5,'Updated Construction'!$E:$E,"&gt;"&amp;'Cashflow Projection'!$B$2)*$B41))*1.15</f>
        <v/>
      </c>
      <c r="H41" s="26">
        <f>-(SUMIFS('Updated Construction'!$F:$F,'Updated Construction'!$A:$A,FALSE,'Updated Construction'!$G:$G,'Cashflow Projection'!$A41,'Updated Construction'!$E:$E,"&lt;="&amp;'Cashflow Projection'!H$5,'Updated Construction'!$E:$E,"&gt;"&amp;'Cashflow Projection'!F$5)+(SUMIFS('Updated Construction'!$F:$F,'Updated Construction'!$A:$A,TRUE,'Updated Construction'!$G:$G,'Cashflow Projection'!$A41,'Updated Construction'!$E:$E,"&lt;="&amp;'Cashflow Projection'!H$5,'Updated Construction'!$E:$E,"&gt;"&amp;'Cashflow Projection'!F$5)*$B41))*1.15</f>
        <v/>
      </c>
      <c r="J41" s="26">
        <f>-(SUMIFS('Updated Construction'!$F:$F,'Updated Construction'!$A:$A,FALSE,'Updated Construction'!$G:$G,'Cashflow Projection'!$A41,'Updated Construction'!$E:$E,"&lt;="&amp;'Cashflow Projection'!J$5,'Updated Construction'!$E:$E,"&gt;"&amp;'Cashflow Projection'!H$5)+(SUMIFS('Updated Construction'!$F:$F,'Updated Construction'!$A:$A,TRUE,'Updated Construction'!$G:$G,'Cashflow Projection'!$A41,'Updated Construction'!$E:$E,"&lt;="&amp;'Cashflow Projection'!J$5,'Updated Construction'!$E:$E,"&gt;"&amp;'Cashflow Projection'!H$5)*$B41))*1.15</f>
        <v/>
      </c>
      <c r="L41" s="26">
        <f>-(SUMIFS('Updated Construction'!$F:$F,'Updated Construction'!$A:$A,FALSE,'Updated Construction'!$G:$G,'Cashflow Projection'!$A41,'Updated Construction'!$E:$E,"&lt;="&amp;'Cashflow Projection'!L$5,'Updated Construction'!$E:$E,"&gt;"&amp;'Cashflow Projection'!J$5)+(SUMIFS('Updated Construction'!$F:$F,'Updated Construction'!$A:$A,TRUE,'Updated Construction'!$G:$G,'Cashflow Projection'!$A41,'Updated Construction'!$E:$E,"&lt;="&amp;'Cashflow Projection'!L$5,'Updated Construction'!$E:$E,"&gt;"&amp;'Cashflow Projection'!J$5)*$B41))*1.15</f>
        <v/>
      </c>
      <c r="N41" s="26">
        <f>-(SUMIFS('Updated Construction'!$F:$F,'Updated Construction'!$A:$A,FALSE,'Updated Construction'!$G:$G,'Cashflow Projection'!$A41,'Updated Construction'!$E:$E,"&lt;="&amp;'Cashflow Projection'!N$5,'Updated Construction'!$E:$E,"&gt;"&amp;'Cashflow Projection'!L$5)+(SUMIFS('Updated Construction'!$F:$F,'Updated Construction'!$A:$A,TRUE,'Updated Construction'!$G:$G,'Cashflow Projection'!$A41,'Updated Construction'!$E:$E,"&lt;="&amp;'Cashflow Projection'!N$5,'Updated Construction'!$E:$E,"&gt;"&amp;'Cashflow Projection'!L$5)*$B41))*1.15</f>
        <v/>
      </c>
      <c r="P41" s="26">
        <f>-(SUMIFS('Updated Construction'!$F:$F,'Updated Construction'!$A:$A,FALSE,'Updated Construction'!$G:$G,'Cashflow Projection'!$A41,'Updated Construction'!$E:$E,"&lt;="&amp;'Cashflow Projection'!P$5,'Updated Construction'!$E:$E,"&gt;"&amp;'Cashflow Projection'!N$5)+(SUMIFS('Updated Construction'!$F:$F,'Updated Construction'!$A:$A,TRUE,'Updated Construction'!$G:$G,'Cashflow Projection'!$A41,'Updated Construction'!$E:$E,"&lt;="&amp;'Cashflow Projection'!P$5,'Updated Construction'!$E:$E,"&gt;"&amp;'Cashflow Projection'!N$5)*$B41))*1.15</f>
        <v/>
      </c>
      <c r="R41" s="26">
        <f>-(SUMIFS('Updated Construction'!$F:$F,'Updated Construction'!$A:$A,FALSE,'Updated Construction'!$G:$G,'Cashflow Projection'!$A41,'Updated Construction'!$E:$E,"&lt;="&amp;'Cashflow Projection'!R$5,'Updated Construction'!$E:$E,"&gt;"&amp;'Cashflow Projection'!P$5)+(SUMIFS('Updated Construction'!$F:$F,'Updated Construction'!$A:$A,TRUE,'Updated Construction'!$G:$G,'Cashflow Projection'!$A41,'Updated Construction'!$E:$E,"&lt;="&amp;'Cashflow Projection'!R$5,'Updated Construction'!$E:$E,"&gt;"&amp;'Cashflow Projection'!P$5)*$B41))*1.15</f>
        <v/>
      </c>
      <c r="T41" s="26">
        <f>-(SUMIFS('Updated Construction'!$F:$F,'Updated Construction'!$A:$A,FALSE,'Updated Construction'!$G:$G,'Cashflow Projection'!$A41,'Updated Construction'!$E:$E,"&lt;="&amp;'Cashflow Projection'!T$5,'Updated Construction'!$E:$E,"&gt;"&amp;'Cashflow Projection'!R$5)+(SUMIFS('Updated Construction'!$F:$F,'Updated Construction'!$A:$A,TRUE,'Updated Construction'!$G:$G,'Cashflow Projection'!$A41,'Updated Construction'!$E:$E,"&lt;="&amp;'Cashflow Projection'!T$5,'Updated Construction'!$E:$E,"&gt;"&amp;'Cashflow Projection'!R$5)*$B41))*1.15</f>
        <v/>
      </c>
      <c r="V41" s="26">
        <f>-(SUMIFS('Updated Construction'!$F:$F,'Updated Construction'!$A:$A,FALSE,'Updated Construction'!$G:$G,'Cashflow Projection'!$A41,'Updated Construction'!$E:$E,"&lt;="&amp;'Cashflow Projection'!V$5,'Updated Construction'!$E:$E,"&gt;"&amp;'Cashflow Projection'!T$5)+(SUMIFS('Updated Construction'!$F:$F,'Updated Construction'!$A:$A,TRUE,'Updated Construction'!$G:$G,'Cashflow Projection'!$A41,'Updated Construction'!$E:$E,"&lt;="&amp;'Cashflow Projection'!V$5,'Updated Construction'!$E:$E,"&gt;"&amp;'Cashflow Projection'!T$5)*$B41))*1.15</f>
        <v/>
      </c>
      <c r="W41" s="17" t="n"/>
    </row>
    <row r="42">
      <c r="A42" s="40" t="inlineStr">
        <is>
          <t>L</t>
        </is>
      </c>
      <c r="B42" s="41" t="n">
        <v>0</v>
      </c>
      <c r="C42" s="39">
        <f>8*B42</f>
        <v/>
      </c>
      <c r="D42" s="26">
        <f>+F42+H42+J42+L42+N42+P42+R42+T42+V42</f>
        <v/>
      </c>
      <c r="F42" s="26">
        <f>-(SUMIFS('Updated Construction'!$F:$F,'Updated Construction'!$A:$A,FALSE,'Updated Construction'!$G:$G,'Cashflow Projection'!$A42,'Updated Construction'!$E:$E,"&lt;="&amp;'Cashflow Projection'!F$5,'Updated Construction'!$E:$E,"&gt;"&amp;'Cashflow Projection'!$B$2)+(SUMIFS('Updated Construction'!$F:$F,'Updated Construction'!$A:$A,TRUE,'Updated Construction'!$G:$G,'Cashflow Projection'!$A42,'Updated Construction'!$E:$E,"&lt;="&amp;'Cashflow Projection'!F$5,'Updated Construction'!$E:$E,"&gt;"&amp;'Cashflow Projection'!$B$2)*$B42))*1.15</f>
        <v/>
      </c>
      <c r="H42" s="26">
        <f>-(SUMIFS('Updated Construction'!$F:$F,'Updated Construction'!$A:$A,FALSE,'Updated Construction'!$G:$G,'Cashflow Projection'!$A42,'Updated Construction'!$E:$E,"&lt;="&amp;'Cashflow Projection'!H$5,'Updated Construction'!$E:$E,"&gt;"&amp;'Cashflow Projection'!F$5)+(SUMIFS('Updated Construction'!$F:$F,'Updated Construction'!$A:$A,TRUE,'Updated Construction'!$G:$G,'Cashflow Projection'!$A42,'Updated Construction'!$E:$E,"&lt;="&amp;'Cashflow Projection'!H$5,'Updated Construction'!$E:$E,"&gt;"&amp;'Cashflow Projection'!F$5)*$B42))*1.15</f>
        <v/>
      </c>
      <c r="J42" s="26">
        <f>-(SUMIFS('Updated Construction'!$F:$F,'Updated Construction'!$A:$A,FALSE,'Updated Construction'!$G:$G,'Cashflow Projection'!$A42,'Updated Construction'!$E:$E,"&lt;="&amp;'Cashflow Projection'!J$5,'Updated Construction'!$E:$E,"&gt;"&amp;'Cashflow Projection'!H$5)+(SUMIFS('Updated Construction'!$F:$F,'Updated Construction'!$A:$A,TRUE,'Updated Construction'!$G:$G,'Cashflow Projection'!$A42,'Updated Construction'!$E:$E,"&lt;="&amp;'Cashflow Projection'!J$5,'Updated Construction'!$E:$E,"&gt;"&amp;'Cashflow Projection'!H$5)*$B42))*1.15</f>
        <v/>
      </c>
      <c r="L42" s="26">
        <f>-(SUMIFS('Updated Construction'!$F:$F,'Updated Construction'!$A:$A,FALSE,'Updated Construction'!$G:$G,'Cashflow Projection'!$A42,'Updated Construction'!$E:$E,"&lt;="&amp;'Cashflow Projection'!L$5,'Updated Construction'!$E:$E,"&gt;"&amp;'Cashflow Projection'!J$5)+(SUMIFS('Updated Construction'!$F:$F,'Updated Construction'!$A:$A,TRUE,'Updated Construction'!$G:$G,'Cashflow Projection'!$A42,'Updated Construction'!$E:$E,"&lt;="&amp;'Cashflow Projection'!L$5,'Updated Construction'!$E:$E,"&gt;"&amp;'Cashflow Projection'!J$5)*$B42))*1.15</f>
        <v/>
      </c>
      <c r="N42" s="26">
        <f>-(SUMIFS('Updated Construction'!$F:$F,'Updated Construction'!$A:$A,FALSE,'Updated Construction'!$G:$G,'Cashflow Projection'!$A42,'Updated Construction'!$E:$E,"&lt;="&amp;'Cashflow Projection'!N$5,'Updated Construction'!$E:$E,"&gt;"&amp;'Cashflow Projection'!L$5)+(SUMIFS('Updated Construction'!$F:$F,'Updated Construction'!$A:$A,TRUE,'Updated Construction'!$G:$G,'Cashflow Projection'!$A42,'Updated Construction'!$E:$E,"&lt;="&amp;'Cashflow Projection'!N$5,'Updated Construction'!$E:$E,"&gt;"&amp;'Cashflow Projection'!L$5)*$B42))*1.15</f>
        <v/>
      </c>
      <c r="P42" s="26">
        <f>-(SUMIFS('Updated Construction'!$F:$F,'Updated Construction'!$A:$A,FALSE,'Updated Construction'!$G:$G,'Cashflow Projection'!$A42,'Updated Construction'!$E:$E,"&lt;="&amp;'Cashflow Projection'!P$5,'Updated Construction'!$E:$E,"&gt;"&amp;'Cashflow Projection'!N$5)+(SUMIFS('Updated Construction'!$F:$F,'Updated Construction'!$A:$A,TRUE,'Updated Construction'!$G:$G,'Cashflow Projection'!$A42,'Updated Construction'!$E:$E,"&lt;="&amp;'Cashflow Projection'!P$5,'Updated Construction'!$E:$E,"&gt;"&amp;'Cashflow Projection'!N$5)*$B42))*1.15</f>
        <v/>
      </c>
      <c r="R42" s="26">
        <f>-(SUMIFS('Updated Construction'!$F:$F,'Updated Construction'!$A:$A,FALSE,'Updated Construction'!$G:$G,'Cashflow Projection'!$A42,'Updated Construction'!$E:$E,"&lt;="&amp;'Cashflow Projection'!R$5,'Updated Construction'!$E:$E,"&gt;"&amp;'Cashflow Projection'!P$5)+(SUMIFS('Updated Construction'!$F:$F,'Updated Construction'!$A:$A,TRUE,'Updated Construction'!$G:$G,'Cashflow Projection'!$A42,'Updated Construction'!$E:$E,"&lt;="&amp;'Cashflow Projection'!R$5,'Updated Construction'!$E:$E,"&gt;"&amp;'Cashflow Projection'!P$5)*$B42))*1.15</f>
        <v/>
      </c>
      <c r="T42" s="26">
        <f>-(SUMIFS('Updated Construction'!$F:$F,'Updated Construction'!$A:$A,FALSE,'Updated Construction'!$G:$G,'Cashflow Projection'!$A42,'Updated Construction'!$E:$E,"&lt;="&amp;'Cashflow Projection'!T$5,'Updated Construction'!$E:$E,"&gt;"&amp;'Cashflow Projection'!R$5)+(SUMIFS('Updated Construction'!$F:$F,'Updated Construction'!$A:$A,TRUE,'Updated Construction'!$G:$G,'Cashflow Projection'!$A42,'Updated Construction'!$E:$E,"&lt;="&amp;'Cashflow Projection'!T$5,'Updated Construction'!$E:$E,"&gt;"&amp;'Cashflow Projection'!R$5)*$B42))*1.15</f>
        <v/>
      </c>
      <c r="V42" s="26">
        <f>-(SUMIFS('Updated Construction'!$F:$F,'Updated Construction'!$A:$A,FALSE,'Updated Construction'!$G:$G,'Cashflow Projection'!$A42,'Updated Construction'!$E:$E,"&lt;="&amp;'Cashflow Projection'!V$5,'Updated Construction'!$E:$E,"&gt;"&amp;'Cashflow Projection'!T$5)+(SUMIFS('Updated Construction'!$F:$F,'Updated Construction'!$A:$A,TRUE,'Updated Construction'!$G:$G,'Cashflow Projection'!$A42,'Updated Construction'!$E:$E,"&lt;="&amp;'Cashflow Projection'!V$5,'Updated Construction'!$E:$E,"&gt;"&amp;'Cashflow Projection'!T$5)*$B42))*1.15</f>
        <v/>
      </c>
      <c r="W42" s="17" t="n"/>
    </row>
    <row r="43">
      <c r="A43" s="40" t="inlineStr">
        <is>
          <t>M</t>
        </is>
      </c>
      <c r="B43" s="41" t="n">
        <v>0</v>
      </c>
      <c r="C43" s="39">
        <f>8*B43</f>
        <v/>
      </c>
      <c r="D43" s="26">
        <f>+F43+H43+J43+L43+N43+P43+R43+T43+V43</f>
        <v/>
      </c>
      <c r="F43" s="26">
        <f>-(SUMIFS('Updated Construction'!$F:$F,'Updated Construction'!$A:$A,FALSE,'Updated Construction'!$G:$G,'Cashflow Projection'!$A43,'Updated Construction'!$E:$E,"&lt;="&amp;'Cashflow Projection'!F$5,'Updated Construction'!$E:$E,"&gt;"&amp;'Cashflow Projection'!$B$2)+(SUMIFS('Updated Construction'!$F:$F,'Updated Construction'!$A:$A,TRUE,'Updated Construction'!$G:$G,'Cashflow Projection'!$A43,'Updated Construction'!$E:$E,"&lt;="&amp;'Cashflow Projection'!F$5,'Updated Construction'!$E:$E,"&gt;"&amp;'Cashflow Projection'!$B$2)*$B43))*1.15</f>
        <v/>
      </c>
      <c r="H43" s="26">
        <f>-(SUMIFS('Updated Construction'!$F:$F,'Updated Construction'!$A:$A,FALSE,'Updated Construction'!$G:$G,'Cashflow Projection'!$A43,'Updated Construction'!$E:$E,"&lt;="&amp;'Cashflow Projection'!H$5,'Updated Construction'!$E:$E,"&gt;"&amp;'Cashflow Projection'!F$5)+(SUMIFS('Updated Construction'!$F:$F,'Updated Construction'!$A:$A,TRUE,'Updated Construction'!$G:$G,'Cashflow Projection'!$A43,'Updated Construction'!$E:$E,"&lt;="&amp;'Cashflow Projection'!H$5,'Updated Construction'!$E:$E,"&gt;"&amp;'Cashflow Projection'!F$5)*$B43))*1.15</f>
        <v/>
      </c>
      <c r="J43" s="26">
        <f>-(SUMIFS('Updated Construction'!$F:$F,'Updated Construction'!$A:$A,FALSE,'Updated Construction'!$G:$G,'Cashflow Projection'!$A43,'Updated Construction'!$E:$E,"&lt;="&amp;'Cashflow Projection'!J$5,'Updated Construction'!$E:$E,"&gt;"&amp;'Cashflow Projection'!H$5)+(SUMIFS('Updated Construction'!$F:$F,'Updated Construction'!$A:$A,TRUE,'Updated Construction'!$G:$G,'Cashflow Projection'!$A43,'Updated Construction'!$E:$E,"&lt;="&amp;'Cashflow Projection'!J$5,'Updated Construction'!$E:$E,"&gt;"&amp;'Cashflow Projection'!H$5)*$B43))*1.15</f>
        <v/>
      </c>
      <c r="L43" s="26">
        <f>-(SUMIFS('Updated Construction'!$F:$F,'Updated Construction'!$A:$A,FALSE,'Updated Construction'!$G:$G,'Cashflow Projection'!$A43,'Updated Construction'!$E:$E,"&lt;="&amp;'Cashflow Projection'!L$5,'Updated Construction'!$E:$E,"&gt;"&amp;'Cashflow Projection'!J$5)+(SUMIFS('Updated Construction'!$F:$F,'Updated Construction'!$A:$A,TRUE,'Updated Construction'!$G:$G,'Cashflow Projection'!$A43,'Updated Construction'!$E:$E,"&lt;="&amp;'Cashflow Projection'!L$5,'Updated Construction'!$E:$E,"&gt;"&amp;'Cashflow Projection'!J$5)*$B43))*1.15</f>
        <v/>
      </c>
      <c r="N43" s="26">
        <f>-(SUMIFS('Updated Construction'!$F:$F,'Updated Construction'!$A:$A,FALSE,'Updated Construction'!$G:$G,'Cashflow Projection'!$A43,'Updated Construction'!$E:$E,"&lt;="&amp;'Cashflow Projection'!N$5,'Updated Construction'!$E:$E,"&gt;"&amp;'Cashflow Projection'!L$5)+(SUMIFS('Updated Construction'!$F:$F,'Updated Construction'!$A:$A,TRUE,'Updated Construction'!$G:$G,'Cashflow Projection'!$A43,'Updated Construction'!$E:$E,"&lt;="&amp;'Cashflow Projection'!N$5,'Updated Construction'!$E:$E,"&gt;"&amp;'Cashflow Projection'!L$5)*$B43))*1.15</f>
        <v/>
      </c>
      <c r="P43" s="26">
        <f>-(SUMIFS('Updated Construction'!$F:$F,'Updated Construction'!$A:$A,FALSE,'Updated Construction'!$G:$G,'Cashflow Projection'!$A43,'Updated Construction'!$E:$E,"&lt;="&amp;'Cashflow Projection'!P$5,'Updated Construction'!$E:$E,"&gt;"&amp;'Cashflow Projection'!N$5)+(SUMIFS('Updated Construction'!$F:$F,'Updated Construction'!$A:$A,TRUE,'Updated Construction'!$G:$G,'Cashflow Projection'!$A43,'Updated Construction'!$E:$E,"&lt;="&amp;'Cashflow Projection'!P$5,'Updated Construction'!$E:$E,"&gt;"&amp;'Cashflow Projection'!N$5)*$B43))*1.15</f>
        <v/>
      </c>
      <c r="R43" s="26">
        <f>-(SUMIFS('Updated Construction'!$F:$F,'Updated Construction'!$A:$A,FALSE,'Updated Construction'!$G:$G,'Cashflow Projection'!$A43,'Updated Construction'!$E:$E,"&lt;="&amp;'Cashflow Projection'!R$5,'Updated Construction'!$E:$E,"&gt;"&amp;'Cashflow Projection'!P$5)+(SUMIFS('Updated Construction'!$F:$F,'Updated Construction'!$A:$A,TRUE,'Updated Construction'!$G:$G,'Cashflow Projection'!$A43,'Updated Construction'!$E:$E,"&lt;="&amp;'Cashflow Projection'!R$5,'Updated Construction'!$E:$E,"&gt;"&amp;'Cashflow Projection'!P$5)*$B43))*1.15</f>
        <v/>
      </c>
      <c r="T43" s="26">
        <f>-(SUMIFS('Updated Construction'!$F:$F,'Updated Construction'!$A:$A,FALSE,'Updated Construction'!$G:$G,'Cashflow Projection'!$A43,'Updated Construction'!$E:$E,"&lt;="&amp;'Cashflow Projection'!T$5,'Updated Construction'!$E:$E,"&gt;"&amp;'Cashflow Projection'!R$5)+(SUMIFS('Updated Construction'!$F:$F,'Updated Construction'!$A:$A,TRUE,'Updated Construction'!$G:$G,'Cashflow Projection'!$A43,'Updated Construction'!$E:$E,"&lt;="&amp;'Cashflow Projection'!T$5,'Updated Construction'!$E:$E,"&gt;"&amp;'Cashflow Projection'!R$5)*$B43))*1.15</f>
        <v/>
      </c>
      <c r="V43" s="26">
        <f>-(SUMIFS('Updated Construction'!$F:$F,'Updated Construction'!$A:$A,FALSE,'Updated Construction'!$G:$G,'Cashflow Projection'!$A43,'Updated Construction'!$E:$E,"&lt;="&amp;'Cashflow Projection'!V$5,'Updated Construction'!$E:$E,"&gt;"&amp;'Cashflow Projection'!T$5)+(SUMIFS('Updated Construction'!$F:$F,'Updated Construction'!$A:$A,TRUE,'Updated Construction'!$G:$G,'Cashflow Projection'!$A43,'Updated Construction'!$E:$E,"&lt;="&amp;'Cashflow Projection'!V$5,'Updated Construction'!$E:$E,"&gt;"&amp;'Cashflow Projection'!T$5)*$B43))*1.15</f>
        <v/>
      </c>
      <c r="W43" s="17" t="n"/>
    </row>
    <row r="44">
      <c r="A44" s="37" t="inlineStr">
        <is>
          <t>N</t>
        </is>
      </c>
      <c r="B44" s="38" t="n">
        <v>1</v>
      </c>
      <c r="C44" s="39" t="n"/>
      <c r="D44" s="26">
        <f>+F44+H44+J44+L44+N44+P44+R44+T44+V44</f>
        <v/>
      </c>
      <c r="F44" s="26">
        <f>-(SUMIFS('Updated Construction'!$F:$F,'Updated Construction'!$A:$A,FALSE,'Updated Construction'!$G:$G,'Cashflow Projection'!$A44,'Updated Construction'!$E:$E,"&lt;="&amp;'Cashflow Projection'!F$5,'Updated Construction'!$E:$E,"&gt;"&amp;'Cashflow Projection'!$B$2)+(SUMIFS('Updated Construction'!$F:$F,'Updated Construction'!$A:$A,TRUE,'Updated Construction'!$G:$G,'Cashflow Projection'!$A44,'Updated Construction'!$E:$E,"&lt;="&amp;'Cashflow Projection'!F$5,'Updated Construction'!$E:$E,"&gt;"&amp;'Cashflow Projection'!$B$2)*$B44))*1.15</f>
        <v/>
      </c>
      <c r="H44" s="26">
        <f>-(SUMIFS('Updated Construction'!$F:$F,'Updated Construction'!$A:$A,FALSE,'Updated Construction'!$G:$G,'Cashflow Projection'!$A44,'Updated Construction'!$E:$E,"&lt;="&amp;'Cashflow Projection'!H$5,'Updated Construction'!$E:$E,"&gt;"&amp;'Cashflow Projection'!F$5)+(SUMIFS('Updated Construction'!$F:$F,'Updated Construction'!$A:$A,TRUE,'Updated Construction'!$G:$G,'Cashflow Projection'!$A44,'Updated Construction'!$E:$E,"&lt;="&amp;'Cashflow Projection'!H$5,'Updated Construction'!$E:$E,"&gt;"&amp;'Cashflow Projection'!F$5)*$B44))*1.15</f>
        <v/>
      </c>
      <c r="J44" s="26">
        <f>-(SUMIFS('Updated Construction'!$F:$F,'Updated Construction'!$A:$A,FALSE,'Updated Construction'!$G:$G,'Cashflow Projection'!$A44,'Updated Construction'!$E:$E,"&lt;="&amp;'Cashflow Projection'!J$5,'Updated Construction'!$E:$E,"&gt;"&amp;'Cashflow Projection'!H$5)+(SUMIFS('Updated Construction'!$F:$F,'Updated Construction'!$A:$A,TRUE,'Updated Construction'!$G:$G,'Cashflow Projection'!$A44,'Updated Construction'!$E:$E,"&lt;="&amp;'Cashflow Projection'!J$5,'Updated Construction'!$E:$E,"&gt;"&amp;'Cashflow Projection'!H$5)*$B44))*1.15</f>
        <v/>
      </c>
      <c r="L44" s="26">
        <f>-(SUMIFS('Updated Construction'!$F:$F,'Updated Construction'!$A:$A,FALSE,'Updated Construction'!$G:$G,'Cashflow Projection'!$A44,'Updated Construction'!$E:$E,"&lt;="&amp;'Cashflow Projection'!L$5,'Updated Construction'!$E:$E,"&gt;"&amp;'Cashflow Projection'!J$5)+(SUMIFS('Updated Construction'!$F:$F,'Updated Construction'!$A:$A,TRUE,'Updated Construction'!$G:$G,'Cashflow Projection'!$A44,'Updated Construction'!$E:$E,"&lt;="&amp;'Cashflow Projection'!L$5,'Updated Construction'!$E:$E,"&gt;"&amp;'Cashflow Projection'!J$5)*$B44))*1.15</f>
        <v/>
      </c>
      <c r="N44" s="26">
        <f>-(SUMIFS('Updated Construction'!$F:$F,'Updated Construction'!$A:$A,FALSE,'Updated Construction'!$G:$G,'Cashflow Projection'!$A44,'Updated Construction'!$E:$E,"&lt;="&amp;'Cashflow Projection'!N$5,'Updated Construction'!$E:$E,"&gt;"&amp;'Cashflow Projection'!L$5)+(SUMIFS('Updated Construction'!$F:$F,'Updated Construction'!$A:$A,TRUE,'Updated Construction'!$G:$G,'Cashflow Projection'!$A44,'Updated Construction'!$E:$E,"&lt;="&amp;'Cashflow Projection'!N$5,'Updated Construction'!$E:$E,"&gt;"&amp;'Cashflow Projection'!L$5)*$B44))*1.15</f>
        <v/>
      </c>
      <c r="P44" s="26">
        <f>-(SUMIFS('Updated Construction'!$F:$F,'Updated Construction'!$A:$A,FALSE,'Updated Construction'!$G:$G,'Cashflow Projection'!$A44,'Updated Construction'!$E:$E,"&lt;="&amp;'Cashflow Projection'!P$5,'Updated Construction'!$E:$E,"&gt;"&amp;'Cashflow Projection'!N$5)+(SUMIFS('Updated Construction'!$F:$F,'Updated Construction'!$A:$A,TRUE,'Updated Construction'!$G:$G,'Cashflow Projection'!$A44,'Updated Construction'!$E:$E,"&lt;="&amp;'Cashflow Projection'!P$5,'Updated Construction'!$E:$E,"&gt;"&amp;'Cashflow Projection'!N$5)*$B44))*1.15</f>
        <v/>
      </c>
      <c r="R44" s="26">
        <f>-(SUMIFS('Updated Construction'!$F:$F,'Updated Construction'!$A:$A,FALSE,'Updated Construction'!$G:$G,'Cashflow Projection'!$A44,'Updated Construction'!$E:$E,"&lt;="&amp;'Cashflow Projection'!R$5,'Updated Construction'!$E:$E,"&gt;"&amp;'Cashflow Projection'!P$5)+(SUMIFS('Updated Construction'!$F:$F,'Updated Construction'!$A:$A,TRUE,'Updated Construction'!$G:$G,'Cashflow Projection'!$A44,'Updated Construction'!$E:$E,"&lt;="&amp;'Cashflow Projection'!R$5,'Updated Construction'!$E:$E,"&gt;"&amp;'Cashflow Projection'!P$5)*$B44))*1.15</f>
        <v/>
      </c>
      <c r="T44" s="26">
        <f>-(SUMIFS('Updated Construction'!$F:$F,'Updated Construction'!$A:$A,FALSE,'Updated Construction'!$G:$G,'Cashflow Projection'!$A44,'Updated Construction'!$E:$E,"&lt;="&amp;'Cashflow Projection'!T$5,'Updated Construction'!$E:$E,"&gt;"&amp;'Cashflow Projection'!R$5)+(SUMIFS('Updated Construction'!$F:$F,'Updated Construction'!$A:$A,TRUE,'Updated Construction'!$G:$G,'Cashflow Projection'!$A44,'Updated Construction'!$E:$E,"&lt;="&amp;'Cashflow Projection'!T$5,'Updated Construction'!$E:$E,"&gt;"&amp;'Cashflow Projection'!R$5)*$B44))*1.15</f>
        <v/>
      </c>
      <c r="V44" s="26">
        <f>-(SUMIFS('Updated Construction'!$F:$F,'Updated Construction'!$A:$A,FALSE,'Updated Construction'!$G:$G,'Cashflow Projection'!$A44,'Updated Construction'!$E:$E,"&lt;="&amp;'Cashflow Projection'!V$5,'Updated Construction'!$E:$E,"&gt;"&amp;'Cashflow Projection'!T$5)+(SUMIFS('Updated Construction'!$F:$F,'Updated Construction'!$A:$A,TRUE,'Updated Construction'!$G:$G,'Cashflow Projection'!$A44,'Updated Construction'!$E:$E,"&lt;="&amp;'Cashflow Projection'!V$5,'Updated Construction'!$E:$E,"&gt;"&amp;'Cashflow Projection'!T$5)*$B44))*1.15</f>
        <v/>
      </c>
      <c r="W44" s="17" t="n"/>
    </row>
    <row r="45">
      <c r="A45" s="40" t="inlineStr">
        <is>
          <t>O</t>
        </is>
      </c>
      <c r="B45" s="41" t="n">
        <v>1</v>
      </c>
      <c r="C45" s="39">
        <f>15*B45</f>
        <v/>
      </c>
      <c r="D45" s="26">
        <f>+F45+H45+J45+L45+N45+P45+R45+T45+V45</f>
        <v/>
      </c>
      <c r="F45" s="26">
        <f>-(SUMIFS('Updated Construction'!$F:$F,'Updated Construction'!$A:$A,FALSE,'Updated Construction'!$G:$G,'Cashflow Projection'!$A45,'Updated Construction'!$E:$E,"&lt;="&amp;'Cashflow Projection'!F$5,'Updated Construction'!$E:$E,"&gt;"&amp;'Cashflow Projection'!$B$2)+(SUMIFS('Updated Construction'!$F:$F,'Updated Construction'!$A:$A,TRUE,'Updated Construction'!$G:$G,'Cashflow Projection'!$A45,'Updated Construction'!$E:$E,"&lt;="&amp;'Cashflow Projection'!F$5,'Updated Construction'!$E:$E,"&gt;"&amp;'Cashflow Projection'!$B$2)*$B45))*1.15</f>
        <v/>
      </c>
      <c r="H45" s="26">
        <f>-(SUMIFS('Updated Construction'!$F:$F,'Updated Construction'!$A:$A,FALSE,'Updated Construction'!$G:$G,'Cashflow Projection'!$A45,'Updated Construction'!$E:$E,"&lt;="&amp;'Cashflow Projection'!H$5,'Updated Construction'!$E:$E,"&gt;"&amp;'Cashflow Projection'!F$5)+(SUMIFS('Updated Construction'!$F:$F,'Updated Construction'!$A:$A,TRUE,'Updated Construction'!$G:$G,'Cashflow Projection'!$A45,'Updated Construction'!$E:$E,"&lt;="&amp;'Cashflow Projection'!H$5,'Updated Construction'!$E:$E,"&gt;"&amp;'Cashflow Projection'!F$5)*$B45))*1.15</f>
        <v/>
      </c>
      <c r="J45" s="26">
        <f>-(SUMIFS('Updated Construction'!$F:$F,'Updated Construction'!$A:$A,FALSE,'Updated Construction'!$G:$G,'Cashflow Projection'!$A45,'Updated Construction'!$E:$E,"&lt;="&amp;'Cashflow Projection'!J$5,'Updated Construction'!$E:$E,"&gt;"&amp;'Cashflow Projection'!H$5)+(SUMIFS('Updated Construction'!$F:$F,'Updated Construction'!$A:$A,TRUE,'Updated Construction'!$G:$G,'Cashflow Projection'!$A45,'Updated Construction'!$E:$E,"&lt;="&amp;'Cashflow Projection'!J$5,'Updated Construction'!$E:$E,"&gt;"&amp;'Cashflow Projection'!H$5)*$B45))*1.15</f>
        <v/>
      </c>
      <c r="L45" s="26">
        <f>-(SUMIFS('Updated Construction'!$F:$F,'Updated Construction'!$A:$A,FALSE,'Updated Construction'!$G:$G,'Cashflow Projection'!$A45,'Updated Construction'!$E:$E,"&lt;="&amp;'Cashflow Projection'!L$5,'Updated Construction'!$E:$E,"&gt;"&amp;'Cashflow Projection'!J$5)+(SUMIFS('Updated Construction'!$F:$F,'Updated Construction'!$A:$A,TRUE,'Updated Construction'!$G:$G,'Cashflow Projection'!$A45,'Updated Construction'!$E:$E,"&lt;="&amp;'Cashflow Projection'!L$5,'Updated Construction'!$E:$E,"&gt;"&amp;'Cashflow Projection'!J$5)*$B45))*1.15</f>
        <v/>
      </c>
      <c r="N45" s="26">
        <f>-(SUMIFS('Updated Construction'!$F:$F,'Updated Construction'!$A:$A,FALSE,'Updated Construction'!$G:$G,'Cashflow Projection'!$A45,'Updated Construction'!$E:$E,"&lt;="&amp;'Cashflow Projection'!N$5,'Updated Construction'!$E:$E,"&gt;"&amp;'Cashflow Projection'!L$5)+(SUMIFS('Updated Construction'!$F:$F,'Updated Construction'!$A:$A,TRUE,'Updated Construction'!$G:$G,'Cashflow Projection'!$A45,'Updated Construction'!$E:$E,"&lt;="&amp;'Cashflow Projection'!N$5,'Updated Construction'!$E:$E,"&gt;"&amp;'Cashflow Projection'!L$5)*$B45))*1.15</f>
        <v/>
      </c>
      <c r="P45" s="26">
        <f>-(SUMIFS('Updated Construction'!$F:$F,'Updated Construction'!$A:$A,FALSE,'Updated Construction'!$G:$G,'Cashflow Projection'!$A45,'Updated Construction'!$E:$E,"&lt;="&amp;'Cashflow Projection'!P$5,'Updated Construction'!$E:$E,"&gt;"&amp;'Cashflow Projection'!N$5)+(SUMIFS('Updated Construction'!$F:$F,'Updated Construction'!$A:$A,TRUE,'Updated Construction'!$G:$G,'Cashflow Projection'!$A45,'Updated Construction'!$E:$E,"&lt;="&amp;'Cashflow Projection'!P$5,'Updated Construction'!$E:$E,"&gt;"&amp;'Cashflow Projection'!N$5)*$B45))*1.15</f>
        <v/>
      </c>
      <c r="R45" s="26">
        <f>-(SUMIFS('Updated Construction'!$F:$F,'Updated Construction'!$A:$A,FALSE,'Updated Construction'!$G:$G,'Cashflow Projection'!$A45,'Updated Construction'!$E:$E,"&lt;="&amp;'Cashflow Projection'!R$5,'Updated Construction'!$E:$E,"&gt;"&amp;'Cashflow Projection'!P$5)+(SUMIFS('Updated Construction'!$F:$F,'Updated Construction'!$A:$A,TRUE,'Updated Construction'!$G:$G,'Cashflow Projection'!$A45,'Updated Construction'!$E:$E,"&lt;="&amp;'Cashflow Projection'!R$5,'Updated Construction'!$E:$E,"&gt;"&amp;'Cashflow Projection'!P$5)*$B45))*1.15</f>
        <v/>
      </c>
      <c r="T45" s="26">
        <f>-(SUMIFS('Updated Construction'!$F:$F,'Updated Construction'!$A:$A,FALSE,'Updated Construction'!$G:$G,'Cashflow Projection'!$A45,'Updated Construction'!$E:$E,"&lt;="&amp;'Cashflow Projection'!T$5,'Updated Construction'!$E:$E,"&gt;"&amp;'Cashflow Projection'!R$5)+(SUMIFS('Updated Construction'!$F:$F,'Updated Construction'!$A:$A,TRUE,'Updated Construction'!$G:$G,'Cashflow Projection'!$A45,'Updated Construction'!$E:$E,"&lt;="&amp;'Cashflow Projection'!T$5,'Updated Construction'!$E:$E,"&gt;"&amp;'Cashflow Projection'!R$5)*$B45))*1.15</f>
        <v/>
      </c>
      <c r="V45" s="26">
        <f>-(SUMIFS('Updated Construction'!$F:$F,'Updated Construction'!$A:$A,FALSE,'Updated Construction'!$G:$G,'Cashflow Projection'!$A45,'Updated Construction'!$E:$E,"&lt;="&amp;'Cashflow Projection'!V$5,'Updated Construction'!$E:$E,"&gt;"&amp;'Cashflow Projection'!T$5)+(SUMIFS('Updated Construction'!$F:$F,'Updated Construction'!$A:$A,TRUE,'Updated Construction'!$G:$G,'Cashflow Projection'!$A45,'Updated Construction'!$E:$E,"&lt;="&amp;'Cashflow Projection'!V$5,'Updated Construction'!$E:$E,"&gt;"&amp;'Cashflow Projection'!T$5)*$B45))*1.15</f>
        <v/>
      </c>
      <c r="W45" s="17" t="n"/>
    </row>
    <row r="46">
      <c r="A46" s="32" t="inlineStr">
        <is>
          <t>REMAINING</t>
        </is>
      </c>
      <c r="B46" s="42" t="n"/>
      <c r="C46" s="39">
        <f>107-C32</f>
        <v/>
      </c>
      <c r="W46" s="17" t="n"/>
    </row>
    <row r="47">
      <c r="A47" s="16" t="n"/>
      <c r="W47" s="17" t="n"/>
    </row>
    <row r="48">
      <c r="A48" s="16" t="n"/>
      <c r="W48" s="17" t="n"/>
    </row>
    <row r="49">
      <c r="A49" s="18" t="inlineStr">
        <is>
          <t>VAT ON CONSTRUCTION</t>
        </is>
      </c>
      <c r="B49" t="inlineStr"/>
      <c r="C49" s="12" t="n">
        <v>1</v>
      </c>
      <c r="D49" s="43">
        <f>+F49+H49+J49+L49+N49+P49+R49+T49+V49</f>
        <v/>
      </c>
      <c r="F49" s="43">
        <f>SUMIFS('Updated Construction'!$F:$F,'Updated Construction'!$C:$C,1,'Updated Construction'!$H:$H,"&gt;"&amp;'Cashflow Projection'!$B$2,'Updated Construction'!$H:$H,"&lt;="&amp;'Cashflow Projection'!F$5)*0.15*$C49</f>
        <v/>
      </c>
      <c r="H49" s="43">
        <f>SUMIFS('Updated Construction'!$F:$F,'Updated Construction'!$C:$C,1,'Updated Construction'!$H:$H,"&gt;"&amp;'Cashflow Projection'!F$5,'Updated Construction'!$H:$H,"&lt;="&amp;'Cashflow Projection'!H$5)*0.15*$C49</f>
        <v/>
      </c>
      <c r="J49" s="43">
        <f>SUMIFS('Updated Construction'!$F:$F,'Updated Construction'!$C:$C,1,'Updated Construction'!$H:$H,"&gt;"&amp;'Cashflow Projection'!H$5,'Updated Construction'!$H:$H,"&lt;="&amp;'Cashflow Projection'!J$5)*0.15*$C49</f>
        <v/>
      </c>
      <c r="L49" s="43">
        <f>SUMIFS('Updated Construction'!$F:$F,'Updated Construction'!$C:$C,1,'Updated Construction'!$H:$H,"&gt;"&amp;'Cashflow Projection'!J$5,'Updated Construction'!$H:$H,"&lt;="&amp;'Cashflow Projection'!L$5)*0.15*$C49</f>
        <v/>
      </c>
      <c r="N49" s="43">
        <f>SUMIFS('Updated Construction'!$F:$F,'Updated Construction'!$C:$C,1,'Updated Construction'!$H:$H,"&gt;"&amp;'Cashflow Projection'!L$5,'Updated Construction'!$H:$H,"&lt;="&amp;'Cashflow Projection'!N$5)*0.15*$C49</f>
        <v/>
      </c>
      <c r="P49" s="43">
        <f>SUMIFS('Updated Construction'!$F:$F,'Updated Construction'!$C:$C,1,'Updated Construction'!$H:$H,"&gt;"&amp;'Cashflow Projection'!N$5,'Updated Construction'!$H:$H,"&lt;="&amp;'Cashflow Projection'!P$5)*0.15*$C49</f>
        <v/>
      </c>
      <c r="R49" s="43">
        <f>SUMIFS('Updated Construction'!$F:$F,'Updated Construction'!$C:$C,1,'Updated Construction'!$H:$H,"&gt;"&amp;'Cashflow Projection'!P$5,'Updated Construction'!$H:$H,"&lt;="&amp;'Cashflow Projection'!R$5)*0.15*$C49</f>
        <v/>
      </c>
      <c r="T49" s="43">
        <f>SUMIFS('Updated Construction'!$F:$F,'Updated Construction'!$C:$C,1,'Updated Construction'!$H:$H,"&gt;"&amp;'Cashflow Projection'!R$5,'Updated Construction'!$H:$H,"&lt;="&amp;'Cashflow Projection'!T$5)*0.15*$C49</f>
        <v/>
      </c>
      <c r="V49" s="43">
        <f>SUMIFS('Updated Construction'!$F:$F,'Updated Construction'!$C:$C,1,'Updated Construction'!$H:$H,"&gt;"&amp;'Cashflow Projection'!T$5,'Updated Construction'!$H:$H,"&lt;="&amp;'Cashflow Projection'!V$5)*0.15*$C49</f>
        <v/>
      </c>
      <c r="W49" s="17" t="n"/>
    </row>
    <row r="50">
      <c r="A50" s="16" t="n"/>
      <c r="W50" s="17" t="n"/>
    </row>
    <row r="51">
      <c r="A51" s="18" t="inlineStr">
        <is>
          <t>OPERATING EXPENSES</t>
        </is>
      </c>
      <c r="B51" t="inlineStr"/>
      <c r="C51" s="44" t="n">
        <v>1</v>
      </c>
      <c r="D51" s="28">
        <f>+F51+H51+J51+L51+N51+P51+R51+T51+V51</f>
        <v/>
      </c>
      <c r="F51" s="28">
        <f>-'Operational Costs'!$N$2*$C51</f>
        <v/>
      </c>
      <c r="H51" s="28">
        <f>-'Operational Costs'!$N$2*$C51</f>
        <v/>
      </c>
      <c r="J51" s="28">
        <f>-'Operational Costs'!$N$2*$C51</f>
        <v/>
      </c>
      <c r="L51" s="28">
        <f>-'Operational Costs'!$N$2*$C51</f>
        <v/>
      </c>
      <c r="N51" s="28">
        <f>-'Operational Costs'!$N$2*$C51</f>
        <v/>
      </c>
      <c r="P51" s="28">
        <f>-'Operational Costs'!$N$2*$C51</f>
        <v/>
      </c>
      <c r="R51" s="28">
        <f>-'Operational Costs'!$N$2*$C51</f>
        <v/>
      </c>
      <c r="T51" s="28">
        <f>-'Operational Costs'!$N$2*$C51</f>
        <v/>
      </c>
      <c r="V51" s="28">
        <f>-'Operational Costs'!$N$2*$C51</f>
        <v/>
      </c>
      <c r="W51" s="17" t="n"/>
    </row>
    <row r="52">
      <c r="A52" s="16" t="n"/>
      <c r="W52" s="17" t="n"/>
    </row>
    <row r="53">
      <c r="A53" s="18" t="inlineStr">
        <is>
          <t>MONTHLY</t>
        </is>
      </c>
      <c r="D53" s="31">
        <f>+F53+H53+J53+L53+N53+P53+R53+T53+V53</f>
        <v/>
      </c>
      <c r="F53" s="31">
        <f>F26+F28+F32+F49+F51</f>
        <v/>
      </c>
      <c r="H53" s="31">
        <f>H26+H28+H32+H49+H51</f>
        <v/>
      </c>
      <c r="J53" s="31">
        <f>J26+J28+J32+J49+J51</f>
        <v/>
      </c>
      <c r="L53" s="31">
        <f>L26+L28+L32+L49+L51</f>
        <v/>
      </c>
      <c r="N53" s="31">
        <f>N26+N28+N32+N49+N51</f>
        <v/>
      </c>
      <c r="P53" s="31">
        <f>P26+P28+P32+P49+P51</f>
        <v/>
      </c>
      <c r="R53" s="31">
        <f>R26+R28+R32+R49+R51</f>
        <v/>
      </c>
      <c r="T53" s="31">
        <f>T26+T28+T32+T49+T51</f>
        <v/>
      </c>
      <c r="V53" s="31">
        <f>V26+V28+V32+V49+V51</f>
        <v/>
      </c>
      <c r="W53" s="17" t="n"/>
    </row>
    <row r="54">
      <c r="A54" s="16" t="n"/>
      <c r="W54" s="17" t="n"/>
    </row>
    <row r="55">
      <c r="A55" s="18" t="inlineStr">
        <is>
          <t>RUNNING BALANCE</t>
        </is>
      </c>
      <c r="D55" s="31">
        <f>=Dashboard!B20</f>
        <v/>
      </c>
      <c r="F55" s="31">
        <f>D55+F53</f>
        <v/>
      </c>
      <c r="H55" s="31">
        <f>F55+H53</f>
        <v/>
      </c>
      <c r="J55" s="31">
        <f>H55+J53</f>
        <v/>
      </c>
      <c r="L55" s="31">
        <f>J55+L53</f>
        <v/>
      </c>
      <c r="N55" s="31">
        <f>L55+N53</f>
        <v/>
      </c>
      <c r="P55" s="31">
        <f>N55+P53</f>
        <v/>
      </c>
      <c r="R55" s="31">
        <f>P55+R53</f>
        <v/>
      </c>
      <c r="T55" s="31">
        <f>R55+T53</f>
        <v/>
      </c>
      <c r="V55" s="31">
        <f>T55+V53</f>
        <v/>
      </c>
      <c r="W55" s="17" t="n"/>
    </row>
    <row r="56">
      <c r="A56" s="16" t="n"/>
      <c r="W56" s="17" t="n"/>
    </row>
    <row r="57">
      <c r="A57" s="16" t="n"/>
      <c r="W57" s="17" t="n"/>
    </row>
    <row r="58">
      <c r="A58" s="45" t="n"/>
      <c r="B58" s="46" t="n"/>
      <c r="C58" s="46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7" t="n"/>
    </row>
  </sheetData>
  <mergeCells count="3">
    <mergeCell ref="A1:B1"/>
    <mergeCell ref="A3:W3"/>
    <mergeCell ref="A46:B46"/>
  </mergeCells>
  <conditionalFormatting sqref="D53">
    <cfRule type="cellIs" priority="1" operator="lessThan" dxfId="0">
      <formula>0</formula>
    </cfRule>
    <cfRule type="cellIs" priority="2" operator="greaterThan" dxfId="1">
      <formula>0</formula>
    </cfRule>
    <cfRule type="cellIs" priority="3" operator="equal" dxfId="2">
      <formula>0</formula>
    </cfRule>
  </conditionalFormatting>
  <conditionalFormatting sqref="D55">
    <cfRule type="cellIs" priority="4" operator="lessThan" dxfId="0">
      <formula>0</formula>
    </cfRule>
    <cfRule type="cellIs" priority="5" operator="greaterThan" dxfId="1">
      <formula>0</formula>
    </cfRule>
    <cfRule type="cellIs" priority="6" operator="equal" dxfId="2">
      <formula>0</formula>
    </cfRule>
  </conditionalFormatting>
  <conditionalFormatting sqref="D28">
    <cfRule type="cellIs" priority="7" operator="lessThan" dxfId="0">
      <formula>0</formula>
    </cfRule>
    <cfRule type="cellIs" priority="8" operator="greaterThan" dxfId="1">
      <formula>0</formula>
    </cfRule>
    <cfRule type="cellIs" priority="9" operator="equal" dxfId="2">
      <formula>0</formula>
    </cfRule>
  </conditionalFormatting>
  <conditionalFormatting sqref="F28">
    <cfRule type="cellIs" priority="10" operator="lessThan" dxfId="0">
      <formula>0</formula>
    </cfRule>
    <cfRule type="cellIs" priority="11" operator="greaterThan" dxfId="1">
      <formula>0</formula>
    </cfRule>
    <cfRule type="cellIs" priority="12" operator="equal" dxfId="2">
      <formula>0</formula>
    </cfRule>
  </conditionalFormatting>
  <conditionalFormatting sqref="F53">
    <cfRule type="cellIs" priority="13" operator="lessThan" dxfId="0">
      <formula>0</formula>
    </cfRule>
    <cfRule type="cellIs" priority="14" operator="greaterThan" dxfId="1">
      <formula>0</formula>
    </cfRule>
    <cfRule type="cellIs" priority="15" operator="equal" dxfId="2">
      <formula>0</formula>
    </cfRule>
  </conditionalFormatting>
  <conditionalFormatting sqref="F55">
    <cfRule type="cellIs" priority="16" operator="lessThan" dxfId="0">
      <formula>0</formula>
    </cfRule>
    <cfRule type="cellIs" priority="17" operator="greaterThan" dxfId="1">
      <formula>0</formula>
    </cfRule>
    <cfRule type="cellIs" priority="18" operator="equal" dxfId="2">
      <formula>0</formula>
    </cfRule>
  </conditionalFormatting>
  <conditionalFormatting sqref="H28">
    <cfRule type="cellIs" priority="19" operator="lessThan" dxfId="0">
      <formula>0</formula>
    </cfRule>
    <cfRule type="cellIs" priority="20" operator="greaterThan" dxfId="1">
      <formula>0</formula>
    </cfRule>
    <cfRule type="cellIs" priority="21" operator="equal" dxfId="2">
      <formula>0</formula>
    </cfRule>
  </conditionalFormatting>
  <conditionalFormatting sqref="H53">
    <cfRule type="cellIs" priority="22" operator="lessThan" dxfId="0">
      <formula>0</formula>
    </cfRule>
    <cfRule type="cellIs" priority="23" operator="greaterThan" dxfId="1">
      <formula>0</formula>
    </cfRule>
    <cfRule type="cellIs" priority="24" operator="equal" dxfId="2">
      <formula>0</formula>
    </cfRule>
  </conditionalFormatting>
  <conditionalFormatting sqref="H55">
    <cfRule type="cellIs" priority="25" operator="lessThan" dxfId="0">
      <formula>0</formula>
    </cfRule>
    <cfRule type="cellIs" priority="26" operator="greaterThan" dxfId="1">
      <formula>0</formula>
    </cfRule>
    <cfRule type="cellIs" priority="27" operator="equal" dxfId="2">
      <formula>0</formula>
    </cfRule>
  </conditionalFormatting>
  <conditionalFormatting sqref="J28">
    <cfRule type="cellIs" priority="28" operator="lessThan" dxfId="0">
      <formula>0</formula>
    </cfRule>
    <cfRule type="cellIs" priority="29" operator="greaterThan" dxfId="1">
      <formula>0</formula>
    </cfRule>
    <cfRule type="cellIs" priority="30" operator="equal" dxfId="2">
      <formula>0</formula>
    </cfRule>
  </conditionalFormatting>
  <conditionalFormatting sqref="J53">
    <cfRule type="cellIs" priority="31" operator="lessThan" dxfId="0">
      <formula>0</formula>
    </cfRule>
    <cfRule type="cellIs" priority="32" operator="greaterThan" dxfId="1">
      <formula>0</formula>
    </cfRule>
    <cfRule type="cellIs" priority="33" operator="equal" dxfId="2">
      <formula>0</formula>
    </cfRule>
  </conditionalFormatting>
  <conditionalFormatting sqref="J55">
    <cfRule type="cellIs" priority="34" operator="lessThan" dxfId="0">
      <formula>0</formula>
    </cfRule>
    <cfRule type="cellIs" priority="35" operator="greaterThan" dxfId="1">
      <formula>0</formula>
    </cfRule>
    <cfRule type="cellIs" priority="36" operator="equal" dxfId="2">
      <formula>0</formula>
    </cfRule>
  </conditionalFormatting>
  <conditionalFormatting sqref="L28">
    <cfRule type="cellIs" priority="37" operator="lessThan" dxfId="0">
      <formula>0</formula>
    </cfRule>
    <cfRule type="cellIs" priority="38" operator="greaterThan" dxfId="1">
      <formula>0</formula>
    </cfRule>
    <cfRule type="cellIs" priority="39" operator="equal" dxfId="2">
      <formula>0</formula>
    </cfRule>
  </conditionalFormatting>
  <conditionalFormatting sqref="L53">
    <cfRule type="cellIs" priority="40" operator="lessThan" dxfId="0">
      <formula>0</formula>
    </cfRule>
    <cfRule type="cellIs" priority="41" operator="greaterThan" dxfId="1">
      <formula>0</formula>
    </cfRule>
    <cfRule type="cellIs" priority="42" operator="equal" dxfId="2">
      <formula>0</formula>
    </cfRule>
  </conditionalFormatting>
  <conditionalFormatting sqref="L55">
    <cfRule type="cellIs" priority="43" operator="lessThan" dxfId="0">
      <formula>0</formula>
    </cfRule>
    <cfRule type="cellIs" priority="44" operator="greaterThan" dxfId="1">
      <formula>0</formula>
    </cfRule>
    <cfRule type="cellIs" priority="45" operator="equal" dxfId="2">
      <formula>0</formula>
    </cfRule>
  </conditionalFormatting>
  <conditionalFormatting sqref="N28">
    <cfRule type="cellIs" priority="46" operator="lessThan" dxfId="0">
      <formula>0</formula>
    </cfRule>
    <cfRule type="cellIs" priority="47" operator="greaterThan" dxfId="1">
      <formula>0</formula>
    </cfRule>
    <cfRule type="cellIs" priority="48" operator="equal" dxfId="2">
      <formula>0</formula>
    </cfRule>
  </conditionalFormatting>
  <conditionalFormatting sqref="N53">
    <cfRule type="cellIs" priority="49" operator="lessThan" dxfId="0">
      <formula>0</formula>
    </cfRule>
    <cfRule type="cellIs" priority="50" operator="greaterThan" dxfId="1">
      <formula>0</formula>
    </cfRule>
    <cfRule type="cellIs" priority="51" operator="equal" dxfId="2">
      <formula>0</formula>
    </cfRule>
  </conditionalFormatting>
  <conditionalFormatting sqref="N55">
    <cfRule type="cellIs" priority="52" operator="lessThan" dxfId="0">
      <formula>0</formula>
    </cfRule>
    <cfRule type="cellIs" priority="53" operator="greaterThan" dxfId="1">
      <formula>0</formula>
    </cfRule>
    <cfRule type="cellIs" priority="54" operator="equal" dxfId="2">
      <formula>0</formula>
    </cfRule>
  </conditionalFormatting>
  <conditionalFormatting sqref="P28">
    <cfRule type="cellIs" priority="55" operator="lessThan" dxfId="0">
      <formula>0</formula>
    </cfRule>
    <cfRule type="cellIs" priority="56" operator="greaterThan" dxfId="1">
      <formula>0</formula>
    </cfRule>
    <cfRule type="cellIs" priority="57" operator="equal" dxfId="2">
      <formula>0</formula>
    </cfRule>
  </conditionalFormatting>
  <conditionalFormatting sqref="P53">
    <cfRule type="cellIs" priority="58" operator="lessThan" dxfId="0">
      <formula>0</formula>
    </cfRule>
    <cfRule type="cellIs" priority="59" operator="greaterThan" dxfId="1">
      <formula>0</formula>
    </cfRule>
    <cfRule type="cellIs" priority="60" operator="equal" dxfId="2">
      <formula>0</formula>
    </cfRule>
  </conditionalFormatting>
  <conditionalFormatting sqref="P55">
    <cfRule type="cellIs" priority="61" operator="lessThan" dxfId="0">
      <formula>0</formula>
    </cfRule>
    <cfRule type="cellIs" priority="62" operator="greaterThan" dxfId="1">
      <formula>0</formula>
    </cfRule>
    <cfRule type="cellIs" priority="63" operator="equal" dxfId="2">
      <formula>0</formula>
    </cfRule>
  </conditionalFormatting>
  <conditionalFormatting sqref="R28">
    <cfRule type="cellIs" priority="64" operator="lessThan" dxfId="0">
      <formula>0</formula>
    </cfRule>
    <cfRule type="cellIs" priority="65" operator="greaterThan" dxfId="1">
      <formula>0</formula>
    </cfRule>
    <cfRule type="cellIs" priority="66" operator="equal" dxfId="2">
      <formula>0</formula>
    </cfRule>
  </conditionalFormatting>
  <conditionalFormatting sqref="R53">
    <cfRule type="cellIs" priority="67" operator="lessThan" dxfId="0">
      <formula>0</formula>
    </cfRule>
    <cfRule type="cellIs" priority="68" operator="greaterThan" dxfId="1">
      <formula>0</formula>
    </cfRule>
    <cfRule type="cellIs" priority="69" operator="equal" dxfId="2">
      <formula>0</formula>
    </cfRule>
  </conditionalFormatting>
  <conditionalFormatting sqref="R55">
    <cfRule type="cellIs" priority="70" operator="lessThan" dxfId="0">
      <formula>0</formula>
    </cfRule>
    <cfRule type="cellIs" priority="71" operator="greaterThan" dxfId="1">
      <formula>0</formula>
    </cfRule>
    <cfRule type="cellIs" priority="72" operator="equal" dxfId="2">
      <formula>0</formula>
    </cfRule>
  </conditionalFormatting>
  <conditionalFormatting sqref="T28">
    <cfRule type="cellIs" priority="73" operator="lessThan" dxfId="0">
      <formula>0</formula>
    </cfRule>
    <cfRule type="cellIs" priority="74" operator="greaterThan" dxfId="1">
      <formula>0</formula>
    </cfRule>
    <cfRule type="cellIs" priority="75" operator="equal" dxfId="2">
      <formula>0</formula>
    </cfRule>
  </conditionalFormatting>
  <conditionalFormatting sqref="T53">
    <cfRule type="cellIs" priority="76" operator="lessThan" dxfId="0">
      <formula>0</formula>
    </cfRule>
    <cfRule type="cellIs" priority="77" operator="greaterThan" dxfId="1">
      <formula>0</formula>
    </cfRule>
    <cfRule type="cellIs" priority="78" operator="equal" dxfId="2">
      <formula>0</formula>
    </cfRule>
  </conditionalFormatting>
  <conditionalFormatting sqref="T55">
    <cfRule type="cellIs" priority="79" operator="lessThan" dxfId="0">
      <formula>0</formula>
    </cfRule>
    <cfRule type="cellIs" priority="80" operator="greaterThan" dxfId="1">
      <formula>0</formula>
    </cfRule>
    <cfRule type="cellIs" priority="81" operator="equal" dxfId="2">
      <formula>0</formula>
    </cfRule>
  </conditionalFormatting>
  <conditionalFormatting sqref="V28">
    <cfRule type="cellIs" priority="82" operator="lessThan" dxfId="0">
      <formula>0</formula>
    </cfRule>
    <cfRule type="cellIs" priority="83" operator="greaterThan" dxfId="1">
      <formula>0</formula>
    </cfRule>
    <cfRule type="cellIs" priority="84" operator="equal" dxfId="2">
      <formula>0</formula>
    </cfRule>
  </conditionalFormatting>
  <conditionalFormatting sqref="V53">
    <cfRule type="cellIs" priority="85" operator="lessThan" dxfId="0">
      <formula>0</formula>
    </cfRule>
    <cfRule type="cellIs" priority="86" operator="greaterThan" dxfId="1">
      <formula>0</formula>
    </cfRule>
    <cfRule type="cellIs" priority="87" operator="equal" dxfId="2">
      <formula>0</formula>
    </cfRule>
  </conditionalFormatting>
  <conditionalFormatting sqref="V55">
    <cfRule type="cellIs" priority="88" operator="lessThan" dxfId="0">
      <formula>0</formula>
    </cfRule>
    <cfRule type="cellIs" priority="89" operator="greaterThan" dxfId="1">
      <formula>0</formula>
    </cfRule>
    <cfRule type="cellIs" priority="90" operator="equal" dxfId="2">
      <formula>0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204E"/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77.5" customWidth="1" min="1" max="1"/>
    <col width="26" customWidth="1" min="2" max="2"/>
    <col hidden="1" width="25" customWidth="1" min="3" max="3"/>
  </cols>
  <sheetData>
    <row r="1">
      <c r="B1" s="48" t="inlineStr">
        <is>
          <t>C.3.f</t>
        </is>
      </c>
    </row>
    <row r="2">
      <c r="A2" s="49" t="inlineStr">
        <is>
          <t>CASHFLOW DASHBOARD</t>
        </is>
      </c>
      <c r="B2" s="50" t="n"/>
      <c r="C2" s="51" t="n"/>
    </row>
    <row r="3">
      <c r="A3" s="52" t="inlineStr"/>
      <c r="B3" s="53" t="inlineStr">
        <is>
          <t>Projected</t>
        </is>
      </c>
      <c r="C3" s="54" t="inlineStr">
        <is>
          <t>Actual</t>
        </is>
      </c>
    </row>
    <row r="4">
      <c r="A4" s="16" t="n"/>
      <c r="B4" s="17" t="n"/>
    </row>
    <row r="5" hidden="1">
      <c r="A5" s="55" t="inlineStr">
        <is>
          <t>Actual Transfer Income to hit FNB - Endulini Sold</t>
        </is>
      </c>
      <c r="B5" s="56">
        <f>SUMIFS(Sales!$S:$S,Sales!$A:$A,"="&amp;"Endulini",Sales!$D:$D,TRUE,Sales!$E:$E,FALSE)</f>
        <v/>
      </c>
      <c r="C5" s="57">
        <f>SUMIFS(Sales!$S:$S,Sales!$A:$A,"="&amp;"Endulini",Sales!$D:$D,TRUE,Sales!$E:$E,FALSE)</f>
        <v/>
      </c>
    </row>
    <row r="6">
      <c r="A6" s="55" t="inlineStr">
        <is>
          <t>Actual Transfer Income to hit FNB - Heron Sold</t>
        </is>
      </c>
      <c r="B6" s="56">
        <f>SUMIFS(Sales!$S:$S,Sales!$A:$A,"&lt;&gt;"&amp;"Endulini",Sales!$D:$D,TRUE,Sales!$E:$E,FALSE)</f>
        <v/>
      </c>
      <c r="C6" s="57">
        <f>SUMIFS(Sales!$S:$S,Sales!$A:$A,"&lt;&gt;"&amp;"Endulini",Sales!$D:$D,TRUE,Sales!$E:$E,FALSE)</f>
        <v/>
      </c>
    </row>
    <row r="7">
      <c r="A7" s="55" t="inlineStr">
        <is>
          <t>Projected Transfer Income  - Endulini  Not yet Sold (Profit)</t>
        </is>
      </c>
      <c r="B7" s="56">
        <f>SUMIFS(Sales!$S:$S,Sales!$A:$A,"="&amp;"Endulini",Sales!$D:$D,FALSE,Sales!$E:$E,FALSE)</f>
        <v/>
      </c>
      <c r="C7" s="57" t="n"/>
    </row>
    <row r="8">
      <c r="A8" s="55" t="inlineStr">
        <is>
          <t>Projected Transfer Income  - Heron Not yet Sold (Profit)</t>
        </is>
      </c>
      <c r="B8" s="56">
        <f>SUMIFS(Sales!$S:$S,Sales!$A:$A,"&lt;&gt;"&amp;"Endulini",Sales!$D:$D,FALSE,Sales!$E:$E,FALSE,Sales!$F:$F,1)</f>
        <v/>
      </c>
      <c r="C8" s="57" t="n"/>
    </row>
    <row r="9" hidden="1">
      <c r="A9" s="55" t="inlineStr">
        <is>
          <t>Projected Not Allocated asd yet</t>
        </is>
      </c>
      <c r="B9" s="56">
        <f>'Cashflow Projection'!D28-Dashboard!B5-Dashboard!B6-Dashboard!B7-Dashboard!B8</f>
        <v/>
      </c>
      <c r="C9" s="57" t="n"/>
    </row>
    <row r="10">
      <c r="A10" s="55" t="n"/>
      <c r="B10" s="56" t="n"/>
      <c r="C10" s="57" t="n"/>
    </row>
    <row r="11">
      <c r="A11" s="58" t="inlineStr">
        <is>
          <t>Total Income</t>
        </is>
      </c>
      <c r="B11" s="59">
        <f>sum(B5:B9)</f>
        <v/>
      </c>
      <c r="C11" s="60">
        <f>sum(C5:C9)</f>
        <v/>
      </c>
    </row>
    <row r="12">
      <c r="A12" s="55" t="n"/>
      <c r="B12" s="56" t="n"/>
      <c r="C12" s="57" t="n"/>
    </row>
    <row r="13">
      <c r="A13" s="55" t="inlineStr">
        <is>
          <t>Momentum funds avaialble to draw</t>
        </is>
      </c>
      <c r="B13" s="56">
        <f>SUMIFS(Xero!$G:$G,Xero!$E:$E,"Momentum Investors Account RU502229930",Xero!$B:$B,'Cashflow Projection'!$B$2)</f>
        <v/>
      </c>
      <c r="C13" s="57">
        <f>SUMIFS(Xero!$G:$G,Xero!$E:$E,"Momentum Investors Account RU502229930",Xero!$B:$B,'Cashflow Projection'!$B$2)</f>
        <v/>
      </c>
    </row>
    <row r="14">
      <c r="A14" s="55" t="inlineStr">
        <is>
          <t>FNB Bank</t>
        </is>
      </c>
      <c r="B14" s="56">
        <f>SUMIFS(Xero!$G:$G, Xero!$B:$B, 'Cashflow Projection'!$B$2, Xero!$D:$D, "84*")-B13</f>
        <v/>
      </c>
      <c r="C14" s="57">
        <f>SUMIFS(Xero!$G:$G, Xero!$B:$B, 'Cashflow Projection'!$B$2, Xero!$D:$D, "84*")-B13</f>
        <v/>
      </c>
    </row>
    <row r="15">
      <c r="A15" s="55" t="inlineStr">
        <is>
          <t>New Investors</t>
        </is>
      </c>
      <c r="B15" s="56" t="n">
        <v>5598623.87</v>
      </c>
      <c r="C15" s="57" t="n">
        <v>5598623.87</v>
      </c>
    </row>
    <row r="16">
      <c r="A16" s="55" t="inlineStr">
        <is>
          <t>Deposit made</t>
        </is>
      </c>
      <c r="B16" s="56" t="n">
        <v>3143782</v>
      </c>
      <c r="C16" s="57" t="n">
        <v>0</v>
      </c>
    </row>
    <row r="17" hidden="1">
      <c r="A17" s="55" t="inlineStr">
        <is>
          <t>Momentum interest to be earned</t>
        </is>
      </c>
      <c r="B17" s="56" t="n">
        <v>0</v>
      </c>
      <c r="C17" s="57" t="n">
        <v>0</v>
      </c>
    </row>
    <row r="18" hidden="1">
      <c r="A18" s="55" t="inlineStr">
        <is>
          <t>Investor funds to hit Momentum Account to draw</t>
        </is>
      </c>
      <c r="B18" s="56" t="n">
        <v>0</v>
      </c>
      <c r="C18" s="57" t="n">
        <v>0</v>
      </c>
    </row>
    <row r="19">
      <c r="A19" s="55" t="n"/>
      <c r="B19" s="56" t="n"/>
      <c r="C19" s="57" t="n"/>
    </row>
    <row r="20">
      <c r="A20" s="58" t="inlineStr">
        <is>
          <t>Total Cash</t>
        </is>
      </c>
      <c r="B20" s="59">
        <f>sum(B13:B18)</f>
        <v/>
      </c>
      <c r="C20" s="60">
        <f>sum(B13:B18)</f>
        <v/>
      </c>
    </row>
    <row r="21">
      <c r="A21" s="55" t="n"/>
      <c r="B21" s="56" t="n"/>
      <c r="C21" s="57" t="n"/>
    </row>
    <row r="22">
      <c r="A22" s="58" t="inlineStr">
        <is>
          <t>Total funds available to draw</t>
        </is>
      </c>
      <c r="B22" s="59">
        <f>B20+B11</f>
        <v/>
      </c>
      <c r="C22" s="60">
        <f>C20+C11</f>
        <v/>
      </c>
    </row>
    <row r="23">
      <c r="A23" s="55" t="n"/>
      <c r="B23" s="56" t="n"/>
      <c r="C23" s="57" t="n"/>
    </row>
    <row r="24">
      <c r="A24" s="55" t="inlineStr">
        <is>
          <t>Cost to complete Heron Projects (CPC)</t>
        </is>
      </c>
      <c r="B24" s="56">
        <f>'Cashflow Projection'!D32</f>
        <v/>
      </c>
      <c r="C24" s="57">
        <f>'Cashflow Projection'!D32</f>
        <v/>
      </c>
    </row>
    <row r="25">
      <c r="A25" s="55" t="inlineStr">
        <is>
          <t>Company Running Costs</t>
        </is>
      </c>
      <c r="B25" s="56">
        <f>'Cashflow Projection'!D51</f>
        <v/>
      </c>
      <c r="C25" s="57">
        <f>'Cashflow Projection'!D51</f>
        <v/>
      </c>
    </row>
    <row r="26">
      <c r="A26" s="55" t="inlineStr">
        <is>
          <t>VAT Payable</t>
        </is>
      </c>
      <c r="B26" s="56">
        <f>'Cashflow Projection'!D27+'Cashflow Projection'!D49</f>
        <v/>
      </c>
      <c r="C26" s="57">
        <f>'Cashflow Projection'!D27+'Cashflow Projection'!D49</f>
        <v/>
      </c>
    </row>
    <row r="27">
      <c r="A27" s="55" t="n"/>
      <c r="B27" s="56" t="n"/>
      <c r="C27" s="57" t="n"/>
    </row>
    <row r="28">
      <c r="A28" s="58" t="inlineStr">
        <is>
          <t>Project Costs</t>
        </is>
      </c>
      <c r="B28" s="59">
        <f>B24+B25+B26</f>
        <v/>
      </c>
      <c r="C28" s="60">
        <f>C24+C25+C26</f>
        <v/>
      </c>
    </row>
    <row r="29">
      <c r="A29" s="55" t="n"/>
      <c r="B29" s="56" t="n"/>
      <c r="C29" s="57" t="n"/>
    </row>
    <row r="30">
      <c r="A30" s="58" t="inlineStr">
        <is>
          <t>NETT EFFECT</t>
        </is>
      </c>
      <c r="B30" s="59">
        <f>B22+B28</f>
        <v/>
      </c>
      <c r="C30" s="60">
        <f>C22+C28</f>
        <v/>
      </c>
    </row>
    <row r="31">
      <c r="A31" s="16" t="n"/>
      <c r="B31" s="17" t="n"/>
    </row>
    <row r="32">
      <c r="A32" s="16" t="n"/>
      <c r="B32" s="17" t="n"/>
    </row>
    <row r="33">
      <c r="A33" s="45" t="n"/>
      <c r="B33" s="47" t="n"/>
    </row>
  </sheetData>
  <mergeCells count="1">
    <mergeCell ref="A2:B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70C0"/>
    <outlinePr summaryBelow="1" summaryRight="1"/>
    <pageSetUpPr/>
  </sheetPr>
  <dimension ref="A1:BI115"/>
  <sheetViews>
    <sheetView workbookViewId="0">
      <pane xSplit="1" ySplit="9" topLeftCell="B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</cols>
  <sheetData>
    <row r="1">
      <c r="A1" s="61" t="inlineStr">
        <is>
          <t>HERON P&amp;L - Based on Cash Projection and Dashboard</t>
        </is>
      </c>
    </row>
    <row r="4">
      <c r="A4" t="inlineStr">
        <is>
          <t>Heron Fields (Pty) Ltd</t>
        </is>
      </c>
      <c r="B4" t="inlineStr">
        <is>
          <t>Heron Fields</t>
        </is>
      </c>
    </row>
    <row r="5">
      <c r="A5" t="inlineStr">
        <is>
          <t>Heron View (Pty) Ltd</t>
        </is>
      </c>
      <c r="B5" t="inlineStr">
        <is>
          <t>Heron View</t>
        </is>
      </c>
    </row>
    <row r="6">
      <c r="A6" t="inlineStr">
        <is>
          <t>Cape Projects Construction (Pty) Ltd</t>
        </is>
      </c>
    </row>
    <row r="9">
      <c r="A9" s="62" t="inlineStr">
        <is>
          <t>Month</t>
        </is>
      </c>
      <c r="B9" s="62" t="inlineStr"/>
      <c r="C9" s="62" t="inlineStr"/>
      <c r="D9" s="63" t="n">
        <v>44286</v>
      </c>
      <c r="E9" s="63" t="n">
        <v>44316</v>
      </c>
      <c r="F9" s="63" t="n">
        <v>44347</v>
      </c>
      <c r="G9" s="63" t="n">
        <v>44377</v>
      </c>
      <c r="H9" s="63" t="n">
        <v>44408</v>
      </c>
      <c r="I9" s="63" t="n">
        <v>44439</v>
      </c>
      <c r="J9" s="63" t="n">
        <v>44469</v>
      </c>
      <c r="K9" s="63" t="n">
        <v>44500</v>
      </c>
      <c r="L9" s="63" t="n">
        <v>44530</v>
      </c>
      <c r="M9" s="63" t="n">
        <v>44561</v>
      </c>
      <c r="N9" s="63" t="n">
        <v>44592</v>
      </c>
      <c r="O9" s="63" t="n">
        <v>44620</v>
      </c>
      <c r="P9" s="63" t="n">
        <v>44651</v>
      </c>
      <c r="Q9" s="63" t="n">
        <v>44681</v>
      </c>
      <c r="R9" s="63" t="n">
        <v>44712</v>
      </c>
      <c r="S9" s="63" t="n">
        <v>44742</v>
      </c>
      <c r="T9" s="63" t="n">
        <v>44773</v>
      </c>
      <c r="U9" s="63" t="n">
        <v>44804</v>
      </c>
      <c r="V9" s="63" t="n">
        <v>44834</v>
      </c>
      <c r="W9" s="63" t="n">
        <v>44865</v>
      </c>
      <c r="X9" s="63" t="n">
        <v>44895</v>
      </c>
      <c r="Y9" s="63" t="n">
        <v>44926</v>
      </c>
      <c r="Z9" s="63" t="n">
        <v>44957</v>
      </c>
      <c r="AA9" s="63" t="n">
        <v>44985</v>
      </c>
      <c r="AB9" s="63" t="n">
        <v>45016</v>
      </c>
      <c r="AC9" s="63" t="n">
        <v>45046</v>
      </c>
      <c r="AD9" s="63" t="n">
        <v>45077</v>
      </c>
      <c r="AE9" s="63" t="n">
        <v>45107</v>
      </c>
      <c r="AF9" s="63" t="n">
        <v>45138</v>
      </c>
      <c r="AG9" s="63" t="n">
        <v>45169</v>
      </c>
      <c r="AH9" s="63" t="n">
        <v>45199</v>
      </c>
      <c r="AI9" s="63" t="n">
        <v>45230</v>
      </c>
      <c r="AJ9" s="63" t="n">
        <v>45260</v>
      </c>
      <c r="AK9" s="63" t="n">
        <v>45291</v>
      </c>
      <c r="AL9" s="63" t="n">
        <v>45322</v>
      </c>
      <c r="AM9" s="63" t="n">
        <v>45323</v>
      </c>
      <c r="AN9" s="63" t="n">
        <v>45351</v>
      </c>
      <c r="AO9" s="63" t="n">
        <v>45382</v>
      </c>
      <c r="AP9" s="63">
        <f>EOMONTH(EDATE(AO9, 0),1)</f>
        <v/>
      </c>
      <c r="AQ9" s="63">
        <f>EOMONTH(EDATE(AP9, 0),1)</f>
        <v/>
      </c>
      <c r="AR9" s="63">
        <f>EOMONTH(EDATE(AQ9, 0),1)</f>
        <v/>
      </c>
      <c r="AS9" s="63">
        <f>EOMONTH(EDATE(AR9, 0),1)</f>
        <v/>
      </c>
      <c r="AT9" s="63">
        <f>EOMONTH(EDATE(AS9, 0),1)</f>
        <v/>
      </c>
      <c r="AU9" s="63">
        <f>EOMONTH(EDATE(AT9, 0),1)</f>
        <v/>
      </c>
      <c r="AV9" s="63">
        <f>EOMONTH(EDATE(AU9, 0),1)</f>
        <v/>
      </c>
      <c r="AW9" s="63">
        <f>EOMONTH(EDATE(AV9, 0),1)</f>
        <v/>
      </c>
      <c r="AX9" s="63">
        <f>EOMONTH(EDATE(AW9, 0),1)</f>
        <v/>
      </c>
      <c r="AY9" s="63">
        <f>EOMONTH(EDATE(AX9, 0),1)</f>
        <v/>
      </c>
      <c r="AZ9" s="63">
        <f>EOMONTH(EDATE(AY9, 0),1)</f>
        <v/>
      </c>
      <c r="BA9" s="63">
        <f>EOMONTH(EDATE(AZ9, 0),1)</f>
        <v/>
      </c>
      <c r="BB9" s="63">
        <f>EOMONTH(EDATE(BA9, 0),1)</f>
        <v/>
      </c>
      <c r="BC9" s="63">
        <f>EOMONTH(EDATE(BB9, 0),1)</f>
        <v/>
      </c>
      <c r="BD9" s="63">
        <f>EOMONTH(EDATE(BC9, 0),1)</f>
        <v/>
      </c>
      <c r="BE9" s="63">
        <f>EOMONTH(EDATE(BD9, 0),1)</f>
        <v/>
      </c>
      <c r="BF9" s="63">
        <f>EOMONTH(EDATE(BE9, 0),1)</f>
        <v/>
      </c>
      <c r="BG9" s="63">
        <f>EOMONTH(EDATE(BF9, 0),1)</f>
        <v/>
      </c>
      <c r="BH9" s="62" t="inlineStr">
        <is>
          <t>Total</t>
        </is>
      </c>
      <c r="BI9" s="62" t="inlineStr">
        <is>
          <t>NSST</t>
        </is>
      </c>
    </row>
    <row r="10"/>
    <row r="11">
      <c r="A11" s="64" t="inlineStr">
        <is>
          <t>Income</t>
        </is>
      </c>
    </row>
    <row r="13">
      <c r="A13" s="65" t="inlineStr">
        <is>
          <t>Bond Origination</t>
        </is>
      </c>
      <c r="D13" s="66">
        <f>-SUMIFS(Xero!$F:$F,Xero!$B:$B,Heron!D$9,Xero!$A:$A,Heron!$A$4,Xero!$E:$E,Heron!$A13)-SUMIFS(Xero!$F:$F,Xero!$B:$B,Heron!D$9,Xero!$A:$A,Heron!$A$5,Xero!$E:$E,Heron!$A13)</f>
        <v/>
      </c>
      <c r="E13" s="66">
        <f>-SUMIFS(Xero!$F:$F,Xero!$B:$B,Heron!E$9,Xero!$A:$A,Heron!$A$4,Xero!$E:$E,Heron!$A13)-SUMIFS(Xero!$F:$F,Xero!$B:$B,Heron!E$9,Xero!$A:$A,Heron!$A$5,Xero!$E:$E,Heron!$A13)</f>
        <v/>
      </c>
      <c r="F13" s="66">
        <f>-SUMIFS(Xero!$F:$F,Xero!$B:$B,Heron!F$9,Xero!$A:$A,Heron!$A$4,Xero!$E:$E,Heron!$A13)-SUMIFS(Xero!$F:$F,Xero!$B:$B,Heron!F$9,Xero!$A:$A,Heron!$A$5,Xero!$E:$E,Heron!$A13)</f>
        <v/>
      </c>
      <c r="G13" s="66">
        <f>-SUMIFS(Xero!$F:$F,Xero!$B:$B,Heron!G$9,Xero!$A:$A,Heron!$A$4,Xero!$E:$E,Heron!$A13)-SUMIFS(Xero!$F:$F,Xero!$B:$B,Heron!G$9,Xero!$A:$A,Heron!$A$5,Xero!$E:$E,Heron!$A13)</f>
        <v/>
      </c>
      <c r="H13" s="66">
        <f>-SUMIFS(Xero!$F:$F,Xero!$B:$B,Heron!H$9,Xero!$A:$A,Heron!$A$4,Xero!$E:$E,Heron!$A13)-SUMIFS(Xero!$F:$F,Xero!$B:$B,Heron!H$9,Xero!$A:$A,Heron!$A$5,Xero!$E:$E,Heron!$A13)</f>
        <v/>
      </c>
      <c r="I13" s="66">
        <f>-SUMIFS(Xero!$F:$F,Xero!$B:$B,Heron!I$9,Xero!$A:$A,Heron!$A$4,Xero!$E:$E,Heron!$A13)-SUMIFS(Xero!$F:$F,Xero!$B:$B,Heron!I$9,Xero!$A:$A,Heron!$A$5,Xero!$E:$E,Heron!$A13)</f>
        <v/>
      </c>
      <c r="J13" s="66">
        <f>-SUMIFS(Xero!$F:$F,Xero!$B:$B,Heron!J$9,Xero!$A:$A,Heron!$A$4,Xero!$E:$E,Heron!$A13)-SUMIFS(Xero!$F:$F,Xero!$B:$B,Heron!J$9,Xero!$A:$A,Heron!$A$5,Xero!$E:$E,Heron!$A13)</f>
        <v/>
      </c>
      <c r="K13" s="66">
        <f>-SUMIFS(Xero!$F:$F,Xero!$B:$B,Heron!K$9,Xero!$A:$A,Heron!$A$4,Xero!$E:$E,Heron!$A13)-SUMIFS(Xero!$F:$F,Xero!$B:$B,Heron!K$9,Xero!$A:$A,Heron!$A$5,Xero!$E:$E,Heron!$A13)</f>
        <v/>
      </c>
      <c r="L13" s="66">
        <f>-SUMIFS(Xero!$F:$F,Xero!$B:$B,Heron!L$9,Xero!$A:$A,Heron!$A$4,Xero!$E:$E,Heron!$A13)-SUMIFS(Xero!$F:$F,Xero!$B:$B,Heron!L$9,Xero!$A:$A,Heron!$A$5,Xero!$E:$E,Heron!$A13)</f>
        <v/>
      </c>
      <c r="M13" s="66">
        <f>-SUMIFS(Xero!$F:$F,Xero!$B:$B,Heron!M$9,Xero!$A:$A,Heron!$A$4,Xero!$E:$E,Heron!$A13)-SUMIFS(Xero!$F:$F,Xero!$B:$B,Heron!M$9,Xero!$A:$A,Heron!$A$5,Xero!$E:$E,Heron!$A13)</f>
        <v/>
      </c>
      <c r="N13" s="66">
        <f>-SUMIFS(Xero!$F:$F,Xero!$B:$B,Heron!N$9,Xero!$A:$A,Heron!$A$4,Xero!$E:$E,Heron!$A13)-SUMIFS(Xero!$F:$F,Xero!$B:$B,Heron!N$9,Xero!$A:$A,Heron!$A$5,Xero!$E:$E,Heron!$A13)</f>
        <v/>
      </c>
      <c r="O13" s="66">
        <f>-SUMIFS(Xero!$F:$F,Xero!$B:$B,Heron!O$9,Xero!$A:$A,Heron!$A$4,Xero!$E:$E,Heron!$A13)-SUMIFS(Xero!$F:$F,Xero!$B:$B,Heron!O$9,Xero!$A:$A,Heron!$A$5,Xero!$E:$E,Heron!$A13)</f>
        <v/>
      </c>
      <c r="P13" s="66">
        <f>-SUMIFS(Xero!$F:$F,Xero!$B:$B,Heron!P$9,Xero!$A:$A,Heron!$A$4,Xero!$E:$E,Heron!$A13)-SUMIFS(Xero!$F:$F,Xero!$B:$B,Heron!P$9,Xero!$A:$A,Heron!$A$5,Xero!$E:$E,Heron!$A13)</f>
        <v/>
      </c>
      <c r="Q13" s="66">
        <f>-SUMIFS(Xero!$F:$F,Xero!$B:$B,Heron!Q$9,Xero!$A:$A,Heron!$A$4,Xero!$E:$E,Heron!$A13)-SUMIFS(Xero!$F:$F,Xero!$B:$B,Heron!Q$9,Xero!$A:$A,Heron!$A$5,Xero!$E:$E,Heron!$A13)</f>
        <v/>
      </c>
      <c r="R13" s="66">
        <f>-SUMIFS(Xero!$F:$F,Xero!$B:$B,Heron!R$9,Xero!$A:$A,Heron!$A$4,Xero!$E:$E,Heron!$A13)-SUMIFS(Xero!$F:$F,Xero!$B:$B,Heron!R$9,Xero!$A:$A,Heron!$A$5,Xero!$E:$E,Heron!$A13)</f>
        <v/>
      </c>
      <c r="S13" s="66">
        <f>-SUMIFS(Xero!$F:$F,Xero!$B:$B,Heron!S$9,Xero!$A:$A,Heron!$A$4,Xero!$E:$E,Heron!$A13)-SUMIFS(Xero!$F:$F,Xero!$B:$B,Heron!S$9,Xero!$A:$A,Heron!$A$5,Xero!$E:$E,Heron!$A13)</f>
        <v/>
      </c>
      <c r="T13" s="66">
        <f>-SUMIFS(Xero!$F:$F,Xero!$B:$B,Heron!T$9,Xero!$A:$A,Heron!$A$4,Xero!$E:$E,Heron!$A13)-SUMIFS(Xero!$F:$F,Xero!$B:$B,Heron!T$9,Xero!$A:$A,Heron!$A$5,Xero!$E:$E,Heron!$A13)</f>
        <v/>
      </c>
      <c r="U13" s="66">
        <f>-SUMIFS(Xero!$F:$F,Xero!$B:$B,Heron!U$9,Xero!$A:$A,Heron!$A$4,Xero!$E:$E,Heron!$A13)-SUMIFS(Xero!$F:$F,Xero!$B:$B,Heron!U$9,Xero!$A:$A,Heron!$A$5,Xero!$E:$E,Heron!$A13)</f>
        <v/>
      </c>
      <c r="V13" s="66">
        <f>-SUMIFS(Xero!$F:$F,Xero!$B:$B,Heron!V$9,Xero!$A:$A,Heron!$A$4,Xero!$E:$E,Heron!$A13)-SUMIFS(Xero!$F:$F,Xero!$B:$B,Heron!V$9,Xero!$A:$A,Heron!$A$5,Xero!$E:$E,Heron!$A13)</f>
        <v/>
      </c>
      <c r="W13" s="66">
        <f>-SUMIFS(Xero!$F:$F,Xero!$B:$B,Heron!W$9,Xero!$A:$A,Heron!$A$4,Xero!$E:$E,Heron!$A13)-SUMIFS(Xero!$F:$F,Xero!$B:$B,Heron!W$9,Xero!$A:$A,Heron!$A$5,Xero!$E:$E,Heron!$A13)</f>
        <v/>
      </c>
      <c r="X13" s="66">
        <f>-SUMIFS(Xero!$F:$F,Xero!$B:$B,Heron!X$9,Xero!$A:$A,Heron!$A$4,Xero!$E:$E,Heron!$A13)-SUMIFS(Xero!$F:$F,Xero!$B:$B,Heron!X$9,Xero!$A:$A,Heron!$A$5,Xero!$E:$E,Heron!$A13)</f>
        <v/>
      </c>
      <c r="Y13" s="66">
        <f>-SUMIFS(Xero!$F:$F,Xero!$B:$B,Heron!Y$9,Xero!$A:$A,Heron!$A$4,Xero!$E:$E,Heron!$A13)-SUMIFS(Xero!$F:$F,Xero!$B:$B,Heron!Y$9,Xero!$A:$A,Heron!$A$5,Xero!$E:$E,Heron!$A13)</f>
        <v/>
      </c>
      <c r="Z13" s="66">
        <f>-SUMIFS(Xero!$F:$F,Xero!$B:$B,Heron!Z$9,Xero!$A:$A,Heron!$A$4,Xero!$E:$E,Heron!$A13)-SUMIFS(Xero!$F:$F,Xero!$B:$B,Heron!Z$9,Xero!$A:$A,Heron!$A$5,Xero!$E:$E,Heron!$A13)</f>
        <v/>
      </c>
      <c r="AA13" s="66">
        <f>-SUMIFS(Xero!$F:$F,Xero!$B:$B,Heron!AA$9,Xero!$A:$A,Heron!$A$4,Xero!$E:$E,Heron!$A13)-SUMIFS(Xero!$F:$F,Xero!$B:$B,Heron!AA$9,Xero!$A:$A,Heron!$A$5,Xero!$E:$E,Heron!$A13)</f>
        <v/>
      </c>
      <c r="AB13" s="66">
        <f>-SUMIFS(Xero!$F:$F,Xero!$B:$B,Heron!AB$9,Xero!$A:$A,Heron!$A$4,Xero!$E:$E,Heron!$A13)-SUMIFS(Xero!$F:$F,Xero!$B:$B,Heron!AB$9,Xero!$A:$A,Heron!$A$5,Xero!$E:$E,Heron!$A13)</f>
        <v/>
      </c>
      <c r="AC13" s="66">
        <f>-SUMIFS(Xero!$F:$F,Xero!$B:$B,Heron!AC$9,Xero!$A:$A,Heron!$A$4,Xero!$E:$E,Heron!$A13)-SUMIFS(Xero!$F:$F,Xero!$B:$B,Heron!AC$9,Xero!$A:$A,Heron!$A$5,Xero!$E:$E,Heron!$A13)</f>
        <v/>
      </c>
      <c r="AD13" s="66">
        <f>-SUMIFS(Xero!$F:$F,Xero!$B:$B,Heron!AD$9,Xero!$A:$A,Heron!$A$4,Xero!$E:$E,Heron!$A13)-SUMIFS(Xero!$F:$F,Xero!$B:$B,Heron!AD$9,Xero!$A:$A,Heron!$A$5,Xero!$E:$E,Heron!$A13)</f>
        <v/>
      </c>
      <c r="AE13" s="66">
        <f>-SUMIFS(Xero!$F:$F,Xero!$B:$B,Heron!AE$9,Xero!$A:$A,Heron!$A$4,Xero!$E:$E,Heron!$A13)-SUMIFS(Xero!$F:$F,Xero!$B:$B,Heron!AE$9,Xero!$A:$A,Heron!$A$5,Xero!$E:$E,Heron!$A13)</f>
        <v/>
      </c>
      <c r="AF13" s="66">
        <f>-SUMIFS(Xero!$F:$F,Xero!$B:$B,Heron!AF$9,Xero!$A:$A,Heron!$A$4,Xero!$E:$E,Heron!$A13)-SUMIFS(Xero!$F:$F,Xero!$B:$B,Heron!AF$9,Xero!$A:$A,Heron!$A$5,Xero!$E:$E,Heron!$A13)</f>
        <v/>
      </c>
      <c r="AG13" s="66">
        <f>-SUMIFS(Xero!$F:$F,Xero!$B:$B,Heron!AG$9,Xero!$A:$A,Heron!$A$4,Xero!$E:$E,Heron!$A13)-SUMIFS(Xero!$F:$F,Xero!$B:$B,Heron!AG$9,Xero!$A:$A,Heron!$A$5,Xero!$E:$E,Heron!$A13)</f>
        <v/>
      </c>
      <c r="AH13" s="66">
        <f>-SUMIFS(Xero!$F:$F,Xero!$B:$B,Heron!AH$9,Xero!$A:$A,Heron!$A$4,Xero!$E:$E,Heron!$A13)-SUMIFS(Xero!$F:$F,Xero!$B:$B,Heron!AH$9,Xero!$A:$A,Heron!$A$5,Xero!$E:$E,Heron!$A13)</f>
        <v/>
      </c>
      <c r="AI13" s="66">
        <f>-SUMIFS(Xero!$F:$F,Xero!$B:$B,Heron!AI$9,Xero!$A:$A,Heron!$A$4,Xero!$E:$E,Heron!$A13)-SUMIFS(Xero!$F:$F,Xero!$B:$B,Heron!AI$9,Xero!$A:$A,Heron!$A$5,Xero!$E:$E,Heron!$A13)</f>
        <v/>
      </c>
      <c r="AJ13" s="66">
        <f>-SUMIFS(Xero!$F:$F,Xero!$B:$B,Heron!AJ$9,Xero!$A:$A,Heron!$A$4,Xero!$E:$E,Heron!$A13)-SUMIFS(Xero!$F:$F,Xero!$B:$B,Heron!AJ$9,Xero!$A:$A,Heron!$A$5,Xero!$E:$E,Heron!$A13)</f>
        <v/>
      </c>
      <c r="AK13" s="66">
        <f>-SUMIFS(Xero!$F:$F,Xero!$B:$B,Heron!AK$9,Xero!$A:$A,Heron!$A$4,Xero!$E:$E,Heron!$A13)-SUMIFS(Xero!$F:$F,Xero!$B:$B,Heron!AK$9,Xero!$A:$A,Heron!$A$5,Xero!$E:$E,Heron!$A13)</f>
        <v/>
      </c>
      <c r="AL13" s="66">
        <f>-SUMIFS(Xero!$F:$F,Xero!$B:$B,Heron!AL$9,Xero!$A:$A,Heron!$A$4,Xero!$E:$E,Heron!$A13)-SUMIFS(Xero!$F:$F,Xero!$B:$B,Heron!AL$9,Xero!$A:$A,Heron!$A$5,Xero!$E:$E,Heron!$A13)</f>
        <v/>
      </c>
      <c r="AM13" s="66">
        <f>-SUMIFS(Xero!$F:$F,Xero!$B:$B,Heron!AM$9,Xero!$A:$A,Heron!$A$4,Xero!$E:$E,Heron!$A13)-SUMIFS(Xero!$F:$F,Xero!$B:$B,Heron!AM$9,Xero!$A:$A,Heron!$A$5,Xero!$E:$E,Heron!$A13)</f>
        <v/>
      </c>
      <c r="AN13" s="66">
        <f>-SUMIFS(Xero!$F:$F,Xero!$B:$B,Heron!AN$9,Xero!$A:$A,Heron!$A$4,Xero!$E:$E,Heron!$A13)-SUMIFS(Xero!$F:$F,Xero!$B:$B,Heron!AN$9,Xero!$A:$A,Heron!$A$5,Xero!$E:$E,Heron!$A13)</f>
        <v/>
      </c>
      <c r="AO13" s="66">
        <f>-SUMIFS(Xero!$F:$F,Xero!$B:$B,Heron!AO$9,Xero!$A:$A,Heron!$A$4,Xero!$E:$E,Heron!$A13)-SUMIFS(Xero!$F:$F,Xero!$B:$B,Heron!AO$9,Xero!$A:$A,Heron!$A$5,Xero!$E:$E,Heron!$A13)</f>
        <v/>
      </c>
      <c r="AP13" s="66">
        <f>-SUMIFS(Xero!$F:$F,Xero!$B:$B,Heron!AP$9,Xero!$A:$A,Heron!$A$4,Xero!$E:$E,Heron!$A13)-SUMIFS(Xero!$F:$F,Xero!$B:$B,Heron!AP$9,Xero!$A:$A,Heron!$A$5,Xero!$E:$E,Heron!$A13)</f>
        <v/>
      </c>
      <c r="AQ13" s="66">
        <f>-SUMIFS(Xero!$F:$F,Xero!$B:$B,Heron!AQ$9,Xero!$A:$A,Heron!$A$4,Xero!$E:$E,Heron!$A13)-SUMIFS(Xero!$F:$F,Xero!$B:$B,Heron!AQ$9,Xero!$A:$A,Heron!$A$5,Xero!$E:$E,Heron!$A13)</f>
        <v/>
      </c>
      <c r="AR13" s="66">
        <f>-SUMIFS(Xero!$F:$F,Xero!$B:$B,Heron!AR$9,Xero!$A:$A,Heron!$A$4,Xero!$E:$E,Heron!$A13)-SUMIFS(Xero!$F:$F,Xero!$B:$B,Heron!AR$9,Xero!$A:$A,Heron!$A$5,Xero!$E:$E,Heron!$A13)</f>
        <v/>
      </c>
      <c r="AS13" s="66">
        <f>-SUMIFS(Xero!$F:$F,Xero!$B:$B,Heron!AS$9,Xero!$A:$A,Heron!$A$4,Xero!$E:$E,Heron!$A13)-SUMIFS(Xero!$F:$F,Xero!$B:$B,Heron!AS$9,Xero!$A:$A,Heron!$A$5,Xero!$E:$E,Heron!$A13)</f>
        <v/>
      </c>
      <c r="AT13" s="66">
        <f>-SUMIFS(Xero!$F:$F,Xero!$B:$B,Heron!AT$9,Xero!$A:$A,Heron!$A$4,Xero!$E:$E,Heron!$A13)-SUMIFS(Xero!$F:$F,Xero!$B:$B,Heron!AT$9,Xero!$A:$A,Heron!$A$5,Xero!$E:$E,Heron!$A13)</f>
        <v/>
      </c>
      <c r="AU13" s="66">
        <f>-SUMIFS(Xero!$F:$F,Xero!$B:$B,Heron!AU$9,Xero!$A:$A,Heron!$A$4,Xero!$E:$E,Heron!$A13)-SUMIFS(Xero!$F:$F,Xero!$B:$B,Heron!AU$9,Xero!$A:$A,Heron!$A$5,Xero!$E:$E,Heron!$A13)</f>
        <v/>
      </c>
      <c r="AV13" s="66">
        <f>-SUMIFS(Xero!$F:$F,Xero!$B:$B,Heron!AV$9,Xero!$A:$A,Heron!$A$4,Xero!$E:$E,Heron!$A13)-SUMIFS(Xero!$F:$F,Xero!$B:$B,Heron!AV$9,Xero!$A:$A,Heron!$A$5,Xero!$E:$E,Heron!$A13)</f>
        <v/>
      </c>
      <c r="AW13" s="66">
        <f>-SUMIFS(Xero!$F:$F,Xero!$B:$B,Heron!AW$9,Xero!$A:$A,Heron!$A$4,Xero!$E:$E,Heron!$A13)-SUMIFS(Xero!$F:$F,Xero!$B:$B,Heron!AW$9,Xero!$A:$A,Heron!$A$5,Xero!$E:$E,Heron!$A13)</f>
        <v/>
      </c>
      <c r="AX13" s="66">
        <f>-SUMIFS(Xero!$F:$F,Xero!$B:$B,Heron!AX$9,Xero!$A:$A,Heron!$A$4,Xero!$E:$E,Heron!$A13)-SUMIFS(Xero!$F:$F,Xero!$B:$B,Heron!AX$9,Xero!$A:$A,Heron!$A$5,Xero!$E:$E,Heron!$A13)</f>
        <v/>
      </c>
      <c r="AY13" s="66">
        <f>-SUMIFS(Xero!$F:$F,Xero!$B:$B,Heron!AY$9,Xero!$A:$A,Heron!$A$4,Xero!$E:$E,Heron!$A13)-SUMIFS(Xero!$F:$F,Xero!$B:$B,Heron!AY$9,Xero!$A:$A,Heron!$A$5,Xero!$E:$E,Heron!$A13)</f>
        <v/>
      </c>
      <c r="AZ13" s="66">
        <f>-SUMIFS(Xero!$F:$F,Xero!$B:$B,Heron!AZ$9,Xero!$A:$A,Heron!$A$4,Xero!$E:$E,Heron!$A13)-SUMIFS(Xero!$F:$F,Xero!$B:$B,Heron!AZ$9,Xero!$A:$A,Heron!$A$5,Xero!$E:$E,Heron!$A13)</f>
        <v/>
      </c>
      <c r="BA13" s="66">
        <f>-SUMIFS(Xero!$F:$F,Xero!$B:$B,Heron!BA$9,Xero!$A:$A,Heron!$A$4,Xero!$E:$E,Heron!$A13)-SUMIFS(Xero!$F:$F,Xero!$B:$B,Heron!BA$9,Xero!$A:$A,Heron!$A$5,Xero!$E:$E,Heron!$A13)</f>
        <v/>
      </c>
      <c r="BB13" s="66">
        <f>-SUMIFS(Xero!$F:$F,Xero!$B:$B,Heron!BB$9,Xero!$A:$A,Heron!$A$4,Xero!$E:$E,Heron!$A13)-SUMIFS(Xero!$F:$F,Xero!$B:$B,Heron!BB$9,Xero!$A:$A,Heron!$A$5,Xero!$E:$E,Heron!$A13)</f>
        <v/>
      </c>
      <c r="BC13" s="66">
        <f>-SUMIFS(Xero!$F:$F,Xero!$B:$B,Heron!BC$9,Xero!$A:$A,Heron!$A$4,Xero!$E:$E,Heron!$A13)-SUMIFS(Xero!$F:$F,Xero!$B:$B,Heron!BC$9,Xero!$A:$A,Heron!$A$5,Xero!$E:$E,Heron!$A13)</f>
        <v/>
      </c>
      <c r="BD13" s="66">
        <f>-SUMIFS(Xero!$F:$F,Xero!$B:$B,Heron!BD$9,Xero!$A:$A,Heron!$A$4,Xero!$E:$E,Heron!$A13)-SUMIFS(Xero!$F:$F,Xero!$B:$B,Heron!BD$9,Xero!$A:$A,Heron!$A$5,Xero!$E:$E,Heron!$A13)</f>
        <v/>
      </c>
      <c r="BE13" s="66">
        <f>-SUMIFS(Xero!$F:$F,Xero!$B:$B,Heron!BE$9,Xero!$A:$A,Heron!$A$4,Xero!$E:$E,Heron!$A13)-SUMIFS(Xero!$F:$F,Xero!$B:$B,Heron!BE$9,Xero!$A:$A,Heron!$A$5,Xero!$E:$E,Heron!$A13)</f>
        <v/>
      </c>
      <c r="BF13" s="66">
        <f>-SUMIFS(Xero!$F:$F,Xero!$B:$B,Heron!BF$9,Xero!$A:$A,Heron!$A$4,Xero!$E:$E,Heron!$A13)-SUMIFS(Xero!$F:$F,Xero!$B:$B,Heron!BF$9,Xero!$A:$A,Heron!$A$5,Xero!$E:$E,Heron!$A13)</f>
        <v/>
      </c>
      <c r="BG13" s="66">
        <f>-SUMIFS(Xero!$F:$F,Xero!$B:$B,Heron!BG$9,Xero!$A:$A,Heron!$A$4,Xero!$E:$E,Heron!$A13)-SUMIFS(Xero!$F:$F,Xero!$B:$B,Heron!BG$9,Xero!$A:$A,Heron!$A$5,Xero!$E:$E,Heron!$A13)</f>
        <v/>
      </c>
      <c r="BH13" s="66">
        <f>sum(D13:BG13)</f>
        <v/>
      </c>
    </row>
    <row r="14">
      <c r="A14" s="65" t="inlineStr">
        <is>
          <t>Interest Received - Deposit Grey Heron</t>
        </is>
      </c>
      <c r="D14" s="66">
        <f>-SUMIFS(Xero!$F:$F,Xero!$B:$B,Heron!D$9,Xero!$A:$A,Heron!$A$4,Xero!$E:$E,Heron!$A14)-SUMIFS(Xero!$F:$F,Xero!$B:$B,Heron!D$9,Xero!$A:$A,Heron!$A$5,Xero!$E:$E,Heron!$A14)</f>
        <v/>
      </c>
      <c r="E14" s="66">
        <f>-SUMIFS(Xero!$F:$F,Xero!$B:$B,Heron!E$9,Xero!$A:$A,Heron!$A$4,Xero!$E:$E,Heron!$A14)-SUMIFS(Xero!$F:$F,Xero!$B:$B,Heron!E$9,Xero!$A:$A,Heron!$A$5,Xero!$E:$E,Heron!$A14)</f>
        <v/>
      </c>
      <c r="F14" s="66">
        <f>-SUMIFS(Xero!$F:$F,Xero!$B:$B,Heron!F$9,Xero!$A:$A,Heron!$A$4,Xero!$E:$E,Heron!$A14)-SUMIFS(Xero!$F:$F,Xero!$B:$B,Heron!F$9,Xero!$A:$A,Heron!$A$5,Xero!$E:$E,Heron!$A14)</f>
        <v/>
      </c>
      <c r="G14" s="66">
        <f>-SUMIFS(Xero!$F:$F,Xero!$B:$B,Heron!G$9,Xero!$A:$A,Heron!$A$4,Xero!$E:$E,Heron!$A14)-SUMIFS(Xero!$F:$F,Xero!$B:$B,Heron!G$9,Xero!$A:$A,Heron!$A$5,Xero!$E:$E,Heron!$A14)</f>
        <v/>
      </c>
      <c r="H14" s="66">
        <f>-SUMIFS(Xero!$F:$F,Xero!$B:$B,Heron!H$9,Xero!$A:$A,Heron!$A$4,Xero!$E:$E,Heron!$A14)-SUMIFS(Xero!$F:$F,Xero!$B:$B,Heron!H$9,Xero!$A:$A,Heron!$A$5,Xero!$E:$E,Heron!$A14)</f>
        <v/>
      </c>
      <c r="I14" s="66">
        <f>-SUMIFS(Xero!$F:$F,Xero!$B:$B,Heron!I$9,Xero!$A:$A,Heron!$A$4,Xero!$E:$E,Heron!$A14)-SUMIFS(Xero!$F:$F,Xero!$B:$B,Heron!I$9,Xero!$A:$A,Heron!$A$5,Xero!$E:$E,Heron!$A14)</f>
        <v/>
      </c>
      <c r="J14" s="66">
        <f>-SUMIFS(Xero!$F:$F,Xero!$B:$B,Heron!J$9,Xero!$A:$A,Heron!$A$4,Xero!$E:$E,Heron!$A14)-SUMIFS(Xero!$F:$F,Xero!$B:$B,Heron!J$9,Xero!$A:$A,Heron!$A$5,Xero!$E:$E,Heron!$A14)</f>
        <v/>
      </c>
      <c r="K14" s="66">
        <f>-SUMIFS(Xero!$F:$F,Xero!$B:$B,Heron!K$9,Xero!$A:$A,Heron!$A$4,Xero!$E:$E,Heron!$A14)-SUMIFS(Xero!$F:$F,Xero!$B:$B,Heron!K$9,Xero!$A:$A,Heron!$A$5,Xero!$E:$E,Heron!$A14)</f>
        <v/>
      </c>
      <c r="L14" s="66">
        <f>-SUMIFS(Xero!$F:$F,Xero!$B:$B,Heron!L$9,Xero!$A:$A,Heron!$A$4,Xero!$E:$E,Heron!$A14)-SUMIFS(Xero!$F:$F,Xero!$B:$B,Heron!L$9,Xero!$A:$A,Heron!$A$5,Xero!$E:$E,Heron!$A14)</f>
        <v/>
      </c>
      <c r="M14" s="66">
        <f>-SUMIFS(Xero!$F:$F,Xero!$B:$B,Heron!M$9,Xero!$A:$A,Heron!$A$4,Xero!$E:$E,Heron!$A14)-SUMIFS(Xero!$F:$F,Xero!$B:$B,Heron!M$9,Xero!$A:$A,Heron!$A$5,Xero!$E:$E,Heron!$A14)</f>
        <v/>
      </c>
      <c r="N14" s="66">
        <f>-SUMIFS(Xero!$F:$F,Xero!$B:$B,Heron!N$9,Xero!$A:$A,Heron!$A$4,Xero!$E:$E,Heron!$A14)-SUMIFS(Xero!$F:$F,Xero!$B:$B,Heron!N$9,Xero!$A:$A,Heron!$A$5,Xero!$E:$E,Heron!$A14)</f>
        <v/>
      </c>
      <c r="O14" s="66">
        <f>-SUMIFS(Xero!$F:$F,Xero!$B:$B,Heron!O$9,Xero!$A:$A,Heron!$A$4,Xero!$E:$E,Heron!$A14)-SUMIFS(Xero!$F:$F,Xero!$B:$B,Heron!O$9,Xero!$A:$A,Heron!$A$5,Xero!$E:$E,Heron!$A14)</f>
        <v/>
      </c>
      <c r="P14" s="66">
        <f>-SUMIFS(Xero!$F:$F,Xero!$B:$B,Heron!P$9,Xero!$A:$A,Heron!$A$4,Xero!$E:$E,Heron!$A14)-SUMIFS(Xero!$F:$F,Xero!$B:$B,Heron!P$9,Xero!$A:$A,Heron!$A$5,Xero!$E:$E,Heron!$A14)</f>
        <v/>
      </c>
      <c r="Q14" s="66">
        <f>-SUMIFS(Xero!$F:$F,Xero!$B:$B,Heron!Q$9,Xero!$A:$A,Heron!$A$4,Xero!$E:$E,Heron!$A14)-SUMIFS(Xero!$F:$F,Xero!$B:$B,Heron!Q$9,Xero!$A:$A,Heron!$A$5,Xero!$E:$E,Heron!$A14)</f>
        <v/>
      </c>
      <c r="R14" s="66">
        <f>-SUMIFS(Xero!$F:$F,Xero!$B:$B,Heron!R$9,Xero!$A:$A,Heron!$A$4,Xero!$E:$E,Heron!$A14)-SUMIFS(Xero!$F:$F,Xero!$B:$B,Heron!R$9,Xero!$A:$A,Heron!$A$5,Xero!$E:$E,Heron!$A14)</f>
        <v/>
      </c>
      <c r="S14" s="66">
        <f>-SUMIFS(Xero!$F:$F,Xero!$B:$B,Heron!S$9,Xero!$A:$A,Heron!$A$4,Xero!$E:$E,Heron!$A14)-SUMIFS(Xero!$F:$F,Xero!$B:$B,Heron!S$9,Xero!$A:$A,Heron!$A$5,Xero!$E:$E,Heron!$A14)</f>
        <v/>
      </c>
      <c r="T14" s="66">
        <f>-SUMIFS(Xero!$F:$F,Xero!$B:$B,Heron!T$9,Xero!$A:$A,Heron!$A$4,Xero!$E:$E,Heron!$A14)-SUMIFS(Xero!$F:$F,Xero!$B:$B,Heron!T$9,Xero!$A:$A,Heron!$A$5,Xero!$E:$E,Heron!$A14)</f>
        <v/>
      </c>
      <c r="U14" s="66">
        <f>-SUMIFS(Xero!$F:$F,Xero!$B:$B,Heron!U$9,Xero!$A:$A,Heron!$A$4,Xero!$E:$E,Heron!$A14)-SUMIFS(Xero!$F:$F,Xero!$B:$B,Heron!U$9,Xero!$A:$A,Heron!$A$5,Xero!$E:$E,Heron!$A14)</f>
        <v/>
      </c>
      <c r="V14" s="66">
        <f>-SUMIFS(Xero!$F:$F,Xero!$B:$B,Heron!V$9,Xero!$A:$A,Heron!$A$4,Xero!$E:$E,Heron!$A14)-SUMIFS(Xero!$F:$F,Xero!$B:$B,Heron!V$9,Xero!$A:$A,Heron!$A$5,Xero!$E:$E,Heron!$A14)</f>
        <v/>
      </c>
      <c r="W14" s="66">
        <f>-SUMIFS(Xero!$F:$F,Xero!$B:$B,Heron!W$9,Xero!$A:$A,Heron!$A$4,Xero!$E:$E,Heron!$A14)-SUMIFS(Xero!$F:$F,Xero!$B:$B,Heron!W$9,Xero!$A:$A,Heron!$A$5,Xero!$E:$E,Heron!$A14)</f>
        <v/>
      </c>
      <c r="X14" s="66">
        <f>-SUMIFS(Xero!$F:$F,Xero!$B:$B,Heron!X$9,Xero!$A:$A,Heron!$A$4,Xero!$E:$E,Heron!$A14)-SUMIFS(Xero!$F:$F,Xero!$B:$B,Heron!X$9,Xero!$A:$A,Heron!$A$5,Xero!$E:$E,Heron!$A14)</f>
        <v/>
      </c>
      <c r="Y14" s="66">
        <f>-SUMIFS(Xero!$F:$F,Xero!$B:$B,Heron!Y$9,Xero!$A:$A,Heron!$A$4,Xero!$E:$E,Heron!$A14)-SUMIFS(Xero!$F:$F,Xero!$B:$B,Heron!Y$9,Xero!$A:$A,Heron!$A$5,Xero!$E:$E,Heron!$A14)</f>
        <v/>
      </c>
      <c r="Z14" s="66">
        <f>-SUMIFS(Xero!$F:$F,Xero!$B:$B,Heron!Z$9,Xero!$A:$A,Heron!$A$4,Xero!$E:$E,Heron!$A14)-SUMIFS(Xero!$F:$F,Xero!$B:$B,Heron!Z$9,Xero!$A:$A,Heron!$A$5,Xero!$E:$E,Heron!$A14)</f>
        <v/>
      </c>
      <c r="AA14" s="66">
        <f>-SUMIFS(Xero!$F:$F,Xero!$B:$B,Heron!AA$9,Xero!$A:$A,Heron!$A$4,Xero!$E:$E,Heron!$A14)-SUMIFS(Xero!$F:$F,Xero!$B:$B,Heron!AA$9,Xero!$A:$A,Heron!$A$5,Xero!$E:$E,Heron!$A14)</f>
        <v/>
      </c>
      <c r="AB14" s="66">
        <f>-SUMIFS(Xero!$F:$F,Xero!$B:$B,Heron!AB$9,Xero!$A:$A,Heron!$A$4,Xero!$E:$E,Heron!$A14)-SUMIFS(Xero!$F:$F,Xero!$B:$B,Heron!AB$9,Xero!$A:$A,Heron!$A$5,Xero!$E:$E,Heron!$A14)</f>
        <v/>
      </c>
      <c r="AC14" s="66">
        <f>-SUMIFS(Xero!$F:$F,Xero!$B:$B,Heron!AC$9,Xero!$A:$A,Heron!$A$4,Xero!$E:$E,Heron!$A14)-SUMIFS(Xero!$F:$F,Xero!$B:$B,Heron!AC$9,Xero!$A:$A,Heron!$A$5,Xero!$E:$E,Heron!$A14)</f>
        <v/>
      </c>
      <c r="AD14" s="66">
        <f>-SUMIFS(Xero!$F:$F,Xero!$B:$B,Heron!AD$9,Xero!$A:$A,Heron!$A$4,Xero!$E:$E,Heron!$A14)-SUMIFS(Xero!$F:$F,Xero!$B:$B,Heron!AD$9,Xero!$A:$A,Heron!$A$5,Xero!$E:$E,Heron!$A14)</f>
        <v/>
      </c>
      <c r="AE14" s="66">
        <f>-SUMIFS(Xero!$F:$F,Xero!$B:$B,Heron!AE$9,Xero!$A:$A,Heron!$A$4,Xero!$E:$E,Heron!$A14)-SUMIFS(Xero!$F:$F,Xero!$B:$B,Heron!AE$9,Xero!$A:$A,Heron!$A$5,Xero!$E:$E,Heron!$A14)</f>
        <v/>
      </c>
      <c r="AF14" s="66">
        <f>-SUMIFS(Xero!$F:$F,Xero!$B:$B,Heron!AF$9,Xero!$A:$A,Heron!$A$4,Xero!$E:$E,Heron!$A14)-SUMIFS(Xero!$F:$F,Xero!$B:$B,Heron!AF$9,Xero!$A:$A,Heron!$A$5,Xero!$E:$E,Heron!$A14)</f>
        <v/>
      </c>
      <c r="AG14" s="66">
        <f>-SUMIFS(Xero!$F:$F,Xero!$B:$B,Heron!AG$9,Xero!$A:$A,Heron!$A$4,Xero!$E:$E,Heron!$A14)-SUMIFS(Xero!$F:$F,Xero!$B:$B,Heron!AG$9,Xero!$A:$A,Heron!$A$5,Xero!$E:$E,Heron!$A14)</f>
        <v/>
      </c>
      <c r="AH14" s="66">
        <f>-SUMIFS(Xero!$F:$F,Xero!$B:$B,Heron!AH$9,Xero!$A:$A,Heron!$A$4,Xero!$E:$E,Heron!$A14)-SUMIFS(Xero!$F:$F,Xero!$B:$B,Heron!AH$9,Xero!$A:$A,Heron!$A$5,Xero!$E:$E,Heron!$A14)</f>
        <v/>
      </c>
      <c r="AI14" s="66">
        <f>-SUMIFS(Xero!$F:$F,Xero!$B:$B,Heron!AI$9,Xero!$A:$A,Heron!$A$4,Xero!$E:$E,Heron!$A14)-SUMIFS(Xero!$F:$F,Xero!$B:$B,Heron!AI$9,Xero!$A:$A,Heron!$A$5,Xero!$E:$E,Heron!$A14)</f>
        <v/>
      </c>
      <c r="AJ14" s="66">
        <f>-SUMIFS(Xero!$F:$F,Xero!$B:$B,Heron!AJ$9,Xero!$A:$A,Heron!$A$4,Xero!$E:$E,Heron!$A14)-SUMIFS(Xero!$F:$F,Xero!$B:$B,Heron!AJ$9,Xero!$A:$A,Heron!$A$5,Xero!$E:$E,Heron!$A14)</f>
        <v/>
      </c>
      <c r="AK14" s="66">
        <f>-SUMIFS(Xero!$F:$F,Xero!$B:$B,Heron!AK$9,Xero!$A:$A,Heron!$A$4,Xero!$E:$E,Heron!$A14)-SUMIFS(Xero!$F:$F,Xero!$B:$B,Heron!AK$9,Xero!$A:$A,Heron!$A$5,Xero!$E:$E,Heron!$A14)</f>
        <v/>
      </c>
      <c r="AL14" s="66">
        <f>-SUMIFS(Xero!$F:$F,Xero!$B:$B,Heron!AL$9,Xero!$A:$A,Heron!$A$4,Xero!$E:$E,Heron!$A14)-SUMIFS(Xero!$F:$F,Xero!$B:$B,Heron!AL$9,Xero!$A:$A,Heron!$A$5,Xero!$E:$E,Heron!$A14)</f>
        <v/>
      </c>
      <c r="AM14" s="66">
        <f>-SUMIFS(Xero!$F:$F,Xero!$B:$B,Heron!AM$9,Xero!$A:$A,Heron!$A$4,Xero!$E:$E,Heron!$A14)-SUMIFS(Xero!$F:$F,Xero!$B:$B,Heron!AM$9,Xero!$A:$A,Heron!$A$5,Xero!$E:$E,Heron!$A14)</f>
        <v/>
      </c>
      <c r="AN14" s="66">
        <f>-SUMIFS(Xero!$F:$F,Xero!$B:$B,Heron!AN$9,Xero!$A:$A,Heron!$A$4,Xero!$E:$E,Heron!$A14)-SUMIFS(Xero!$F:$F,Xero!$B:$B,Heron!AN$9,Xero!$A:$A,Heron!$A$5,Xero!$E:$E,Heron!$A14)</f>
        <v/>
      </c>
      <c r="AO14" s="66">
        <f>-SUMIFS(Xero!$F:$F,Xero!$B:$B,Heron!AO$9,Xero!$A:$A,Heron!$A$4,Xero!$E:$E,Heron!$A14)-SUMIFS(Xero!$F:$F,Xero!$B:$B,Heron!AO$9,Xero!$A:$A,Heron!$A$5,Xero!$E:$E,Heron!$A14)</f>
        <v/>
      </c>
      <c r="AP14" s="66">
        <f>-SUMIFS(Xero!$F:$F,Xero!$B:$B,Heron!AP$9,Xero!$A:$A,Heron!$A$4,Xero!$E:$E,Heron!$A14)-SUMIFS(Xero!$F:$F,Xero!$B:$B,Heron!AP$9,Xero!$A:$A,Heron!$A$5,Xero!$E:$E,Heron!$A14)</f>
        <v/>
      </c>
      <c r="AQ14" s="66">
        <f>-SUMIFS(Xero!$F:$F,Xero!$B:$B,Heron!AQ$9,Xero!$A:$A,Heron!$A$4,Xero!$E:$E,Heron!$A14)-SUMIFS(Xero!$F:$F,Xero!$B:$B,Heron!AQ$9,Xero!$A:$A,Heron!$A$5,Xero!$E:$E,Heron!$A14)</f>
        <v/>
      </c>
      <c r="AR14" s="66">
        <f>-SUMIFS(Xero!$F:$F,Xero!$B:$B,Heron!AR$9,Xero!$A:$A,Heron!$A$4,Xero!$E:$E,Heron!$A14)-SUMIFS(Xero!$F:$F,Xero!$B:$B,Heron!AR$9,Xero!$A:$A,Heron!$A$5,Xero!$E:$E,Heron!$A14)</f>
        <v/>
      </c>
      <c r="AS14" s="66">
        <f>-SUMIFS(Xero!$F:$F,Xero!$B:$B,Heron!AS$9,Xero!$A:$A,Heron!$A$4,Xero!$E:$E,Heron!$A14)-SUMIFS(Xero!$F:$F,Xero!$B:$B,Heron!AS$9,Xero!$A:$A,Heron!$A$5,Xero!$E:$E,Heron!$A14)</f>
        <v/>
      </c>
      <c r="AT14" s="66">
        <f>-SUMIFS(Xero!$F:$F,Xero!$B:$B,Heron!AT$9,Xero!$A:$A,Heron!$A$4,Xero!$E:$E,Heron!$A14)-SUMIFS(Xero!$F:$F,Xero!$B:$B,Heron!AT$9,Xero!$A:$A,Heron!$A$5,Xero!$E:$E,Heron!$A14)</f>
        <v/>
      </c>
      <c r="AU14" s="66">
        <f>-SUMIFS(Xero!$F:$F,Xero!$B:$B,Heron!AU$9,Xero!$A:$A,Heron!$A$4,Xero!$E:$E,Heron!$A14)-SUMIFS(Xero!$F:$F,Xero!$B:$B,Heron!AU$9,Xero!$A:$A,Heron!$A$5,Xero!$E:$E,Heron!$A14)</f>
        <v/>
      </c>
      <c r="AV14" s="66">
        <f>-SUMIFS(Xero!$F:$F,Xero!$B:$B,Heron!AV$9,Xero!$A:$A,Heron!$A$4,Xero!$E:$E,Heron!$A14)-SUMIFS(Xero!$F:$F,Xero!$B:$B,Heron!AV$9,Xero!$A:$A,Heron!$A$5,Xero!$E:$E,Heron!$A14)</f>
        <v/>
      </c>
      <c r="AW14" s="66">
        <f>-SUMIFS(Xero!$F:$F,Xero!$B:$B,Heron!AW$9,Xero!$A:$A,Heron!$A$4,Xero!$E:$E,Heron!$A14)-SUMIFS(Xero!$F:$F,Xero!$B:$B,Heron!AW$9,Xero!$A:$A,Heron!$A$5,Xero!$E:$E,Heron!$A14)</f>
        <v/>
      </c>
      <c r="AX14" s="66">
        <f>-SUMIFS(Xero!$F:$F,Xero!$B:$B,Heron!AX$9,Xero!$A:$A,Heron!$A$4,Xero!$E:$E,Heron!$A14)-SUMIFS(Xero!$F:$F,Xero!$B:$B,Heron!AX$9,Xero!$A:$A,Heron!$A$5,Xero!$E:$E,Heron!$A14)</f>
        <v/>
      </c>
      <c r="AY14" s="66">
        <f>-SUMIFS(Xero!$F:$F,Xero!$B:$B,Heron!AY$9,Xero!$A:$A,Heron!$A$4,Xero!$E:$E,Heron!$A14)-SUMIFS(Xero!$F:$F,Xero!$B:$B,Heron!AY$9,Xero!$A:$A,Heron!$A$5,Xero!$E:$E,Heron!$A14)</f>
        <v/>
      </c>
      <c r="AZ14" s="66">
        <f>-SUMIFS(Xero!$F:$F,Xero!$B:$B,Heron!AZ$9,Xero!$A:$A,Heron!$A$4,Xero!$E:$E,Heron!$A14)-SUMIFS(Xero!$F:$F,Xero!$B:$B,Heron!AZ$9,Xero!$A:$A,Heron!$A$5,Xero!$E:$E,Heron!$A14)</f>
        <v/>
      </c>
      <c r="BA14" s="66">
        <f>-SUMIFS(Xero!$F:$F,Xero!$B:$B,Heron!BA$9,Xero!$A:$A,Heron!$A$4,Xero!$E:$E,Heron!$A14)-SUMIFS(Xero!$F:$F,Xero!$B:$B,Heron!BA$9,Xero!$A:$A,Heron!$A$5,Xero!$E:$E,Heron!$A14)</f>
        <v/>
      </c>
      <c r="BB14" s="66">
        <f>-SUMIFS(Xero!$F:$F,Xero!$B:$B,Heron!BB$9,Xero!$A:$A,Heron!$A$4,Xero!$E:$E,Heron!$A14)-SUMIFS(Xero!$F:$F,Xero!$B:$B,Heron!BB$9,Xero!$A:$A,Heron!$A$5,Xero!$E:$E,Heron!$A14)</f>
        <v/>
      </c>
      <c r="BC14" s="66">
        <f>-SUMIFS(Xero!$F:$F,Xero!$B:$B,Heron!BC$9,Xero!$A:$A,Heron!$A$4,Xero!$E:$E,Heron!$A14)-SUMIFS(Xero!$F:$F,Xero!$B:$B,Heron!BC$9,Xero!$A:$A,Heron!$A$5,Xero!$E:$E,Heron!$A14)</f>
        <v/>
      </c>
      <c r="BD14" s="66">
        <f>-SUMIFS(Xero!$F:$F,Xero!$B:$B,Heron!BD$9,Xero!$A:$A,Heron!$A$4,Xero!$E:$E,Heron!$A14)-SUMIFS(Xero!$F:$F,Xero!$B:$B,Heron!BD$9,Xero!$A:$A,Heron!$A$5,Xero!$E:$E,Heron!$A14)</f>
        <v/>
      </c>
      <c r="BE14" s="66">
        <f>-SUMIFS(Xero!$F:$F,Xero!$B:$B,Heron!BE$9,Xero!$A:$A,Heron!$A$4,Xero!$E:$E,Heron!$A14)-SUMIFS(Xero!$F:$F,Xero!$B:$B,Heron!BE$9,Xero!$A:$A,Heron!$A$5,Xero!$E:$E,Heron!$A14)</f>
        <v/>
      </c>
      <c r="BF14" s="66">
        <f>-SUMIFS(Xero!$F:$F,Xero!$B:$B,Heron!BF$9,Xero!$A:$A,Heron!$A$4,Xero!$E:$E,Heron!$A14)-SUMIFS(Xero!$F:$F,Xero!$B:$B,Heron!BF$9,Xero!$A:$A,Heron!$A$5,Xero!$E:$E,Heron!$A14)</f>
        <v/>
      </c>
      <c r="BG14" s="66">
        <f>-SUMIFS(Xero!$F:$F,Xero!$B:$B,Heron!BG$9,Xero!$A:$A,Heron!$A$4,Xero!$E:$E,Heron!$A14)-SUMIFS(Xero!$F:$F,Xero!$B:$B,Heron!BG$9,Xero!$A:$A,Heron!$A$5,Xero!$E:$E,Heron!$A14)</f>
        <v/>
      </c>
      <c r="BH14" s="66">
        <f>sum(D14:BG14)</f>
        <v/>
      </c>
    </row>
    <row r="15">
      <c r="A15" s="65" t="inlineStr">
        <is>
          <t>Interest Received - Deposits</t>
        </is>
      </c>
      <c r="D15" s="66">
        <f>-SUMIFS(Xero!$F:$F,Xero!$B:$B,Heron!D$9,Xero!$A:$A,Heron!$A$4,Xero!$E:$E,Heron!$A15)-SUMIFS(Xero!$F:$F,Xero!$B:$B,Heron!D$9,Xero!$A:$A,Heron!$A$5,Xero!$E:$E,Heron!$A15)</f>
        <v/>
      </c>
      <c r="E15" s="66">
        <f>-SUMIFS(Xero!$F:$F,Xero!$B:$B,Heron!E$9,Xero!$A:$A,Heron!$A$4,Xero!$E:$E,Heron!$A15)-SUMIFS(Xero!$F:$F,Xero!$B:$B,Heron!E$9,Xero!$A:$A,Heron!$A$5,Xero!$E:$E,Heron!$A15)</f>
        <v/>
      </c>
      <c r="F15" s="66">
        <f>-SUMIFS(Xero!$F:$F,Xero!$B:$B,Heron!F$9,Xero!$A:$A,Heron!$A$4,Xero!$E:$E,Heron!$A15)-SUMIFS(Xero!$F:$F,Xero!$B:$B,Heron!F$9,Xero!$A:$A,Heron!$A$5,Xero!$E:$E,Heron!$A15)</f>
        <v/>
      </c>
      <c r="G15" s="66">
        <f>-SUMIFS(Xero!$F:$F,Xero!$B:$B,Heron!G$9,Xero!$A:$A,Heron!$A$4,Xero!$E:$E,Heron!$A15)-SUMIFS(Xero!$F:$F,Xero!$B:$B,Heron!G$9,Xero!$A:$A,Heron!$A$5,Xero!$E:$E,Heron!$A15)</f>
        <v/>
      </c>
      <c r="H15" s="66">
        <f>-SUMIFS(Xero!$F:$F,Xero!$B:$B,Heron!H$9,Xero!$A:$A,Heron!$A$4,Xero!$E:$E,Heron!$A15)-SUMIFS(Xero!$F:$F,Xero!$B:$B,Heron!H$9,Xero!$A:$A,Heron!$A$5,Xero!$E:$E,Heron!$A15)</f>
        <v/>
      </c>
      <c r="I15" s="66">
        <f>-SUMIFS(Xero!$F:$F,Xero!$B:$B,Heron!I$9,Xero!$A:$A,Heron!$A$4,Xero!$E:$E,Heron!$A15)-SUMIFS(Xero!$F:$F,Xero!$B:$B,Heron!I$9,Xero!$A:$A,Heron!$A$5,Xero!$E:$E,Heron!$A15)</f>
        <v/>
      </c>
      <c r="J15" s="66">
        <f>-SUMIFS(Xero!$F:$F,Xero!$B:$B,Heron!J$9,Xero!$A:$A,Heron!$A$4,Xero!$E:$E,Heron!$A15)-SUMIFS(Xero!$F:$F,Xero!$B:$B,Heron!J$9,Xero!$A:$A,Heron!$A$5,Xero!$E:$E,Heron!$A15)</f>
        <v/>
      </c>
      <c r="K15" s="66">
        <f>-SUMIFS(Xero!$F:$F,Xero!$B:$B,Heron!K$9,Xero!$A:$A,Heron!$A$4,Xero!$E:$E,Heron!$A15)-SUMIFS(Xero!$F:$F,Xero!$B:$B,Heron!K$9,Xero!$A:$A,Heron!$A$5,Xero!$E:$E,Heron!$A15)</f>
        <v/>
      </c>
      <c r="L15" s="66">
        <f>-SUMIFS(Xero!$F:$F,Xero!$B:$B,Heron!L$9,Xero!$A:$A,Heron!$A$4,Xero!$E:$E,Heron!$A15)-SUMIFS(Xero!$F:$F,Xero!$B:$B,Heron!L$9,Xero!$A:$A,Heron!$A$5,Xero!$E:$E,Heron!$A15)</f>
        <v/>
      </c>
      <c r="M15" s="66">
        <f>-SUMIFS(Xero!$F:$F,Xero!$B:$B,Heron!M$9,Xero!$A:$A,Heron!$A$4,Xero!$E:$E,Heron!$A15)-SUMIFS(Xero!$F:$F,Xero!$B:$B,Heron!M$9,Xero!$A:$A,Heron!$A$5,Xero!$E:$E,Heron!$A15)</f>
        <v/>
      </c>
      <c r="N15" s="66">
        <f>-SUMIFS(Xero!$F:$F,Xero!$B:$B,Heron!N$9,Xero!$A:$A,Heron!$A$4,Xero!$E:$E,Heron!$A15)-SUMIFS(Xero!$F:$F,Xero!$B:$B,Heron!N$9,Xero!$A:$A,Heron!$A$5,Xero!$E:$E,Heron!$A15)</f>
        <v/>
      </c>
      <c r="O15" s="66">
        <f>-SUMIFS(Xero!$F:$F,Xero!$B:$B,Heron!O$9,Xero!$A:$A,Heron!$A$4,Xero!$E:$E,Heron!$A15)-SUMIFS(Xero!$F:$F,Xero!$B:$B,Heron!O$9,Xero!$A:$A,Heron!$A$5,Xero!$E:$E,Heron!$A15)</f>
        <v/>
      </c>
      <c r="P15" s="66">
        <f>-SUMIFS(Xero!$F:$F,Xero!$B:$B,Heron!P$9,Xero!$A:$A,Heron!$A$4,Xero!$E:$E,Heron!$A15)-SUMIFS(Xero!$F:$F,Xero!$B:$B,Heron!P$9,Xero!$A:$A,Heron!$A$5,Xero!$E:$E,Heron!$A15)</f>
        <v/>
      </c>
      <c r="Q15" s="66">
        <f>-SUMIFS(Xero!$F:$F,Xero!$B:$B,Heron!Q$9,Xero!$A:$A,Heron!$A$4,Xero!$E:$E,Heron!$A15)-SUMIFS(Xero!$F:$F,Xero!$B:$B,Heron!Q$9,Xero!$A:$A,Heron!$A$5,Xero!$E:$E,Heron!$A15)</f>
        <v/>
      </c>
      <c r="R15" s="66">
        <f>-SUMIFS(Xero!$F:$F,Xero!$B:$B,Heron!R$9,Xero!$A:$A,Heron!$A$4,Xero!$E:$E,Heron!$A15)-SUMIFS(Xero!$F:$F,Xero!$B:$B,Heron!R$9,Xero!$A:$A,Heron!$A$5,Xero!$E:$E,Heron!$A15)</f>
        <v/>
      </c>
      <c r="S15" s="66">
        <f>-SUMIFS(Xero!$F:$F,Xero!$B:$B,Heron!S$9,Xero!$A:$A,Heron!$A$4,Xero!$E:$E,Heron!$A15)-SUMIFS(Xero!$F:$F,Xero!$B:$B,Heron!S$9,Xero!$A:$A,Heron!$A$5,Xero!$E:$E,Heron!$A15)</f>
        <v/>
      </c>
      <c r="T15" s="66">
        <f>-SUMIFS(Xero!$F:$F,Xero!$B:$B,Heron!T$9,Xero!$A:$A,Heron!$A$4,Xero!$E:$E,Heron!$A15)-SUMIFS(Xero!$F:$F,Xero!$B:$B,Heron!T$9,Xero!$A:$A,Heron!$A$5,Xero!$E:$E,Heron!$A15)</f>
        <v/>
      </c>
      <c r="U15" s="66">
        <f>-SUMIFS(Xero!$F:$F,Xero!$B:$B,Heron!U$9,Xero!$A:$A,Heron!$A$4,Xero!$E:$E,Heron!$A15)-SUMIFS(Xero!$F:$F,Xero!$B:$B,Heron!U$9,Xero!$A:$A,Heron!$A$5,Xero!$E:$E,Heron!$A15)</f>
        <v/>
      </c>
      <c r="V15" s="66">
        <f>-SUMIFS(Xero!$F:$F,Xero!$B:$B,Heron!V$9,Xero!$A:$A,Heron!$A$4,Xero!$E:$E,Heron!$A15)-SUMIFS(Xero!$F:$F,Xero!$B:$B,Heron!V$9,Xero!$A:$A,Heron!$A$5,Xero!$E:$E,Heron!$A15)</f>
        <v/>
      </c>
      <c r="W15" s="66">
        <f>-SUMIFS(Xero!$F:$F,Xero!$B:$B,Heron!W$9,Xero!$A:$A,Heron!$A$4,Xero!$E:$E,Heron!$A15)-SUMIFS(Xero!$F:$F,Xero!$B:$B,Heron!W$9,Xero!$A:$A,Heron!$A$5,Xero!$E:$E,Heron!$A15)</f>
        <v/>
      </c>
      <c r="X15" s="66">
        <f>-SUMIFS(Xero!$F:$F,Xero!$B:$B,Heron!X$9,Xero!$A:$A,Heron!$A$4,Xero!$E:$E,Heron!$A15)-SUMIFS(Xero!$F:$F,Xero!$B:$B,Heron!X$9,Xero!$A:$A,Heron!$A$5,Xero!$E:$E,Heron!$A15)</f>
        <v/>
      </c>
      <c r="Y15" s="66">
        <f>-SUMIFS(Xero!$F:$F,Xero!$B:$B,Heron!Y$9,Xero!$A:$A,Heron!$A$4,Xero!$E:$E,Heron!$A15)-SUMIFS(Xero!$F:$F,Xero!$B:$B,Heron!Y$9,Xero!$A:$A,Heron!$A$5,Xero!$E:$E,Heron!$A15)</f>
        <v/>
      </c>
      <c r="Z15" s="66">
        <f>-SUMIFS(Xero!$F:$F,Xero!$B:$B,Heron!Z$9,Xero!$A:$A,Heron!$A$4,Xero!$E:$E,Heron!$A15)-SUMIFS(Xero!$F:$F,Xero!$B:$B,Heron!Z$9,Xero!$A:$A,Heron!$A$5,Xero!$E:$E,Heron!$A15)</f>
        <v/>
      </c>
      <c r="AA15" s="66">
        <f>-SUMIFS(Xero!$F:$F,Xero!$B:$B,Heron!AA$9,Xero!$A:$A,Heron!$A$4,Xero!$E:$E,Heron!$A15)-SUMIFS(Xero!$F:$F,Xero!$B:$B,Heron!AA$9,Xero!$A:$A,Heron!$A$5,Xero!$E:$E,Heron!$A15)</f>
        <v/>
      </c>
      <c r="AB15" s="66">
        <f>-SUMIFS(Xero!$F:$F,Xero!$B:$B,Heron!AB$9,Xero!$A:$A,Heron!$A$4,Xero!$E:$E,Heron!$A15)-SUMIFS(Xero!$F:$F,Xero!$B:$B,Heron!AB$9,Xero!$A:$A,Heron!$A$5,Xero!$E:$E,Heron!$A15)</f>
        <v/>
      </c>
      <c r="AC15" s="66">
        <f>-SUMIFS(Xero!$F:$F,Xero!$B:$B,Heron!AC$9,Xero!$A:$A,Heron!$A$4,Xero!$E:$E,Heron!$A15)-SUMIFS(Xero!$F:$F,Xero!$B:$B,Heron!AC$9,Xero!$A:$A,Heron!$A$5,Xero!$E:$E,Heron!$A15)</f>
        <v/>
      </c>
      <c r="AD15" s="66">
        <f>-SUMIFS(Xero!$F:$F,Xero!$B:$B,Heron!AD$9,Xero!$A:$A,Heron!$A$4,Xero!$E:$E,Heron!$A15)-SUMIFS(Xero!$F:$F,Xero!$B:$B,Heron!AD$9,Xero!$A:$A,Heron!$A$5,Xero!$E:$E,Heron!$A15)</f>
        <v/>
      </c>
      <c r="AE15" s="66">
        <f>-SUMIFS(Xero!$F:$F,Xero!$B:$B,Heron!AE$9,Xero!$A:$A,Heron!$A$4,Xero!$E:$E,Heron!$A15)-SUMIFS(Xero!$F:$F,Xero!$B:$B,Heron!AE$9,Xero!$A:$A,Heron!$A$5,Xero!$E:$E,Heron!$A15)</f>
        <v/>
      </c>
      <c r="AF15" s="66">
        <f>-SUMIFS(Xero!$F:$F,Xero!$B:$B,Heron!AF$9,Xero!$A:$A,Heron!$A$4,Xero!$E:$E,Heron!$A15)-SUMIFS(Xero!$F:$F,Xero!$B:$B,Heron!AF$9,Xero!$A:$A,Heron!$A$5,Xero!$E:$E,Heron!$A15)</f>
        <v/>
      </c>
      <c r="AG15" s="66">
        <f>-SUMIFS(Xero!$F:$F,Xero!$B:$B,Heron!AG$9,Xero!$A:$A,Heron!$A$4,Xero!$E:$E,Heron!$A15)-SUMIFS(Xero!$F:$F,Xero!$B:$B,Heron!AG$9,Xero!$A:$A,Heron!$A$5,Xero!$E:$E,Heron!$A15)</f>
        <v/>
      </c>
      <c r="AH15" s="66">
        <f>-SUMIFS(Xero!$F:$F,Xero!$B:$B,Heron!AH$9,Xero!$A:$A,Heron!$A$4,Xero!$E:$E,Heron!$A15)-SUMIFS(Xero!$F:$F,Xero!$B:$B,Heron!AH$9,Xero!$A:$A,Heron!$A$5,Xero!$E:$E,Heron!$A15)</f>
        <v/>
      </c>
      <c r="AI15" s="66">
        <f>-SUMIFS(Xero!$F:$F,Xero!$B:$B,Heron!AI$9,Xero!$A:$A,Heron!$A$4,Xero!$E:$E,Heron!$A15)-SUMIFS(Xero!$F:$F,Xero!$B:$B,Heron!AI$9,Xero!$A:$A,Heron!$A$5,Xero!$E:$E,Heron!$A15)</f>
        <v/>
      </c>
      <c r="AJ15" s="66">
        <f>-SUMIFS(Xero!$F:$F,Xero!$B:$B,Heron!AJ$9,Xero!$A:$A,Heron!$A$4,Xero!$E:$E,Heron!$A15)-SUMIFS(Xero!$F:$F,Xero!$B:$B,Heron!AJ$9,Xero!$A:$A,Heron!$A$5,Xero!$E:$E,Heron!$A15)</f>
        <v/>
      </c>
      <c r="AK15" s="66">
        <f>-SUMIFS(Xero!$F:$F,Xero!$B:$B,Heron!AK$9,Xero!$A:$A,Heron!$A$4,Xero!$E:$E,Heron!$A15)-SUMIFS(Xero!$F:$F,Xero!$B:$B,Heron!AK$9,Xero!$A:$A,Heron!$A$5,Xero!$E:$E,Heron!$A15)</f>
        <v/>
      </c>
      <c r="AL15" s="66">
        <f>-SUMIFS(Xero!$F:$F,Xero!$B:$B,Heron!AL$9,Xero!$A:$A,Heron!$A$4,Xero!$E:$E,Heron!$A15)-SUMIFS(Xero!$F:$F,Xero!$B:$B,Heron!AL$9,Xero!$A:$A,Heron!$A$5,Xero!$E:$E,Heron!$A15)</f>
        <v/>
      </c>
      <c r="AM15" s="66">
        <f>-SUMIFS(Xero!$F:$F,Xero!$B:$B,Heron!AM$9,Xero!$A:$A,Heron!$A$4,Xero!$E:$E,Heron!$A15)-SUMIFS(Xero!$F:$F,Xero!$B:$B,Heron!AM$9,Xero!$A:$A,Heron!$A$5,Xero!$E:$E,Heron!$A15)</f>
        <v/>
      </c>
      <c r="AN15" s="66">
        <f>-SUMIFS(Xero!$F:$F,Xero!$B:$B,Heron!AN$9,Xero!$A:$A,Heron!$A$4,Xero!$E:$E,Heron!$A15)-SUMIFS(Xero!$F:$F,Xero!$B:$B,Heron!AN$9,Xero!$A:$A,Heron!$A$5,Xero!$E:$E,Heron!$A15)</f>
        <v/>
      </c>
      <c r="AO15" s="66">
        <f>-SUMIFS(Xero!$F:$F,Xero!$B:$B,Heron!AO$9,Xero!$A:$A,Heron!$A$4,Xero!$E:$E,Heron!$A15)-SUMIFS(Xero!$F:$F,Xero!$B:$B,Heron!AO$9,Xero!$A:$A,Heron!$A$5,Xero!$E:$E,Heron!$A15)</f>
        <v/>
      </c>
      <c r="AP15" s="66">
        <f>-SUMIFS(Xero!$F:$F,Xero!$B:$B,Heron!AP$9,Xero!$A:$A,Heron!$A$4,Xero!$E:$E,Heron!$A15)-SUMIFS(Xero!$F:$F,Xero!$B:$B,Heron!AP$9,Xero!$A:$A,Heron!$A$5,Xero!$E:$E,Heron!$A15)</f>
        <v/>
      </c>
      <c r="AQ15" s="66">
        <f>-SUMIFS(Xero!$F:$F,Xero!$B:$B,Heron!AQ$9,Xero!$A:$A,Heron!$A$4,Xero!$E:$E,Heron!$A15)-SUMIFS(Xero!$F:$F,Xero!$B:$B,Heron!AQ$9,Xero!$A:$A,Heron!$A$5,Xero!$E:$E,Heron!$A15)</f>
        <v/>
      </c>
      <c r="AR15" s="66">
        <f>-SUMIFS(Xero!$F:$F,Xero!$B:$B,Heron!AR$9,Xero!$A:$A,Heron!$A$4,Xero!$E:$E,Heron!$A15)-SUMIFS(Xero!$F:$F,Xero!$B:$B,Heron!AR$9,Xero!$A:$A,Heron!$A$5,Xero!$E:$E,Heron!$A15)</f>
        <v/>
      </c>
      <c r="AS15" s="66">
        <f>-SUMIFS(Xero!$F:$F,Xero!$B:$B,Heron!AS$9,Xero!$A:$A,Heron!$A$4,Xero!$E:$E,Heron!$A15)-SUMIFS(Xero!$F:$F,Xero!$B:$B,Heron!AS$9,Xero!$A:$A,Heron!$A$5,Xero!$E:$E,Heron!$A15)</f>
        <v/>
      </c>
      <c r="AT15" s="66">
        <f>-SUMIFS(Xero!$F:$F,Xero!$B:$B,Heron!AT$9,Xero!$A:$A,Heron!$A$4,Xero!$E:$E,Heron!$A15)-SUMIFS(Xero!$F:$F,Xero!$B:$B,Heron!AT$9,Xero!$A:$A,Heron!$A$5,Xero!$E:$E,Heron!$A15)</f>
        <v/>
      </c>
      <c r="AU15" s="66">
        <f>-SUMIFS(Xero!$F:$F,Xero!$B:$B,Heron!AU$9,Xero!$A:$A,Heron!$A$4,Xero!$E:$E,Heron!$A15)-SUMIFS(Xero!$F:$F,Xero!$B:$B,Heron!AU$9,Xero!$A:$A,Heron!$A$5,Xero!$E:$E,Heron!$A15)</f>
        <v/>
      </c>
      <c r="AV15" s="66">
        <f>-SUMIFS(Xero!$F:$F,Xero!$B:$B,Heron!AV$9,Xero!$A:$A,Heron!$A$4,Xero!$E:$E,Heron!$A15)-SUMIFS(Xero!$F:$F,Xero!$B:$B,Heron!AV$9,Xero!$A:$A,Heron!$A$5,Xero!$E:$E,Heron!$A15)</f>
        <v/>
      </c>
      <c r="AW15" s="66">
        <f>-SUMIFS(Xero!$F:$F,Xero!$B:$B,Heron!AW$9,Xero!$A:$A,Heron!$A$4,Xero!$E:$E,Heron!$A15)-SUMIFS(Xero!$F:$F,Xero!$B:$B,Heron!AW$9,Xero!$A:$A,Heron!$A$5,Xero!$E:$E,Heron!$A15)</f>
        <v/>
      </c>
      <c r="AX15" s="66">
        <f>-SUMIFS(Xero!$F:$F,Xero!$B:$B,Heron!AX$9,Xero!$A:$A,Heron!$A$4,Xero!$E:$E,Heron!$A15)-SUMIFS(Xero!$F:$F,Xero!$B:$B,Heron!AX$9,Xero!$A:$A,Heron!$A$5,Xero!$E:$E,Heron!$A15)</f>
        <v/>
      </c>
      <c r="AY15" s="66">
        <f>-SUMIFS(Xero!$F:$F,Xero!$B:$B,Heron!AY$9,Xero!$A:$A,Heron!$A$4,Xero!$E:$E,Heron!$A15)-SUMIFS(Xero!$F:$F,Xero!$B:$B,Heron!AY$9,Xero!$A:$A,Heron!$A$5,Xero!$E:$E,Heron!$A15)</f>
        <v/>
      </c>
      <c r="AZ15" s="66">
        <f>-SUMIFS(Xero!$F:$F,Xero!$B:$B,Heron!AZ$9,Xero!$A:$A,Heron!$A$4,Xero!$E:$E,Heron!$A15)-SUMIFS(Xero!$F:$F,Xero!$B:$B,Heron!AZ$9,Xero!$A:$A,Heron!$A$5,Xero!$E:$E,Heron!$A15)</f>
        <v/>
      </c>
      <c r="BA15" s="66">
        <f>-SUMIFS(Xero!$F:$F,Xero!$B:$B,Heron!BA$9,Xero!$A:$A,Heron!$A$4,Xero!$E:$E,Heron!$A15)-SUMIFS(Xero!$F:$F,Xero!$B:$B,Heron!BA$9,Xero!$A:$A,Heron!$A$5,Xero!$E:$E,Heron!$A15)</f>
        <v/>
      </c>
      <c r="BB15" s="66">
        <f>-SUMIFS(Xero!$F:$F,Xero!$B:$B,Heron!BB$9,Xero!$A:$A,Heron!$A$4,Xero!$E:$E,Heron!$A15)-SUMIFS(Xero!$F:$F,Xero!$B:$B,Heron!BB$9,Xero!$A:$A,Heron!$A$5,Xero!$E:$E,Heron!$A15)</f>
        <v/>
      </c>
      <c r="BC15" s="66">
        <f>-SUMIFS(Xero!$F:$F,Xero!$B:$B,Heron!BC$9,Xero!$A:$A,Heron!$A$4,Xero!$E:$E,Heron!$A15)-SUMIFS(Xero!$F:$F,Xero!$B:$B,Heron!BC$9,Xero!$A:$A,Heron!$A$5,Xero!$E:$E,Heron!$A15)</f>
        <v/>
      </c>
      <c r="BD15" s="66">
        <f>-SUMIFS(Xero!$F:$F,Xero!$B:$B,Heron!BD$9,Xero!$A:$A,Heron!$A$4,Xero!$E:$E,Heron!$A15)-SUMIFS(Xero!$F:$F,Xero!$B:$B,Heron!BD$9,Xero!$A:$A,Heron!$A$5,Xero!$E:$E,Heron!$A15)</f>
        <v/>
      </c>
      <c r="BE15" s="66">
        <f>-SUMIFS(Xero!$F:$F,Xero!$B:$B,Heron!BE$9,Xero!$A:$A,Heron!$A$4,Xero!$E:$E,Heron!$A15)-SUMIFS(Xero!$F:$F,Xero!$B:$B,Heron!BE$9,Xero!$A:$A,Heron!$A$5,Xero!$E:$E,Heron!$A15)</f>
        <v/>
      </c>
      <c r="BF15" s="66">
        <f>-SUMIFS(Xero!$F:$F,Xero!$B:$B,Heron!BF$9,Xero!$A:$A,Heron!$A$4,Xero!$E:$E,Heron!$A15)-SUMIFS(Xero!$F:$F,Xero!$B:$B,Heron!BF$9,Xero!$A:$A,Heron!$A$5,Xero!$E:$E,Heron!$A15)</f>
        <v/>
      </c>
      <c r="BG15" s="66">
        <f>-SUMIFS(Xero!$F:$F,Xero!$B:$B,Heron!BG$9,Xero!$A:$A,Heron!$A$4,Xero!$E:$E,Heron!$A15)-SUMIFS(Xero!$F:$F,Xero!$B:$B,Heron!BG$9,Xero!$A:$A,Heron!$A$5,Xero!$E:$E,Heron!$A15)</f>
        <v/>
      </c>
      <c r="BH15" s="66">
        <f>sum(D15:BG15)</f>
        <v/>
      </c>
    </row>
    <row r="16">
      <c r="A16" s="65" t="inlineStr">
        <is>
          <t>Interest Received - Momentum</t>
        </is>
      </c>
      <c r="D16" s="66">
        <f>-SUMIFS(Xero!$F:$F,Xero!$B:$B,Heron!D$9,Xero!$A:$A,Heron!$A$4,Xero!$E:$E,Heron!$A16)-SUMIFS(Xero!$F:$F,Xero!$B:$B,Heron!D$9,Xero!$A:$A,Heron!$A$5,Xero!$E:$E,Heron!$A16)</f>
        <v/>
      </c>
      <c r="E16" s="66">
        <f>-SUMIFS(Xero!$F:$F,Xero!$B:$B,Heron!E$9,Xero!$A:$A,Heron!$A$4,Xero!$E:$E,Heron!$A16)-SUMIFS(Xero!$F:$F,Xero!$B:$B,Heron!E$9,Xero!$A:$A,Heron!$A$5,Xero!$E:$E,Heron!$A16)</f>
        <v/>
      </c>
      <c r="F16" s="66">
        <f>-SUMIFS(Xero!$F:$F,Xero!$B:$B,Heron!F$9,Xero!$A:$A,Heron!$A$4,Xero!$E:$E,Heron!$A16)-SUMIFS(Xero!$F:$F,Xero!$B:$B,Heron!F$9,Xero!$A:$A,Heron!$A$5,Xero!$E:$E,Heron!$A16)</f>
        <v/>
      </c>
      <c r="G16" s="66">
        <f>-SUMIFS(Xero!$F:$F,Xero!$B:$B,Heron!G$9,Xero!$A:$A,Heron!$A$4,Xero!$E:$E,Heron!$A16)-SUMIFS(Xero!$F:$F,Xero!$B:$B,Heron!G$9,Xero!$A:$A,Heron!$A$5,Xero!$E:$E,Heron!$A16)</f>
        <v/>
      </c>
      <c r="H16" s="66">
        <f>-SUMIFS(Xero!$F:$F,Xero!$B:$B,Heron!H$9,Xero!$A:$A,Heron!$A$4,Xero!$E:$E,Heron!$A16)-SUMIFS(Xero!$F:$F,Xero!$B:$B,Heron!H$9,Xero!$A:$A,Heron!$A$5,Xero!$E:$E,Heron!$A16)</f>
        <v/>
      </c>
      <c r="I16" s="66">
        <f>-SUMIFS(Xero!$F:$F,Xero!$B:$B,Heron!I$9,Xero!$A:$A,Heron!$A$4,Xero!$E:$E,Heron!$A16)-SUMIFS(Xero!$F:$F,Xero!$B:$B,Heron!I$9,Xero!$A:$A,Heron!$A$5,Xero!$E:$E,Heron!$A16)</f>
        <v/>
      </c>
      <c r="J16" s="66">
        <f>-SUMIFS(Xero!$F:$F,Xero!$B:$B,Heron!J$9,Xero!$A:$A,Heron!$A$4,Xero!$E:$E,Heron!$A16)-SUMIFS(Xero!$F:$F,Xero!$B:$B,Heron!J$9,Xero!$A:$A,Heron!$A$5,Xero!$E:$E,Heron!$A16)</f>
        <v/>
      </c>
      <c r="K16" s="66">
        <f>-SUMIFS(Xero!$F:$F,Xero!$B:$B,Heron!K$9,Xero!$A:$A,Heron!$A$4,Xero!$E:$E,Heron!$A16)-SUMIFS(Xero!$F:$F,Xero!$B:$B,Heron!K$9,Xero!$A:$A,Heron!$A$5,Xero!$E:$E,Heron!$A16)</f>
        <v/>
      </c>
      <c r="L16" s="66">
        <f>-SUMIFS(Xero!$F:$F,Xero!$B:$B,Heron!L$9,Xero!$A:$A,Heron!$A$4,Xero!$E:$E,Heron!$A16)-SUMIFS(Xero!$F:$F,Xero!$B:$B,Heron!L$9,Xero!$A:$A,Heron!$A$5,Xero!$E:$E,Heron!$A16)</f>
        <v/>
      </c>
      <c r="M16" s="66">
        <f>-SUMIFS(Xero!$F:$F,Xero!$B:$B,Heron!M$9,Xero!$A:$A,Heron!$A$4,Xero!$E:$E,Heron!$A16)-SUMIFS(Xero!$F:$F,Xero!$B:$B,Heron!M$9,Xero!$A:$A,Heron!$A$5,Xero!$E:$E,Heron!$A16)</f>
        <v/>
      </c>
      <c r="N16" s="66">
        <f>-SUMIFS(Xero!$F:$F,Xero!$B:$B,Heron!N$9,Xero!$A:$A,Heron!$A$4,Xero!$E:$E,Heron!$A16)-SUMIFS(Xero!$F:$F,Xero!$B:$B,Heron!N$9,Xero!$A:$A,Heron!$A$5,Xero!$E:$E,Heron!$A16)</f>
        <v/>
      </c>
      <c r="O16" s="66">
        <f>-SUMIFS(Xero!$F:$F,Xero!$B:$B,Heron!O$9,Xero!$A:$A,Heron!$A$4,Xero!$E:$E,Heron!$A16)-SUMIFS(Xero!$F:$F,Xero!$B:$B,Heron!O$9,Xero!$A:$A,Heron!$A$5,Xero!$E:$E,Heron!$A16)</f>
        <v/>
      </c>
      <c r="P16" s="66">
        <f>-SUMIFS(Xero!$F:$F,Xero!$B:$B,Heron!P$9,Xero!$A:$A,Heron!$A$4,Xero!$E:$E,Heron!$A16)-SUMIFS(Xero!$F:$F,Xero!$B:$B,Heron!P$9,Xero!$A:$A,Heron!$A$5,Xero!$E:$E,Heron!$A16)</f>
        <v/>
      </c>
      <c r="Q16" s="66">
        <f>-SUMIFS(Xero!$F:$F,Xero!$B:$B,Heron!Q$9,Xero!$A:$A,Heron!$A$4,Xero!$E:$E,Heron!$A16)-SUMIFS(Xero!$F:$F,Xero!$B:$B,Heron!Q$9,Xero!$A:$A,Heron!$A$5,Xero!$E:$E,Heron!$A16)</f>
        <v/>
      </c>
      <c r="R16" s="66">
        <f>-SUMIFS(Xero!$F:$F,Xero!$B:$B,Heron!R$9,Xero!$A:$A,Heron!$A$4,Xero!$E:$E,Heron!$A16)-SUMIFS(Xero!$F:$F,Xero!$B:$B,Heron!R$9,Xero!$A:$A,Heron!$A$5,Xero!$E:$E,Heron!$A16)</f>
        <v/>
      </c>
      <c r="S16" s="66">
        <f>-SUMIFS(Xero!$F:$F,Xero!$B:$B,Heron!S$9,Xero!$A:$A,Heron!$A$4,Xero!$E:$E,Heron!$A16)-SUMIFS(Xero!$F:$F,Xero!$B:$B,Heron!S$9,Xero!$A:$A,Heron!$A$5,Xero!$E:$E,Heron!$A16)</f>
        <v/>
      </c>
      <c r="T16" s="66">
        <f>-SUMIFS(Xero!$F:$F,Xero!$B:$B,Heron!T$9,Xero!$A:$A,Heron!$A$4,Xero!$E:$E,Heron!$A16)-SUMIFS(Xero!$F:$F,Xero!$B:$B,Heron!T$9,Xero!$A:$A,Heron!$A$5,Xero!$E:$E,Heron!$A16)</f>
        <v/>
      </c>
      <c r="U16" s="66">
        <f>-SUMIFS(Xero!$F:$F,Xero!$B:$B,Heron!U$9,Xero!$A:$A,Heron!$A$4,Xero!$E:$E,Heron!$A16)-SUMIFS(Xero!$F:$F,Xero!$B:$B,Heron!U$9,Xero!$A:$A,Heron!$A$5,Xero!$E:$E,Heron!$A16)</f>
        <v/>
      </c>
      <c r="V16" s="66">
        <f>-SUMIFS(Xero!$F:$F,Xero!$B:$B,Heron!V$9,Xero!$A:$A,Heron!$A$4,Xero!$E:$E,Heron!$A16)-SUMIFS(Xero!$F:$F,Xero!$B:$B,Heron!V$9,Xero!$A:$A,Heron!$A$5,Xero!$E:$E,Heron!$A16)</f>
        <v/>
      </c>
      <c r="W16" s="66">
        <f>-SUMIFS(Xero!$F:$F,Xero!$B:$B,Heron!W$9,Xero!$A:$A,Heron!$A$4,Xero!$E:$E,Heron!$A16)-SUMIFS(Xero!$F:$F,Xero!$B:$B,Heron!W$9,Xero!$A:$A,Heron!$A$5,Xero!$E:$E,Heron!$A16)</f>
        <v/>
      </c>
      <c r="X16" s="66">
        <f>-SUMIFS(Xero!$F:$F,Xero!$B:$B,Heron!X$9,Xero!$A:$A,Heron!$A$4,Xero!$E:$E,Heron!$A16)-SUMIFS(Xero!$F:$F,Xero!$B:$B,Heron!X$9,Xero!$A:$A,Heron!$A$5,Xero!$E:$E,Heron!$A16)</f>
        <v/>
      </c>
      <c r="Y16" s="66">
        <f>-SUMIFS(Xero!$F:$F,Xero!$B:$B,Heron!Y$9,Xero!$A:$A,Heron!$A$4,Xero!$E:$E,Heron!$A16)-SUMIFS(Xero!$F:$F,Xero!$B:$B,Heron!Y$9,Xero!$A:$A,Heron!$A$5,Xero!$E:$E,Heron!$A16)</f>
        <v/>
      </c>
      <c r="Z16" s="66">
        <f>-SUMIFS(Xero!$F:$F,Xero!$B:$B,Heron!Z$9,Xero!$A:$A,Heron!$A$4,Xero!$E:$E,Heron!$A16)-SUMIFS(Xero!$F:$F,Xero!$B:$B,Heron!Z$9,Xero!$A:$A,Heron!$A$5,Xero!$E:$E,Heron!$A16)</f>
        <v/>
      </c>
      <c r="AA16" s="66">
        <f>-SUMIFS(Xero!$F:$F,Xero!$B:$B,Heron!AA$9,Xero!$A:$A,Heron!$A$4,Xero!$E:$E,Heron!$A16)-SUMIFS(Xero!$F:$F,Xero!$B:$B,Heron!AA$9,Xero!$A:$A,Heron!$A$5,Xero!$E:$E,Heron!$A16)</f>
        <v/>
      </c>
      <c r="AB16" s="66">
        <f>-SUMIFS(Xero!$F:$F,Xero!$B:$B,Heron!AB$9,Xero!$A:$A,Heron!$A$4,Xero!$E:$E,Heron!$A16)-SUMIFS(Xero!$F:$F,Xero!$B:$B,Heron!AB$9,Xero!$A:$A,Heron!$A$5,Xero!$E:$E,Heron!$A16)</f>
        <v/>
      </c>
      <c r="AC16" s="66">
        <f>-SUMIFS(Xero!$F:$F,Xero!$B:$B,Heron!AC$9,Xero!$A:$A,Heron!$A$4,Xero!$E:$E,Heron!$A16)-SUMIFS(Xero!$F:$F,Xero!$B:$B,Heron!AC$9,Xero!$A:$A,Heron!$A$5,Xero!$E:$E,Heron!$A16)</f>
        <v/>
      </c>
      <c r="AD16" s="66">
        <f>-SUMIFS(Xero!$F:$F,Xero!$B:$B,Heron!AD$9,Xero!$A:$A,Heron!$A$4,Xero!$E:$E,Heron!$A16)-SUMIFS(Xero!$F:$F,Xero!$B:$B,Heron!AD$9,Xero!$A:$A,Heron!$A$5,Xero!$E:$E,Heron!$A16)</f>
        <v/>
      </c>
      <c r="AE16" s="66">
        <f>-SUMIFS(Xero!$F:$F,Xero!$B:$B,Heron!AE$9,Xero!$A:$A,Heron!$A$4,Xero!$E:$E,Heron!$A16)-SUMIFS(Xero!$F:$F,Xero!$B:$B,Heron!AE$9,Xero!$A:$A,Heron!$A$5,Xero!$E:$E,Heron!$A16)</f>
        <v/>
      </c>
      <c r="AF16" s="66">
        <f>-SUMIFS(Xero!$F:$F,Xero!$B:$B,Heron!AF$9,Xero!$A:$A,Heron!$A$4,Xero!$E:$E,Heron!$A16)-SUMIFS(Xero!$F:$F,Xero!$B:$B,Heron!AF$9,Xero!$A:$A,Heron!$A$5,Xero!$E:$E,Heron!$A16)</f>
        <v/>
      </c>
      <c r="AG16" s="66">
        <f>-SUMIFS(Xero!$F:$F,Xero!$B:$B,Heron!AG$9,Xero!$A:$A,Heron!$A$4,Xero!$E:$E,Heron!$A16)-SUMIFS(Xero!$F:$F,Xero!$B:$B,Heron!AG$9,Xero!$A:$A,Heron!$A$5,Xero!$E:$E,Heron!$A16)</f>
        <v/>
      </c>
      <c r="AH16" s="66">
        <f>-SUMIFS(Xero!$F:$F,Xero!$B:$B,Heron!AH$9,Xero!$A:$A,Heron!$A$4,Xero!$E:$E,Heron!$A16)-SUMIFS(Xero!$F:$F,Xero!$B:$B,Heron!AH$9,Xero!$A:$A,Heron!$A$5,Xero!$E:$E,Heron!$A16)</f>
        <v/>
      </c>
      <c r="AI16" s="66">
        <f>-SUMIFS(Xero!$F:$F,Xero!$B:$B,Heron!AI$9,Xero!$A:$A,Heron!$A$4,Xero!$E:$E,Heron!$A16)-SUMIFS(Xero!$F:$F,Xero!$B:$B,Heron!AI$9,Xero!$A:$A,Heron!$A$5,Xero!$E:$E,Heron!$A16)</f>
        <v/>
      </c>
      <c r="AJ16" s="66">
        <f>-SUMIFS(Xero!$F:$F,Xero!$B:$B,Heron!AJ$9,Xero!$A:$A,Heron!$A$4,Xero!$E:$E,Heron!$A16)-SUMIFS(Xero!$F:$F,Xero!$B:$B,Heron!AJ$9,Xero!$A:$A,Heron!$A$5,Xero!$E:$E,Heron!$A16)</f>
        <v/>
      </c>
      <c r="AK16" s="66">
        <f>-SUMIFS(Xero!$F:$F,Xero!$B:$B,Heron!AK$9,Xero!$A:$A,Heron!$A$4,Xero!$E:$E,Heron!$A16)-SUMIFS(Xero!$F:$F,Xero!$B:$B,Heron!AK$9,Xero!$A:$A,Heron!$A$5,Xero!$E:$E,Heron!$A16)</f>
        <v/>
      </c>
      <c r="AL16" s="66">
        <f>-SUMIFS(Xero!$F:$F,Xero!$B:$B,Heron!AL$9,Xero!$A:$A,Heron!$A$4,Xero!$E:$E,Heron!$A16)-SUMIFS(Xero!$F:$F,Xero!$B:$B,Heron!AL$9,Xero!$A:$A,Heron!$A$5,Xero!$E:$E,Heron!$A16)</f>
        <v/>
      </c>
      <c r="AM16" s="66">
        <f>-SUMIFS(Xero!$F:$F,Xero!$B:$B,Heron!AM$9,Xero!$A:$A,Heron!$A$4,Xero!$E:$E,Heron!$A16)-SUMIFS(Xero!$F:$F,Xero!$B:$B,Heron!AM$9,Xero!$A:$A,Heron!$A$5,Xero!$E:$E,Heron!$A16)</f>
        <v/>
      </c>
      <c r="AN16" s="66">
        <f>-SUMIFS(Xero!$F:$F,Xero!$B:$B,Heron!AN$9,Xero!$A:$A,Heron!$A$4,Xero!$E:$E,Heron!$A16)-SUMIFS(Xero!$F:$F,Xero!$B:$B,Heron!AN$9,Xero!$A:$A,Heron!$A$5,Xero!$E:$E,Heron!$A16)</f>
        <v/>
      </c>
      <c r="AO16" s="66">
        <f>-SUMIFS(Xero!$F:$F,Xero!$B:$B,Heron!AO$9,Xero!$A:$A,Heron!$A$4,Xero!$E:$E,Heron!$A16)-SUMIFS(Xero!$F:$F,Xero!$B:$B,Heron!AO$9,Xero!$A:$A,Heron!$A$5,Xero!$E:$E,Heron!$A16)</f>
        <v/>
      </c>
      <c r="AP16" s="66">
        <f>-SUMIFS(Xero!$F:$F,Xero!$B:$B,Heron!AP$9,Xero!$A:$A,Heron!$A$4,Xero!$E:$E,Heron!$A16)-SUMIFS(Xero!$F:$F,Xero!$B:$B,Heron!AP$9,Xero!$A:$A,Heron!$A$5,Xero!$E:$E,Heron!$A16)</f>
        <v/>
      </c>
      <c r="AQ16" s="66">
        <f>-SUMIFS(Xero!$F:$F,Xero!$B:$B,Heron!AQ$9,Xero!$A:$A,Heron!$A$4,Xero!$E:$E,Heron!$A16)-SUMIFS(Xero!$F:$F,Xero!$B:$B,Heron!AQ$9,Xero!$A:$A,Heron!$A$5,Xero!$E:$E,Heron!$A16)</f>
        <v/>
      </c>
      <c r="AR16" s="66">
        <f>-SUMIFS(Xero!$F:$F,Xero!$B:$B,Heron!AR$9,Xero!$A:$A,Heron!$A$4,Xero!$E:$E,Heron!$A16)-SUMIFS(Xero!$F:$F,Xero!$B:$B,Heron!AR$9,Xero!$A:$A,Heron!$A$5,Xero!$E:$E,Heron!$A16)</f>
        <v/>
      </c>
      <c r="AS16" s="66">
        <f>-SUMIFS(Xero!$F:$F,Xero!$B:$B,Heron!AS$9,Xero!$A:$A,Heron!$A$4,Xero!$E:$E,Heron!$A16)-SUMIFS(Xero!$F:$F,Xero!$B:$B,Heron!AS$9,Xero!$A:$A,Heron!$A$5,Xero!$E:$E,Heron!$A16)</f>
        <v/>
      </c>
      <c r="AT16" s="66">
        <f>-SUMIFS(Xero!$F:$F,Xero!$B:$B,Heron!AT$9,Xero!$A:$A,Heron!$A$4,Xero!$E:$E,Heron!$A16)-SUMIFS(Xero!$F:$F,Xero!$B:$B,Heron!AT$9,Xero!$A:$A,Heron!$A$5,Xero!$E:$E,Heron!$A16)</f>
        <v/>
      </c>
      <c r="AU16" s="66">
        <f>-SUMIFS(Xero!$F:$F,Xero!$B:$B,Heron!AU$9,Xero!$A:$A,Heron!$A$4,Xero!$E:$E,Heron!$A16)-SUMIFS(Xero!$F:$F,Xero!$B:$B,Heron!AU$9,Xero!$A:$A,Heron!$A$5,Xero!$E:$E,Heron!$A16)</f>
        <v/>
      </c>
      <c r="AV16" s="66">
        <f>-SUMIFS(Xero!$F:$F,Xero!$B:$B,Heron!AV$9,Xero!$A:$A,Heron!$A$4,Xero!$E:$E,Heron!$A16)-SUMIFS(Xero!$F:$F,Xero!$B:$B,Heron!AV$9,Xero!$A:$A,Heron!$A$5,Xero!$E:$E,Heron!$A16)</f>
        <v/>
      </c>
      <c r="AW16" s="66">
        <f>-SUMIFS(Xero!$F:$F,Xero!$B:$B,Heron!AW$9,Xero!$A:$A,Heron!$A$4,Xero!$E:$E,Heron!$A16)-SUMIFS(Xero!$F:$F,Xero!$B:$B,Heron!AW$9,Xero!$A:$A,Heron!$A$5,Xero!$E:$E,Heron!$A16)</f>
        <v/>
      </c>
      <c r="AX16" s="66">
        <f>-SUMIFS(Xero!$F:$F,Xero!$B:$B,Heron!AX$9,Xero!$A:$A,Heron!$A$4,Xero!$E:$E,Heron!$A16)-SUMIFS(Xero!$F:$F,Xero!$B:$B,Heron!AX$9,Xero!$A:$A,Heron!$A$5,Xero!$E:$E,Heron!$A16)</f>
        <v/>
      </c>
      <c r="AY16" s="66">
        <f>-SUMIFS(Xero!$F:$F,Xero!$B:$B,Heron!AY$9,Xero!$A:$A,Heron!$A$4,Xero!$E:$E,Heron!$A16)-SUMIFS(Xero!$F:$F,Xero!$B:$B,Heron!AY$9,Xero!$A:$A,Heron!$A$5,Xero!$E:$E,Heron!$A16)</f>
        <v/>
      </c>
      <c r="AZ16" s="66">
        <f>-SUMIFS(Xero!$F:$F,Xero!$B:$B,Heron!AZ$9,Xero!$A:$A,Heron!$A$4,Xero!$E:$E,Heron!$A16)-SUMIFS(Xero!$F:$F,Xero!$B:$B,Heron!AZ$9,Xero!$A:$A,Heron!$A$5,Xero!$E:$E,Heron!$A16)</f>
        <v/>
      </c>
      <c r="BA16" s="66">
        <f>-SUMIFS(Xero!$F:$F,Xero!$B:$B,Heron!BA$9,Xero!$A:$A,Heron!$A$4,Xero!$E:$E,Heron!$A16)-SUMIFS(Xero!$F:$F,Xero!$B:$B,Heron!BA$9,Xero!$A:$A,Heron!$A$5,Xero!$E:$E,Heron!$A16)</f>
        <v/>
      </c>
      <c r="BB16" s="66">
        <f>-SUMIFS(Xero!$F:$F,Xero!$B:$B,Heron!BB$9,Xero!$A:$A,Heron!$A$4,Xero!$E:$E,Heron!$A16)-SUMIFS(Xero!$F:$F,Xero!$B:$B,Heron!BB$9,Xero!$A:$A,Heron!$A$5,Xero!$E:$E,Heron!$A16)</f>
        <v/>
      </c>
      <c r="BC16" s="66">
        <f>-SUMIFS(Xero!$F:$F,Xero!$B:$B,Heron!BC$9,Xero!$A:$A,Heron!$A$4,Xero!$E:$E,Heron!$A16)-SUMIFS(Xero!$F:$F,Xero!$B:$B,Heron!BC$9,Xero!$A:$A,Heron!$A$5,Xero!$E:$E,Heron!$A16)</f>
        <v/>
      </c>
      <c r="BD16" s="66">
        <f>-SUMIFS(Xero!$F:$F,Xero!$B:$B,Heron!BD$9,Xero!$A:$A,Heron!$A$4,Xero!$E:$E,Heron!$A16)-SUMIFS(Xero!$F:$F,Xero!$B:$B,Heron!BD$9,Xero!$A:$A,Heron!$A$5,Xero!$E:$E,Heron!$A16)</f>
        <v/>
      </c>
      <c r="BE16" s="66">
        <f>-SUMIFS(Xero!$F:$F,Xero!$B:$B,Heron!BE$9,Xero!$A:$A,Heron!$A$4,Xero!$E:$E,Heron!$A16)-SUMIFS(Xero!$F:$F,Xero!$B:$B,Heron!BE$9,Xero!$A:$A,Heron!$A$5,Xero!$E:$E,Heron!$A16)</f>
        <v/>
      </c>
      <c r="BF16" s="66">
        <f>-SUMIFS(Xero!$F:$F,Xero!$B:$B,Heron!BF$9,Xero!$A:$A,Heron!$A$4,Xero!$E:$E,Heron!$A16)-SUMIFS(Xero!$F:$F,Xero!$B:$B,Heron!BF$9,Xero!$A:$A,Heron!$A$5,Xero!$E:$E,Heron!$A16)</f>
        <v/>
      </c>
      <c r="BG16" s="66">
        <f>-SUMIFS(Xero!$F:$F,Xero!$B:$B,Heron!BG$9,Xero!$A:$A,Heron!$A$4,Xero!$E:$E,Heron!$A16)-SUMIFS(Xero!$F:$F,Xero!$B:$B,Heron!BG$9,Xero!$A:$A,Heron!$A$5,Xero!$E:$E,Heron!$A16)</f>
        <v/>
      </c>
      <c r="BH16" s="66">
        <f>sum(D16:BG16)</f>
        <v/>
      </c>
    </row>
    <row r="17">
      <c r="A17" s="65" t="inlineStr">
        <is>
          <t>Interest Received - STBB Trust Account</t>
        </is>
      </c>
      <c r="D17" s="66">
        <f>-SUMIFS(Xero!$F:$F,Xero!$B:$B,Heron!D$9,Xero!$A:$A,Heron!$A$4,Xero!$E:$E,Heron!$A17)-SUMIFS(Xero!$F:$F,Xero!$B:$B,Heron!D$9,Xero!$A:$A,Heron!$A$5,Xero!$E:$E,Heron!$A17)</f>
        <v/>
      </c>
      <c r="E17" s="66">
        <f>-SUMIFS(Xero!$F:$F,Xero!$B:$B,Heron!E$9,Xero!$A:$A,Heron!$A$4,Xero!$E:$E,Heron!$A17)-SUMIFS(Xero!$F:$F,Xero!$B:$B,Heron!E$9,Xero!$A:$A,Heron!$A$5,Xero!$E:$E,Heron!$A17)</f>
        <v/>
      </c>
      <c r="F17" s="66">
        <f>-SUMIFS(Xero!$F:$F,Xero!$B:$B,Heron!F$9,Xero!$A:$A,Heron!$A$4,Xero!$E:$E,Heron!$A17)-SUMIFS(Xero!$F:$F,Xero!$B:$B,Heron!F$9,Xero!$A:$A,Heron!$A$5,Xero!$E:$E,Heron!$A17)</f>
        <v/>
      </c>
      <c r="G17" s="66">
        <f>-SUMIFS(Xero!$F:$F,Xero!$B:$B,Heron!G$9,Xero!$A:$A,Heron!$A$4,Xero!$E:$E,Heron!$A17)-SUMIFS(Xero!$F:$F,Xero!$B:$B,Heron!G$9,Xero!$A:$A,Heron!$A$5,Xero!$E:$E,Heron!$A17)</f>
        <v/>
      </c>
      <c r="H17" s="66">
        <f>-SUMIFS(Xero!$F:$F,Xero!$B:$B,Heron!H$9,Xero!$A:$A,Heron!$A$4,Xero!$E:$E,Heron!$A17)-SUMIFS(Xero!$F:$F,Xero!$B:$B,Heron!H$9,Xero!$A:$A,Heron!$A$5,Xero!$E:$E,Heron!$A17)</f>
        <v/>
      </c>
      <c r="I17" s="66">
        <f>-SUMIFS(Xero!$F:$F,Xero!$B:$B,Heron!I$9,Xero!$A:$A,Heron!$A$4,Xero!$E:$E,Heron!$A17)-SUMIFS(Xero!$F:$F,Xero!$B:$B,Heron!I$9,Xero!$A:$A,Heron!$A$5,Xero!$E:$E,Heron!$A17)</f>
        <v/>
      </c>
      <c r="J17" s="66">
        <f>-SUMIFS(Xero!$F:$F,Xero!$B:$B,Heron!J$9,Xero!$A:$A,Heron!$A$4,Xero!$E:$E,Heron!$A17)-SUMIFS(Xero!$F:$F,Xero!$B:$B,Heron!J$9,Xero!$A:$A,Heron!$A$5,Xero!$E:$E,Heron!$A17)</f>
        <v/>
      </c>
      <c r="K17" s="66">
        <f>-SUMIFS(Xero!$F:$F,Xero!$B:$B,Heron!K$9,Xero!$A:$A,Heron!$A$4,Xero!$E:$E,Heron!$A17)-SUMIFS(Xero!$F:$F,Xero!$B:$B,Heron!K$9,Xero!$A:$A,Heron!$A$5,Xero!$E:$E,Heron!$A17)</f>
        <v/>
      </c>
      <c r="L17" s="66">
        <f>-SUMIFS(Xero!$F:$F,Xero!$B:$B,Heron!L$9,Xero!$A:$A,Heron!$A$4,Xero!$E:$E,Heron!$A17)-SUMIFS(Xero!$F:$F,Xero!$B:$B,Heron!L$9,Xero!$A:$A,Heron!$A$5,Xero!$E:$E,Heron!$A17)</f>
        <v/>
      </c>
      <c r="M17" s="66">
        <f>-SUMIFS(Xero!$F:$F,Xero!$B:$B,Heron!M$9,Xero!$A:$A,Heron!$A$4,Xero!$E:$E,Heron!$A17)-SUMIFS(Xero!$F:$F,Xero!$B:$B,Heron!M$9,Xero!$A:$A,Heron!$A$5,Xero!$E:$E,Heron!$A17)</f>
        <v/>
      </c>
      <c r="N17" s="66">
        <f>-SUMIFS(Xero!$F:$F,Xero!$B:$B,Heron!N$9,Xero!$A:$A,Heron!$A$4,Xero!$E:$E,Heron!$A17)-SUMIFS(Xero!$F:$F,Xero!$B:$B,Heron!N$9,Xero!$A:$A,Heron!$A$5,Xero!$E:$E,Heron!$A17)</f>
        <v/>
      </c>
      <c r="O17" s="66">
        <f>-SUMIFS(Xero!$F:$F,Xero!$B:$B,Heron!O$9,Xero!$A:$A,Heron!$A$4,Xero!$E:$E,Heron!$A17)-SUMIFS(Xero!$F:$F,Xero!$B:$B,Heron!O$9,Xero!$A:$A,Heron!$A$5,Xero!$E:$E,Heron!$A17)</f>
        <v/>
      </c>
      <c r="P17" s="66">
        <f>-SUMIFS(Xero!$F:$F,Xero!$B:$B,Heron!P$9,Xero!$A:$A,Heron!$A$4,Xero!$E:$E,Heron!$A17)-SUMIFS(Xero!$F:$F,Xero!$B:$B,Heron!P$9,Xero!$A:$A,Heron!$A$5,Xero!$E:$E,Heron!$A17)</f>
        <v/>
      </c>
      <c r="Q17" s="66">
        <f>-SUMIFS(Xero!$F:$F,Xero!$B:$B,Heron!Q$9,Xero!$A:$A,Heron!$A$4,Xero!$E:$E,Heron!$A17)-SUMIFS(Xero!$F:$F,Xero!$B:$B,Heron!Q$9,Xero!$A:$A,Heron!$A$5,Xero!$E:$E,Heron!$A17)</f>
        <v/>
      </c>
      <c r="R17" s="66">
        <f>-SUMIFS(Xero!$F:$F,Xero!$B:$B,Heron!R$9,Xero!$A:$A,Heron!$A$4,Xero!$E:$E,Heron!$A17)-SUMIFS(Xero!$F:$F,Xero!$B:$B,Heron!R$9,Xero!$A:$A,Heron!$A$5,Xero!$E:$E,Heron!$A17)</f>
        <v/>
      </c>
      <c r="S17" s="66">
        <f>-SUMIFS(Xero!$F:$F,Xero!$B:$B,Heron!S$9,Xero!$A:$A,Heron!$A$4,Xero!$E:$E,Heron!$A17)-SUMIFS(Xero!$F:$F,Xero!$B:$B,Heron!S$9,Xero!$A:$A,Heron!$A$5,Xero!$E:$E,Heron!$A17)</f>
        <v/>
      </c>
      <c r="T17" s="66">
        <f>-SUMIFS(Xero!$F:$F,Xero!$B:$B,Heron!T$9,Xero!$A:$A,Heron!$A$4,Xero!$E:$E,Heron!$A17)-SUMIFS(Xero!$F:$F,Xero!$B:$B,Heron!T$9,Xero!$A:$A,Heron!$A$5,Xero!$E:$E,Heron!$A17)</f>
        <v/>
      </c>
      <c r="U17" s="66">
        <f>-SUMIFS(Xero!$F:$F,Xero!$B:$B,Heron!U$9,Xero!$A:$A,Heron!$A$4,Xero!$E:$E,Heron!$A17)-SUMIFS(Xero!$F:$F,Xero!$B:$B,Heron!U$9,Xero!$A:$A,Heron!$A$5,Xero!$E:$E,Heron!$A17)</f>
        <v/>
      </c>
      <c r="V17" s="66">
        <f>-SUMIFS(Xero!$F:$F,Xero!$B:$B,Heron!V$9,Xero!$A:$A,Heron!$A$4,Xero!$E:$E,Heron!$A17)-SUMIFS(Xero!$F:$F,Xero!$B:$B,Heron!V$9,Xero!$A:$A,Heron!$A$5,Xero!$E:$E,Heron!$A17)</f>
        <v/>
      </c>
      <c r="W17" s="66">
        <f>-SUMIFS(Xero!$F:$F,Xero!$B:$B,Heron!W$9,Xero!$A:$A,Heron!$A$4,Xero!$E:$E,Heron!$A17)-SUMIFS(Xero!$F:$F,Xero!$B:$B,Heron!W$9,Xero!$A:$A,Heron!$A$5,Xero!$E:$E,Heron!$A17)</f>
        <v/>
      </c>
      <c r="X17" s="66">
        <f>-SUMIFS(Xero!$F:$F,Xero!$B:$B,Heron!X$9,Xero!$A:$A,Heron!$A$4,Xero!$E:$E,Heron!$A17)-SUMIFS(Xero!$F:$F,Xero!$B:$B,Heron!X$9,Xero!$A:$A,Heron!$A$5,Xero!$E:$E,Heron!$A17)</f>
        <v/>
      </c>
      <c r="Y17" s="66">
        <f>-SUMIFS(Xero!$F:$F,Xero!$B:$B,Heron!Y$9,Xero!$A:$A,Heron!$A$4,Xero!$E:$E,Heron!$A17)-SUMIFS(Xero!$F:$F,Xero!$B:$B,Heron!Y$9,Xero!$A:$A,Heron!$A$5,Xero!$E:$E,Heron!$A17)</f>
        <v/>
      </c>
      <c r="Z17" s="66">
        <f>-SUMIFS(Xero!$F:$F,Xero!$B:$B,Heron!Z$9,Xero!$A:$A,Heron!$A$4,Xero!$E:$E,Heron!$A17)-SUMIFS(Xero!$F:$F,Xero!$B:$B,Heron!Z$9,Xero!$A:$A,Heron!$A$5,Xero!$E:$E,Heron!$A17)</f>
        <v/>
      </c>
      <c r="AA17" s="66">
        <f>-SUMIFS(Xero!$F:$F,Xero!$B:$B,Heron!AA$9,Xero!$A:$A,Heron!$A$4,Xero!$E:$E,Heron!$A17)-SUMIFS(Xero!$F:$F,Xero!$B:$B,Heron!AA$9,Xero!$A:$A,Heron!$A$5,Xero!$E:$E,Heron!$A17)</f>
        <v/>
      </c>
      <c r="AB17" s="66">
        <f>-SUMIFS(Xero!$F:$F,Xero!$B:$B,Heron!AB$9,Xero!$A:$A,Heron!$A$4,Xero!$E:$E,Heron!$A17)-SUMIFS(Xero!$F:$F,Xero!$B:$B,Heron!AB$9,Xero!$A:$A,Heron!$A$5,Xero!$E:$E,Heron!$A17)</f>
        <v/>
      </c>
      <c r="AC17" s="66">
        <f>-SUMIFS(Xero!$F:$F,Xero!$B:$B,Heron!AC$9,Xero!$A:$A,Heron!$A$4,Xero!$E:$E,Heron!$A17)-SUMIFS(Xero!$F:$F,Xero!$B:$B,Heron!AC$9,Xero!$A:$A,Heron!$A$5,Xero!$E:$E,Heron!$A17)</f>
        <v/>
      </c>
      <c r="AD17" s="66">
        <f>-SUMIFS(Xero!$F:$F,Xero!$B:$B,Heron!AD$9,Xero!$A:$A,Heron!$A$4,Xero!$E:$E,Heron!$A17)-SUMIFS(Xero!$F:$F,Xero!$B:$B,Heron!AD$9,Xero!$A:$A,Heron!$A$5,Xero!$E:$E,Heron!$A17)</f>
        <v/>
      </c>
      <c r="AE17" s="66">
        <f>-SUMIFS(Xero!$F:$F,Xero!$B:$B,Heron!AE$9,Xero!$A:$A,Heron!$A$4,Xero!$E:$E,Heron!$A17)-SUMIFS(Xero!$F:$F,Xero!$B:$B,Heron!AE$9,Xero!$A:$A,Heron!$A$5,Xero!$E:$E,Heron!$A17)</f>
        <v/>
      </c>
      <c r="AF17" s="66">
        <f>-SUMIFS(Xero!$F:$F,Xero!$B:$B,Heron!AF$9,Xero!$A:$A,Heron!$A$4,Xero!$E:$E,Heron!$A17)-SUMIFS(Xero!$F:$F,Xero!$B:$B,Heron!AF$9,Xero!$A:$A,Heron!$A$5,Xero!$E:$E,Heron!$A17)</f>
        <v/>
      </c>
      <c r="AG17" s="66">
        <f>-SUMIFS(Xero!$F:$F,Xero!$B:$B,Heron!AG$9,Xero!$A:$A,Heron!$A$4,Xero!$E:$E,Heron!$A17)-SUMIFS(Xero!$F:$F,Xero!$B:$B,Heron!AG$9,Xero!$A:$A,Heron!$A$5,Xero!$E:$E,Heron!$A17)</f>
        <v/>
      </c>
      <c r="AH17" s="66">
        <f>-SUMIFS(Xero!$F:$F,Xero!$B:$B,Heron!AH$9,Xero!$A:$A,Heron!$A$4,Xero!$E:$E,Heron!$A17)-SUMIFS(Xero!$F:$F,Xero!$B:$B,Heron!AH$9,Xero!$A:$A,Heron!$A$5,Xero!$E:$E,Heron!$A17)</f>
        <v/>
      </c>
      <c r="AI17" s="66">
        <f>-SUMIFS(Xero!$F:$F,Xero!$B:$B,Heron!AI$9,Xero!$A:$A,Heron!$A$4,Xero!$E:$E,Heron!$A17)-SUMIFS(Xero!$F:$F,Xero!$B:$B,Heron!AI$9,Xero!$A:$A,Heron!$A$5,Xero!$E:$E,Heron!$A17)</f>
        <v/>
      </c>
      <c r="AJ17" s="66">
        <f>-SUMIFS(Xero!$F:$F,Xero!$B:$B,Heron!AJ$9,Xero!$A:$A,Heron!$A$4,Xero!$E:$E,Heron!$A17)-SUMIFS(Xero!$F:$F,Xero!$B:$B,Heron!AJ$9,Xero!$A:$A,Heron!$A$5,Xero!$E:$E,Heron!$A17)</f>
        <v/>
      </c>
      <c r="AK17" s="66">
        <f>-SUMIFS(Xero!$F:$F,Xero!$B:$B,Heron!AK$9,Xero!$A:$A,Heron!$A$4,Xero!$E:$E,Heron!$A17)-SUMIFS(Xero!$F:$F,Xero!$B:$B,Heron!AK$9,Xero!$A:$A,Heron!$A$5,Xero!$E:$E,Heron!$A17)</f>
        <v/>
      </c>
      <c r="AL17" s="66">
        <f>-SUMIFS(Xero!$F:$F,Xero!$B:$B,Heron!AL$9,Xero!$A:$A,Heron!$A$4,Xero!$E:$E,Heron!$A17)-SUMIFS(Xero!$F:$F,Xero!$B:$B,Heron!AL$9,Xero!$A:$A,Heron!$A$5,Xero!$E:$E,Heron!$A17)</f>
        <v/>
      </c>
      <c r="AM17" s="66">
        <f>-SUMIFS(Xero!$F:$F,Xero!$B:$B,Heron!AM$9,Xero!$A:$A,Heron!$A$4,Xero!$E:$E,Heron!$A17)-SUMIFS(Xero!$F:$F,Xero!$B:$B,Heron!AM$9,Xero!$A:$A,Heron!$A$5,Xero!$E:$E,Heron!$A17)</f>
        <v/>
      </c>
      <c r="AN17" s="66">
        <f>-SUMIFS(Xero!$F:$F,Xero!$B:$B,Heron!AN$9,Xero!$A:$A,Heron!$A$4,Xero!$E:$E,Heron!$A17)-SUMIFS(Xero!$F:$F,Xero!$B:$B,Heron!AN$9,Xero!$A:$A,Heron!$A$5,Xero!$E:$E,Heron!$A17)</f>
        <v/>
      </c>
      <c r="AO17" s="66">
        <f>-SUMIFS(Xero!$F:$F,Xero!$B:$B,Heron!AO$9,Xero!$A:$A,Heron!$A$4,Xero!$E:$E,Heron!$A17)-SUMIFS(Xero!$F:$F,Xero!$B:$B,Heron!AO$9,Xero!$A:$A,Heron!$A$5,Xero!$E:$E,Heron!$A17)</f>
        <v/>
      </c>
      <c r="AP17" s="66">
        <f>-SUMIFS(Xero!$F:$F,Xero!$B:$B,Heron!AP$9,Xero!$A:$A,Heron!$A$4,Xero!$E:$E,Heron!$A17)-SUMIFS(Xero!$F:$F,Xero!$B:$B,Heron!AP$9,Xero!$A:$A,Heron!$A$5,Xero!$E:$E,Heron!$A17)</f>
        <v/>
      </c>
      <c r="AQ17" s="66">
        <f>-SUMIFS(Xero!$F:$F,Xero!$B:$B,Heron!AQ$9,Xero!$A:$A,Heron!$A$4,Xero!$E:$E,Heron!$A17)-SUMIFS(Xero!$F:$F,Xero!$B:$B,Heron!AQ$9,Xero!$A:$A,Heron!$A$5,Xero!$E:$E,Heron!$A17)</f>
        <v/>
      </c>
      <c r="AR17" s="66">
        <f>-SUMIFS(Xero!$F:$F,Xero!$B:$B,Heron!AR$9,Xero!$A:$A,Heron!$A$4,Xero!$E:$E,Heron!$A17)-SUMIFS(Xero!$F:$F,Xero!$B:$B,Heron!AR$9,Xero!$A:$A,Heron!$A$5,Xero!$E:$E,Heron!$A17)</f>
        <v/>
      </c>
      <c r="AS17" s="66">
        <f>-SUMIFS(Xero!$F:$F,Xero!$B:$B,Heron!AS$9,Xero!$A:$A,Heron!$A$4,Xero!$E:$E,Heron!$A17)-SUMIFS(Xero!$F:$F,Xero!$B:$B,Heron!AS$9,Xero!$A:$A,Heron!$A$5,Xero!$E:$E,Heron!$A17)</f>
        <v/>
      </c>
      <c r="AT17" s="66">
        <f>-SUMIFS(Xero!$F:$F,Xero!$B:$B,Heron!AT$9,Xero!$A:$A,Heron!$A$4,Xero!$E:$E,Heron!$A17)-SUMIFS(Xero!$F:$F,Xero!$B:$B,Heron!AT$9,Xero!$A:$A,Heron!$A$5,Xero!$E:$E,Heron!$A17)</f>
        <v/>
      </c>
      <c r="AU17" s="66">
        <f>-SUMIFS(Xero!$F:$F,Xero!$B:$B,Heron!AU$9,Xero!$A:$A,Heron!$A$4,Xero!$E:$E,Heron!$A17)-SUMIFS(Xero!$F:$F,Xero!$B:$B,Heron!AU$9,Xero!$A:$A,Heron!$A$5,Xero!$E:$E,Heron!$A17)</f>
        <v/>
      </c>
      <c r="AV17" s="66">
        <f>-SUMIFS(Xero!$F:$F,Xero!$B:$B,Heron!AV$9,Xero!$A:$A,Heron!$A$4,Xero!$E:$E,Heron!$A17)-SUMIFS(Xero!$F:$F,Xero!$B:$B,Heron!AV$9,Xero!$A:$A,Heron!$A$5,Xero!$E:$E,Heron!$A17)</f>
        <v/>
      </c>
      <c r="AW17" s="66">
        <f>-SUMIFS(Xero!$F:$F,Xero!$B:$B,Heron!AW$9,Xero!$A:$A,Heron!$A$4,Xero!$E:$E,Heron!$A17)-SUMIFS(Xero!$F:$F,Xero!$B:$B,Heron!AW$9,Xero!$A:$A,Heron!$A$5,Xero!$E:$E,Heron!$A17)</f>
        <v/>
      </c>
      <c r="AX17" s="66">
        <f>-SUMIFS(Xero!$F:$F,Xero!$B:$B,Heron!AX$9,Xero!$A:$A,Heron!$A$4,Xero!$E:$E,Heron!$A17)-SUMIFS(Xero!$F:$F,Xero!$B:$B,Heron!AX$9,Xero!$A:$A,Heron!$A$5,Xero!$E:$E,Heron!$A17)</f>
        <v/>
      </c>
      <c r="AY17" s="66">
        <f>-SUMIFS(Xero!$F:$F,Xero!$B:$B,Heron!AY$9,Xero!$A:$A,Heron!$A$4,Xero!$E:$E,Heron!$A17)-SUMIFS(Xero!$F:$F,Xero!$B:$B,Heron!AY$9,Xero!$A:$A,Heron!$A$5,Xero!$E:$E,Heron!$A17)</f>
        <v/>
      </c>
      <c r="AZ17" s="66">
        <f>-SUMIFS(Xero!$F:$F,Xero!$B:$B,Heron!AZ$9,Xero!$A:$A,Heron!$A$4,Xero!$E:$E,Heron!$A17)-SUMIFS(Xero!$F:$F,Xero!$B:$B,Heron!AZ$9,Xero!$A:$A,Heron!$A$5,Xero!$E:$E,Heron!$A17)</f>
        <v/>
      </c>
      <c r="BA17" s="66">
        <f>-SUMIFS(Xero!$F:$F,Xero!$B:$B,Heron!BA$9,Xero!$A:$A,Heron!$A$4,Xero!$E:$E,Heron!$A17)-SUMIFS(Xero!$F:$F,Xero!$B:$B,Heron!BA$9,Xero!$A:$A,Heron!$A$5,Xero!$E:$E,Heron!$A17)</f>
        <v/>
      </c>
      <c r="BB17" s="66">
        <f>-SUMIFS(Xero!$F:$F,Xero!$B:$B,Heron!BB$9,Xero!$A:$A,Heron!$A$4,Xero!$E:$E,Heron!$A17)-SUMIFS(Xero!$F:$F,Xero!$B:$B,Heron!BB$9,Xero!$A:$A,Heron!$A$5,Xero!$E:$E,Heron!$A17)</f>
        <v/>
      </c>
      <c r="BC17" s="66">
        <f>-SUMIFS(Xero!$F:$F,Xero!$B:$B,Heron!BC$9,Xero!$A:$A,Heron!$A$4,Xero!$E:$E,Heron!$A17)-SUMIFS(Xero!$F:$F,Xero!$B:$B,Heron!BC$9,Xero!$A:$A,Heron!$A$5,Xero!$E:$E,Heron!$A17)</f>
        <v/>
      </c>
      <c r="BD17" s="66">
        <f>-SUMIFS(Xero!$F:$F,Xero!$B:$B,Heron!BD$9,Xero!$A:$A,Heron!$A$4,Xero!$E:$E,Heron!$A17)-SUMIFS(Xero!$F:$F,Xero!$B:$B,Heron!BD$9,Xero!$A:$A,Heron!$A$5,Xero!$E:$E,Heron!$A17)</f>
        <v/>
      </c>
      <c r="BE17" s="66">
        <f>-SUMIFS(Xero!$F:$F,Xero!$B:$B,Heron!BE$9,Xero!$A:$A,Heron!$A$4,Xero!$E:$E,Heron!$A17)-SUMIFS(Xero!$F:$F,Xero!$B:$B,Heron!BE$9,Xero!$A:$A,Heron!$A$5,Xero!$E:$E,Heron!$A17)</f>
        <v/>
      </c>
      <c r="BF17" s="66">
        <f>-SUMIFS(Xero!$F:$F,Xero!$B:$B,Heron!BF$9,Xero!$A:$A,Heron!$A$4,Xero!$E:$E,Heron!$A17)-SUMIFS(Xero!$F:$F,Xero!$B:$B,Heron!BF$9,Xero!$A:$A,Heron!$A$5,Xero!$E:$E,Heron!$A17)</f>
        <v/>
      </c>
      <c r="BG17" s="66">
        <f>-SUMIFS(Xero!$F:$F,Xero!$B:$B,Heron!BG$9,Xero!$A:$A,Heron!$A$4,Xero!$E:$E,Heron!$A17)-SUMIFS(Xero!$F:$F,Xero!$B:$B,Heron!BG$9,Xero!$A:$A,Heron!$A$5,Xero!$E:$E,Heron!$A17)</f>
        <v/>
      </c>
      <c r="BH17" s="66">
        <f>sum(D17:BG17)</f>
        <v/>
      </c>
    </row>
    <row r="18">
      <c r="A18" s="65" t="inlineStr">
        <is>
          <t>Rental Income</t>
        </is>
      </c>
      <c r="D18" s="66">
        <f>-SUMIFS(Xero!$F:$F,Xero!$B:$B,Heron!D$9,Xero!$A:$A,Heron!$A$4,Xero!$E:$E,Heron!$A18)-SUMIFS(Xero!$F:$F,Xero!$B:$B,Heron!D$9,Xero!$A:$A,Heron!$A$5,Xero!$E:$E,Heron!$A18)</f>
        <v/>
      </c>
      <c r="E18" s="66">
        <f>-SUMIFS(Xero!$F:$F,Xero!$B:$B,Heron!E$9,Xero!$A:$A,Heron!$A$4,Xero!$E:$E,Heron!$A18)-SUMIFS(Xero!$F:$F,Xero!$B:$B,Heron!E$9,Xero!$A:$A,Heron!$A$5,Xero!$E:$E,Heron!$A18)</f>
        <v/>
      </c>
      <c r="F18" s="66">
        <f>-SUMIFS(Xero!$F:$F,Xero!$B:$B,Heron!F$9,Xero!$A:$A,Heron!$A$4,Xero!$E:$E,Heron!$A18)-SUMIFS(Xero!$F:$F,Xero!$B:$B,Heron!F$9,Xero!$A:$A,Heron!$A$5,Xero!$E:$E,Heron!$A18)</f>
        <v/>
      </c>
      <c r="G18" s="66">
        <f>-SUMIFS(Xero!$F:$F,Xero!$B:$B,Heron!G$9,Xero!$A:$A,Heron!$A$4,Xero!$E:$E,Heron!$A18)-SUMIFS(Xero!$F:$F,Xero!$B:$B,Heron!G$9,Xero!$A:$A,Heron!$A$5,Xero!$E:$E,Heron!$A18)</f>
        <v/>
      </c>
      <c r="H18" s="66">
        <f>-SUMIFS(Xero!$F:$F,Xero!$B:$B,Heron!H$9,Xero!$A:$A,Heron!$A$4,Xero!$E:$E,Heron!$A18)-SUMIFS(Xero!$F:$F,Xero!$B:$B,Heron!H$9,Xero!$A:$A,Heron!$A$5,Xero!$E:$E,Heron!$A18)</f>
        <v/>
      </c>
      <c r="I18" s="66">
        <f>-SUMIFS(Xero!$F:$F,Xero!$B:$B,Heron!I$9,Xero!$A:$A,Heron!$A$4,Xero!$E:$E,Heron!$A18)-SUMIFS(Xero!$F:$F,Xero!$B:$B,Heron!I$9,Xero!$A:$A,Heron!$A$5,Xero!$E:$E,Heron!$A18)</f>
        <v/>
      </c>
      <c r="J18" s="66">
        <f>-SUMIFS(Xero!$F:$F,Xero!$B:$B,Heron!J$9,Xero!$A:$A,Heron!$A$4,Xero!$E:$E,Heron!$A18)-SUMIFS(Xero!$F:$F,Xero!$B:$B,Heron!J$9,Xero!$A:$A,Heron!$A$5,Xero!$E:$E,Heron!$A18)</f>
        <v/>
      </c>
      <c r="K18" s="66">
        <f>-SUMIFS(Xero!$F:$F,Xero!$B:$B,Heron!K$9,Xero!$A:$A,Heron!$A$4,Xero!$E:$E,Heron!$A18)-SUMIFS(Xero!$F:$F,Xero!$B:$B,Heron!K$9,Xero!$A:$A,Heron!$A$5,Xero!$E:$E,Heron!$A18)</f>
        <v/>
      </c>
      <c r="L18" s="66">
        <f>-SUMIFS(Xero!$F:$F,Xero!$B:$B,Heron!L$9,Xero!$A:$A,Heron!$A$4,Xero!$E:$E,Heron!$A18)-SUMIFS(Xero!$F:$F,Xero!$B:$B,Heron!L$9,Xero!$A:$A,Heron!$A$5,Xero!$E:$E,Heron!$A18)</f>
        <v/>
      </c>
      <c r="M18" s="66">
        <f>-SUMIFS(Xero!$F:$F,Xero!$B:$B,Heron!M$9,Xero!$A:$A,Heron!$A$4,Xero!$E:$E,Heron!$A18)-SUMIFS(Xero!$F:$F,Xero!$B:$B,Heron!M$9,Xero!$A:$A,Heron!$A$5,Xero!$E:$E,Heron!$A18)</f>
        <v/>
      </c>
      <c r="N18" s="66">
        <f>-SUMIFS(Xero!$F:$F,Xero!$B:$B,Heron!N$9,Xero!$A:$A,Heron!$A$4,Xero!$E:$E,Heron!$A18)-SUMIFS(Xero!$F:$F,Xero!$B:$B,Heron!N$9,Xero!$A:$A,Heron!$A$5,Xero!$E:$E,Heron!$A18)</f>
        <v/>
      </c>
      <c r="O18" s="66">
        <f>-SUMIFS(Xero!$F:$F,Xero!$B:$B,Heron!O$9,Xero!$A:$A,Heron!$A$4,Xero!$E:$E,Heron!$A18)-SUMIFS(Xero!$F:$F,Xero!$B:$B,Heron!O$9,Xero!$A:$A,Heron!$A$5,Xero!$E:$E,Heron!$A18)</f>
        <v/>
      </c>
      <c r="P18" s="66">
        <f>-SUMIFS(Xero!$F:$F,Xero!$B:$B,Heron!P$9,Xero!$A:$A,Heron!$A$4,Xero!$E:$E,Heron!$A18)-SUMIFS(Xero!$F:$F,Xero!$B:$B,Heron!P$9,Xero!$A:$A,Heron!$A$5,Xero!$E:$E,Heron!$A18)</f>
        <v/>
      </c>
      <c r="Q18" s="66">
        <f>-SUMIFS(Xero!$F:$F,Xero!$B:$B,Heron!Q$9,Xero!$A:$A,Heron!$A$4,Xero!$E:$E,Heron!$A18)-SUMIFS(Xero!$F:$F,Xero!$B:$B,Heron!Q$9,Xero!$A:$A,Heron!$A$5,Xero!$E:$E,Heron!$A18)</f>
        <v/>
      </c>
      <c r="R18" s="66">
        <f>-SUMIFS(Xero!$F:$F,Xero!$B:$B,Heron!R$9,Xero!$A:$A,Heron!$A$4,Xero!$E:$E,Heron!$A18)-SUMIFS(Xero!$F:$F,Xero!$B:$B,Heron!R$9,Xero!$A:$A,Heron!$A$5,Xero!$E:$E,Heron!$A18)</f>
        <v/>
      </c>
      <c r="S18" s="66">
        <f>-SUMIFS(Xero!$F:$F,Xero!$B:$B,Heron!S$9,Xero!$A:$A,Heron!$A$4,Xero!$E:$E,Heron!$A18)-SUMIFS(Xero!$F:$F,Xero!$B:$B,Heron!S$9,Xero!$A:$A,Heron!$A$5,Xero!$E:$E,Heron!$A18)</f>
        <v/>
      </c>
      <c r="T18" s="66">
        <f>-SUMIFS(Xero!$F:$F,Xero!$B:$B,Heron!T$9,Xero!$A:$A,Heron!$A$4,Xero!$E:$E,Heron!$A18)-SUMIFS(Xero!$F:$F,Xero!$B:$B,Heron!T$9,Xero!$A:$A,Heron!$A$5,Xero!$E:$E,Heron!$A18)</f>
        <v/>
      </c>
      <c r="U18" s="66">
        <f>-SUMIFS(Xero!$F:$F,Xero!$B:$B,Heron!U$9,Xero!$A:$A,Heron!$A$4,Xero!$E:$E,Heron!$A18)-SUMIFS(Xero!$F:$F,Xero!$B:$B,Heron!U$9,Xero!$A:$A,Heron!$A$5,Xero!$E:$E,Heron!$A18)</f>
        <v/>
      </c>
      <c r="V18" s="66">
        <f>-SUMIFS(Xero!$F:$F,Xero!$B:$B,Heron!V$9,Xero!$A:$A,Heron!$A$4,Xero!$E:$E,Heron!$A18)-SUMIFS(Xero!$F:$F,Xero!$B:$B,Heron!V$9,Xero!$A:$A,Heron!$A$5,Xero!$E:$E,Heron!$A18)</f>
        <v/>
      </c>
      <c r="W18" s="66">
        <f>-SUMIFS(Xero!$F:$F,Xero!$B:$B,Heron!W$9,Xero!$A:$A,Heron!$A$4,Xero!$E:$E,Heron!$A18)-SUMIFS(Xero!$F:$F,Xero!$B:$B,Heron!W$9,Xero!$A:$A,Heron!$A$5,Xero!$E:$E,Heron!$A18)</f>
        <v/>
      </c>
      <c r="X18" s="66">
        <f>-SUMIFS(Xero!$F:$F,Xero!$B:$B,Heron!X$9,Xero!$A:$A,Heron!$A$4,Xero!$E:$E,Heron!$A18)-SUMIFS(Xero!$F:$F,Xero!$B:$B,Heron!X$9,Xero!$A:$A,Heron!$A$5,Xero!$E:$E,Heron!$A18)</f>
        <v/>
      </c>
      <c r="Y18" s="66">
        <f>-SUMIFS(Xero!$F:$F,Xero!$B:$B,Heron!Y$9,Xero!$A:$A,Heron!$A$4,Xero!$E:$E,Heron!$A18)-SUMIFS(Xero!$F:$F,Xero!$B:$B,Heron!Y$9,Xero!$A:$A,Heron!$A$5,Xero!$E:$E,Heron!$A18)</f>
        <v/>
      </c>
      <c r="Z18" s="66">
        <f>-SUMIFS(Xero!$F:$F,Xero!$B:$B,Heron!Z$9,Xero!$A:$A,Heron!$A$4,Xero!$E:$E,Heron!$A18)-SUMIFS(Xero!$F:$F,Xero!$B:$B,Heron!Z$9,Xero!$A:$A,Heron!$A$5,Xero!$E:$E,Heron!$A18)</f>
        <v/>
      </c>
      <c r="AA18" s="66">
        <f>-SUMIFS(Xero!$F:$F,Xero!$B:$B,Heron!AA$9,Xero!$A:$A,Heron!$A$4,Xero!$E:$E,Heron!$A18)-SUMIFS(Xero!$F:$F,Xero!$B:$B,Heron!AA$9,Xero!$A:$A,Heron!$A$5,Xero!$E:$E,Heron!$A18)</f>
        <v/>
      </c>
      <c r="AB18" s="66">
        <f>-SUMIFS(Xero!$F:$F,Xero!$B:$B,Heron!AB$9,Xero!$A:$A,Heron!$A$4,Xero!$E:$E,Heron!$A18)-SUMIFS(Xero!$F:$F,Xero!$B:$B,Heron!AB$9,Xero!$A:$A,Heron!$A$5,Xero!$E:$E,Heron!$A18)</f>
        <v/>
      </c>
      <c r="AC18" s="66">
        <f>-SUMIFS(Xero!$F:$F,Xero!$B:$B,Heron!AC$9,Xero!$A:$A,Heron!$A$4,Xero!$E:$E,Heron!$A18)-SUMIFS(Xero!$F:$F,Xero!$B:$B,Heron!AC$9,Xero!$A:$A,Heron!$A$5,Xero!$E:$E,Heron!$A18)</f>
        <v/>
      </c>
      <c r="AD18" s="66">
        <f>-SUMIFS(Xero!$F:$F,Xero!$B:$B,Heron!AD$9,Xero!$A:$A,Heron!$A$4,Xero!$E:$E,Heron!$A18)-SUMIFS(Xero!$F:$F,Xero!$B:$B,Heron!AD$9,Xero!$A:$A,Heron!$A$5,Xero!$E:$E,Heron!$A18)</f>
        <v/>
      </c>
      <c r="AE18" s="66">
        <f>-SUMIFS(Xero!$F:$F,Xero!$B:$B,Heron!AE$9,Xero!$A:$A,Heron!$A$4,Xero!$E:$E,Heron!$A18)-SUMIFS(Xero!$F:$F,Xero!$B:$B,Heron!AE$9,Xero!$A:$A,Heron!$A$5,Xero!$E:$E,Heron!$A18)</f>
        <v/>
      </c>
      <c r="AF18" s="66">
        <f>-SUMIFS(Xero!$F:$F,Xero!$B:$B,Heron!AF$9,Xero!$A:$A,Heron!$A$4,Xero!$E:$E,Heron!$A18)-SUMIFS(Xero!$F:$F,Xero!$B:$B,Heron!AF$9,Xero!$A:$A,Heron!$A$5,Xero!$E:$E,Heron!$A18)</f>
        <v/>
      </c>
      <c r="AG18" s="66">
        <f>-SUMIFS(Xero!$F:$F,Xero!$B:$B,Heron!AG$9,Xero!$A:$A,Heron!$A$4,Xero!$E:$E,Heron!$A18)-SUMIFS(Xero!$F:$F,Xero!$B:$B,Heron!AG$9,Xero!$A:$A,Heron!$A$5,Xero!$E:$E,Heron!$A18)</f>
        <v/>
      </c>
      <c r="AH18" s="66">
        <f>-SUMIFS(Xero!$F:$F,Xero!$B:$B,Heron!AH$9,Xero!$A:$A,Heron!$A$4,Xero!$E:$E,Heron!$A18)-SUMIFS(Xero!$F:$F,Xero!$B:$B,Heron!AH$9,Xero!$A:$A,Heron!$A$5,Xero!$E:$E,Heron!$A18)</f>
        <v/>
      </c>
      <c r="AI18" s="66">
        <f>-SUMIFS(Xero!$F:$F,Xero!$B:$B,Heron!AI$9,Xero!$A:$A,Heron!$A$4,Xero!$E:$E,Heron!$A18)-SUMIFS(Xero!$F:$F,Xero!$B:$B,Heron!AI$9,Xero!$A:$A,Heron!$A$5,Xero!$E:$E,Heron!$A18)</f>
        <v/>
      </c>
      <c r="AJ18" s="66">
        <f>-SUMIFS(Xero!$F:$F,Xero!$B:$B,Heron!AJ$9,Xero!$A:$A,Heron!$A$4,Xero!$E:$E,Heron!$A18)-SUMIFS(Xero!$F:$F,Xero!$B:$B,Heron!AJ$9,Xero!$A:$A,Heron!$A$5,Xero!$E:$E,Heron!$A18)</f>
        <v/>
      </c>
      <c r="AK18" s="66">
        <f>-SUMIFS(Xero!$F:$F,Xero!$B:$B,Heron!AK$9,Xero!$A:$A,Heron!$A$4,Xero!$E:$E,Heron!$A18)-SUMIFS(Xero!$F:$F,Xero!$B:$B,Heron!AK$9,Xero!$A:$A,Heron!$A$5,Xero!$E:$E,Heron!$A18)</f>
        <v/>
      </c>
      <c r="AL18" s="66">
        <f>-SUMIFS(Xero!$F:$F,Xero!$B:$B,Heron!AL$9,Xero!$A:$A,Heron!$A$4,Xero!$E:$E,Heron!$A18)-SUMIFS(Xero!$F:$F,Xero!$B:$B,Heron!AL$9,Xero!$A:$A,Heron!$A$5,Xero!$E:$E,Heron!$A18)</f>
        <v/>
      </c>
      <c r="AM18" s="66">
        <f>-SUMIFS(Xero!$F:$F,Xero!$B:$B,Heron!AM$9,Xero!$A:$A,Heron!$A$4,Xero!$E:$E,Heron!$A18)-SUMIFS(Xero!$F:$F,Xero!$B:$B,Heron!AM$9,Xero!$A:$A,Heron!$A$5,Xero!$E:$E,Heron!$A18)</f>
        <v/>
      </c>
      <c r="AN18" s="66">
        <f>-SUMIFS(Xero!$F:$F,Xero!$B:$B,Heron!AN$9,Xero!$A:$A,Heron!$A$4,Xero!$E:$E,Heron!$A18)-SUMIFS(Xero!$F:$F,Xero!$B:$B,Heron!AN$9,Xero!$A:$A,Heron!$A$5,Xero!$E:$E,Heron!$A18)</f>
        <v/>
      </c>
      <c r="AO18" s="66">
        <f>-SUMIFS(Xero!$F:$F,Xero!$B:$B,Heron!AO$9,Xero!$A:$A,Heron!$A$4,Xero!$E:$E,Heron!$A18)-SUMIFS(Xero!$F:$F,Xero!$B:$B,Heron!AO$9,Xero!$A:$A,Heron!$A$5,Xero!$E:$E,Heron!$A18)</f>
        <v/>
      </c>
      <c r="AP18" s="66">
        <f>-SUMIFS(Xero!$F:$F,Xero!$B:$B,Heron!AP$9,Xero!$A:$A,Heron!$A$4,Xero!$E:$E,Heron!$A18)-SUMIFS(Xero!$F:$F,Xero!$B:$B,Heron!AP$9,Xero!$A:$A,Heron!$A$5,Xero!$E:$E,Heron!$A18)</f>
        <v/>
      </c>
      <c r="AQ18" s="66">
        <f>-SUMIFS(Xero!$F:$F,Xero!$B:$B,Heron!AQ$9,Xero!$A:$A,Heron!$A$4,Xero!$E:$E,Heron!$A18)-SUMIFS(Xero!$F:$F,Xero!$B:$B,Heron!AQ$9,Xero!$A:$A,Heron!$A$5,Xero!$E:$E,Heron!$A18)</f>
        <v/>
      </c>
      <c r="AR18" s="66">
        <f>-SUMIFS(Xero!$F:$F,Xero!$B:$B,Heron!AR$9,Xero!$A:$A,Heron!$A$4,Xero!$E:$E,Heron!$A18)-SUMIFS(Xero!$F:$F,Xero!$B:$B,Heron!AR$9,Xero!$A:$A,Heron!$A$5,Xero!$E:$E,Heron!$A18)</f>
        <v/>
      </c>
      <c r="AS18" s="66">
        <f>-SUMIFS(Xero!$F:$F,Xero!$B:$B,Heron!AS$9,Xero!$A:$A,Heron!$A$4,Xero!$E:$E,Heron!$A18)-SUMIFS(Xero!$F:$F,Xero!$B:$B,Heron!AS$9,Xero!$A:$A,Heron!$A$5,Xero!$E:$E,Heron!$A18)</f>
        <v/>
      </c>
      <c r="AT18" s="66">
        <f>-SUMIFS(Xero!$F:$F,Xero!$B:$B,Heron!AT$9,Xero!$A:$A,Heron!$A$4,Xero!$E:$E,Heron!$A18)-SUMIFS(Xero!$F:$F,Xero!$B:$B,Heron!AT$9,Xero!$A:$A,Heron!$A$5,Xero!$E:$E,Heron!$A18)</f>
        <v/>
      </c>
      <c r="AU18" s="66">
        <f>-SUMIFS(Xero!$F:$F,Xero!$B:$B,Heron!AU$9,Xero!$A:$A,Heron!$A$4,Xero!$E:$E,Heron!$A18)-SUMIFS(Xero!$F:$F,Xero!$B:$B,Heron!AU$9,Xero!$A:$A,Heron!$A$5,Xero!$E:$E,Heron!$A18)</f>
        <v/>
      </c>
      <c r="AV18" s="66">
        <f>-SUMIFS(Xero!$F:$F,Xero!$B:$B,Heron!AV$9,Xero!$A:$A,Heron!$A$4,Xero!$E:$E,Heron!$A18)-SUMIFS(Xero!$F:$F,Xero!$B:$B,Heron!AV$9,Xero!$A:$A,Heron!$A$5,Xero!$E:$E,Heron!$A18)</f>
        <v/>
      </c>
      <c r="AW18" s="66">
        <f>-SUMIFS(Xero!$F:$F,Xero!$B:$B,Heron!AW$9,Xero!$A:$A,Heron!$A$4,Xero!$E:$E,Heron!$A18)-SUMIFS(Xero!$F:$F,Xero!$B:$B,Heron!AW$9,Xero!$A:$A,Heron!$A$5,Xero!$E:$E,Heron!$A18)</f>
        <v/>
      </c>
      <c r="AX18" s="66">
        <f>-SUMIFS(Xero!$F:$F,Xero!$B:$B,Heron!AX$9,Xero!$A:$A,Heron!$A$4,Xero!$E:$E,Heron!$A18)-SUMIFS(Xero!$F:$F,Xero!$B:$B,Heron!AX$9,Xero!$A:$A,Heron!$A$5,Xero!$E:$E,Heron!$A18)</f>
        <v/>
      </c>
      <c r="AY18" s="66">
        <f>-SUMIFS(Xero!$F:$F,Xero!$B:$B,Heron!AY$9,Xero!$A:$A,Heron!$A$4,Xero!$E:$E,Heron!$A18)-SUMIFS(Xero!$F:$F,Xero!$B:$B,Heron!AY$9,Xero!$A:$A,Heron!$A$5,Xero!$E:$E,Heron!$A18)</f>
        <v/>
      </c>
      <c r="AZ18" s="66">
        <f>-SUMIFS(Xero!$F:$F,Xero!$B:$B,Heron!AZ$9,Xero!$A:$A,Heron!$A$4,Xero!$E:$E,Heron!$A18)-SUMIFS(Xero!$F:$F,Xero!$B:$B,Heron!AZ$9,Xero!$A:$A,Heron!$A$5,Xero!$E:$E,Heron!$A18)</f>
        <v/>
      </c>
      <c r="BA18" s="66">
        <f>-SUMIFS(Xero!$F:$F,Xero!$B:$B,Heron!BA$9,Xero!$A:$A,Heron!$A$4,Xero!$E:$E,Heron!$A18)-SUMIFS(Xero!$F:$F,Xero!$B:$B,Heron!BA$9,Xero!$A:$A,Heron!$A$5,Xero!$E:$E,Heron!$A18)</f>
        <v/>
      </c>
      <c r="BB18" s="66">
        <f>-SUMIFS(Xero!$F:$F,Xero!$B:$B,Heron!BB$9,Xero!$A:$A,Heron!$A$4,Xero!$E:$E,Heron!$A18)-SUMIFS(Xero!$F:$F,Xero!$B:$B,Heron!BB$9,Xero!$A:$A,Heron!$A$5,Xero!$E:$E,Heron!$A18)</f>
        <v/>
      </c>
      <c r="BC18" s="66">
        <f>-SUMIFS(Xero!$F:$F,Xero!$B:$B,Heron!BC$9,Xero!$A:$A,Heron!$A$4,Xero!$E:$E,Heron!$A18)-SUMIFS(Xero!$F:$F,Xero!$B:$B,Heron!BC$9,Xero!$A:$A,Heron!$A$5,Xero!$E:$E,Heron!$A18)</f>
        <v/>
      </c>
      <c r="BD18" s="66">
        <f>-SUMIFS(Xero!$F:$F,Xero!$B:$B,Heron!BD$9,Xero!$A:$A,Heron!$A$4,Xero!$E:$E,Heron!$A18)-SUMIFS(Xero!$F:$F,Xero!$B:$B,Heron!BD$9,Xero!$A:$A,Heron!$A$5,Xero!$E:$E,Heron!$A18)</f>
        <v/>
      </c>
      <c r="BE18" s="66">
        <f>-SUMIFS(Xero!$F:$F,Xero!$B:$B,Heron!BE$9,Xero!$A:$A,Heron!$A$4,Xero!$E:$E,Heron!$A18)-SUMIFS(Xero!$F:$F,Xero!$B:$B,Heron!BE$9,Xero!$A:$A,Heron!$A$5,Xero!$E:$E,Heron!$A18)</f>
        <v/>
      </c>
      <c r="BF18" s="66">
        <f>-SUMIFS(Xero!$F:$F,Xero!$B:$B,Heron!BF$9,Xero!$A:$A,Heron!$A$4,Xero!$E:$E,Heron!$A18)-SUMIFS(Xero!$F:$F,Xero!$B:$B,Heron!BF$9,Xero!$A:$A,Heron!$A$5,Xero!$E:$E,Heron!$A18)</f>
        <v/>
      </c>
      <c r="BG18" s="66">
        <f>-SUMIFS(Xero!$F:$F,Xero!$B:$B,Heron!BG$9,Xero!$A:$A,Heron!$A$4,Xero!$E:$E,Heron!$A18)-SUMIFS(Xero!$F:$F,Xero!$B:$B,Heron!BG$9,Xero!$A:$A,Heron!$A$5,Xero!$E:$E,Heron!$A18)</f>
        <v/>
      </c>
      <c r="BH18" s="66">
        <f>sum(D18:BG18)</f>
        <v/>
      </c>
    </row>
    <row r="19">
      <c r="A19" s="65" t="inlineStr">
        <is>
          <t>Revaluation of Land</t>
        </is>
      </c>
      <c r="D19" s="66">
        <f>-SUMIFS(Xero!$F:$F,Xero!$B:$B,Heron!D$9,Xero!$A:$A,Heron!$A$4,Xero!$E:$E,Heron!$A19)-SUMIFS(Xero!$F:$F,Xero!$B:$B,Heron!D$9,Xero!$A:$A,Heron!$A$5,Xero!$E:$E,Heron!$A19)</f>
        <v/>
      </c>
      <c r="E19" s="66">
        <f>-SUMIFS(Xero!$F:$F,Xero!$B:$B,Heron!E$9,Xero!$A:$A,Heron!$A$4,Xero!$E:$E,Heron!$A19)-SUMIFS(Xero!$F:$F,Xero!$B:$B,Heron!E$9,Xero!$A:$A,Heron!$A$5,Xero!$E:$E,Heron!$A19)</f>
        <v/>
      </c>
      <c r="F19" s="66">
        <f>-SUMIFS(Xero!$F:$F,Xero!$B:$B,Heron!F$9,Xero!$A:$A,Heron!$A$4,Xero!$E:$E,Heron!$A19)-SUMIFS(Xero!$F:$F,Xero!$B:$B,Heron!F$9,Xero!$A:$A,Heron!$A$5,Xero!$E:$E,Heron!$A19)</f>
        <v/>
      </c>
      <c r="G19" s="66">
        <f>-SUMIFS(Xero!$F:$F,Xero!$B:$B,Heron!G$9,Xero!$A:$A,Heron!$A$4,Xero!$E:$E,Heron!$A19)-SUMIFS(Xero!$F:$F,Xero!$B:$B,Heron!G$9,Xero!$A:$A,Heron!$A$5,Xero!$E:$E,Heron!$A19)</f>
        <v/>
      </c>
      <c r="H19" s="66">
        <f>-SUMIFS(Xero!$F:$F,Xero!$B:$B,Heron!H$9,Xero!$A:$A,Heron!$A$4,Xero!$E:$E,Heron!$A19)-SUMIFS(Xero!$F:$F,Xero!$B:$B,Heron!H$9,Xero!$A:$A,Heron!$A$5,Xero!$E:$E,Heron!$A19)</f>
        <v/>
      </c>
      <c r="I19" s="66">
        <f>-SUMIFS(Xero!$F:$F,Xero!$B:$B,Heron!I$9,Xero!$A:$A,Heron!$A$4,Xero!$E:$E,Heron!$A19)-SUMIFS(Xero!$F:$F,Xero!$B:$B,Heron!I$9,Xero!$A:$A,Heron!$A$5,Xero!$E:$E,Heron!$A19)</f>
        <v/>
      </c>
      <c r="J19" s="66">
        <f>-SUMIFS(Xero!$F:$F,Xero!$B:$B,Heron!J$9,Xero!$A:$A,Heron!$A$4,Xero!$E:$E,Heron!$A19)-SUMIFS(Xero!$F:$F,Xero!$B:$B,Heron!J$9,Xero!$A:$A,Heron!$A$5,Xero!$E:$E,Heron!$A19)</f>
        <v/>
      </c>
      <c r="K19" s="66">
        <f>-SUMIFS(Xero!$F:$F,Xero!$B:$B,Heron!K$9,Xero!$A:$A,Heron!$A$4,Xero!$E:$E,Heron!$A19)-SUMIFS(Xero!$F:$F,Xero!$B:$B,Heron!K$9,Xero!$A:$A,Heron!$A$5,Xero!$E:$E,Heron!$A19)</f>
        <v/>
      </c>
      <c r="L19" s="66">
        <f>-SUMIFS(Xero!$F:$F,Xero!$B:$B,Heron!L$9,Xero!$A:$A,Heron!$A$4,Xero!$E:$E,Heron!$A19)-SUMIFS(Xero!$F:$F,Xero!$B:$B,Heron!L$9,Xero!$A:$A,Heron!$A$5,Xero!$E:$E,Heron!$A19)</f>
        <v/>
      </c>
      <c r="M19" s="66">
        <f>-SUMIFS(Xero!$F:$F,Xero!$B:$B,Heron!M$9,Xero!$A:$A,Heron!$A$4,Xero!$E:$E,Heron!$A19)-SUMIFS(Xero!$F:$F,Xero!$B:$B,Heron!M$9,Xero!$A:$A,Heron!$A$5,Xero!$E:$E,Heron!$A19)</f>
        <v/>
      </c>
      <c r="N19" s="66">
        <f>-SUMIFS(Xero!$F:$F,Xero!$B:$B,Heron!N$9,Xero!$A:$A,Heron!$A$4,Xero!$E:$E,Heron!$A19)-SUMIFS(Xero!$F:$F,Xero!$B:$B,Heron!N$9,Xero!$A:$A,Heron!$A$5,Xero!$E:$E,Heron!$A19)</f>
        <v/>
      </c>
      <c r="O19" s="66">
        <f>-SUMIFS(Xero!$F:$F,Xero!$B:$B,Heron!O$9,Xero!$A:$A,Heron!$A$4,Xero!$E:$E,Heron!$A19)-SUMIFS(Xero!$F:$F,Xero!$B:$B,Heron!O$9,Xero!$A:$A,Heron!$A$5,Xero!$E:$E,Heron!$A19)</f>
        <v/>
      </c>
      <c r="P19" s="66">
        <f>-SUMIFS(Xero!$F:$F,Xero!$B:$B,Heron!P$9,Xero!$A:$A,Heron!$A$4,Xero!$E:$E,Heron!$A19)-SUMIFS(Xero!$F:$F,Xero!$B:$B,Heron!P$9,Xero!$A:$A,Heron!$A$5,Xero!$E:$E,Heron!$A19)</f>
        <v/>
      </c>
      <c r="Q19" s="66">
        <f>-SUMIFS(Xero!$F:$F,Xero!$B:$B,Heron!Q$9,Xero!$A:$A,Heron!$A$4,Xero!$E:$E,Heron!$A19)-SUMIFS(Xero!$F:$F,Xero!$B:$B,Heron!Q$9,Xero!$A:$A,Heron!$A$5,Xero!$E:$E,Heron!$A19)</f>
        <v/>
      </c>
      <c r="R19" s="66">
        <f>-SUMIFS(Xero!$F:$F,Xero!$B:$B,Heron!R$9,Xero!$A:$A,Heron!$A$4,Xero!$E:$E,Heron!$A19)-SUMIFS(Xero!$F:$F,Xero!$B:$B,Heron!R$9,Xero!$A:$A,Heron!$A$5,Xero!$E:$E,Heron!$A19)</f>
        <v/>
      </c>
      <c r="S19" s="66">
        <f>-SUMIFS(Xero!$F:$F,Xero!$B:$B,Heron!S$9,Xero!$A:$A,Heron!$A$4,Xero!$E:$E,Heron!$A19)-SUMIFS(Xero!$F:$F,Xero!$B:$B,Heron!S$9,Xero!$A:$A,Heron!$A$5,Xero!$E:$E,Heron!$A19)</f>
        <v/>
      </c>
      <c r="T19" s="66">
        <f>-SUMIFS(Xero!$F:$F,Xero!$B:$B,Heron!T$9,Xero!$A:$A,Heron!$A$4,Xero!$E:$E,Heron!$A19)-SUMIFS(Xero!$F:$F,Xero!$B:$B,Heron!T$9,Xero!$A:$A,Heron!$A$5,Xero!$E:$E,Heron!$A19)</f>
        <v/>
      </c>
      <c r="U19" s="66">
        <f>-SUMIFS(Xero!$F:$F,Xero!$B:$B,Heron!U$9,Xero!$A:$A,Heron!$A$4,Xero!$E:$E,Heron!$A19)-SUMIFS(Xero!$F:$F,Xero!$B:$B,Heron!U$9,Xero!$A:$A,Heron!$A$5,Xero!$E:$E,Heron!$A19)</f>
        <v/>
      </c>
      <c r="V19" s="66">
        <f>-SUMIFS(Xero!$F:$F,Xero!$B:$B,Heron!V$9,Xero!$A:$A,Heron!$A$4,Xero!$E:$E,Heron!$A19)-SUMIFS(Xero!$F:$F,Xero!$B:$B,Heron!V$9,Xero!$A:$A,Heron!$A$5,Xero!$E:$E,Heron!$A19)</f>
        <v/>
      </c>
      <c r="W19" s="66">
        <f>-SUMIFS(Xero!$F:$F,Xero!$B:$B,Heron!W$9,Xero!$A:$A,Heron!$A$4,Xero!$E:$E,Heron!$A19)-SUMIFS(Xero!$F:$F,Xero!$B:$B,Heron!W$9,Xero!$A:$A,Heron!$A$5,Xero!$E:$E,Heron!$A19)</f>
        <v/>
      </c>
      <c r="X19" s="66">
        <f>-SUMIFS(Xero!$F:$F,Xero!$B:$B,Heron!X$9,Xero!$A:$A,Heron!$A$4,Xero!$E:$E,Heron!$A19)-SUMIFS(Xero!$F:$F,Xero!$B:$B,Heron!X$9,Xero!$A:$A,Heron!$A$5,Xero!$E:$E,Heron!$A19)</f>
        <v/>
      </c>
      <c r="Y19" s="66">
        <f>-SUMIFS(Xero!$F:$F,Xero!$B:$B,Heron!Y$9,Xero!$A:$A,Heron!$A$4,Xero!$E:$E,Heron!$A19)-SUMIFS(Xero!$F:$F,Xero!$B:$B,Heron!Y$9,Xero!$A:$A,Heron!$A$5,Xero!$E:$E,Heron!$A19)</f>
        <v/>
      </c>
      <c r="Z19" s="66">
        <f>-SUMIFS(Xero!$F:$F,Xero!$B:$B,Heron!Z$9,Xero!$A:$A,Heron!$A$4,Xero!$E:$E,Heron!$A19)-SUMIFS(Xero!$F:$F,Xero!$B:$B,Heron!Z$9,Xero!$A:$A,Heron!$A$5,Xero!$E:$E,Heron!$A19)</f>
        <v/>
      </c>
      <c r="AA19" s="66">
        <f>-SUMIFS(Xero!$F:$F,Xero!$B:$B,Heron!AA$9,Xero!$A:$A,Heron!$A$4,Xero!$E:$E,Heron!$A19)-SUMIFS(Xero!$F:$F,Xero!$B:$B,Heron!AA$9,Xero!$A:$A,Heron!$A$5,Xero!$E:$E,Heron!$A19)</f>
        <v/>
      </c>
      <c r="AB19" s="66">
        <f>-SUMIFS(Xero!$F:$F,Xero!$B:$B,Heron!AB$9,Xero!$A:$A,Heron!$A$4,Xero!$E:$E,Heron!$A19)-SUMIFS(Xero!$F:$F,Xero!$B:$B,Heron!AB$9,Xero!$A:$A,Heron!$A$5,Xero!$E:$E,Heron!$A19)</f>
        <v/>
      </c>
      <c r="AC19" s="66">
        <f>-SUMIFS(Xero!$F:$F,Xero!$B:$B,Heron!AC$9,Xero!$A:$A,Heron!$A$4,Xero!$E:$E,Heron!$A19)-SUMIFS(Xero!$F:$F,Xero!$B:$B,Heron!AC$9,Xero!$A:$A,Heron!$A$5,Xero!$E:$E,Heron!$A19)</f>
        <v/>
      </c>
      <c r="AD19" s="66">
        <f>-SUMIFS(Xero!$F:$F,Xero!$B:$B,Heron!AD$9,Xero!$A:$A,Heron!$A$4,Xero!$E:$E,Heron!$A19)-SUMIFS(Xero!$F:$F,Xero!$B:$B,Heron!AD$9,Xero!$A:$A,Heron!$A$5,Xero!$E:$E,Heron!$A19)</f>
        <v/>
      </c>
      <c r="AE19" s="66">
        <f>-SUMIFS(Xero!$F:$F,Xero!$B:$B,Heron!AE$9,Xero!$A:$A,Heron!$A$4,Xero!$E:$E,Heron!$A19)-SUMIFS(Xero!$F:$F,Xero!$B:$B,Heron!AE$9,Xero!$A:$A,Heron!$A$5,Xero!$E:$E,Heron!$A19)</f>
        <v/>
      </c>
      <c r="AF19" s="66">
        <f>-SUMIFS(Xero!$F:$F,Xero!$B:$B,Heron!AF$9,Xero!$A:$A,Heron!$A$4,Xero!$E:$E,Heron!$A19)-SUMIFS(Xero!$F:$F,Xero!$B:$B,Heron!AF$9,Xero!$A:$A,Heron!$A$5,Xero!$E:$E,Heron!$A19)</f>
        <v/>
      </c>
      <c r="AG19" s="66">
        <f>-SUMIFS(Xero!$F:$F,Xero!$B:$B,Heron!AG$9,Xero!$A:$A,Heron!$A$4,Xero!$E:$E,Heron!$A19)-SUMIFS(Xero!$F:$F,Xero!$B:$B,Heron!AG$9,Xero!$A:$A,Heron!$A$5,Xero!$E:$E,Heron!$A19)</f>
        <v/>
      </c>
      <c r="AH19" s="66">
        <f>-SUMIFS(Xero!$F:$F,Xero!$B:$B,Heron!AH$9,Xero!$A:$A,Heron!$A$4,Xero!$E:$E,Heron!$A19)-SUMIFS(Xero!$F:$F,Xero!$B:$B,Heron!AH$9,Xero!$A:$A,Heron!$A$5,Xero!$E:$E,Heron!$A19)</f>
        <v/>
      </c>
      <c r="AI19" s="66">
        <f>-SUMIFS(Xero!$F:$F,Xero!$B:$B,Heron!AI$9,Xero!$A:$A,Heron!$A$4,Xero!$E:$E,Heron!$A19)-SUMIFS(Xero!$F:$F,Xero!$B:$B,Heron!AI$9,Xero!$A:$A,Heron!$A$5,Xero!$E:$E,Heron!$A19)</f>
        <v/>
      </c>
      <c r="AJ19" s="66">
        <f>-SUMIFS(Xero!$F:$F,Xero!$B:$B,Heron!AJ$9,Xero!$A:$A,Heron!$A$4,Xero!$E:$E,Heron!$A19)-SUMIFS(Xero!$F:$F,Xero!$B:$B,Heron!AJ$9,Xero!$A:$A,Heron!$A$5,Xero!$E:$E,Heron!$A19)</f>
        <v/>
      </c>
      <c r="AK19" s="66">
        <f>-SUMIFS(Xero!$F:$F,Xero!$B:$B,Heron!AK$9,Xero!$A:$A,Heron!$A$4,Xero!$E:$E,Heron!$A19)-SUMIFS(Xero!$F:$F,Xero!$B:$B,Heron!AK$9,Xero!$A:$A,Heron!$A$5,Xero!$E:$E,Heron!$A19)</f>
        <v/>
      </c>
      <c r="AL19" s="66">
        <f>-SUMIFS(Xero!$F:$F,Xero!$B:$B,Heron!AL$9,Xero!$A:$A,Heron!$A$4,Xero!$E:$E,Heron!$A19)-SUMIFS(Xero!$F:$F,Xero!$B:$B,Heron!AL$9,Xero!$A:$A,Heron!$A$5,Xero!$E:$E,Heron!$A19)</f>
        <v/>
      </c>
      <c r="AM19" s="66">
        <f>-SUMIFS(Xero!$F:$F,Xero!$B:$B,Heron!AM$9,Xero!$A:$A,Heron!$A$4,Xero!$E:$E,Heron!$A19)-SUMIFS(Xero!$F:$F,Xero!$B:$B,Heron!AM$9,Xero!$A:$A,Heron!$A$5,Xero!$E:$E,Heron!$A19)</f>
        <v/>
      </c>
      <c r="AN19" s="66">
        <f>-SUMIFS(Xero!$F:$F,Xero!$B:$B,Heron!AN$9,Xero!$A:$A,Heron!$A$4,Xero!$E:$E,Heron!$A19)-SUMIFS(Xero!$F:$F,Xero!$B:$B,Heron!AN$9,Xero!$A:$A,Heron!$A$5,Xero!$E:$E,Heron!$A19)</f>
        <v/>
      </c>
      <c r="AO19" s="66">
        <f>-SUMIFS(Xero!$F:$F,Xero!$B:$B,Heron!AO$9,Xero!$A:$A,Heron!$A$4,Xero!$E:$E,Heron!$A19)-SUMIFS(Xero!$F:$F,Xero!$B:$B,Heron!AO$9,Xero!$A:$A,Heron!$A$5,Xero!$E:$E,Heron!$A19)</f>
        <v/>
      </c>
      <c r="AP19" s="66">
        <f>-SUMIFS(Xero!$F:$F,Xero!$B:$B,Heron!AP$9,Xero!$A:$A,Heron!$A$4,Xero!$E:$E,Heron!$A19)-SUMIFS(Xero!$F:$F,Xero!$B:$B,Heron!AP$9,Xero!$A:$A,Heron!$A$5,Xero!$E:$E,Heron!$A19)</f>
        <v/>
      </c>
      <c r="AQ19" s="66">
        <f>-SUMIFS(Xero!$F:$F,Xero!$B:$B,Heron!AQ$9,Xero!$A:$A,Heron!$A$4,Xero!$E:$E,Heron!$A19)-SUMIFS(Xero!$F:$F,Xero!$B:$B,Heron!AQ$9,Xero!$A:$A,Heron!$A$5,Xero!$E:$E,Heron!$A19)</f>
        <v/>
      </c>
      <c r="AR19" s="66">
        <f>-SUMIFS(Xero!$F:$F,Xero!$B:$B,Heron!AR$9,Xero!$A:$A,Heron!$A$4,Xero!$E:$E,Heron!$A19)-SUMIFS(Xero!$F:$F,Xero!$B:$B,Heron!AR$9,Xero!$A:$A,Heron!$A$5,Xero!$E:$E,Heron!$A19)</f>
        <v/>
      </c>
      <c r="AS19" s="66">
        <f>-SUMIFS(Xero!$F:$F,Xero!$B:$B,Heron!AS$9,Xero!$A:$A,Heron!$A$4,Xero!$E:$E,Heron!$A19)-SUMIFS(Xero!$F:$F,Xero!$B:$B,Heron!AS$9,Xero!$A:$A,Heron!$A$5,Xero!$E:$E,Heron!$A19)</f>
        <v/>
      </c>
      <c r="AT19" s="66">
        <f>-SUMIFS(Xero!$F:$F,Xero!$B:$B,Heron!AT$9,Xero!$A:$A,Heron!$A$4,Xero!$E:$E,Heron!$A19)-SUMIFS(Xero!$F:$F,Xero!$B:$B,Heron!AT$9,Xero!$A:$A,Heron!$A$5,Xero!$E:$E,Heron!$A19)</f>
        <v/>
      </c>
      <c r="AU19" s="66">
        <f>-SUMIFS(Xero!$F:$F,Xero!$B:$B,Heron!AU$9,Xero!$A:$A,Heron!$A$4,Xero!$E:$E,Heron!$A19)-SUMIFS(Xero!$F:$F,Xero!$B:$B,Heron!AU$9,Xero!$A:$A,Heron!$A$5,Xero!$E:$E,Heron!$A19)</f>
        <v/>
      </c>
      <c r="AV19" s="66">
        <f>-SUMIFS(Xero!$F:$F,Xero!$B:$B,Heron!AV$9,Xero!$A:$A,Heron!$A$4,Xero!$E:$E,Heron!$A19)-SUMIFS(Xero!$F:$F,Xero!$B:$B,Heron!AV$9,Xero!$A:$A,Heron!$A$5,Xero!$E:$E,Heron!$A19)</f>
        <v/>
      </c>
      <c r="AW19" s="66">
        <f>-SUMIFS(Xero!$F:$F,Xero!$B:$B,Heron!AW$9,Xero!$A:$A,Heron!$A$4,Xero!$E:$E,Heron!$A19)-SUMIFS(Xero!$F:$F,Xero!$B:$B,Heron!AW$9,Xero!$A:$A,Heron!$A$5,Xero!$E:$E,Heron!$A19)</f>
        <v/>
      </c>
      <c r="AX19" s="66">
        <f>-SUMIFS(Xero!$F:$F,Xero!$B:$B,Heron!AX$9,Xero!$A:$A,Heron!$A$4,Xero!$E:$E,Heron!$A19)-SUMIFS(Xero!$F:$F,Xero!$B:$B,Heron!AX$9,Xero!$A:$A,Heron!$A$5,Xero!$E:$E,Heron!$A19)</f>
        <v/>
      </c>
      <c r="AY19" s="66">
        <f>-SUMIFS(Xero!$F:$F,Xero!$B:$B,Heron!AY$9,Xero!$A:$A,Heron!$A$4,Xero!$E:$E,Heron!$A19)-SUMIFS(Xero!$F:$F,Xero!$B:$B,Heron!AY$9,Xero!$A:$A,Heron!$A$5,Xero!$E:$E,Heron!$A19)</f>
        <v/>
      </c>
      <c r="AZ19" s="66">
        <f>-SUMIFS(Xero!$F:$F,Xero!$B:$B,Heron!AZ$9,Xero!$A:$A,Heron!$A$4,Xero!$E:$E,Heron!$A19)-SUMIFS(Xero!$F:$F,Xero!$B:$B,Heron!AZ$9,Xero!$A:$A,Heron!$A$5,Xero!$E:$E,Heron!$A19)</f>
        <v/>
      </c>
      <c r="BA19" s="66">
        <f>-SUMIFS(Xero!$F:$F,Xero!$B:$B,Heron!BA$9,Xero!$A:$A,Heron!$A$4,Xero!$E:$E,Heron!$A19)-SUMIFS(Xero!$F:$F,Xero!$B:$B,Heron!BA$9,Xero!$A:$A,Heron!$A$5,Xero!$E:$E,Heron!$A19)</f>
        <v/>
      </c>
      <c r="BB19" s="66">
        <f>-SUMIFS(Xero!$F:$F,Xero!$B:$B,Heron!BB$9,Xero!$A:$A,Heron!$A$4,Xero!$E:$E,Heron!$A19)-SUMIFS(Xero!$F:$F,Xero!$B:$B,Heron!BB$9,Xero!$A:$A,Heron!$A$5,Xero!$E:$E,Heron!$A19)</f>
        <v/>
      </c>
      <c r="BC19" s="66">
        <f>-SUMIFS(Xero!$F:$F,Xero!$B:$B,Heron!BC$9,Xero!$A:$A,Heron!$A$4,Xero!$E:$E,Heron!$A19)-SUMIFS(Xero!$F:$F,Xero!$B:$B,Heron!BC$9,Xero!$A:$A,Heron!$A$5,Xero!$E:$E,Heron!$A19)</f>
        <v/>
      </c>
      <c r="BD19" s="66">
        <f>-SUMIFS(Xero!$F:$F,Xero!$B:$B,Heron!BD$9,Xero!$A:$A,Heron!$A$4,Xero!$E:$E,Heron!$A19)-SUMIFS(Xero!$F:$F,Xero!$B:$B,Heron!BD$9,Xero!$A:$A,Heron!$A$5,Xero!$E:$E,Heron!$A19)</f>
        <v/>
      </c>
      <c r="BE19" s="66">
        <f>-SUMIFS(Xero!$F:$F,Xero!$B:$B,Heron!BE$9,Xero!$A:$A,Heron!$A$4,Xero!$E:$E,Heron!$A19)-SUMIFS(Xero!$F:$F,Xero!$B:$B,Heron!BE$9,Xero!$A:$A,Heron!$A$5,Xero!$E:$E,Heron!$A19)</f>
        <v/>
      </c>
      <c r="BF19" s="66">
        <f>-SUMIFS(Xero!$F:$F,Xero!$B:$B,Heron!BF$9,Xero!$A:$A,Heron!$A$4,Xero!$E:$E,Heron!$A19)-SUMIFS(Xero!$F:$F,Xero!$B:$B,Heron!BF$9,Xero!$A:$A,Heron!$A$5,Xero!$E:$E,Heron!$A19)</f>
        <v/>
      </c>
      <c r="BG19" s="66">
        <f>-SUMIFS(Xero!$F:$F,Xero!$B:$B,Heron!BG$9,Xero!$A:$A,Heron!$A$4,Xero!$E:$E,Heron!$A19)-SUMIFS(Xero!$F:$F,Xero!$B:$B,Heron!BG$9,Xero!$A:$A,Heron!$A$5,Xero!$E:$E,Heron!$A19)</f>
        <v/>
      </c>
      <c r="BH19" s="66">
        <f>sum(D19:BG19)</f>
        <v/>
      </c>
    </row>
    <row r="20">
      <c r="A20" s="65" t="inlineStr">
        <is>
          <t>Sales - Heron Fields</t>
        </is>
      </c>
      <c r="D20" s="66">
        <f>-SUMIFS(Xero!$F:$F,Xero!$B:$B,Heron!D$9,Xero!$A:$A,Heron!$A$4,Xero!$E:$E,Heron!$A20)-SUMIFS(Xero!$F:$F,Xero!$B:$B,Heron!D$9,Xero!$A:$A,Heron!$A$5,Xero!$E:$E,Heron!$A20)+SUMIFS(Sales!$K:$K,Sales!$E:$E,FALSE,Sales!$A:$A,Heron!$B$4,Sales!$H:$H,"&lt;="&amp;Heron!D$9,Sales!$H:$H,"&gt;"&amp;Heron!C$9,Sales!$F:$F,1)</f>
        <v/>
      </c>
      <c r="E20" s="66">
        <f>-SUMIFS(Xero!$F:$F,Xero!$B:$B,Heron!E$9,Xero!$A:$A,Heron!$A$4,Xero!$E:$E,Heron!$A20)-SUMIFS(Xero!$F:$F,Xero!$B:$B,Heron!E$9,Xero!$A:$A,Heron!$A$5,Xero!$E:$E,Heron!$A20)+SUMIFS(Sales!$K:$K,Sales!$E:$E,FALSE,Sales!$A:$A,Heron!$B$4,Sales!$H:$H,"&lt;="&amp;Heron!E$9,Sales!$H:$H,"&gt;"&amp;Heron!D$9,Sales!$F:$F,1)</f>
        <v/>
      </c>
      <c r="F20" s="66">
        <f>-SUMIFS(Xero!$F:$F,Xero!$B:$B,Heron!F$9,Xero!$A:$A,Heron!$A$4,Xero!$E:$E,Heron!$A20)-SUMIFS(Xero!$F:$F,Xero!$B:$B,Heron!F$9,Xero!$A:$A,Heron!$A$5,Xero!$E:$E,Heron!$A20)+SUMIFS(Sales!$K:$K,Sales!$E:$E,FALSE,Sales!$A:$A,Heron!$B$4,Sales!$H:$H,"&lt;="&amp;Heron!F$9,Sales!$H:$H,"&gt;"&amp;Heron!E$9,Sales!$F:$F,1)</f>
        <v/>
      </c>
      <c r="G20" s="66">
        <f>-SUMIFS(Xero!$F:$F,Xero!$B:$B,Heron!G$9,Xero!$A:$A,Heron!$A$4,Xero!$E:$E,Heron!$A20)-SUMIFS(Xero!$F:$F,Xero!$B:$B,Heron!G$9,Xero!$A:$A,Heron!$A$5,Xero!$E:$E,Heron!$A20)+SUMIFS(Sales!$K:$K,Sales!$E:$E,FALSE,Sales!$A:$A,Heron!$B$4,Sales!$H:$H,"&lt;="&amp;Heron!G$9,Sales!$H:$H,"&gt;"&amp;Heron!F$9,Sales!$F:$F,1)</f>
        <v/>
      </c>
      <c r="H20" s="66">
        <f>-SUMIFS(Xero!$F:$F,Xero!$B:$B,Heron!H$9,Xero!$A:$A,Heron!$A$4,Xero!$E:$E,Heron!$A20)-SUMIFS(Xero!$F:$F,Xero!$B:$B,Heron!H$9,Xero!$A:$A,Heron!$A$5,Xero!$E:$E,Heron!$A20)+SUMIFS(Sales!$K:$K,Sales!$E:$E,FALSE,Sales!$A:$A,Heron!$B$4,Sales!$H:$H,"&lt;="&amp;Heron!H$9,Sales!$H:$H,"&gt;"&amp;Heron!G$9,Sales!$F:$F,1)</f>
        <v/>
      </c>
      <c r="I20" s="66">
        <f>-SUMIFS(Xero!$F:$F,Xero!$B:$B,Heron!I$9,Xero!$A:$A,Heron!$A$4,Xero!$E:$E,Heron!$A20)-SUMIFS(Xero!$F:$F,Xero!$B:$B,Heron!I$9,Xero!$A:$A,Heron!$A$5,Xero!$E:$E,Heron!$A20)+SUMIFS(Sales!$K:$K,Sales!$E:$E,FALSE,Sales!$A:$A,Heron!$B$4,Sales!$H:$H,"&lt;="&amp;Heron!I$9,Sales!$H:$H,"&gt;"&amp;Heron!H$9,Sales!$F:$F,1)</f>
        <v/>
      </c>
      <c r="J20" s="66">
        <f>-SUMIFS(Xero!$F:$F,Xero!$B:$B,Heron!J$9,Xero!$A:$A,Heron!$A$4,Xero!$E:$E,Heron!$A20)-SUMIFS(Xero!$F:$F,Xero!$B:$B,Heron!J$9,Xero!$A:$A,Heron!$A$5,Xero!$E:$E,Heron!$A20)+SUMIFS(Sales!$K:$K,Sales!$E:$E,FALSE,Sales!$A:$A,Heron!$B$4,Sales!$H:$H,"&lt;="&amp;Heron!J$9,Sales!$H:$H,"&gt;"&amp;Heron!I$9,Sales!$F:$F,1)</f>
        <v/>
      </c>
      <c r="K20" s="66">
        <f>-SUMIFS(Xero!$F:$F,Xero!$B:$B,Heron!K$9,Xero!$A:$A,Heron!$A$4,Xero!$E:$E,Heron!$A20)-SUMIFS(Xero!$F:$F,Xero!$B:$B,Heron!K$9,Xero!$A:$A,Heron!$A$5,Xero!$E:$E,Heron!$A20)+SUMIFS(Sales!$K:$K,Sales!$E:$E,FALSE,Sales!$A:$A,Heron!$B$4,Sales!$H:$H,"&lt;="&amp;Heron!K$9,Sales!$H:$H,"&gt;"&amp;Heron!J$9,Sales!$F:$F,1)</f>
        <v/>
      </c>
      <c r="L20" s="66">
        <f>-SUMIFS(Xero!$F:$F,Xero!$B:$B,Heron!L$9,Xero!$A:$A,Heron!$A$4,Xero!$E:$E,Heron!$A20)-SUMIFS(Xero!$F:$F,Xero!$B:$B,Heron!L$9,Xero!$A:$A,Heron!$A$5,Xero!$E:$E,Heron!$A20)+SUMIFS(Sales!$K:$K,Sales!$E:$E,FALSE,Sales!$A:$A,Heron!$B$4,Sales!$H:$H,"&lt;="&amp;Heron!L$9,Sales!$H:$H,"&gt;"&amp;Heron!K$9,Sales!$F:$F,1)</f>
        <v/>
      </c>
      <c r="M20" s="66">
        <f>-SUMIFS(Xero!$F:$F,Xero!$B:$B,Heron!M$9,Xero!$A:$A,Heron!$A$4,Xero!$E:$E,Heron!$A20)-SUMIFS(Xero!$F:$F,Xero!$B:$B,Heron!M$9,Xero!$A:$A,Heron!$A$5,Xero!$E:$E,Heron!$A20)+SUMIFS(Sales!$K:$K,Sales!$E:$E,FALSE,Sales!$A:$A,Heron!$B$4,Sales!$H:$H,"&lt;="&amp;Heron!M$9,Sales!$H:$H,"&gt;"&amp;Heron!L$9,Sales!$F:$F,1)</f>
        <v/>
      </c>
      <c r="N20" s="66">
        <f>-SUMIFS(Xero!$F:$F,Xero!$B:$B,Heron!N$9,Xero!$A:$A,Heron!$A$4,Xero!$E:$E,Heron!$A20)-SUMIFS(Xero!$F:$F,Xero!$B:$B,Heron!N$9,Xero!$A:$A,Heron!$A$5,Xero!$E:$E,Heron!$A20)+SUMIFS(Sales!$K:$K,Sales!$E:$E,FALSE,Sales!$A:$A,Heron!$B$4,Sales!$H:$H,"&lt;="&amp;Heron!N$9,Sales!$H:$H,"&gt;"&amp;Heron!M$9,Sales!$F:$F,1)</f>
        <v/>
      </c>
      <c r="O20" s="66">
        <f>-SUMIFS(Xero!$F:$F,Xero!$B:$B,Heron!O$9,Xero!$A:$A,Heron!$A$4,Xero!$E:$E,Heron!$A20)-SUMIFS(Xero!$F:$F,Xero!$B:$B,Heron!O$9,Xero!$A:$A,Heron!$A$5,Xero!$E:$E,Heron!$A20)+SUMIFS(Sales!$K:$K,Sales!$E:$E,FALSE,Sales!$A:$A,Heron!$B$4,Sales!$H:$H,"&lt;="&amp;Heron!O$9,Sales!$H:$H,"&gt;"&amp;Heron!N$9,Sales!$F:$F,1)</f>
        <v/>
      </c>
      <c r="P20" s="66">
        <f>-SUMIFS(Xero!$F:$F,Xero!$B:$B,Heron!P$9,Xero!$A:$A,Heron!$A$4,Xero!$E:$E,Heron!$A20)-SUMIFS(Xero!$F:$F,Xero!$B:$B,Heron!P$9,Xero!$A:$A,Heron!$A$5,Xero!$E:$E,Heron!$A20)+SUMIFS(Sales!$K:$K,Sales!$E:$E,FALSE,Sales!$A:$A,Heron!$B$4,Sales!$H:$H,"&lt;="&amp;Heron!P$9,Sales!$H:$H,"&gt;"&amp;Heron!O$9,Sales!$F:$F,1)</f>
        <v/>
      </c>
      <c r="Q20" s="66">
        <f>-SUMIFS(Xero!$F:$F,Xero!$B:$B,Heron!Q$9,Xero!$A:$A,Heron!$A$4,Xero!$E:$E,Heron!$A20)-SUMIFS(Xero!$F:$F,Xero!$B:$B,Heron!Q$9,Xero!$A:$A,Heron!$A$5,Xero!$E:$E,Heron!$A20)+SUMIFS(Sales!$K:$K,Sales!$E:$E,FALSE,Sales!$A:$A,Heron!$B$4,Sales!$H:$H,"&lt;="&amp;Heron!Q$9,Sales!$H:$H,"&gt;"&amp;Heron!P$9,Sales!$F:$F,1)</f>
        <v/>
      </c>
      <c r="R20" s="66">
        <f>-SUMIFS(Xero!$F:$F,Xero!$B:$B,Heron!R$9,Xero!$A:$A,Heron!$A$4,Xero!$E:$E,Heron!$A20)-SUMIFS(Xero!$F:$F,Xero!$B:$B,Heron!R$9,Xero!$A:$A,Heron!$A$5,Xero!$E:$E,Heron!$A20)+SUMIFS(Sales!$K:$K,Sales!$E:$E,FALSE,Sales!$A:$A,Heron!$B$4,Sales!$H:$H,"&lt;="&amp;Heron!R$9,Sales!$H:$H,"&gt;"&amp;Heron!Q$9,Sales!$F:$F,1)</f>
        <v/>
      </c>
      <c r="S20" s="66">
        <f>-SUMIFS(Xero!$F:$F,Xero!$B:$B,Heron!S$9,Xero!$A:$A,Heron!$A$4,Xero!$E:$E,Heron!$A20)-SUMIFS(Xero!$F:$F,Xero!$B:$B,Heron!S$9,Xero!$A:$A,Heron!$A$5,Xero!$E:$E,Heron!$A20)+SUMIFS(Sales!$K:$K,Sales!$E:$E,FALSE,Sales!$A:$A,Heron!$B$4,Sales!$H:$H,"&lt;="&amp;Heron!S$9,Sales!$H:$H,"&gt;"&amp;Heron!R$9,Sales!$F:$F,1)</f>
        <v/>
      </c>
      <c r="T20" s="66">
        <f>-SUMIFS(Xero!$F:$F,Xero!$B:$B,Heron!T$9,Xero!$A:$A,Heron!$A$4,Xero!$E:$E,Heron!$A20)-SUMIFS(Xero!$F:$F,Xero!$B:$B,Heron!T$9,Xero!$A:$A,Heron!$A$5,Xero!$E:$E,Heron!$A20)+SUMIFS(Sales!$K:$K,Sales!$E:$E,FALSE,Sales!$A:$A,Heron!$B$4,Sales!$H:$H,"&lt;="&amp;Heron!T$9,Sales!$H:$H,"&gt;"&amp;Heron!S$9,Sales!$F:$F,1)</f>
        <v/>
      </c>
      <c r="U20" s="66">
        <f>-SUMIFS(Xero!$F:$F,Xero!$B:$B,Heron!U$9,Xero!$A:$A,Heron!$A$4,Xero!$E:$E,Heron!$A20)-SUMIFS(Xero!$F:$F,Xero!$B:$B,Heron!U$9,Xero!$A:$A,Heron!$A$5,Xero!$E:$E,Heron!$A20)+SUMIFS(Sales!$K:$K,Sales!$E:$E,FALSE,Sales!$A:$A,Heron!$B$4,Sales!$H:$H,"&lt;="&amp;Heron!U$9,Sales!$H:$H,"&gt;"&amp;Heron!T$9,Sales!$F:$F,1)</f>
        <v/>
      </c>
      <c r="V20" s="66">
        <f>-SUMIFS(Xero!$F:$F,Xero!$B:$B,Heron!V$9,Xero!$A:$A,Heron!$A$4,Xero!$E:$E,Heron!$A20)-SUMIFS(Xero!$F:$F,Xero!$B:$B,Heron!V$9,Xero!$A:$A,Heron!$A$5,Xero!$E:$E,Heron!$A20)+SUMIFS(Sales!$K:$K,Sales!$E:$E,FALSE,Sales!$A:$A,Heron!$B$4,Sales!$H:$H,"&lt;="&amp;Heron!V$9,Sales!$H:$H,"&gt;"&amp;Heron!U$9,Sales!$F:$F,1)</f>
        <v/>
      </c>
      <c r="W20" s="66">
        <f>-SUMIFS(Xero!$F:$F,Xero!$B:$B,Heron!W$9,Xero!$A:$A,Heron!$A$4,Xero!$E:$E,Heron!$A20)-SUMIFS(Xero!$F:$F,Xero!$B:$B,Heron!W$9,Xero!$A:$A,Heron!$A$5,Xero!$E:$E,Heron!$A20)+SUMIFS(Sales!$K:$K,Sales!$E:$E,FALSE,Sales!$A:$A,Heron!$B$4,Sales!$H:$H,"&lt;="&amp;Heron!W$9,Sales!$H:$H,"&gt;"&amp;Heron!V$9,Sales!$F:$F,1)</f>
        <v/>
      </c>
      <c r="X20" s="66">
        <f>-SUMIFS(Xero!$F:$F,Xero!$B:$B,Heron!X$9,Xero!$A:$A,Heron!$A$4,Xero!$E:$E,Heron!$A20)-SUMIFS(Xero!$F:$F,Xero!$B:$B,Heron!X$9,Xero!$A:$A,Heron!$A$5,Xero!$E:$E,Heron!$A20)+SUMIFS(Sales!$K:$K,Sales!$E:$E,FALSE,Sales!$A:$A,Heron!$B$4,Sales!$H:$H,"&lt;="&amp;Heron!X$9,Sales!$H:$H,"&gt;"&amp;Heron!W$9,Sales!$F:$F,1)</f>
        <v/>
      </c>
      <c r="Y20" s="66">
        <f>-SUMIFS(Xero!$F:$F,Xero!$B:$B,Heron!Y$9,Xero!$A:$A,Heron!$A$4,Xero!$E:$E,Heron!$A20)-SUMIFS(Xero!$F:$F,Xero!$B:$B,Heron!Y$9,Xero!$A:$A,Heron!$A$5,Xero!$E:$E,Heron!$A20)+SUMIFS(Sales!$K:$K,Sales!$E:$E,FALSE,Sales!$A:$A,Heron!$B$4,Sales!$H:$H,"&lt;="&amp;Heron!Y$9,Sales!$H:$H,"&gt;"&amp;Heron!X$9,Sales!$F:$F,1)</f>
        <v/>
      </c>
      <c r="Z20" s="66">
        <f>-SUMIFS(Xero!$F:$F,Xero!$B:$B,Heron!Z$9,Xero!$A:$A,Heron!$A$4,Xero!$E:$E,Heron!$A20)-SUMIFS(Xero!$F:$F,Xero!$B:$B,Heron!Z$9,Xero!$A:$A,Heron!$A$5,Xero!$E:$E,Heron!$A20)+SUMIFS(Sales!$K:$K,Sales!$E:$E,FALSE,Sales!$A:$A,Heron!$B$4,Sales!$H:$H,"&lt;="&amp;Heron!Z$9,Sales!$H:$H,"&gt;"&amp;Heron!Y$9,Sales!$F:$F,1)</f>
        <v/>
      </c>
      <c r="AA20" s="66">
        <f>-SUMIFS(Xero!$F:$F,Xero!$B:$B,Heron!AA$9,Xero!$A:$A,Heron!$A$4,Xero!$E:$E,Heron!$A20)-SUMIFS(Xero!$F:$F,Xero!$B:$B,Heron!AA$9,Xero!$A:$A,Heron!$A$5,Xero!$E:$E,Heron!$A20)+SUMIFS(Sales!$K:$K,Sales!$E:$E,FALSE,Sales!$A:$A,Heron!$B$4,Sales!$H:$H,"&lt;="&amp;Heron!AA$9,Sales!$H:$H,"&gt;"&amp;Heron!Z$9,Sales!$F:$F,1)</f>
        <v/>
      </c>
      <c r="AB20" s="66">
        <f>-SUMIFS(Xero!$F:$F,Xero!$B:$B,Heron!AB$9,Xero!$A:$A,Heron!$A$4,Xero!$E:$E,Heron!$A20)-SUMIFS(Xero!$F:$F,Xero!$B:$B,Heron!AB$9,Xero!$A:$A,Heron!$A$5,Xero!$E:$E,Heron!$A20)+SUMIFS(Sales!$K:$K,Sales!$E:$E,FALSE,Sales!$A:$A,Heron!$B$4,Sales!$H:$H,"&lt;="&amp;Heron!AB$9,Sales!$H:$H,"&gt;"&amp;Heron!AA$9,Sales!$F:$F,1)</f>
        <v/>
      </c>
      <c r="AC20" s="66">
        <f>-SUMIFS(Xero!$F:$F,Xero!$B:$B,Heron!AC$9,Xero!$A:$A,Heron!$A$4,Xero!$E:$E,Heron!$A20)-SUMIFS(Xero!$F:$F,Xero!$B:$B,Heron!AC$9,Xero!$A:$A,Heron!$A$5,Xero!$E:$E,Heron!$A20)+SUMIFS(Sales!$K:$K,Sales!$E:$E,FALSE,Sales!$A:$A,Heron!$B$4,Sales!$H:$H,"&lt;="&amp;Heron!AC$9,Sales!$H:$H,"&gt;"&amp;Heron!AB$9,Sales!$F:$F,1)</f>
        <v/>
      </c>
      <c r="AD20" s="66">
        <f>-SUMIFS(Xero!$F:$F,Xero!$B:$B,Heron!AD$9,Xero!$A:$A,Heron!$A$4,Xero!$E:$E,Heron!$A20)-SUMIFS(Xero!$F:$F,Xero!$B:$B,Heron!AD$9,Xero!$A:$A,Heron!$A$5,Xero!$E:$E,Heron!$A20)+SUMIFS(Sales!$K:$K,Sales!$E:$E,FALSE,Sales!$A:$A,Heron!$B$4,Sales!$H:$H,"&lt;="&amp;Heron!AD$9,Sales!$H:$H,"&gt;"&amp;Heron!AC$9,Sales!$F:$F,1)</f>
        <v/>
      </c>
      <c r="AE20" s="66">
        <f>-SUMIFS(Xero!$F:$F,Xero!$B:$B,Heron!AE$9,Xero!$A:$A,Heron!$A$4,Xero!$E:$E,Heron!$A20)-SUMIFS(Xero!$F:$F,Xero!$B:$B,Heron!AE$9,Xero!$A:$A,Heron!$A$5,Xero!$E:$E,Heron!$A20)+SUMIFS(Sales!$K:$K,Sales!$E:$E,FALSE,Sales!$A:$A,Heron!$B$4,Sales!$H:$H,"&lt;="&amp;Heron!AE$9,Sales!$H:$H,"&gt;"&amp;Heron!AD$9,Sales!$F:$F,1)</f>
        <v/>
      </c>
      <c r="AF20" s="66">
        <f>-SUMIFS(Xero!$F:$F,Xero!$B:$B,Heron!AF$9,Xero!$A:$A,Heron!$A$4,Xero!$E:$E,Heron!$A20)-SUMIFS(Xero!$F:$F,Xero!$B:$B,Heron!AF$9,Xero!$A:$A,Heron!$A$5,Xero!$E:$E,Heron!$A20)+SUMIFS(Sales!$K:$K,Sales!$E:$E,FALSE,Sales!$A:$A,Heron!$B$4,Sales!$H:$H,"&lt;="&amp;Heron!AF$9,Sales!$H:$H,"&gt;"&amp;Heron!AE$9,Sales!$F:$F,1)</f>
        <v/>
      </c>
      <c r="AG20" s="66">
        <f>-SUMIFS(Xero!$F:$F,Xero!$B:$B,Heron!AG$9,Xero!$A:$A,Heron!$A$4,Xero!$E:$E,Heron!$A20)-SUMIFS(Xero!$F:$F,Xero!$B:$B,Heron!AG$9,Xero!$A:$A,Heron!$A$5,Xero!$E:$E,Heron!$A20)+SUMIFS(Sales!$K:$K,Sales!$E:$E,FALSE,Sales!$A:$A,Heron!$B$4,Sales!$H:$H,"&lt;="&amp;Heron!AG$9,Sales!$H:$H,"&gt;"&amp;Heron!AF$9,Sales!$F:$F,1)</f>
        <v/>
      </c>
      <c r="AH20" s="66">
        <f>-SUMIFS(Xero!$F:$F,Xero!$B:$B,Heron!AH$9,Xero!$A:$A,Heron!$A$4,Xero!$E:$E,Heron!$A20)-SUMIFS(Xero!$F:$F,Xero!$B:$B,Heron!AH$9,Xero!$A:$A,Heron!$A$5,Xero!$E:$E,Heron!$A20)+SUMIFS(Sales!$K:$K,Sales!$E:$E,FALSE,Sales!$A:$A,Heron!$B$4,Sales!$H:$H,"&lt;="&amp;Heron!AH$9,Sales!$H:$H,"&gt;"&amp;Heron!AG$9,Sales!$F:$F,1)</f>
        <v/>
      </c>
      <c r="AI20" s="66">
        <f>-SUMIFS(Xero!$F:$F,Xero!$B:$B,Heron!AI$9,Xero!$A:$A,Heron!$A$4,Xero!$E:$E,Heron!$A20)-SUMIFS(Xero!$F:$F,Xero!$B:$B,Heron!AI$9,Xero!$A:$A,Heron!$A$5,Xero!$E:$E,Heron!$A20)+SUMIFS(Sales!$K:$K,Sales!$E:$E,FALSE,Sales!$A:$A,Heron!$B$4,Sales!$H:$H,"&lt;="&amp;Heron!AI$9,Sales!$H:$H,"&gt;"&amp;Heron!AH$9,Sales!$F:$F,1)</f>
        <v/>
      </c>
      <c r="AJ20" s="66">
        <f>-SUMIFS(Xero!$F:$F,Xero!$B:$B,Heron!AJ$9,Xero!$A:$A,Heron!$A$4,Xero!$E:$E,Heron!$A20)-SUMIFS(Xero!$F:$F,Xero!$B:$B,Heron!AJ$9,Xero!$A:$A,Heron!$A$5,Xero!$E:$E,Heron!$A20)+SUMIFS(Sales!$K:$K,Sales!$E:$E,FALSE,Sales!$A:$A,Heron!$B$4,Sales!$H:$H,"&lt;="&amp;Heron!AJ$9,Sales!$H:$H,"&gt;"&amp;Heron!AI$9,Sales!$F:$F,1)</f>
        <v/>
      </c>
      <c r="AK20" s="66">
        <f>-SUMIFS(Xero!$F:$F,Xero!$B:$B,Heron!AK$9,Xero!$A:$A,Heron!$A$4,Xero!$E:$E,Heron!$A20)-SUMIFS(Xero!$F:$F,Xero!$B:$B,Heron!AK$9,Xero!$A:$A,Heron!$A$5,Xero!$E:$E,Heron!$A20)+SUMIFS(Sales!$K:$K,Sales!$E:$E,FALSE,Sales!$A:$A,Heron!$B$4,Sales!$H:$H,"&lt;="&amp;Heron!AK$9,Sales!$H:$H,"&gt;"&amp;Heron!AJ$9,Sales!$F:$F,1)</f>
        <v/>
      </c>
      <c r="AL20" s="66">
        <f>-SUMIFS(Xero!$F:$F,Xero!$B:$B,Heron!AL$9,Xero!$A:$A,Heron!$A$4,Xero!$E:$E,Heron!$A20)-SUMIFS(Xero!$F:$F,Xero!$B:$B,Heron!AL$9,Xero!$A:$A,Heron!$A$5,Xero!$E:$E,Heron!$A20)+SUMIFS(Sales!$K:$K,Sales!$E:$E,FALSE,Sales!$A:$A,Heron!$B$4,Sales!$H:$H,"&lt;="&amp;Heron!AL$9,Sales!$H:$H,"&gt;"&amp;Heron!AK$9,Sales!$F:$F,1)</f>
        <v/>
      </c>
      <c r="AM20" s="66">
        <f>-SUMIFS(Xero!$F:$F,Xero!$B:$B,Heron!AM$9,Xero!$A:$A,Heron!$A$4,Xero!$E:$E,Heron!$A20)-SUMIFS(Xero!$F:$F,Xero!$B:$B,Heron!AM$9,Xero!$A:$A,Heron!$A$5,Xero!$E:$E,Heron!$A20)+SUMIFS(Sales!$K:$K,Sales!$E:$E,FALSE,Sales!$A:$A,Heron!$B$4,Sales!$H:$H,"&lt;="&amp;Heron!AM$9,Sales!$H:$H,"&gt;"&amp;Heron!AL$9,Sales!$F:$F,1)</f>
        <v/>
      </c>
      <c r="AN20" s="66">
        <f>-SUMIFS(Xero!$F:$F,Xero!$B:$B,Heron!AN$9,Xero!$A:$A,Heron!$A$4,Xero!$E:$E,Heron!$A20)-SUMIFS(Xero!$F:$F,Xero!$B:$B,Heron!AN$9,Xero!$A:$A,Heron!$A$5,Xero!$E:$E,Heron!$A20)+SUMIFS(Sales!$K:$K,Sales!$E:$E,FALSE,Sales!$A:$A,Heron!$B$4,Sales!$H:$H,"&lt;="&amp;Heron!AN$9,Sales!$H:$H,"&gt;"&amp;Heron!AM$9,Sales!$F:$F,1)</f>
        <v/>
      </c>
      <c r="AO20" s="66">
        <f>-SUMIFS(Xero!$F:$F,Xero!$B:$B,Heron!AO$9,Xero!$A:$A,Heron!$A$4,Xero!$E:$E,Heron!$A20)-SUMIFS(Xero!$F:$F,Xero!$B:$B,Heron!AO$9,Xero!$A:$A,Heron!$A$5,Xero!$E:$E,Heron!$A20)+SUMIFS(Sales!$K:$K,Sales!$E:$E,FALSE,Sales!$A:$A,Heron!$B$4,Sales!$H:$H,"&lt;="&amp;Heron!AO$9,Sales!$H:$H,"&gt;"&amp;Heron!AN$9,Sales!$F:$F,1)</f>
        <v/>
      </c>
      <c r="AP20" s="66">
        <f>-SUMIFS(Xero!$F:$F,Xero!$B:$B,Heron!AP$9,Xero!$A:$A,Heron!$A$4,Xero!$E:$E,Heron!$A20)-SUMIFS(Xero!$F:$F,Xero!$B:$B,Heron!AP$9,Xero!$A:$A,Heron!$A$5,Xero!$E:$E,Heron!$A20)+SUMIFS(Sales!$K:$K,Sales!$E:$E,FALSE,Sales!$A:$A,Heron!$B$4,Sales!$H:$H,"&lt;="&amp;Heron!AP$9,Sales!$H:$H,"&gt;"&amp;Heron!AO$9,Sales!$F:$F,1)</f>
        <v/>
      </c>
      <c r="AQ20" s="66">
        <f>-SUMIFS(Xero!$F:$F,Xero!$B:$B,Heron!AQ$9,Xero!$A:$A,Heron!$A$4,Xero!$E:$E,Heron!$A20)-SUMIFS(Xero!$F:$F,Xero!$B:$B,Heron!AQ$9,Xero!$A:$A,Heron!$A$5,Xero!$E:$E,Heron!$A20)+SUMIFS(Sales!$K:$K,Sales!$E:$E,FALSE,Sales!$A:$A,Heron!$B$4,Sales!$H:$H,"&lt;="&amp;Heron!AQ$9,Sales!$H:$H,"&gt;"&amp;Heron!AP$9,Sales!$F:$F,1)</f>
        <v/>
      </c>
      <c r="AR20" s="66">
        <f>-SUMIFS(Xero!$F:$F,Xero!$B:$B,Heron!AR$9,Xero!$A:$A,Heron!$A$4,Xero!$E:$E,Heron!$A20)-SUMIFS(Xero!$F:$F,Xero!$B:$B,Heron!AR$9,Xero!$A:$A,Heron!$A$5,Xero!$E:$E,Heron!$A20)+SUMIFS(Sales!$K:$K,Sales!$E:$E,FALSE,Sales!$A:$A,Heron!$B$4,Sales!$H:$H,"&lt;="&amp;Heron!AR$9,Sales!$H:$H,"&gt;"&amp;Heron!AQ$9,Sales!$F:$F,1)</f>
        <v/>
      </c>
      <c r="AS20" s="66">
        <f>-SUMIFS(Xero!$F:$F,Xero!$B:$B,Heron!AS$9,Xero!$A:$A,Heron!$A$4,Xero!$E:$E,Heron!$A20)-SUMIFS(Xero!$F:$F,Xero!$B:$B,Heron!AS$9,Xero!$A:$A,Heron!$A$5,Xero!$E:$E,Heron!$A20)+SUMIFS(Sales!$K:$K,Sales!$E:$E,FALSE,Sales!$A:$A,Heron!$B$4,Sales!$H:$H,"&lt;="&amp;Heron!AS$9,Sales!$H:$H,"&gt;"&amp;Heron!AR$9,Sales!$F:$F,1)</f>
        <v/>
      </c>
      <c r="AT20" s="66">
        <f>-SUMIFS(Xero!$F:$F,Xero!$B:$B,Heron!AT$9,Xero!$A:$A,Heron!$A$4,Xero!$E:$E,Heron!$A20)-SUMIFS(Xero!$F:$F,Xero!$B:$B,Heron!AT$9,Xero!$A:$A,Heron!$A$5,Xero!$E:$E,Heron!$A20)+SUMIFS(Sales!$K:$K,Sales!$E:$E,FALSE,Sales!$A:$A,Heron!$B$4,Sales!$H:$H,"&lt;="&amp;Heron!AT$9,Sales!$H:$H,"&gt;"&amp;Heron!AS$9,Sales!$F:$F,1)</f>
        <v/>
      </c>
      <c r="AU20" s="66">
        <f>-SUMIFS(Xero!$F:$F,Xero!$B:$B,Heron!AU$9,Xero!$A:$A,Heron!$A$4,Xero!$E:$E,Heron!$A20)-SUMIFS(Xero!$F:$F,Xero!$B:$B,Heron!AU$9,Xero!$A:$A,Heron!$A$5,Xero!$E:$E,Heron!$A20)+SUMIFS(Sales!$K:$K,Sales!$E:$E,FALSE,Sales!$A:$A,Heron!$B$4,Sales!$H:$H,"&lt;="&amp;Heron!AU$9,Sales!$H:$H,"&gt;"&amp;Heron!AT$9,Sales!$F:$F,1)</f>
        <v/>
      </c>
      <c r="AV20" s="66">
        <f>-SUMIFS(Xero!$F:$F,Xero!$B:$B,Heron!AV$9,Xero!$A:$A,Heron!$A$4,Xero!$E:$E,Heron!$A20)-SUMIFS(Xero!$F:$F,Xero!$B:$B,Heron!AV$9,Xero!$A:$A,Heron!$A$5,Xero!$E:$E,Heron!$A20)+SUMIFS(Sales!$K:$K,Sales!$E:$E,FALSE,Sales!$A:$A,Heron!$B$4,Sales!$H:$H,"&lt;="&amp;Heron!AV$9,Sales!$H:$H,"&gt;"&amp;Heron!AU$9,Sales!$F:$F,1)</f>
        <v/>
      </c>
      <c r="AW20" s="66">
        <f>-SUMIFS(Xero!$F:$F,Xero!$B:$B,Heron!AW$9,Xero!$A:$A,Heron!$A$4,Xero!$E:$E,Heron!$A20)-SUMIFS(Xero!$F:$F,Xero!$B:$B,Heron!AW$9,Xero!$A:$A,Heron!$A$5,Xero!$E:$E,Heron!$A20)+SUMIFS(Sales!$K:$K,Sales!$E:$E,FALSE,Sales!$A:$A,Heron!$B$4,Sales!$H:$H,"&lt;="&amp;Heron!AW$9,Sales!$H:$H,"&gt;"&amp;Heron!AV$9,Sales!$F:$F,1)</f>
        <v/>
      </c>
      <c r="AX20" s="66">
        <f>-SUMIFS(Xero!$F:$F,Xero!$B:$B,Heron!AX$9,Xero!$A:$A,Heron!$A$4,Xero!$E:$E,Heron!$A20)-SUMIFS(Xero!$F:$F,Xero!$B:$B,Heron!AX$9,Xero!$A:$A,Heron!$A$5,Xero!$E:$E,Heron!$A20)+SUMIFS(Sales!$K:$K,Sales!$E:$E,FALSE,Sales!$A:$A,Heron!$B$4,Sales!$H:$H,"&lt;="&amp;Heron!AX$9,Sales!$H:$H,"&gt;"&amp;Heron!AW$9,Sales!$F:$F,1)</f>
        <v/>
      </c>
      <c r="AY20" s="66">
        <f>-SUMIFS(Xero!$F:$F,Xero!$B:$B,Heron!AY$9,Xero!$A:$A,Heron!$A$4,Xero!$E:$E,Heron!$A20)-SUMIFS(Xero!$F:$F,Xero!$B:$B,Heron!AY$9,Xero!$A:$A,Heron!$A$5,Xero!$E:$E,Heron!$A20)+SUMIFS(Sales!$K:$K,Sales!$E:$E,FALSE,Sales!$A:$A,Heron!$B$4,Sales!$H:$H,"&lt;="&amp;Heron!AY$9,Sales!$H:$H,"&gt;"&amp;Heron!AX$9,Sales!$F:$F,1)</f>
        <v/>
      </c>
      <c r="AZ20" s="66">
        <f>-SUMIFS(Xero!$F:$F,Xero!$B:$B,Heron!AZ$9,Xero!$A:$A,Heron!$A$4,Xero!$E:$E,Heron!$A20)-SUMIFS(Xero!$F:$F,Xero!$B:$B,Heron!AZ$9,Xero!$A:$A,Heron!$A$5,Xero!$E:$E,Heron!$A20)+SUMIFS(Sales!$K:$K,Sales!$E:$E,FALSE,Sales!$A:$A,Heron!$B$4,Sales!$H:$H,"&lt;="&amp;Heron!AZ$9,Sales!$H:$H,"&gt;"&amp;Heron!AY$9,Sales!$F:$F,1)</f>
        <v/>
      </c>
      <c r="BA20" s="66">
        <f>-SUMIFS(Xero!$F:$F,Xero!$B:$B,Heron!BA$9,Xero!$A:$A,Heron!$A$4,Xero!$E:$E,Heron!$A20)-SUMIFS(Xero!$F:$F,Xero!$B:$B,Heron!BA$9,Xero!$A:$A,Heron!$A$5,Xero!$E:$E,Heron!$A20)+SUMIFS(Sales!$K:$K,Sales!$E:$E,FALSE,Sales!$A:$A,Heron!$B$4,Sales!$H:$H,"&lt;="&amp;Heron!BA$9,Sales!$H:$H,"&gt;"&amp;Heron!AZ$9,Sales!$F:$F,1)</f>
        <v/>
      </c>
      <c r="BB20" s="66">
        <f>-SUMIFS(Xero!$F:$F,Xero!$B:$B,Heron!BB$9,Xero!$A:$A,Heron!$A$4,Xero!$E:$E,Heron!$A20)-SUMIFS(Xero!$F:$F,Xero!$B:$B,Heron!BB$9,Xero!$A:$A,Heron!$A$5,Xero!$E:$E,Heron!$A20)+SUMIFS(Sales!$K:$K,Sales!$E:$E,FALSE,Sales!$A:$A,Heron!$B$4,Sales!$H:$H,"&lt;="&amp;Heron!BB$9,Sales!$H:$H,"&gt;"&amp;Heron!BA$9,Sales!$F:$F,1)</f>
        <v/>
      </c>
      <c r="BC20" s="66">
        <f>-SUMIFS(Xero!$F:$F,Xero!$B:$B,Heron!BC$9,Xero!$A:$A,Heron!$A$4,Xero!$E:$E,Heron!$A20)-SUMIFS(Xero!$F:$F,Xero!$B:$B,Heron!BC$9,Xero!$A:$A,Heron!$A$5,Xero!$E:$E,Heron!$A20)+SUMIFS(Sales!$K:$K,Sales!$E:$E,FALSE,Sales!$A:$A,Heron!$B$4,Sales!$H:$H,"&lt;="&amp;Heron!BC$9,Sales!$H:$H,"&gt;"&amp;Heron!BB$9,Sales!$F:$F,1)</f>
        <v/>
      </c>
      <c r="BD20" s="66">
        <f>-SUMIFS(Xero!$F:$F,Xero!$B:$B,Heron!BD$9,Xero!$A:$A,Heron!$A$4,Xero!$E:$E,Heron!$A20)-SUMIFS(Xero!$F:$F,Xero!$B:$B,Heron!BD$9,Xero!$A:$A,Heron!$A$5,Xero!$E:$E,Heron!$A20)+SUMIFS(Sales!$K:$K,Sales!$E:$E,FALSE,Sales!$A:$A,Heron!$B$4,Sales!$H:$H,"&lt;="&amp;Heron!BD$9,Sales!$H:$H,"&gt;"&amp;Heron!BC$9,Sales!$F:$F,1)</f>
        <v/>
      </c>
      <c r="BE20" s="66">
        <f>-SUMIFS(Xero!$F:$F,Xero!$B:$B,Heron!BE$9,Xero!$A:$A,Heron!$A$4,Xero!$E:$E,Heron!$A20)-SUMIFS(Xero!$F:$F,Xero!$B:$B,Heron!BE$9,Xero!$A:$A,Heron!$A$5,Xero!$E:$E,Heron!$A20)+SUMIFS(Sales!$K:$K,Sales!$E:$E,FALSE,Sales!$A:$A,Heron!$B$4,Sales!$H:$H,"&lt;="&amp;Heron!BE$9,Sales!$H:$H,"&gt;"&amp;Heron!BD$9,Sales!$F:$F,1)</f>
        <v/>
      </c>
      <c r="BF20" s="66">
        <f>-SUMIFS(Xero!$F:$F,Xero!$B:$B,Heron!BF$9,Xero!$A:$A,Heron!$A$4,Xero!$E:$E,Heron!$A20)-SUMIFS(Xero!$F:$F,Xero!$B:$B,Heron!BF$9,Xero!$A:$A,Heron!$A$5,Xero!$E:$E,Heron!$A20)+SUMIFS(Sales!$K:$K,Sales!$E:$E,FALSE,Sales!$A:$A,Heron!$B$4,Sales!$H:$H,"&lt;="&amp;Heron!BF$9,Sales!$H:$H,"&gt;"&amp;Heron!BE$9,Sales!$F:$F,1)</f>
        <v/>
      </c>
      <c r="BG20" s="66">
        <f>-SUMIFS(Xero!$F:$F,Xero!$B:$B,Heron!BG$9,Xero!$A:$A,Heron!$A$4,Xero!$E:$E,Heron!$A20)-SUMIFS(Xero!$F:$F,Xero!$B:$B,Heron!BG$9,Xero!$A:$A,Heron!$A$5,Xero!$E:$E,Heron!$A20)+SUMIFS(Sales!$K:$K,Sales!$E:$E,FALSE,Sales!$A:$A,Heron!$B$4,Sales!$H:$H,"&lt;="&amp;Heron!BG$9,Sales!$H:$H,"&gt;"&amp;Heron!BF$9,Sales!$F:$F,1)</f>
        <v/>
      </c>
      <c r="BH20" s="66">
        <f>sum(D20:BG20)</f>
        <v/>
      </c>
    </row>
    <row r="21">
      <c r="A21" s="65" t="inlineStr">
        <is>
          <t>Sales - Heron Fields occupational rent</t>
        </is>
      </c>
      <c r="D21" s="66">
        <f>-SUMIFS(Xero!$F:$F,Xero!$B:$B,Heron!D$9,Xero!$A:$A,Heron!$A$4,Xero!$E:$E,Heron!$A21)-SUMIFS(Xero!$F:$F,Xero!$B:$B,Heron!D$9,Xero!$A:$A,Heron!$A$5,Xero!$E:$E,Heron!$A21)</f>
        <v/>
      </c>
      <c r="E21" s="66">
        <f>-SUMIFS(Xero!$F:$F,Xero!$B:$B,Heron!E$9,Xero!$A:$A,Heron!$A$4,Xero!$E:$E,Heron!$A21)-SUMIFS(Xero!$F:$F,Xero!$B:$B,Heron!E$9,Xero!$A:$A,Heron!$A$5,Xero!$E:$E,Heron!$A21)</f>
        <v/>
      </c>
      <c r="F21" s="66">
        <f>-SUMIFS(Xero!$F:$F,Xero!$B:$B,Heron!F$9,Xero!$A:$A,Heron!$A$4,Xero!$E:$E,Heron!$A21)-SUMIFS(Xero!$F:$F,Xero!$B:$B,Heron!F$9,Xero!$A:$A,Heron!$A$5,Xero!$E:$E,Heron!$A21)</f>
        <v/>
      </c>
      <c r="G21" s="66">
        <f>-SUMIFS(Xero!$F:$F,Xero!$B:$B,Heron!G$9,Xero!$A:$A,Heron!$A$4,Xero!$E:$E,Heron!$A21)-SUMIFS(Xero!$F:$F,Xero!$B:$B,Heron!G$9,Xero!$A:$A,Heron!$A$5,Xero!$E:$E,Heron!$A21)</f>
        <v/>
      </c>
      <c r="H21" s="66">
        <f>-SUMIFS(Xero!$F:$F,Xero!$B:$B,Heron!H$9,Xero!$A:$A,Heron!$A$4,Xero!$E:$E,Heron!$A21)-SUMIFS(Xero!$F:$F,Xero!$B:$B,Heron!H$9,Xero!$A:$A,Heron!$A$5,Xero!$E:$E,Heron!$A21)</f>
        <v/>
      </c>
      <c r="I21" s="66">
        <f>-SUMIFS(Xero!$F:$F,Xero!$B:$B,Heron!I$9,Xero!$A:$A,Heron!$A$4,Xero!$E:$E,Heron!$A21)-SUMIFS(Xero!$F:$F,Xero!$B:$B,Heron!I$9,Xero!$A:$A,Heron!$A$5,Xero!$E:$E,Heron!$A21)</f>
        <v/>
      </c>
      <c r="J21" s="66">
        <f>-SUMIFS(Xero!$F:$F,Xero!$B:$B,Heron!J$9,Xero!$A:$A,Heron!$A$4,Xero!$E:$E,Heron!$A21)-SUMIFS(Xero!$F:$F,Xero!$B:$B,Heron!J$9,Xero!$A:$A,Heron!$A$5,Xero!$E:$E,Heron!$A21)</f>
        <v/>
      </c>
      <c r="K21" s="66">
        <f>-SUMIFS(Xero!$F:$F,Xero!$B:$B,Heron!K$9,Xero!$A:$A,Heron!$A$4,Xero!$E:$E,Heron!$A21)-SUMIFS(Xero!$F:$F,Xero!$B:$B,Heron!K$9,Xero!$A:$A,Heron!$A$5,Xero!$E:$E,Heron!$A21)</f>
        <v/>
      </c>
      <c r="L21" s="66">
        <f>-SUMIFS(Xero!$F:$F,Xero!$B:$B,Heron!L$9,Xero!$A:$A,Heron!$A$4,Xero!$E:$E,Heron!$A21)-SUMIFS(Xero!$F:$F,Xero!$B:$B,Heron!L$9,Xero!$A:$A,Heron!$A$5,Xero!$E:$E,Heron!$A21)</f>
        <v/>
      </c>
      <c r="M21" s="66">
        <f>-SUMIFS(Xero!$F:$F,Xero!$B:$B,Heron!M$9,Xero!$A:$A,Heron!$A$4,Xero!$E:$E,Heron!$A21)-SUMIFS(Xero!$F:$F,Xero!$B:$B,Heron!M$9,Xero!$A:$A,Heron!$A$5,Xero!$E:$E,Heron!$A21)</f>
        <v/>
      </c>
      <c r="N21" s="66">
        <f>-SUMIFS(Xero!$F:$F,Xero!$B:$B,Heron!N$9,Xero!$A:$A,Heron!$A$4,Xero!$E:$E,Heron!$A21)-SUMIFS(Xero!$F:$F,Xero!$B:$B,Heron!N$9,Xero!$A:$A,Heron!$A$5,Xero!$E:$E,Heron!$A21)</f>
        <v/>
      </c>
      <c r="O21" s="66">
        <f>-SUMIFS(Xero!$F:$F,Xero!$B:$B,Heron!O$9,Xero!$A:$A,Heron!$A$4,Xero!$E:$E,Heron!$A21)-SUMIFS(Xero!$F:$F,Xero!$B:$B,Heron!O$9,Xero!$A:$A,Heron!$A$5,Xero!$E:$E,Heron!$A21)</f>
        <v/>
      </c>
      <c r="P21" s="66">
        <f>-SUMIFS(Xero!$F:$F,Xero!$B:$B,Heron!P$9,Xero!$A:$A,Heron!$A$4,Xero!$E:$E,Heron!$A21)-SUMIFS(Xero!$F:$F,Xero!$B:$B,Heron!P$9,Xero!$A:$A,Heron!$A$5,Xero!$E:$E,Heron!$A21)</f>
        <v/>
      </c>
      <c r="Q21" s="66">
        <f>-SUMIFS(Xero!$F:$F,Xero!$B:$B,Heron!Q$9,Xero!$A:$A,Heron!$A$4,Xero!$E:$E,Heron!$A21)-SUMIFS(Xero!$F:$F,Xero!$B:$B,Heron!Q$9,Xero!$A:$A,Heron!$A$5,Xero!$E:$E,Heron!$A21)</f>
        <v/>
      </c>
      <c r="R21" s="66">
        <f>-SUMIFS(Xero!$F:$F,Xero!$B:$B,Heron!R$9,Xero!$A:$A,Heron!$A$4,Xero!$E:$E,Heron!$A21)-SUMIFS(Xero!$F:$F,Xero!$B:$B,Heron!R$9,Xero!$A:$A,Heron!$A$5,Xero!$E:$E,Heron!$A21)</f>
        <v/>
      </c>
      <c r="S21" s="66">
        <f>-SUMIFS(Xero!$F:$F,Xero!$B:$B,Heron!S$9,Xero!$A:$A,Heron!$A$4,Xero!$E:$E,Heron!$A21)-SUMIFS(Xero!$F:$F,Xero!$B:$B,Heron!S$9,Xero!$A:$A,Heron!$A$5,Xero!$E:$E,Heron!$A21)</f>
        <v/>
      </c>
      <c r="T21" s="66">
        <f>-SUMIFS(Xero!$F:$F,Xero!$B:$B,Heron!T$9,Xero!$A:$A,Heron!$A$4,Xero!$E:$E,Heron!$A21)-SUMIFS(Xero!$F:$F,Xero!$B:$B,Heron!T$9,Xero!$A:$A,Heron!$A$5,Xero!$E:$E,Heron!$A21)</f>
        <v/>
      </c>
      <c r="U21" s="66">
        <f>-SUMIFS(Xero!$F:$F,Xero!$B:$B,Heron!U$9,Xero!$A:$A,Heron!$A$4,Xero!$E:$E,Heron!$A21)-SUMIFS(Xero!$F:$F,Xero!$B:$B,Heron!U$9,Xero!$A:$A,Heron!$A$5,Xero!$E:$E,Heron!$A21)</f>
        <v/>
      </c>
      <c r="V21" s="66">
        <f>-SUMIFS(Xero!$F:$F,Xero!$B:$B,Heron!V$9,Xero!$A:$A,Heron!$A$4,Xero!$E:$E,Heron!$A21)-SUMIFS(Xero!$F:$F,Xero!$B:$B,Heron!V$9,Xero!$A:$A,Heron!$A$5,Xero!$E:$E,Heron!$A21)</f>
        <v/>
      </c>
      <c r="W21" s="66">
        <f>-SUMIFS(Xero!$F:$F,Xero!$B:$B,Heron!W$9,Xero!$A:$A,Heron!$A$4,Xero!$E:$E,Heron!$A21)-SUMIFS(Xero!$F:$F,Xero!$B:$B,Heron!W$9,Xero!$A:$A,Heron!$A$5,Xero!$E:$E,Heron!$A21)</f>
        <v/>
      </c>
      <c r="X21" s="66">
        <f>-SUMIFS(Xero!$F:$F,Xero!$B:$B,Heron!X$9,Xero!$A:$A,Heron!$A$4,Xero!$E:$E,Heron!$A21)-SUMIFS(Xero!$F:$F,Xero!$B:$B,Heron!X$9,Xero!$A:$A,Heron!$A$5,Xero!$E:$E,Heron!$A21)</f>
        <v/>
      </c>
      <c r="Y21" s="66">
        <f>-SUMIFS(Xero!$F:$F,Xero!$B:$B,Heron!Y$9,Xero!$A:$A,Heron!$A$4,Xero!$E:$E,Heron!$A21)-SUMIFS(Xero!$F:$F,Xero!$B:$B,Heron!Y$9,Xero!$A:$A,Heron!$A$5,Xero!$E:$E,Heron!$A21)</f>
        <v/>
      </c>
      <c r="Z21" s="66">
        <f>-SUMIFS(Xero!$F:$F,Xero!$B:$B,Heron!Z$9,Xero!$A:$A,Heron!$A$4,Xero!$E:$E,Heron!$A21)-SUMIFS(Xero!$F:$F,Xero!$B:$B,Heron!Z$9,Xero!$A:$A,Heron!$A$5,Xero!$E:$E,Heron!$A21)</f>
        <v/>
      </c>
      <c r="AA21" s="66">
        <f>-SUMIFS(Xero!$F:$F,Xero!$B:$B,Heron!AA$9,Xero!$A:$A,Heron!$A$4,Xero!$E:$E,Heron!$A21)-SUMIFS(Xero!$F:$F,Xero!$B:$B,Heron!AA$9,Xero!$A:$A,Heron!$A$5,Xero!$E:$E,Heron!$A21)</f>
        <v/>
      </c>
      <c r="AB21" s="66">
        <f>-SUMIFS(Xero!$F:$F,Xero!$B:$B,Heron!AB$9,Xero!$A:$A,Heron!$A$4,Xero!$E:$E,Heron!$A21)-SUMIFS(Xero!$F:$F,Xero!$B:$B,Heron!AB$9,Xero!$A:$A,Heron!$A$5,Xero!$E:$E,Heron!$A21)</f>
        <v/>
      </c>
      <c r="AC21" s="66">
        <f>-SUMIFS(Xero!$F:$F,Xero!$B:$B,Heron!AC$9,Xero!$A:$A,Heron!$A$4,Xero!$E:$E,Heron!$A21)-SUMIFS(Xero!$F:$F,Xero!$B:$B,Heron!AC$9,Xero!$A:$A,Heron!$A$5,Xero!$E:$E,Heron!$A21)</f>
        <v/>
      </c>
      <c r="AD21" s="66">
        <f>-SUMIFS(Xero!$F:$F,Xero!$B:$B,Heron!AD$9,Xero!$A:$A,Heron!$A$4,Xero!$E:$E,Heron!$A21)-SUMIFS(Xero!$F:$F,Xero!$B:$B,Heron!AD$9,Xero!$A:$A,Heron!$A$5,Xero!$E:$E,Heron!$A21)</f>
        <v/>
      </c>
      <c r="AE21" s="66">
        <f>-SUMIFS(Xero!$F:$F,Xero!$B:$B,Heron!AE$9,Xero!$A:$A,Heron!$A$4,Xero!$E:$E,Heron!$A21)-SUMIFS(Xero!$F:$F,Xero!$B:$B,Heron!AE$9,Xero!$A:$A,Heron!$A$5,Xero!$E:$E,Heron!$A21)</f>
        <v/>
      </c>
      <c r="AF21" s="66">
        <f>-SUMIFS(Xero!$F:$F,Xero!$B:$B,Heron!AF$9,Xero!$A:$A,Heron!$A$4,Xero!$E:$E,Heron!$A21)-SUMIFS(Xero!$F:$F,Xero!$B:$B,Heron!AF$9,Xero!$A:$A,Heron!$A$5,Xero!$E:$E,Heron!$A21)</f>
        <v/>
      </c>
      <c r="AG21" s="66">
        <f>-SUMIFS(Xero!$F:$F,Xero!$B:$B,Heron!AG$9,Xero!$A:$A,Heron!$A$4,Xero!$E:$E,Heron!$A21)-SUMIFS(Xero!$F:$F,Xero!$B:$B,Heron!AG$9,Xero!$A:$A,Heron!$A$5,Xero!$E:$E,Heron!$A21)</f>
        <v/>
      </c>
      <c r="AH21" s="66">
        <f>-SUMIFS(Xero!$F:$F,Xero!$B:$B,Heron!AH$9,Xero!$A:$A,Heron!$A$4,Xero!$E:$E,Heron!$A21)-SUMIFS(Xero!$F:$F,Xero!$B:$B,Heron!AH$9,Xero!$A:$A,Heron!$A$5,Xero!$E:$E,Heron!$A21)</f>
        <v/>
      </c>
      <c r="AI21" s="66">
        <f>-SUMIFS(Xero!$F:$F,Xero!$B:$B,Heron!AI$9,Xero!$A:$A,Heron!$A$4,Xero!$E:$E,Heron!$A21)-SUMIFS(Xero!$F:$F,Xero!$B:$B,Heron!AI$9,Xero!$A:$A,Heron!$A$5,Xero!$E:$E,Heron!$A21)</f>
        <v/>
      </c>
      <c r="AJ21" s="66">
        <f>-SUMIFS(Xero!$F:$F,Xero!$B:$B,Heron!AJ$9,Xero!$A:$A,Heron!$A$4,Xero!$E:$E,Heron!$A21)-SUMIFS(Xero!$F:$F,Xero!$B:$B,Heron!AJ$9,Xero!$A:$A,Heron!$A$5,Xero!$E:$E,Heron!$A21)</f>
        <v/>
      </c>
      <c r="AK21" s="66">
        <f>-SUMIFS(Xero!$F:$F,Xero!$B:$B,Heron!AK$9,Xero!$A:$A,Heron!$A$4,Xero!$E:$E,Heron!$A21)-SUMIFS(Xero!$F:$F,Xero!$B:$B,Heron!AK$9,Xero!$A:$A,Heron!$A$5,Xero!$E:$E,Heron!$A21)</f>
        <v/>
      </c>
      <c r="AL21" s="66">
        <f>-SUMIFS(Xero!$F:$F,Xero!$B:$B,Heron!AL$9,Xero!$A:$A,Heron!$A$4,Xero!$E:$E,Heron!$A21)-SUMIFS(Xero!$F:$F,Xero!$B:$B,Heron!AL$9,Xero!$A:$A,Heron!$A$5,Xero!$E:$E,Heron!$A21)</f>
        <v/>
      </c>
      <c r="AM21" s="66">
        <f>-SUMIFS(Xero!$F:$F,Xero!$B:$B,Heron!AM$9,Xero!$A:$A,Heron!$A$4,Xero!$E:$E,Heron!$A21)-SUMIFS(Xero!$F:$F,Xero!$B:$B,Heron!AM$9,Xero!$A:$A,Heron!$A$5,Xero!$E:$E,Heron!$A21)</f>
        <v/>
      </c>
      <c r="AN21" s="66">
        <f>-SUMIFS(Xero!$F:$F,Xero!$B:$B,Heron!AN$9,Xero!$A:$A,Heron!$A$4,Xero!$E:$E,Heron!$A21)-SUMIFS(Xero!$F:$F,Xero!$B:$B,Heron!AN$9,Xero!$A:$A,Heron!$A$5,Xero!$E:$E,Heron!$A21)</f>
        <v/>
      </c>
      <c r="AO21" s="66">
        <f>-SUMIFS(Xero!$F:$F,Xero!$B:$B,Heron!AO$9,Xero!$A:$A,Heron!$A$4,Xero!$E:$E,Heron!$A21)-SUMIFS(Xero!$F:$F,Xero!$B:$B,Heron!AO$9,Xero!$A:$A,Heron!$A$5,Xero!$E:$E,Heron!$A21)</f>
        <v/>
      </c>
      <c r="AP21" s="66">
        <f>-SUMIFS(Xero!$F:$F,Xero!$B:$B,Heron!AP$9,Xero!$A:$A,Heron!$A$4,Xero!$E:$E,Heron!$A21)-SUMIFS(Xero!$F:$F,Xero!$B:$B,Heron!AP$9,Xero!$A:$A,Heron!$A$5,Xero!$E:$E,Heron!$A21)</f>
        <v/>
      </c>
      <c r="AQ21" s="66">
        <f>-SUMIFS(Xero!$F:$F,Xero!$B:$B,Heron!AQ$9,Xero!$A:$A,Heron!$A$4,Xero!$E:$E,Heron!$A21)-SUMIFS(Xero!$F:$F,Xero!$B:$B,Heron!AQ$9,Xero!$A:$A,Heron!$A$5,Xero!$E:$E,Heron!$A21)</f>
        <v/>
      </c>
      <c r="AR21" s="66">
        <f>-SUMIFS(Xero!$F:$F,Xero!$B:$B,Heron!AR$9,Xero!$A:$A,Heron!$A$4,Xero!$E:$E,Heron!$A21)-SUMIFS(Xero!$F:$F,Xero!$B:$B,Heron!AR$9,Xero!$A:$A,Heron!$A$5,Xero!$E:$E,Heron!$A21)</f>
        <v/>
      </c>
      <c r="AS21" s="66">
        <f>-SUMIFS(Xero!$F:$F,Xero!$B:$B,Heron!AS$9,Xero!$A:$A,Heron!$A$4,Xero!$E:$E,Heron!$A21)-SUMIFS(Xero!$F:$F,Xero!$B:$B,Heron!AS$9,Xero!$A:$A,Heron!$A$5,Xero!$E:$E,Heron!$A21)</f>
        <v/>
      </c>
      <c r="AT21" s="66">
        <f>-SUMIFS(Xero!$F:$F,Xero!$B:$B,Heron!AT$9,Xero!$A:$A,Heron!$A$4,Xero!$E:$E,Heron!$A21)-SUMIFS(Xero!$F:$F,Xero!$B:$B,Heron!AT$9,Xero!$A:$A,Heron!$A$5,Xero!$E:$E,Heron!$A21)</f>
        <v/>
      </c>
      <c r="AU21" s="66">
        <f>-SUMIFS(Xero!$F:$F,Xero!$B:$B,Heron!AU$9,Xero!$A:$A,Heron!$A$4,Xero!$E:$E,Heron!$A21)-SUMIFS(Xero!$F:$F,Xero!$B:$B,Heron!AU$9,Xero!$A:$A,Heron!$A$5,Xero!$E:$E,Heron!$A21)</f>
        <v/>
      </c>
      <c r="AV21" s="66">
        <f>-SUMIFS(Xero!$F:$F,Xero!$B:$B,Heron!AV$9,Xero!$A:$A,Heron!$A$4,Xero!$E:$E,Heron!$A21)-SUMIFS(Xero!$F:$F,Xero!$B:$B,Heron!AV$9,Xero!$A:$A,Heron!$A$5,Xero!$E:$E,Heron!$A21)</f>
        <v/>
      </c>
      <c r="AW21" s="66">
        <f>-SUMIFS(Xero!$F:$F,Xero!$B:$B,Heron!AW$9,Xero!$A:$A,Heron!$A$4,Xero!$E:$E,Heron!$A21)-SUMIFS(Xero!$F:$F,Xero!$B:$B,Heron!AW$9,Xero!$A:$A,Heron!$A$5,Xero!$E:$E,Heron!$A21)</f>
        <v/>
      </c>
      <c r="AX21" s="66">
        <f>-SUMIFS(Xero!$F:$F,Xero!$B:$B,Heron!AX$9,Xero!$A:$A,Heron!$A$4,Xero!$E:$E,Heron!$A21)-SUMIFS(Xero!$F:$F,Xero!$B:$B,Heron!AX$9,Xero!$A:$A,Heron!$A$5,Xero!$E:$E,Heron!$A21)</f>
        <v/>
      </c>
      <c r="AY21" s="66">
        <f>-SUMIFS(Xero!$F:$F,Xero!$B:$B,Heron!AY$9,Xero!$A:$A,Heron!$A$4,Xero!$E:$E,Heron!$A21)-SUMIFS(Xero!$F:$F,Xero!$B:$B,Heron!AY$9,Xero!$A:$A,Heron!$A$5,Xero!$E:$E,Heron!$A21)</f>
        <v/>
      </c>
      <c r="AZ21" s="66">
        <f>-SUMIFS(Xero!$F:$F,Xero!$B:$B,Heron!AZ$9,Xero!$A:$A,Heron!$A$4,Xero!$E:$E,Heron!$A21)-SUMIFS(Xero!$F:$F,Xero!$B:$B,Heron!AZ$9,Xero!$A:$A,Heron!$A$5,Xero!$E:$E,Heron!$A21)</f>
        <v/>
      </c>
      <c r="BA21" s="66">
        <f>-SUMIFS(Xero!$F:$F,Xero!$B:$B,Heron!BA$9,Xero!$A:$A,Heron!$A$4,Xero!$E:$E,Heron!$A21)-SUMIFS(Xero!$F:$F,Xero!$B:$B,Heron!BA$9,Xero!$A:$A,Heron!$A$5,Xero!$E:$E,Heron!$A21)</f>
        <v/>
      </c>
      <c r="BB21" s="66">
        <f>-SUMIFS(Xero!$F:$F,Xero!$B:$B,Heron!BB$9,Xero!$A:$A,Heron!$A$4,Xero!$E:$E,Heron!$A21)-SUMIFS(Xero!$F:$F,Xero!$B:$B,Heron!BB$9,Xero!$A:$A,Heron!$A$5,Xero!$E:$E,Heron!$A21)</f>
        <v/>
      </c>
      <c r="BC21" s="66">
        <f>-SUMIFS(Xero!$F:$F,Xero!$B:$B,Heron!BC$9,Xero!$A:$A,Heron!$A$4,Xero!$E:$E,Heron!$A21)-SUMIFS(Xero!$F:$F,Xero!$B:$B,Heron!BC$9,Xero!$A:$A,Heron!$A$5,Xero!$E:$E,Heron!$A21)</f>
        <v/>
      </c>
      <c r="BD21" s="66">
        <f>-SUMIFS(Xero!$F:$F,Xero!$B:$B,Heron!BD$9,Xero!$A:$A,Heron!$A$4,Xero!$E:$E,Heron!$A21)-SUMIFS(Xero!$F:$F,Xero!$B:$B,Heron!BD$9,Xero!$A:$A,Heron!$A$5,Xero!$E:$E,Heron!$A21)</f>
        <v/>
      </c>
      <c r="BE21" s="66">
        <f>-SUMIFS(Xero!$F:$F,Xero!$B:$B,Heron!BE$9,Xero!$A:$A,Heron!$A$4,Xero!$E:$E,Heron!$A21)-SUMIFS(Xero!$F:$F,Xero!$B:$B,Heron!BE$9,Xero!$A:$A,Heron!$A$5,Xero!$E:$E,Heron!$A21)</f>
        <v/>
      </c>
      <c r="BF21" s="66">
        <f>-SUMIFS(Xero!$F:$F,Xero!$B:$B,Heron!BF$9,Xero!$A:$A,Heron!$A$4,Xero!$E:$E,Heron!$A21)-SUMIFS(Xero!$F:$F,Xero!$B:$B,Heron!BF$9,Xero!$A:$A,Heron!$A$5,Xero!$E:$E,Heron!$A21)</f>
        <v/>
      </c>
      <c r="BG21" s="66">
        <f>-SUMIFS(Xero!$F:$F,Xero!$B:$B,Heron!BG$9,Xero!$A:$A,Heron!$A$4,Xero!$E:$E,Heron!$A21)-SUMIFS(Xero!$F:$F,Xero!$B:$B,Heron!BG$9,Xero!$A:$A,Heron!$A$5,Xero!$E:$E,Heron!$A21)</f>
        <v/>
      </c>
      <c r="BH21" s="66">
        <f>sum(D21:BG21)</f>
        <v/>
      </c>
    </row>
    <row r="22">
      <c r="A22" s="65" t="inlineStr">
        <is>
          <t>Sales - Heron View Occupational Rent</t>
        </is>
      </c>
      <c r="D22" s="66">
        <f>-SUMIFS(Xero!$F:$F,Xero!$B:$B,Heron!D$9,Xero!$A:$A,Heron!$A$4,Xero!$E:$E,Heron!$A22)-SUMIFS(Xero!$F:$F,Xero!$B:$B,Heron!D$9,Xero!$A:$A,Heron!$A$5,Xero!$E:$E,Heron!$A22)</f>
        <v/>
      </c>
      <c r="E22" s="66">
        <f>-SUMIFS(Xero!$F:$F,Xero!$B:$B,Heron!E$9,Xero!$A:$A,Heron!$A$4,Xero!$E:$E,Heron!$A22)-SUMIFS(Xero!$F:$F,Xero!$B:$B,Heron!E$9,Xero!$A:$A,Heron!$A$5,Xero!$E:$E,Heron!$A22)</f>
        <v/>
      </c>
      <c r="F22" s="66">
        <f>-SUMIFS(Xero!$F:$F,Xero!$B:$B,Heron!F$9,Xero!$A:$A,Heron!$A$4,Xero!$E:$E,Heron!$A22)-SUMIFS(Xero!$F:$F,Xero!$B:$B,Heron!F$9,Xero!$A:$A,Heron!$A$5,Xero!$E:$E,Heron!$A22)</f>
        <v/>
      </c>
      <c r="G22" s="66">
        <f>-SUMIFS(Xero!$F:$F,Xero!$B:$B,Heron!G$9,Xero!$A:$A,Heron!$A$4,Xero!$E:$E,Heron!$A22)-SUMIFS(Xero!$F:$F,Xero!$B:$B,Heron!G$9,Xero!$A:$A,Heron!$A$5,Xero!$E:$E,Heron!$A22)</f>
        <v/>
      </c>
      <c r="H22" s="66">
        <f>-SUMIFS(Xero!$F:$F,Xero!$B:$B,Heron!H$9,Xero!$A:$A,Heron!$A$4,Xero!$E:$E,Heron!$A22)-SUMIFS(Xero!$F:$F,Xero!$B:$B,Heron!H$9,Xero!$A:$A,Heron!$A$5,Xero!$E:$E,Heron!$A22)</f>
        <v/>
      </c>
      <c r="I22" s="66">
        <f>-SUMIFS(Xero!$F:$F,Xero!$B:$B,Heron!I$9,Xero!$A:$A,Heron!$A$4,Xero!$E:$E,Heron!$A22)-SUMIFS(Xero!$F:$F,Xero!$B:$B,Heron!I$9,Xero!$A:$A,Heron!$A$5,Xero!$E:$E,Heron!$A22)</f>
        <v/>
      </c>
      <c r="J22" s="66">
        <f>-SUMIFS(Xero!$F:$F,Xero!$B:$B,Heron!J$9,Xero!$A:$A,Heron!$A$4,Xero!$E:$E,Heron!$A22)-SUMIFS(Xero!$F:$F,Xero!$B:$B,Heron!J$9,Xero!$A:$A,Heron!$A$5,Xero!$E:$E,Heron!$A22)</f>
        <v/>
      </c>
      <c r="K22" s="66">
        <f>-SUMIFS(Xero!$F:$F,Xero!$B:$B,Heron!K$9,Xero!$A:$A,Heron!$A$4,Xero!$E:$E,Heron!$A22)-SUMIFS(Xero!$F:$F,Xero!$B:$B,Heron!K$9,Xero!$A:$A,Heron!$A$5,Xero!$E:$E,Heron!$A22)</f>
        <v/>
      </c>
      <c r="L22" s="66">
        <f>-SUMIFS(Xero!$F:$F,Xero!$B:$B,Heron!L$9,Xero!$A:$A,Heron!$A$4,Xero!$E:$E,Heron!$A22)-SUMIFS(Xero!$F:$F,Xero!$B:$B,Heron!L$9,Xero!$A:$A,Heron!$A$5,Xero!$E:$E,Heron!$A22)</f>
        <v/>
      </c>
      <c r="M22" s="66">
        <f>-SUMIFS(Xero!$F:$F,Xero!$B:$B,Heron!M$9,Xero!$A:$A,Heron!$A$4,Xero!$E:$E,Heron!$A22)-SUMIFS(Xero!$F:$F,Xero!$B:$B,Heron!M$9,Xero!$A:$A,Heron!$A$5,Xero!$E:$E,Heron!$A22)</f>
        <v/>
      </c>
      <c r="N22" s="66">
        <f>-SUMIFS(Xero!$F:$F,Xero!$B:$B,Heron!N$9,Xero!$A:$A,Heron!$A$4,Xero!$E:$E,Heron!$A22)-SUMIFS(Xero!$F:$F,Xero!$B:$B,Heron!N$9,Xero!$A:$A,Heron!$A$5,Xero!$E:$E,Heron!$A22)</f>
        <v/>
      </c>
      <c r="O22" s="66">
        <f>-SUMIFS(Xero!$F:$F,Xero!$B:$B,Heron!O$9,Xero!$A:$A,Heron!$A$4,Xero!$E:$E,Heron!$A22)-SUMIFS(Xero!$F:$F,Xero!$B:$B,Heron!O$9,Xero!$A:$A,Heron!$A$5,Xero!$E:$E,Heron!$A22)</f>
        <v/>
      </c>
      <c r="P22" s="66">
        <f>-SUMIFS(Xero!$F:$F,Xero!$B:$B,Heron!P$9,Xero!$A:$A,Heron!$A$4,Xero!$E:$E,Heron!$A22)-SUMIFS(Xero!$F:$F,Xero!$B:$B,Heron!P$9,Xero!$A:$A,Heron!$A$5,Xero!$E:$E,Heron!$A22)</f>
        <v/>
      </c>
      <c r="Q22" s="66">
        <f>-SUMIFS(Xero!$F:$F,Xero!$B:$B,Heron!Q$9,Xero!$A:$A,Heron!$A$4,Xero!$E:$E,Heron!$A22)-SUMIFS(Xero!$F:$F,Xero!$B:$B,Heron!Q$9,Xero!$A:$A,Heron!$A$5,Xero!$E:$E,Heron!$A22)</f>
        <v/>
      </c>
      <c r="R22" s="66">
        <f>-SUMIFS(Xero!$F:$F,Xero!$B:$B,Heron!R$9,Xero!$A:$A,Heron!$A$4,Xero!$E:$E,Heron!$A22)-SUMIFS(Xero!$F:$F,Xero!$B:$B,Heron!R$9,Xero!$A:$A,Heron!$A$5,Xero!$E:$E,Heron!$A22)</f>
        <v/>
      </c>
      <c r="S22" s="66">
        <f>-SUMIFS(Xero!$F:$F,Xero!$B:$B,Heron!S$9,Xero!$A:$A,Heron!$A$4,Xero!$E:$E,Heron!$A22)-SUMIFS(Xero!$F:$F,Xero!$B:$B,Heron!S$9,Xero!$A:$A,Heron!$A$5,Xero!$E:$E,Heron!$A22)</f>
        <v/>
      </c>
      <c r="T22" s="66">
        <f>-SUMIFS(Xero!$F:$F,Xero!$B:$B,Heron!T$9,Xero!$A:$A,Heron!$A$4,Xero!$E:$E,Heron!$A22)-SUMIFS(Xero!$F:$F,Xero!$B:$B,Heron!T$9,Xero!$A:$A,Heron!$A$5,Xero!$E:$E,Heron!$A22)</f>
        <v/>
      </c>
      <c r="U22" s="66">
        <f>-SUMIFS(Xero!$F:$F,Xero!$B:$B,Heron!U$9,Xero!$A:$A,Heron!$A$4,Xero!$E:$E,Heron!$A22)-SUMIFS(Xero!$F:$F,Xero!$B:$B,Heron!U$9,Xero!$A:$A,Heron!$A$5,Xero!$E:$E,Heron!$A22)</f>
        <v/>
      </c>
      <c r="V22" s="66">
        <f>-SUMIFS(Xero!$F:$F,Xero!$B:$B,Heron!V$9,Xero!$A:$A,Heron!$A$4,Xero!$E:$E,Heron!$A22)-SUMIFS(Xero!$F:$F,Xero!$B:$B,Heron!V$9,Xero!$A:$A,Heron!$A$5,Xero!$E:$E,Heron!$A22)</f>
        <v/>
      </c>
      <c r="W22" s="66">
        <f>-SUMIFS(Xero!$F:$F,Xero!$B:$B,Heron!W$9,Xero!$A:$A,Heron!$A$4,Xero!$E:$E,Heron!$A22)-SUMIFS(Xero!$F:$F,Xero!$B:$B,Heron!W$9,Xero!$A:$A,Heron!$A$5,Xero!$E:$E,Heron!$A22)</f>
        <v/>
      </c>
      <c r="X22" s="66">
        <f>-SUMIFS(Xero!$F:$F,Xero!$B:$B,Heron!X$9,Xero!$A:$A,Heron!$A$4,Xero!$E:$E,Heron!$A22)-SUMIFS(Xero!$F:$F,Xero!$B:$B,Heron!X$9,Xero!$A:$A,Heron!$A$5,Xero!$E:$E,Heron!$A22)</f>
        <v/>
      </c>
      <c r="Y22" s="66">
        <f>-SUMIFS(Xero!$F:$F,Xero!$B:$B,Heron!Y$9,Xero!$A:$A,Heron!$A$4,Xero!$E:$E,Heron!$A22)-SUMIFS(Xero!$F:$F,Xero!$B:$B,Heron!Y$9,Xero!$A:$A,Heron!$A$5,Xero!$E:$E,Heron!$A22)</f>
        <v/>
      </c>
      <c r="Z22" s="66">
        <f>-SUMIFS(Xero!$F:$F,Xero!$B:$B,Heron!Z$9,Xero!$A:$A,Heron!$A$4,Xero!$E:$E,Heron!$A22)-SUMIFS(Xero!$F:$F,Xero!$B:$B,Heron!Z$9,Xero!$A:$A,Heron!$A$5,Xero!$E:$E,Heron!$A22)</f>
        <v/>
      </c>
      <c r="AA22" s="66">
        <f>-SUMIFS(Xero!$F:$F,Xero!$B:$B,Heron!AA$9,Xero!$A:$A,Heron!$A$4,Xero!$E:$E,Heron!$A22)-SUMIFS(Xero!$F:$F,Xero!$B:$B,Heron!AA$9,Xero!$A:$A,Heron!$A$5,Xero!$E:$E,Heron!$A22)</f>
        <v/>
      </c>
      <c r="AB22" s="66">
        <f>-SUMIFS(Xero!$F:$F,Xero!$B:$B,Heron!AB$9,Xero!$A:$A,Heron!$A$4,Xero!$E:$E,Heron!$A22)-SUMIFS(Xero!$F:$F,Xero!$B:$B,Heron!AB$9,Xero!$A:$A,Heron!$A$5,Xero!$E:$E,Heron!$A22)</f>
        <v/>
      </c>
      <c r="AC22" s="66">
        <f>-SUMIFS(Xero!$F:$F,Xero!$B:$B,Heron!AC$9,Xero!$A:$A,Heron!$A$4,Xero!$E:$E,Heron!$A22)-SUMIFS(Xero!$F:$F,Xero!$B:$B,Heron!AC$9,Xero!$A:$A,Heron!$A$5,Xero!$E:$E,Heron!$A22)</f>
        <v/>
      </c>
      <c r="AD22" s="66">
        <f>-SUMIFS(Xero!$F:$F,Xero!$B:$B,Heron!AD$9,Xero!$A:$A,Heron!$A$4,Xero!$E:$E,Heron!$A22)-SUMIFS(Xero!$F:$F,Xero!$B:$B,Heron!AD$9,Xero!$A:$A,Heron!$A$5,Xero!$E:$E,Heron!$A22)</f>
        <v/>
      </c>
      <c r="AE22" s="66">
        <f>-SUMIFS(Xero!$F:$F,Xero!$B:$B,Heron!AE$9,Xero!$A:$A,Heron!$A$4,Xero!$E:$E,Heron!$A22)-SUMIFS(Xero!$F:$F,Xero!$B:$B,Heron!AE$9,Xero!$A:$A,Heron!$A$5,Xero!$E:$E,Heron!$A22)</f>
        <v/>
      </c>
      <c r="AF22" s="66">
        <f>-SUMIFS(Xero!$F:$F,Xero!$B:$B,Heron!AF$9,Xero!$A:$A,Heron!$A$4,Xero!$E:$E,Heron!$A22)-SUMIFS(Xero!$F:$F,Xero!$B:$B,Heron!AF$9,Xero!$A:$A,Heron!$A$5,Xero!$E:$E,Heron!$A22)</f>
        <v/>
      </c>
      <c r="AG22" s="66">
        <f>-SUMIFS(Xero!$F:$F,Xero!$B:$B,Heron!AG$9,Xero!$A:$A,Heron!$A$4,Xero!$E:$E,Heron!$A22)-SUMIFS(Xero!$F:$F,Xero!$B:$B,Heron!AG$9,Xero!$A:$A,Heron!$A$5,Xero!$E:$E,Heron!$A22)</f>
        <v/>
      </c>
      <c r="AH22" s="66">
        <f>-SUMIFS(Xero!$F:$F,Xero!$B:$B,Heron!AH$9,Xero!$A:$A,Heron!$A$4,Xero!$E:$E,Heron!$A22)-SUMIFS(Xero!$F:$F,Xero!$B:$B,Heron!AH$9,Xero!$A:$A,Heron!$A$5,Xero!$E:$E,Heron!$A22)</f>
        <v/>
      </c>
      <c r="AI22" s="66">
        <f>-SUMIFS(Xero!$F:$F,Xero!$B:$B,Heron!AI$9,Xero!$A:$A,Heron!$A$4,Xero!$E:$E,Heron!$A22)-SUMIFS(Xero!$F:$F,Xero!$B:$B,Heron!AI$9,Xero!$A:$A,Heron!$A$5,Xero!$E:$E,Heron!$A22)</f>
        <v/>
      </c>
      <c r="AJ22" s="66">
        <f>-SUMIFS(Xero!$F:$F,Xero!$B:$B,Heron!AJ$9,Xero!$A:$A,Heron!$A$4,Xero!$E:$E,Heron!$A22)-SUMIFS(Xero!$F:$F,Xero!$B:$B,Heron!AJ$9,Xero!$A:$A,Heron!$A$5,Xero!$E:$E,Heron!$A22)</f>
        <v/>
      </c>
      <c r="AK22" s="66">
        <f>-SUMIFS(Xero!$F:$F,Xero!$B:$B,Heron!AK$9,Xero!$A:$A,Heron!$A$4,Xero!$E:$E,Heron!$A22)-SUMIFS(Xero!$F:$F,Xero!$B:$B,Heron!AK$9,Xero!$A:$A,Heron!$A$5,Xero!$E:$E,Heron!$A22)</f>
        <v/>
      </c>
      <c r="AL22" s="66">
        <f>-SUMIFS(Xero!$F:$F,Xero!$B:$B,Heron!AL$9,Xero!$A:$A,Heron!$A$4,Xero!$E:$E,Heron!$A22)-SUMIFS(Xero!$F:$F,Xero!$B:$B,Heron!AL$9,Xero!$A:$A,Heron!$A$5,Xero!$E:$E,Heron!$A22)</f>
        <v/>
      </c>
      <c r="AM22" s="66">
        <f>-SUMIFS(Xero!$F:$F,Xero!$B:$B,Heron!AM$9,Xero!$A:$A,Heron!$A$4,Xero!$E:$E,Heron!$A22)-SUMIFS(Xero!$F:$F,Xero!$B:$B,Heron!AM$9,Xero!$A:$A,Heron!$A$5,Xero!$E:$E,Heron!$A22)</f>
        <v/>
      </c>
      <c r="AN22" s="66">
        <f>-SUMIFS(Xero!$F:$F,Xero!$B:$B,Heron!AN$9,Xero!$A:$A,Heron!$A$4,Xero!$E:$E,Heron!$A22)-SUMIFS(Xero!$F:$F,Xero!$B:$B,Heron!AN$9,Xero!$A:$A,Heron!$A$5,Xero!$E:$E,Heron!$A22)</f>
        <v/>
      </c>
      <c r="AO22" s="66">
        <f>-SUMIFS(Xero!$F:$F,Xero!$B:$B,Heron!AO$9,Xero!$A:$A,Heron!$A$4,Xero!$E:$E,Heron!$A22)-SUMIFS(Xero!$F:$F,Xero!$B:$B,Heron!AO$9,Xero!$A:$A,Heron!$A$5,Xero!$E:$E,Heron!$A22)</f>
        <v/>
      </c>
      <c r="AP22" s="66">
        <f>-SUMIFS(Xero!$F:$F,Xero!$B:$B,Heron!AP$9,Xero!$A:$A,Heron!$A$4,Xero!$E:$E,Heron!$A22)-SUMIFS(Xero!$F:$F,Xero!$B:$B,Heron!AP$9,Xero!$A:$A,Heron!$A$5,Xero!$E:$E,Heron!$A22)</f>
        <v/>
      </c>
      <c r="AQ22" s="66">
        <f>-SUMIFS(Xero!$F:$F,Xero!$B:$B,Heron!AQ$9,Xero!$A:$A,Heron!$A$4,Xero!$E:$E,Heron!$A22)-SUMIFS(Xero!$F:$F,Xero!$B:$B,Heron!AQ$9,Xero!$A:$A,Heron!$A$5,Xero!$E:$E,Heron!$A22)</f>
        <v/>
      </c>
      <c r="AR22" s="66">
        <f>-SUMIFS(Xero!$F:$F,Xero!$B:$B,Heron!AR$9,Xero!$A:$A,Heron!$A$4,Xero!$E:$E,Heron!$A22)-SUMIFS(Xero!$F:$F,Xero!$B:$B,Heron!AR$9,Xero!$A:$A,Heron!$A$5,Xero!$E:$E,Heron!$A22)</f>
        <v/>
      </c>
      <c r="AS22" s="66">
        <f>-SUMIFS(Xero!$F:$F,Xero!$B:$B,Heron!AS$9,Xero!$A:$A,Heron!$A$4,Xero!$E:$E,Heron!$A22)-SUMIFS(Xero!$F:$F,Xero!$B:$B,Heron!AS$9,Xero!$A:$A,Heron!$A$5,Xero!$E:$E,Heron!$A22)</f>
        <v/>
      </c>
      <c r="AT22" s="66">
        <f>-SUMIFS(Xero!$F:$F,Xero!$B:$B,Heron!AT$9,Xero!$A:$A,Heron!$A$4,Xero!$E:$E,Heron!$A22)-SUMIFS(Xero!$F:$F,Xero!$B:$B,Heron!AT$9,Xero!$A:$A,Heron!$A$5,Xero!$E:$E,Heron!$A22)</f>
        <v/>
      </c>
      <c r="AU22" s="66">
        <f>-SUMIFS(Xero!$F:$F,Xero!$B:$B,Heron!AU$9,Xero!$A:$A,Heron!$A$4,Xero!$E:$E,Heron!$A22)-SUMIFS(Xero!$F:$F,Xero!$B:$B,Heron!AU$9,Xero!$A:$A,Heron!$A$5,Xero!$E:$E,Heron!$A22)</f>
        <v/>
      </c>
      <c r="AV22" s="66">
        <f>-SUMIFS(Xero!$F:$F,Xero!$B:$B,Heron!AV$9,Xero!$A:$A,Heron!$A$4,Xero!$E:$E,Heron!$A22)-SUMIFS(Xero!$F:$F,Xero!$B:$B,Heron!AV$9,Xero!$A:$A,Heron!$A$5,Xero!$E:$E,Heron!$A22)</f>
        <v/>
      </c>
      <c r="AW22" s="66">
        <f>-SUMIFS(Xero!$F:$F,Xero!$B:$B,Heron!AW$9,Xero!$A:$A,Heron!$A$4,Xero!$E:$E,Heron!$A22)-SUMIFS(Xero!$F:$F,Xero!$B:$B,Heron!AW$9,Xero!$A:$A,Heron!$A$5,Xero!$E:$E,Heron!$A22)</f>
        <v/>
      </c>
      <c r="AX22" s="66">
        <f>-SUMIFS(Xero!$F:$F,Xero!$B:$B,Heron!AX$9,Xero!$A:$A,Heron!$A$4,Xero!$E:$E,Heron!$A22)-SUMIFS(Xero!$F:$F,Xero!$B:$B,Heron!AX$9,Xero!$A:$A,Heron!$A$5,Xero!$E:$E,Heron!$A22)</f>
        <v/>
      </c>
      <c r="AY22" s="66">
        <f>-SUMIFS(Xero!$F:$F,Xero!$B:$B,Heron!AY$9,Xero!$A:$A,Heron!$A$4,Xero!$E:$E,Heron!$A22)-SUMIFS(Xero!$F:$F,Xero!$B:$B,Heron!AY$9,Xero!$A:$A,Heron!$A$5,Xero!$E:$E,Heron!$A22)</f>
        <v/>
      </c>
      <c r="AZ22" s="66">
        <f>-SUMIFS(Xero!$F:$F,Xero!$B:$B,Heron!AZ$9,Xero!$A:$A,Heron!$A$4,Xero!$E:$E,Heron!$A22)-SUMIFS(Xero!$F:$F,Xero!$B:$B,Heron!AZ$9,Xero!$A:$A,Heron!$A$5,Xero!$E:$E,Heron!$A22)</f>
        <v/>
      </c>
      <c r="BA22" s="66">
        <f>-SUMIFS(Xero!$F:$F,Xero!$B:$B,Heron!BA$9,Xero!$A:$A,Heron!$A$4,Xero!$E:$E,Heron!$A22)-SUMIFS(Xero!$F:$F,Xero!$B:$B,Heron!BA$9,Xero!$A:$A,Heron!$A$5,Xero!$E:$E,Heron!$A22)</f>
        <v/>
      </c>
      <c r="BB22" s="66">
        <f>-SUMIFS(Xero!$F:$F,Xero!$B:$B,Heron!BB$9,Xero!$A:$A,Heron!$A$4,Xero!$E:$E,Heron!$A22)-SUMIFS(Xero!$F:$F,Xero!$B:$B,Heron!BB$9,Xero!$A:$A,Heron!$A$5,Xero!$E:$E,Heron!$A22)</f>
        <v/>
      </c>
      <c r="BC22" s="66">
        <f>-SUMIFS(Xero!$F:$F,Xero!$B:$B,Heron!BC$9,Xero!$A:$A,Heron!$A$4,Xero!$E:$E,Heron!$A22)-SUMIFS(Xero!$F:$F,Xero!$B:$B,Heron!BC$9,Xero!$A:$A,Heron!$A$5,Xero!$E:$E,Heron!$A22)</f>
        <v/>
      </c>
      <c r="BD22" s="66">
        <f>-SUMIFS(Xero!$F:$F,Xero!$B:$B,Heron!BD$9,Xero!$A:$A,Heron!$A$4,Xero!$E:$E,Heron!$A22)-SUMIFS(Xero!$F:$F,Xero!$B:$B,Heron!BD$9,Xero!$A:$A,Heron!$A$5,Xero!$E:$E,Heron!$A22)</f>
        <v/>
      </c>
      <c r="BE22" s="66">
        <f>-SUMIFS(Xero!$F:$F,Xero!$B:$B,Heron!BE$9,Xero!$A:$A,Heron!$A$4,Xero!$E:$E,Heron!$A22)-SUMIFS(Xero!$F:$F,Xero!$B:$B,Heron!BE$9,Xero!$A:$A,Heron!$A$5,Xero!$E:$E,Heron!$A22)</f>
        <v/>
      </c>
      <c r="BF22" s="66">
        <f>-SUMIFS(Xero!$F:$F,Xero!$B:$B,Heron!BF$9,Xero!$A:$A,Heron!$A$4,Xero!$E:$E,Heron!$A22)-SUMIFS(Xero!$F:$F,Xero!$B:$B,Heron!BF$9,Xero!$A:$A,Heron!$A$5,Xero!$E:$E,Heron!$A22)</f>
        <v/>
      </c>
      <c r="BG22" s="66">
        <f>-SUMIFS(Xero!$F:$F,Xero!$B:$B,Heron!BG$9,Xero!$A:$A,Heron!$A$4,Xero!$E:$E,Heron!$A22)-SUMIFS(Xero!$F:$F,Xero!$B:$B,Heron!BG$9,Xero!$A:$A,Heron!$A$5,Xero!$E:$E,Heron!$A22)</f>
        <v/>
      </c>
      <c r="BH22" s="66">
        <f>sum(D22:BG22)</f>
        <v/>
      </c>
    </row>
    <row r="23">
      <c r="A23" s="65" t="inlineStr">
        <is>
          <t>Sales - Heron View Sales</t>
        </is>
      </c>
      <c r="D23" s="66">
        <f>-SUMIFS(Xero!$F:$F,Xero!$B:$B,Heron!D$9,Xero!$A:$A,Heron!$A$4,Xero!$E:$E,Heron!$A23)-SUMIFS(Xero!$F:$F,Xero!$B:$B,Heron!D$9,Xero!$A:$A,Heron!$A$5,Xero!$E:$E,Heron!$A23)+SUMIFS(Sales!$K:$K,Sales!$E:$E,FALSE,Sales!$A:$A,Heron!$B$5,Sales!$H:$H,"&lt;="&amp;Heron!D$9,Sales!$H:$H,"&gt;"&amp;Heron!C$9,Sales!$F:$F,1)</f>
        <v/>
      </c>
      <c r="E23" s="66">
        <f>-SUMIFS(Xero!$F:$F,Xero!$B:$B,Heron!E$9,Xero!$A:$A,Heron!$A$4,Xero!$E:$E,Heron!$A23)-SUMIFS(Xero!$F:$F,Xero!$B:$B,Heron!E$9,Xero!$A:$A,Heron!$A$5,Xero!$E:$E,Heron!$A23)+SUMIFS(Sales!$K:$K,Sales!$E:$E,FALSE,Sales!$A:$A,Heron!$B$5,Sales!$H:$H,"&lt;="&amp;Heron!E$9,Sales!$H:$H,"&gt;"&amp;Heron!D$9,Sales!$F:$F,1)</f>
        <v/>
      </c>
      <c r="F23" s="66">
        <f>-SUMIFS(Xero!$F:$F,Xero!$B:$B,Heron!F$9,Xero!$A:$A,Heron!$A$4,Xero!$E:$E,Heron!$A23)-SUMIFS(Xero!$F:$F,Xero!$B:$B,Heron!F$9,Xero!$A:$A,Heron!$A$5,Xero!$E:$E,Heron!$A23)+SUMIFS(Sales!$K:$K,Sales!$E:$E,FALSE,Sales!$A:$A,Heron!$B$5,Sales!$H:$H,"&lt;="&amp;Heron!F$9,Sales!$H:$H,"&gt;"&amp;Heron!E$9,Sales!$F:$F,1)</f>
        <v/>
      </c>
      <c r="G23" s="66">
        <f>-SUMIFS(Xero!$F:$F,Xero!$B:$B,Heron!G$9,Xero!$A:$A,Heron!$A$4,Xero!$E:$E,Heron!$A23)-SUMIFS(Xero!$F:$F,Xero!$B:$B,Heron!G$9,Xero!$A:$A,Heron!$A$5,Xero!$E:$E,Heron!$A23)+SUMIFS(Sales!$K:$K,Sales!$E:$E,FALSE,Sales!$A:$A,Heron!$B$5,Sales!$H:$H,"&lt;="&amp;Heron!G$9,Sales!$H:$H,"&gt;"&amp;Heron!F$9,Sales!$F:$F,1)</f>
        <v/>
      </c>
      <c r="H23" s="66">
        <f>-SUMIFS(Xero!$F:$F,Xero!$B:$B,Heron!H$9,Xero!$A:$A,Heron!$A$4,Xero!$E:$E,Heron!$A23)-SUMIFS(Xero!$F:$F,Xero!$B:$B,Heron!H$9,Xero!$A:$A,Heron!$A$5,Xero!$E:$E,Heron!$A23)+SUMIFS(Sales!$K:$K,Sales!$E:$E,FALSE,Sales!$A:$A,Heron!$B$5,Sales!$H:$H,"&lt;="&amp;Heron!H$9,Sales!$H:$H,"&gt;"&amp;Heron!G$9,Sales!$F:$F,1)</f>
        <v/>
      </c>
      <c r="I23" s="66">
        <f>-SUMIFS(Xero!$F:$F,Xero!$B:$B,Heron!I$9,Xero!$A:$A,Heron!$A$4,Xero!$E:$E,Heron!$A23)-SUMIFS(Xero!$F:$F,Xero!$B:$B,Heron!I$9,Xero!$A:$A,Heron!$A$5,Xero!$E:$E,Heron!$A23)+SUMIFS(Sales!$K:$K,Sales!$E:$E,FALSE,Sales!$A:$A,Heron!$B$5,Sales!$H:$H,"&lt;="&amp;Heron!I$9,Sales!$H:$H,"&gt;"&amp;Heron!H$9,Sales!$F:$F,1)</f>
        <v/>
      </c>
      <c r="J23" s="66">
        <f>-SUMIFS(Xero!$F:$F,Xero!$B:$B,Heron!J$9,Xero!$A:$A,Heron!$A$4,Xero!$E:$E,Heron!$A23)-SUMIFS(Xero!$F:$F,Xero!$B:$B,Heron!J$9,Xero!$A:$A,Heron!$A$5,Xero!$E:$E,Heron!$A23)+SUMIFS(Sales!$K:$K,Sales!$E:$E,FALSE,Sales!$A:$A,Heron!$B$5,Sales!$H:$H,"&lt;="&amp;Heron!J$9,Sales!$H:$H,"&gt;"&amp;Heron!I$9,Sales!$F:$F,1)</f>
        <v/>
      </c>
      <c r="K23" s="66">
        <f>-SUMIFS(Xero!$F:$F,Xero!$B:$B,Heron!K$9,Xero!$A:$A,Heron!$A$4,Xero!$E:$E,Heron!$A23)-SUMIFS(Xero!$F:$F,Xero!$B:$B,Heron!K$9,Xero!$A:$A,Heron!$A$5,Xero!$E:$E,Heron!$A23)+SUMIFS(Sales!$K:$K,Sales!$E:$E,FALSE,Sales!$A:$A,Heron!$B$5,Sales!$H:$H,"&lt;="&amp;Heron!K$9,Sales!$H:$H,"&gt;"&amp;Heron!J$9,Sales!$F:$F,1)</f>
        <v/>
      </c>
      <c r="L23" s="66">
        <f>-SUMIFS(Xero!$F:$F,Xero!$B:$B,Heron!L$9,Xero!$A:$A,Heron!$A$4,Xero!$E:$E,Heron!$A23)-SUMIFS(Xero!$F:$F,Xero!$B:$B,Heron!L$9,Xero!$A:$A,Heron!$A$5,Xero!$E:$E,Heron!$A23)+SUMIFS(Sales!$K:$K,Sales!$E:$E,FALSE,Sales!$A:$A,Heron!$B$5,Sales!$H:$H,"&lt;="&amp;Heron!L$9,Sales!$H:$H,"&gt;"&amp;Heron!K$9,Sales!$F:$F,1)</f>
        <v/>
      </c>
      <c r="M23" s="66">
        <f>-SUMIFS(Xero!$F:$F,Xero!$B:$B,Heron!M$9,Xero!$A:$A,Heron!$A$4,Xero!$E:$E,Heron!$A23)-SUMIFS(Xero!$F:$F,Xero!$B:$B,Heron!M$9,Xero!$A:$A,Heron!$A$5,Xero!$E:$E,Heron!$A23)+SUMIFS(Sales!$K:$K,Sales!$E:$E,FALSE,Sales!$A:$A,Heron!$B$5,Sales!$H:$H,"&lt;="&amp;Heron!M$9,Sales!$H:$H,"&gt;"&amp;Heron!L$9,Sales!$F:$F,1)</f>
        <v/>
      </c>
      <c r="N23" s="66">
        <f>-SUMIFS(Xero!$F:$F,Xero!$B:$B,Heron!N$9,Xero!$A:$A,Heron!$A$4,Xero!$E:$E,Heron!$A23)-SUMIFS(Xero!$F:$F,Xero!$B:$B,Heron!N$9,Xero!$A:$A,Heron!$A$5,Xero!$E:$E,Heron!$A23)+SUMIFS(Sales!$K:$K,Sales!$E:$E,FALSE,Sales!$A:$A,Heron!$B$5,Sales!$H:$H,"&lt;="&amp;Heron!N$9,Sales!$H:$H,"&gt;"&amp;Heron!M$9,Sales!$F:$F,1)</f>
        <v/>
      </c>
      <c r="O23" s="66">
        <f>-SUMIFS(Xero!$F:$F,Xero!$B:$B,Heron!O$9,Xero!$A:$A,Heron!$A$4,Xero!$E:$E,Heron!$A23)-SUMIFS(Xero!$F:$F,Xero!$B:$B,Heron!O$9,Xero!$A:$A,Heron!$A$5,Xero!$E:$E,Heron!$A23)+SUMIFS(Sales!$K:$K,Sales!$E:$E,FALSE,Sales!$A:$A,Heron!$B$5,Sales!$H:$H,"&lt;="&amp;Heron!O$9,Sales!$H:$H,"&gt;"&amp;Heron!N$9,Sales!$F:$F,1)</f>
        <v/>
      </c>
      <c r="P23" s="66">
        <f>-SUMIFS(Xero!$F:$F,Xero!$B:$B,Heron!P$9,Xero!$A:$A,Heron!$A$4,Xero!$E:$E,Heron!$A23)-SUMIFS(Xero!$F:$F,Xero!$B:$B,Heron!P$9,Xero!$A:$A,Heron!$A$5,Xero!$E:$E,Heron!$A23)+SUMIFS(Sales!$K:$K,Sales!$E:$E,FALSE,Sales!$A:$A,Heron!$B$5,Sales!$H:$H,"&lt;="&amp;Heron!P$9,Sales!$H:$H,"&gt;"&amp;Heron!O$9,Sales!$F:$F,1)</f>
        <v/>
      </c>
      <c r="Q23" s="66">
        <f>-SUMIFS(Xero!$F:$F,Xero!$B:$B,Heron!Q$9,Xero!$A:$A,Heron!$A$4,Xero!$E:$E,Heron!$A23)-SUMIFS(Xero!$F:$F,Xero!$B:$B,Heron!Q$9,Xero!$A:$A,Heron!$A$5,Xero!$E:$E,Heron!$A23)+SUMIFS(Sales!$K:$K,Sales!$E:$E,FALSE,Sales!$A:$A,Heron!$B$5,Sales!$H:$H,"&lt;="&amp;Heron!Q$9,Sales!$H:$H,"&gt;"&amp;Heron!P$9,Sales!$F:$F,1)</f>
        <v/>
      </c>
      <c r="R23" s="66">
        <f>-SUMIFS(Xero!$F:$F,Xero!$B:$B,Heron!R$9,Xero!$A:$A,Heron!$A$4,Xero!$E:$E,Heron!$A23)-SUMIFS(Xero!$F:$F,Xero!$B:$B,Heron!R$9,Xero!$A:$A,Heron!$A$5,Xero!$E:$E,Heron!$A23)+SUMIFS(Sales!$K:$K,Sales!$E:$E,FALSE,Sales!$A:$A,Heron!$B$5,Sales!$H:$H,"&lt;="&amp;Heron!R$9,Sales!$H:$H,"&gt;"&amp;Heron!Q$9,Sales!$F:$F,1)</f>
        <v/>
      </c>
      <c r="S23" s="66">
        <f>-SUMIFS(Xero!$F:$F,Xero!$B:$B,Heron!S$9,Xero!$A:$A,Heron!$A$4,Xero!$E:$E,Heron!$A23)-SUMIFS(Xero!$F:$F,Xero!$B:$B,Heron!S$9,Xero!$A:$A,Heron!$A$5,Xero!$E:$E,Heron!$A23)+SUMIFS(Sales!$K:$K,Sales!$E:$E,FALSE,Sales!$A:$A,Heron!$B$5,Sales!$H:$H,"&lt;="&amp;Heron!S$9,Sales!$H:$H,"&gt;"&amp;Heron!R$9,Sales!$F:$F,1)</f>
        <v/>
      </c>
      <c r="T23" s="66">
        <f>-SUMIFS(Xero!$F:$F,Xero!$B:$B,Heron!T$9,Xero!$A:$A,Heron!$A$4,Xero!$E:$E,Heron!$A23)-SUMIFS(Xero!$F:$F,Xero!$B:$B,Heron!T$9,Xero!$A:$A,Heron!$A$5,Xero!$E:$E,Heron!$A23)+SUMIFS(Sales!$K:$K,Sales!$E:$E,FALSE,Sales!$A:$A,Heron!$B$5,Sales!$H:$H,"&lt;="&amp;Heron!T$9,Sales!$H:$H,"&gt;"&amp;Heron!S$9,Sales!$F:$F,1)</f>
        <v/>
      </c>
      <c r="U23" s="66">
        <f>-SUMIFS(Xero!$F:$F,Xero!$B:$B,Heron!U$9,Xero!$A:$A,Heron!$A$4,Xero!$E:$E,Heron!$A23)-SUMIFS(Xero!$F:$F,Xero!$B:$B,Heron!U$9,Xero!$A:$A,Heron!$A$5,Xero!$E:$E,Heron!$A23)+SUMIFS(Sales!$K:$K,Sales!$E:$E,FALSE,Sales!$A:$A,Heron!$B$5,Sales!$H:$H,"&lt;="&amp;Heron!U$9,Sales!$H:$H,"&gt;"&amp;Heron!T$9,Sales!$F:$F,1)</f>
        <v/>
      </c>
      <c r="V23" s="66">
        <f>-SUMIFS(Xero!$F:$F,Xero!$B:$B,Heron!V$9,Xero!$A:$A,Heron!$A$4,Xero!$E:$E,Heron!$A23)-SUMIFS(Xero!$F:$F,Xero!$B:$B,Heron!V$9,Xero!$A:$A,Heron!$A$5,Xero!$E:$E,Heron!$A23)+SUMIFS(Sales!$K:$K,Sales!$E:$E,FALSE,Sales!$A:$A,Heron!$B$5,Sales!$H:$H,"&lt;="&amp;Heron!V$9,Sales!$H:$H,"&gt;"&amp;Heron!U$9,Sales!$F:$F,1)</f>
        <v/>
      </c>
      <c r="W23" s="66">
        <f>-SUMIFS(Xero!$F:$F,Xero!$B:$B,Heron!W$9,Xero!$A:$A,Heron!$A$4,Xero!$E:$E,Heron!$A23)-SUMIFS(Xero!$F:$F,Xero!$B:$B,Heron!W$9,Xero!$A:$A,Heron!$A$5,Xero!$E:$E,Heron!$A23)+SUMIFS(Sales!$K:$K,Sales!$E:$E,FALSE,Sales!$A:$A,Heron!$B$5,Sales!$H:$H,"&lt;="&amp;Heron!W$9,Sales!$H:$H,"&gt;"&amp;Heron!V$9,Sales!$F:$F,1)</f>
        <v/>
      </c>
      <c r="X23" s="66">
        <f>-SUMIFS(Xero!$F:$F,Xero!$B:$B,Heron!X$9,Xero!$A:$A,Heron!$A$4,Xero!$E:$E,Heron!$A23)-SUMIFS(Xero!$F:$F,Xero!$B:$B,Heron!X$9,Xero!$A:$A,Heron!$A$5,Xero!$E:$E,Heron!$A23)+SUMIFS(Sales!$K:$K,Sales!$E:$E,FALSE,Sales!$A:$A,Heron!$B$5,Sales!$H:$H,"&lt;="&amp;Heron!X$9,Sales!$H:$H,"&gt;"&amp;Heron!W$9,Sales!$F:$F,1)</f>
        <v/>
      </c>
      <c r="Y23" s="66">
        <f>-SUMIFS(Xero!$F:$F,Xero!$B:$B,Heron!Y$9,Xero!$A:$A,Heron!$A$4,Xero!$E:$E,Heron!$A23)-SUMIFS(Xero!$F:$F,Xero!$B:$B,Heron!Y$9,Xero!$A:$A,Heron!$A$5,Xero!$E:$E,Heron!$A23)+SUMIFS(Sales!$K:$K,Sales!$E:$E,FALSE,Sales!$A:$A,Heron!$B$5,Sales!$H:$H,"&lt;="&amp;Heron!Y$9,Sales!$H:$H,"&gt;"&amp;Heron!X$9,Sales!$F:$F,1)</f>
        <v/>
      </c>
      <c r="Z23" s="66">
        <f>-SUMIFS(Xero!$F:$F,Xero!$B:$B,Heron!Z$9,Xero!$A:$A,Heron!$A$4,Xero!$E:$E,Heron!$A23)-SUMIFS(Xero!$F:$F,Xero!$B:$B,Heron!Z$9,Xero!$A:$A,Heron!$A$5,Xero!$E:$E,Heron!$A23)+SUMIFS(Sales!$K:$K,Sales!$E:$E,FALSE,Sales!$A:$A,Heron!$B$5,Sales!$H:$H,"&lt;="&amp;Heron!Z$9,Sales!$H:$H,"&gt;"&amp;Heron!Y$9,Sales!$F:$F,1)</f>
        <v/>
      </c>
      <c r="AA23" s="66">
        <f>-SUMIFS(Xero!$F:$F,Xero!$B:$B,Heron!AA$9,Xero!$A:$A,Heron!$A$4,Xero!$E:$E,Heron!$A23)-SUMIFS(Xero!$F:$F,Xero!$B:$B,Heron!AA$9,Xero!$A:$A,Heron!$A$5,Xero!$E:$E,Heron!$A23)+SUMIFS(Sales!$K:$K,Sales!$E:$E,FALSE,Sales!$A:$A,Heron!$B$5,Sales!$H:$H,"&lt;="&amp;Heron!AA$9,Sales!$H:$H,"&gt;"&amp;Heron!Z$9,Sales!$F:$F,1)</f>
        <v/>
      </c>
      <c r="AB23" s="66">
        <f>-SUMIFS(Xero!$F:$F,Xero!$B:$B,Heron!AB$9,Xero!$A:$A,Heron!$A$4,Xero!$E:$E,Heron!$A23)-SUMIFS(Xero!$F:$F,Xero!$B:$B,Heron!AB$9,Xero!$A:$A,Heron!$A$5,Xero!$E:$E,Heron!$A23)+SUMIFS(Sales!$K:$K,Sales!$E:$E,FALSE,Sales!$A:$A,Heron!$B$5,Sales!$H:$H,"&lt;="&amp;Heron!AB$9,Sales!$H:$H,"&gt;"&amp;Heron!AA$9,Sales!$F:$F,1)</f>
        <v/>
      </c>
      <c r="AC23" s="66">
        <f>-SUMIFS(Xero!$F:$F,Xero!$B:$B,Heron!AC$9,Xero!$A:$A,Heron!$A$4,Xero!$E:$E,Heron!$A23)-SUMIFS(Xero!$F:$F,Xero!$B:$B,Heron!AC$9,Xero!$A:$A,Heron!$A$5,Xero!$E:$E,Heron!$A23)+SUMIFS(Sales!$K:$K,Sales!$E:$E,FALSE,Sales!$A:$A,Heron!$B$5,Sales!$H:$H,"&lt;="&amp;Heron!AC$9,Sales!$H:$H,"&gt;"&amp;Heron!AB$9,Sales!$F:$F,1)</f>
        <v/>
      </c>
      <c r="AD23" s="66">
        <f>-SUMIFS(Xero!$F:$F,Xero!$B:$B,Heron!AD$9,Xero!$A:$A,Heron!$A$4,Xero!$E:$E,Heron!$A23)-SUMIFS(Xero!$F:$F,Xero!$B:$B,Heron!AD$9,Xero!$A:$A,Heron!$A$5,Xero!$E:$E,Heron!$A23)+SUMIFS(Sales!$K:$K,Sales!$E:$E,FALSE,Sales!$A:$A,Heron!$B$5,Sales!$H:$H,"&lt;="&amp;Heron!AD$9,Sales!$H:$H,"&gt;"&amp;Heron!AC$9,Sales!$F:$F,1)</f>
        <v/>
      </c>
      <c r="AE23" s="66">
        <f>-SUMIFS(Xero!$F:$F,Xero!$B:$B,Heron!AE$9,Xero!$A:$A,Heron!$A$4,Xero!$E:$E,Heron!$A23)-SUMIFS(Xero!$F:$F,Xero!$B:$B,Heron!AE$9,Xero!$A:$A,Heron!$A$5,Xero!$E:$E,Heron!$A23)+SUMIFS(Sales!$K:$K,Sales!$E:$E,FALSE,Sales!$A:$A,Heron!$B$5,Sales!$H:$H,"&lt;="&amp;Heron!AE$9,Sales!$H:$H,"&gt;"&amp;Heron!AD$9,Sales!$F:$F,1)</f>
        <v/>
      </c>
      <c r="AF23" s="66">
        <f>-SUMIFS(Xero!$F:$F,Xero!$B:$B,Heron!AF$9,Xero!$A:$A,Heron!$A$4,Xero!$E:$E,Heron!$A23)-SUMIFS(Xero!$F:$F,Xero!$B:$B,Heron!AF$9,Xero!$A:$A,Heron!$A$5,Xero!$E:$E,Heron!$A23)+SUMIFS(Sales!$K:$K,Sales!$E:$E,FALSE,Sales!$A:$A,Heron!$B$5,Sales!$H:$H,"&lt;="&amp;Heron!AF$9,Sales!$H:$H,"&gt;"&amp;Heron!AE$9,Sales!$F:$F,1)</f>
        <v/>
      </c>
      <c r="AG23" s="66">
        <f>-SUMIFS(Xero!$F:$F,Xero!$B:$B,Heron!AG$9,Xero!$A:$A,Heron!$A$4,Xero!$E:$E,Heron!$A23)-SUMIFS(Xero!$F:$F,Xero!$B:$B,Heron!AG$9,Xero!$A:$A,Heron!$A$5,Xero!$E:$E,Heron!$A23)+SUMIFS(Sales!$K:$K,Sales!$E:$E,FALSE,Sales!$A:$A,Heron!$B$5,Sales!$H:$H,"&lt;="&amp;Heron!AG$9,Sales!$H:$H,"&gt;"&amp;Heron!AF$9,Sales!$F:$F,1)</f>
        <v/>
      </c>
      <c r="AH23" s="66">
        <f>-SUMIFS(Xero!$F:$F,Xero!$B:$B,Heron!AH$9,Xero!$A:$A,Heron!$A$4,Xero!$E:$E,Heron!$A23)-SUMIFS(Xero!$F:$F,Xero!$B:$B,Heron!AH$9,Xero!$A:$A,Heron!$A$5,Xero!$E:$E,Heron!$A23)+SUMIFS(Sales!$K:$K,Sales!$E:$E,FALSE,Sales!$A:$A,Heron!$B$5,Sales!$H:$H,"&lt;="&amp;Heron!AH$9,Sales!$H:$H,"&gt;"&amp;Heron!AG$9,Sales!$F:$F,1)</f>
        <v/>
      </c>
      <c r="AI23" s="66">
        <f>-SUMIFS(Xero!$F:$F,Xero!$B:$B,Heron!AI$9,Xero!$A:$A,Heron!$A$4,Xero!$E:$E,Heron!$A23)-SUMIFS(Xero!$F:$F,Xero!$B:$B,Heron!AI$9,Xero!$A:$A,Heron!$A$5,Xero!$E:$E,Heron!$A23)+SUMIFS(Sales!$K:$K,Sales!$E:$E,FALSE,Sales!$A:$A,Heron!$B$5,Sales!$H:$H,"&lt;="&amp;Heron!AI$9,Sales!$H:$H,"&gt;"&amp;Heron!AH$9,Sales!$F:$F,1)</f>
        <v/>
      </c>
      <c r="AJ23" s="66">
        <f>-SUMIFS(Xero!$F:$F,Xero!$B:$B,Heron!AJ$9,Xero!$A:$A,Heron!$A$4,Xero!$E:$E,Heron!$A23)-SUMIFS(Xero!$F:$F,Xero!$B:$B,Heron!AJ$9,Xero!$A:$A,Heron!$A$5,Xero!$E:$E,Heron!$A23)+SUMIFS(Sales!$K:$K,Sales!$E:$E,FALSE,Sales!$A:$A,Heron!$B$5,Sales!$H:$H,"&lt;="&amp;Heron!AJ$9,Sales!$H:$H,"&gt;"&amp;Heron!AI$9,Sales!$F:$F,1)</f>
        <v/>
      </c>
      <c r="AK23" s="66">
        <f>-SUMIFS(Xero!$F:$F,Xero!$B:$B,Heron!AK$9,Xero!$A:$A,Heron!$A$4,Xero!$E:$E,Heron!$A23)-SUMIFS(Xero!$F:$F,Xero!$B:$B,Heron!AK$9,Xero!$A:$A,Heron!$A$5,Xero!$E:$E,Heron!$A23)+SUMIFS(Sales!$K:$K,Sales!$E:$E,FALSE,Sales!$A:$A,Heron!$B$5,Sales!$H:$H,"&lt;="&amp;Heron!AK$9,Sales!$H:$H,"&gt;"&amp;Heron!AJ$9,Sales!$F:$F,1)</f>
        <v/>
      </c>
      <c r="AL23" s="66">
        <f>-SUMIFS(Xero!$F:$F,Xero!$B:$B,Heron!AL$9,Xero!$A:$A,Heron!$A$4,Xero!$E:$E,Heron!$A23)-SUMIFS(Xero!$F:$F,Xero!$B:$B,Heron!AL$9,Xero!$A:$A,Heron!$A$5,Xero!$E:$E,Heron!$A23)+SUMIFS(Sales!$K:$K,Sales!$E:$E,FALSE,Sales!$A:$A,Heron!$B$5,Sales!$H:$H,"&lt;="&amp;Heron!AL$9,Sales!$H:$H,"&gt;"&amp;Heron!AK$9,Sales!$F:$F,1)</f>
        <v/>
      </c>
      <c r="AM23" s="66">
        <f>-SUMIFS(Xero!$F:$F,Xero!$B:$B,Heron!AM$9,Xero!$A:$A,Heron!$A$4,Xero!$E:$E,Heron!$A23)-SUMIFS(Xero!$F:$F,Xero!$B:$B,Heron!AM$9,Xero!$A:$A,Heron!$A$5,Xero!$E:$E,Heron!$A23)+SUMIFS(Sales!$K:$K,Sales!$E:$E,FALSE,Sales!$A:$A,Heron!$B$5,Sales!$H:$H,"&lt;="&amp;Heron!AM$9,Sales!$H:$H,"&gt;"&amp;Heron!AL$9,Sales!$F:$F,1)</f>
        <v/>
      </c>
      <c r="AN23" s="66">
        <f>-SUMIFS(Xero!$F:$F,Xero!$B:$B,Heron!AN$9,Xero!$A:$A,Heron!$A$4,Xero!$E:$E,Heron!$A23)-SUMIFS(Xero!$F:$F,Xero!$B:$B,Heron!AN$9,Xero!$A:$A,Heron!$A$5,Xero!$E:$E,Heron!$A23)+SUMIFS(Sales!$K:$K,Sales!$E:$E,FALSE,Sales!$A:$A,Heron!$B$5,Sales!$H:$H,"&lt;="&amp;Heron!AN$9,Sales!$H:$H,"&gt;"&amp;Heron!AM$9,Sales!$F:$F,1)</f>
        <v/>
      </c>
      <c r="AO23" s="66">
        <f>-SUMIFS(Xero!$F:$F,Xero!$B:$B,Heron!AO$9,Xero!$A:$A,Heron!$A$4,Xero!$E:$E,Heron!$A23)-SUMIFS(Xero!$F:$F,Xero!$B:$B,Heron!AO$9,Xero!$A:$A,Heron!$A$5,Xero!$E:$E,Heron!$A23)+SUMIFS(Sales!$K:$K,Sales!$E:$E,FALSE,Sales!$A:$A,Heron!$B$5,Sales!$H:$H,"&lt;="&amp;Heron!AO$9,Sales!$H:$H,"&gt;"&amp;Heron!AN$9,Sales!$F:$F,1)</f>
        <v/>
      </c>
      <c r="AP23" s="66">
        <f>-SUMIFS(Xero!$F:$F,Xero!$B:$B,Heron!AP$9,Xero!$A:$A,Heron!$A$4,Xero!$E:$E,Heron!$A23)-SUMIFS(Xero!$F:$F,Xero!$B:$B,Heron!AP$9,Xero!$A:$A,Heron!$A$5,Xero!$E:$E,Heron!$A23)+SUMIFS(Sales!$K:$K,Sales!$E:$E,FALSE,Sales!$A:$A,Heron!$B$5,Sales!$H:$H,"&lt;="&amp;Heron!AP$9,Sales!$H:$H,"&gt;"&amp;Heron!AO$9,Sales!$F:$F,1)</f>
        <v/>
      </c>
      <c r="AQ23" s="66">
        <f>-SUMIFS(Xero!$F:$F,Xero!$B:$B,Heron!AQ$9,Xero!$A:$A,Heron!$A$4,Xero!$E:$E,Heron!$A23)-SUMIFS(Xero!$F:$F,Xero!$B:$B,Heron!AQ$9,Xero!$A:$A,Heron!$A$5,Xero!$E:$E,Heron!$A23)+SUMIFS(Sales!$K:$K,Sales!$E:$E,FALSE,Sales!$A:$A,Heron!$B$5,Sales!$H:$H,"&lt;="&amp;Heron!AQ$9,Sales!$H:$H,"&gt;"&amp;Heron!AP$9,Sales!$F:$F,1)</f>
        <v/>
      </c>
      <c r="AR23" s="66">
        <f>-SUMIFS(Xero!$F:$F,Xero!$B:$B,Heron!AR$9,Xero!$A:$A,Heron!$A$4,Xero!$E:$E,Heron!$A23)-SUMIFS(Xero!$F:$F,Xero!$B:$B,Heron!AR$9,Xero!$A:$A,Heron!$A$5,Xero!$E:$E,Heron!$A23)+SUMIFS(Sales!$K:$K,Sales!$E:$E,FALSE,Sales!$A:$A,Heron!$B$5,Sales!$H:$H,"&lt;="&amp;Heron!AR$9,Sales!$H:$H,"&gt;"&amp;Heron!AQ$9,Sales!$F:$F,1)</f>
        <v/>
      </c>
      <c r="AS23" s="66">
        <f>-SUMIFS(Xero!$F:$F,Xero!$B:$B,Heron!AS$9,Xero!$A:$A,Heron!$A$4,Xero!$E:$E,Heron!$A23)-SUMIFS(Xero!$F:$F,Xero!$B:$B,Heron!AS$9,Xero!$A:$A,Heron!$A$5,Xero!$E:$E,Heron!$A23)+SUMIFS(Sales!$K:$K,Sales!$E:$E,FALSE,Sales!$A:$A,Heron!$B$5,Sales!$H:$H,"&lt;="&amp;Heron!AS$9,Sales!$H:$H,"&gt;"&amp;Heron!AR$9,Sales!$F:$F,1)</f>
        <v/>
      </c>
      <c r="AT23" s="66">
        <f>-SUMIFS(Xero!$F:$F,Xero!$B:$B,Heron!AT$9,Xero!$A:$A,Heron!$A$4,Xero!$E:$E,Heron!$A23)-SUMIFS(Xero!$F:$F,Xero!$B:$B,Heron!AT$9,Xero!$A:$A,Heron!$A$5,Xero!$E:$E,Heron!$A23)+SUMIFS(Sales!$K:$K,Sales!$E:$E,FALSE,Sales!$A:$A,Heron!$B$5,Sales!$H:$H,"&lt;="&amp;Heron!AT$9,Sales!$H:$H,"&gt;"&amp;Heron!AS$9,Sales!$F:$F,1)</f>
        <v/>
      </c>
      <c r="AU23" s="66">
        <f>-SUMIFS(Xero!$F:$F,Xero!$B:$B,Heron!AU$9,Xero!$A:$A,Heron!$A$4,Xero!$E:$E,Heron!$A23)-SUMIFS(Xero!$F:$F,Xero!$B:$B,Heron!AU$9,Xero!$A:$A,Heron!$A$5,Xero!$E:$E,Heron!$A23)+SUMIFS(Sales!$K:$K,Sales!$E:$E,FALSE,Sales!$A:$A,Heron!$B$5,Sales!$H:$H,"&lt;="&amp;Heron!AU$9,Sales!$H:$H,"&gt;"&amp;Heron!AT$9,Sales!$F:$F,1)</f>
        <v/>
      </c>
      <c r="AV23" s="66">
        <f>-SUMIFS(Xero!$F:$F,Xero!$B:$B,Heron!AV$9,Xero!$A:$A,Heron!$A$4,Xero!$E:$E,Heron!$A23)-SUMIFS(Xero!$F:$F,Xero!$B:$B,Heron!AV$9,Xero!$A:$A,Heron!$A$5,Xero!$E:$E,Heron!$A23)+SUMIFS(Sales!$K:$K,Sales!$E:$E,FALSE,Sales!$A:$A,Heron!$B$5,Sales!$H:$H,"&lt;="&amp;Heron!AV$9,Sales!$H:$H,"&gt;"&amp;Heron!AU$9,Sales!$F:$F,1)</f>
        <v/>
      </c>
      <c r="AW23" s="66">
        <f>-SUMIFS(Xero!$F:$F,Xero!$B:$B,Heron!AW$9,Xero!$A:$A,Heron!$A$4,Xero!$E:$E,Heron!$A23)-SUMIFS(Xero!$F:$F,Xero!$B:$B,Heron!AW$9,Xero!$A:$A,Heron!$A$5,Xero!$E:$E,Heron!$A23)+SUMIFS(Sales!$K:$K,Sales!$E:$E,FALSE,Sales!$A:$A,Heron!$B$5,Sales!$H:$H,"&lt;="&amp;Heron!AW$9,Sales!$H:$H,"&gt;"&amp;Heron!AV$9,Sales!$F:$F,1)</f>
        <v/>
      </c>
      <c r="AX23" s="66">
        <f>-SUMIFS(Xero!$F:$F,Xero!$B:$B,Heron!AX$9,Xero!$A:$A,Heron!$A$4,Xero!$E:$E,Heron!$A23)-SUMIFS(Xero!$F:$F,Xero!$B:$B,Heron!AX$9,Xero!$A:$A,Heron!$A$5,Xero!$E:$E,Heron!$A23)+SUMIFS(Sales!$K:$K,Sales!$E:$E,FALSE,Sales!$A:$A,Heron!$B$5,Sales!$H:$H,"&lt;="&amp;Heron!AX$9,Sales!$H:$H,"&gt;"&amp;Heron!AW$9,Sales!$F:$F,1)</f>
        <v/>
      </c>
      <c r="AY23" s="66">
        <f>-SUMIFS(Xero!$F:$F,Xero!$B:$B,Heron!AY$9,Xero!$A:$A,Heron!$A$4,Xero!$E:$E,Heron!$A23)-SUMIFS(Xero!$F:$F,Xero!$B:$B,Heron!AY$9,Xero!$A:$A,Heron!$A$5,Xero!$E:$E,Heron!$A23)+SUMIFS(Sales!$K:$K,Sales!$E:$E,FALSE,Sales!$A:$A,Heron!$B$5,Sales!$H:$H,"&lt;="&amp;Heron!AY$9,Sales!$H:$H,"&gt;"&amp;Heron!AX$9,Sales!$F:$F,1)</f>
        <v/>
      </c>
      <c r="AZ23" s="66">
        <f>-SUMIFS(Xero!$F:$F,Xero!$B:$B,Heron!AZ$9,Xero!$A:$A,Heron!$A$4,Xero!$E:$E,Heron!$A23)-SUMIFS(Xero!$F:$F,Xero!$B:$B,Heron!AZ$9,Xero!$A:$A,Heron!$A$5,Xero!$E:$E,Heron!$A23)+SUMIFS(Sales!$K:$K,Sales!$E:$E,FALSE,Sales!$A:$A,Heron!$B$5,Sales!$H:$H,"&lt;="&amp;Heron!AZ$9,Sales!$H:$H,"&gt;"&amp;Heron!AY$9,Sales!$F:$F,1)</f>
        <v/>
      </c>
      <c r="BA23" s="66">
        <f>-SUMIFS(Xero!$F:$F,Xero!$B:$B,Heron!BA$9,Xero!$A:$A,Heron!$A$4,Xero!$E:$E,Heron!$A23)-SUMIFS(Xero!$F:$F,Xero!$B:$B,Heron!BA$9,Xero!$A:$A,Heron!$A$5,Xero!$E:$E,Heron!$A23)+SUMIFS(Sales!$K:$K,Sales!$E:$E,FALSE,Sales!$A:$A,Heron!$B$5,Sales!$H:$H,"&lt;="&amp;Heron!BA$9,Sales!$H:$H,"&gt;"&amp;Heron!AZ$9,Sales!$F:$F,1)</f>
        <v/>
      </c>
      <c r="BB23" s="66">
        <f>-SUMIFS(Xero!$F:$F,Xero!$B:$B,Heron!BB$9,Xero!$A:$A,Heron!$A$4,Xero!$E:$E,Heron!$A23)-SUMIFS(Xero!$F:$F,Xero!$B:$B,Heron!BB$9,Xero!$A:$A,Heron!$A$5,Xero!$E:$E,Heron!$A23)+SUMIFS(Sales!$K:$K,Sales!$E:$E,FALSE,Sales!$A:$A,Heron!$B$5,Sales!$H:$H,"&lt;="&amp;Heron!BB$9,Sales!$H:$H,"&gt;"&amp;Heron!BA$9,Sales!$F:$F,1)</f>
        <v/>
      </c>
      <c r="BC23" s="66">
        <f>-SUMIFS(Xero!$F:$F,Xero!$B:$B,Heron!BC$9,Xero!$A:$A,Heron!$A$4,Xero!$E:$E,Heron!$A23)-SUMIFS(Xero!$F:$F,Xero!$B:$B,Heron!BC$9,Xero!$A:$A,Heron!$A$5,Xero!$E:$E,Heron!$A23)+SUMIFS(Sales!$K:$K,Sales!$E:$E,FALSE,Sales!$A:$A,Heron!$B$5,Sales!$H:$H,"&lt;="&amp;Heron!BC$9,Sales!$H:$H,"&gt;"&amp;Heron!BB$9,Sales!$F:$F,1)</f>
        <v/>
      </c>
      <c r="BD23" s="66">
        <f>-SUMIFS(Xero!$F:$F,Xero!$B:$B,Heron!BD$9,Xero!$A:$A,Heron!$A$4,Xero!$E:$E,Heron!$A23)-SUMIFS(Xero!$F:$F,Xero!$B:$B,Heron!BD$9,Xero!$A:$A,Heron!$A$5,Xero!$E:$E,Heron!$A23)+SUMIFS(Sales!$K:$K,Sales!$E:$E,FALSE,Sales!$A:$A,Heron!$B$5,Sales!$H:$H,"&lt;="&amp;Heron!BD$9,Sales!$H:$H,"&gt;"&amp;Heron!BC$9,Sales!$F:$F,1)</f>
        <v/>
      </c>
      <c r="BE23" s="66">
        <f>-SUMIFS(Xero!$F:$F,Xero!$B:$B,Heron!BE$9,Xero!$A:$A,Heron!$A$4,Xero!$E:$E,Heron!$A23)-SUMIFS(Xero!$F:$F,Xero!$B:$B,Heron!BE$9,Xero!$A:$A,Heron!$A$5,Xero!$E:$E,Heron!$A23)+SUMIFS(Sales!$K:$K,Sales!$E:$E,FALSE,Sales!$A:$A,Heron!$B$5,Sales!$H:$H,"&lt;="&amp;Heron!BE$9,Sales!$H:$H,"&gt;"&amp;Heron!BD$9,Sales!$F:$F,1)</f>
        <v/>
      </c>
      <c r="BF23" s="66">
        <f>-SUMIFS(Xero!$F:$F,Xero!$B:$B,Heron!BF$9,Xero!$A:$A,Heron!$A$4,Xero!$E:$E,Heron!$A23)-SUMIFS(Xero!$F:$F,Xero!$B:$B,Heron!BF$9,Xero!$A:$A,Heron!$A$5,Xero!$E:$E,Heron!$A23)+SUMIFS(Sales!$K:$K,Sales!$E:$E,FALSE,Sales!$A:$A,Heron!$B$5,Sales!$H:$H,"&lt;="&amp;Heron!BF$9,Sales!$H:$H,"&gt;"&amp;Heron!BE$9,Sales!$F:$F,1)</f>
        <v/>
      </c>
      <c r="BG23" s="66">
        <f>-SUMIFS(Xero!$F:$F,Xero!$B:$B,Heron!BG$9,Xero!$A:$A,Heron!$A$4,Xero!$E:$E,Heron!$A23)-SUMIFS(Xero!$F:$F,Xero!$B:$B,Heron!BG$9,Xero!$A:$A,Heron!$A$5,Xero!$E:$E,Heron!$A23)+SUMIFS(Sales!$K:$K,Sales!$E:$E,FALSE,Sales!$A:$A,Heron!$B$5,Sales!$H:$H,"&lt;="&amp;Heron!BG$9,Sales!$H:$H,"&gt;"&amp;Heron!BF$9,Sales!$F:$F,1)</f>
        <v/>
      </c>
      <c r="BH23" s="66">
        <f>sum(D23:BG23)</f>
        <v/>
      </c>
    </row>
    <row r="25">
      <c r="A25" s="64" t="inlineStr">
        <is>
          <t>Total Income</t>
        </is>
      </c>
      <c r="D25" s="67">
        <f>sum(D13:D23)</f>
        <v/>
      </c>
      <c r="E25" s="67">
        <f>sum(E13:E23)</f>
        <v/>
      </c>
      <c r="F25" s="67">
        <f>sum(F13:F23)</f>
        <v/>
      </c>
      <c r="G25" s="67">
        <f>sum(G13:G23)</f>
        <v/>
      </c>
      <c r="H25" s="67">
        <f>sum(H13:H23)</f>
        <v/>
      </c>
      <c r="I25" s="67">
        <f>sum(I13:I23)</f>
        <v/>
      </c>
      <c r="J25" s="67">
        <f>sum(J13:J23)</f>
        <v/>
      </c>
      <c r="K25" s="67">
        <f>sum(K13:K23)</f>
        <v/>
      </c>
      <c r="L25" s="67">
        <f>sum(L13:L23)</f>
        <v/>
      </c>
      <c r="M25" s="67">
        <f>sum(M13:M23)</f>
        <v/>
      </c>
      <c r="N25" s="67">
        <f>sum(N13:N23)</f>
        <v/>
      </c>
      <c r="O25" s="67">
        <f>sum(O13:O23)</f>
        <v/>
      </c>
      <c r="P25" s="67">
        <f>sum(P13:P23)</f>
        <v/>
      </c>
      <c r="Q25" s="67">
        <f>sum(Q13:Q23)</f>
        <v/>
      </c>
      <c r="R25" s="67">
        <f>sum(R13:R23)</f>
        <v/>
      </c>
      <c r="S25" s="67">
        <f>sum(S13:S23)</f>
        <v/>
      </c>
      <c r="T25" s="67">
        <f>sum(T13:T23)</f>
        <v/>
      </c>
      <c r="U25" s="67">
        <f>sum(U13:U23)</f>
        <v/>
      </c>
      <c r="V25" s="67">
        <f>sum(V13:V23)</f>
        <v/>
      </c>
      <c r="W25" s="67">
        <f>sum(W13:W23)</f>
        <v/>
      </c>
      <c r="X25" s="67">
        <f>sum(X13:X23)</f>
        <v/>
      </c>
      <c r="Y25" s="67">
        <f>sum(Y13:Y23)</f>
        <v/>
      </c>
      <c r="Z25" s="67">
        <f>sum(Z13:Z23)</f>
        <v/>
      </c>
      <c r="AA25" s="67">
        <f>sum(AA13:AA23)</f>
        <v/>
      </c>
      <c r="AB25" s="67">
        <f>sum(AB13:AB23)</f>
        <v/>
      </c>
      <c r="AC25" s="67">
        <f>sum(AC13:AC23)</f>
        <v/>
      </c>
      <c r="AD25" s="67">
        <f>sum(AD13:AD23)</f>
        <v/>
      </c>
      <c r="AE25" s="67">
        <f>sum(AE13:AE23)</f>
        <v/>
      </c>
      <c r="AF25" s="67">
        <f>sum(AF13:AF23)</f>
        <v/>
      </c>
      <c r="AG25" s="67">
        <f>sum(AG13:AG23)</f>
        <v/>
      </c>
      <c r="AH25" s="67">
        <f>sum(AH13:AH23)</f>
        <v/>
      </c>
      <c r="AI25" s="67">
        <f>sum(AI13:AI23)</f>
        <v/>
      </c>
      <c r="AJ25" s="67">
        <f>sum(AJ13:AJ23)</f>
        <v/>
      </c>
      <c r="AK25" s="67">
        <f>sum(AK13:AK23)</f>
        <v/>
      </c>
      <c r="AL25" s="67">
        <f>sum(AL13:AL23)</f>
        <v/>
      </c>
      <c r="AM25" s="67">
        <f>sum(AM13:AM23)</f>
        <v/>
      </c>
      <c r="AN25" s="67">
        <f>sum(AN13:AN23)</f>
        <v/>
      </c>
      <c r="AO25" s="67">
        <f>sum(AO13:AO23)</f>
        <v/>
      </c>
      <c r="AP25" s="67">
        <f>sum(AP13:AP23)</f>
        <v/>
      </c>
      <c r="AQ25" s="67">
        <f>sum(AQ13:AQ23)</f>
        <v/>
      </c>
      <c r="AR25" s="67">
        <f>sum(AR13:AR23)</f>
        <v/>
      </c>
      <c r="AS25" s="67">
        <f>sum(AS13:AS23)</f>
        <v/>
      </c>
      <c r="AT25" s="67">
        <f>sum(AT13:AT23)</f>
        <v/>
      </c>
      <c r="AU25" s="67">
        <f>sum(AU13:AU23)</f>
        <v/>
      </c>
      <c r="AV25" s="67">
        <f>sum(AV13:AV23)</f>
        <v/>
      </c>
      <c r="AW25" s="67">
        <f>sum(AW13:AW23)</f>
        <v/>
      </c>
      <c r="AX25" s="67">
        <f>sum(AX13:AX23)</f>
        <v/>
      </c>
      <c r="AY25" s="67">
        <f>sum(AY13:AY23)</f>
        <v/>
      </c>
      <c r="AZ25" s="67">
        <f>sum(AZ13:AZ23)</f>
        <v/>
      </c>
      <c r="BA25" s="67">
        <f>sum(BA13:BA23)</f>
        <v/>
      </c>
      <c r="BB25" s="67">
        <f>sum(BB13:BB23)</f>
        <v/>
      </c>
      <c r="BC25" s="67">
        <f>sum(BC13:BC23)</f>
        <v/>
      </c>
      <c r="BD25" s="67">
        <f>sum(BD13:BD23)</f>
        <v/>
      </c>
      <c r="BE25" s="67">
        <f>sum(BE13:BE23)</f>
        <v/>
      </c>
      <c r="BF25" s="67">
        <f>sum(BF13:BF23)</f>
        <v/>
      </c>
      <c r="BG25" s="67">
        <f>sum(BG13:BG23)</f>
        <v/>
      </c>
      <c r="BH25" s="67">
        <f>sum(BH13:BH23)</f>
        <v/>
      </c>
      <c r="BI25" s="67">
        <f>sum(BI13:BI23)</f>
        <v/>
      </c>
    </row>
    <row r="27">
      <c r="A27" s="64" t="inlineStr">
        <is>
          <t>Expenses</t>
        </is>
      </c>
    </row>
    <row r="29">
      <c r="A29" s="65" t="inlineStr">
        <is>
          <t>Accounting - CIPC</t>
        </is>
      </c>
      <c r="D29" s="66">
        <f>SUMIFS(Xero!$F:$F,Xero!$B:$B,Heron!D$9,Xero!$A:$A,Heron!$A$4,Xero!$E:$E,Heron!$A29)+SUMIFS(Xero!$F:$F,Xero!$B:$B,Heron!D$9,Xero!$A:$A,Heron!$A$5,Xero!$E:$E,Heron!$A29)</f>
        <v/>
      </c>
      <c r="E29" s="66">
        <f>SUMIFS(Xero!$F:$F,Xero!$B:$B,Heron!E$9,Xero!$A:$A,Heron!$A$4,Xero!$E:$E,Heron!$A29)+SUMIFS(Xero!$F:$F,Xero!$B:$B,Heron!E$9,Xero!$A:$A,Heron!$A$5,Xero!$E:$E,Heron!$A29)</f>
        <v/>
      </c>
      <c r="F29" s="66">
        <f>SUMIFS(Xero!$F:$F,Xero!$B:$B,Heron!F$9,Xero!$A:$A,Heron!$A$4,Xero!$E:$E,Heron!$A29)+SUMIFS(Xero!$F:$F,Xero!$B:$B,Heron!F$9,Xero!$A:$A,Heron!$A$5,Xero!$E:$E,Heron!$A29)</f>
        <v/>
      </c>
      <c r="G29" s="66">
        <f>SUMIFS(Xero!$F:$F,Xero!$B:$B,Heron!G$9,Xero!$A:$A,Heron!$A$4,Xero!$E:$E,Heron!$A29)+SUMIFS(Xero!$F:$F,Xero!$B:$B,Heron!G$9,Xero!$A:$A,Heron!$A$5,Xero!$E:$E,Heron!$A29)</f>
        <v/>
      </c>
      <c r="H29" s="66">
        <f>SUMIFS(Xero!$F:$F,Xero!$B:$B,Heron!H$9,Xero!$A:$A,Heron!$A$4,Xero!$E:$E,Heron!$A29)+SUMIFS(Xero!$F:$F,Xero!$B:$B,Heron!H$9,Xero!$A:$A,Heron!$A$5,Xero!$E:$E,Heron!$A29)</f>
        <v/>
      </c>
      <c r="I29" s="66">
        <f>SUMIFS(Xero!$F:$F,Xero!$B:$B,Heron!I$9,Xero!$A:$A,Heron!$A$4,Xero!$E:$E,Heron!$A29)+SUMIFS(Xero!$F:$F,Xero!$B:$B,Heron!I$9,Xero!$A:$A,Heron!$A$5,Xero!$E:$E,Heron!$A29)</f>
        <v/>
      </c>
      <c r="J29" s="66">
        <f>SUMIFS(Xero!$F:$F,Xero!$B:$B,Heron!J$9,Xero!$A:$A,Heron!$A$4,Xero!$E:$E,Heron!$A29)+SUMIFS(Xero!$F:$F,Xero!$B:$B,Heron!J$9,Xero!$A:$A,Heron!$A$5,Xero!$E:$E,Heron!$A29)</f>
        <v/>
      </c>
      <c r="K29" s="66">
        <f>SUMIFS(Xero!$F:$F,Xero!$B:$B,Heron!K$9,Xero!$A:$A,Heron!$A$4,Xero!$E:$E,Heron!$A29)+SUMIFS(Xero!$F:$F,Xero!$B:$B,Heron!K$9,Xero!$A:$A,Heron!$A$5,Xero!$E:$E,Heron!$A29)</f>
        <v/>
      </c>
      <c r="L29" s="66">
        <f>SUMIFS(Xero!$F:$F,Xero!$B:$B,Heron!L$9,Xero!$A:$A,Heron!$A$4,Xero!$E:$E,Heron!$A29)+SUMIFS(Xero!$F:$F,Xero!$B:$B,Heron!L$9,Xero!$A:$A,Heron!$A$5,Xero!$E:$E,Heron!$A29)</f>
        <v/>
      </c>
      <c r="M29" s="66">
        <f>SUMIFS(Xero!$F:$F,Xero!$B:$B,Heron!M$9,Xero!$A:$A,Heron!$A$4,Xero!$E:$E,Heron!$A29)+SUMIFS(Xero!$F:$F,Xero!$B:$B,Heron!M$9,Xero!$A:$A,Heron!$A$5,Xero!$E:$E,Heron!$A29)</f>
        <v/>
      </c>
      <c r="N29" s="66">
        <f>SUMIFS(Xero!$F:$F,Xero!$B:$B,Heron!N$9,Xero!$A:$A,Heron!$A$4,Xero!$E:$E,Heron!$A29)+SUMIFS(Xero!$F:$F,Xero!$B:$B,Heron!N$9,Xero!$A:$A,Heron!$A$5,Xero!$E:$E,Heron!$A29)</f>
        <v/>
      </c>
      <c r="O29" s="66">
        <f>SUMIFS(Xero!$F:$F,Xero!$B:$B,Heron!O$9,Xero!$A:$A,Heron!$A$4,Xero!$E:$E,Heron!$A29)+SUMIFS(Xero!$F:$F,Xero!$B:$B,Heron!O$9,Xero!$A:$A,Heron!$A$5,Xero!$E:$E,Heron!$A29)</f>
        <v/>
      </c>
      <c r="P29" s="66">
        <f>SUMIFS(Xero!$F:$F,Xero!$B:$B,Heron!P$9,Xero!$A:$A,Heron!$A$4,Xero!$E:$E,Heron!$A29)+SUMIFS(Xero!$F:$F,Xero!$B:$B,Heron!P$9,Xero!$A:$A,Heron!$A$5,Xero!$E:$E,Heron!$A29)</f>
        <v/>
      </c>
      <c r="Q29" s="66">
        <f>SUMIFS(Xero!$F:$F,Xero!$B:$B,Heron!Q$9,Xero!$A:$A,Heron!$A$4,Xero!$E:$E,Heron!$A29)+SUMIFS(Xero!$F:$F,Xero!$B:$B,Heron!Q$9,Xero!$A:$A,Heron!$A$5,Xero!$E:$E,Heron!$A29)</f>
        <v/>
      </c>
      <c r="R29" s="66">
        <f>SUMIFS(Xero!$F:$F,Xero!$B:$B,Heron!R$9,Xero!$A:$A,Heron!$A$4,Xero!$E:$E,Heron!$A29)+SUMIFS(Xero!$F:$F,Xero!$B:$B,Heron!R$9,Xero!$A:$A,Heron!$A$5,Xero!$E:$E,Heron!$A29)</f>
        <v/>
      </c>
      <c r="S29" s="66">
        <f>SUMIFS(Xero!$F:$F,Xero!$B:$B,Heron!S$9,Xero!$A:$A,Heron!$A$4,Xero!$E:$E,Heron!$A29)+SUMIFS(Xero!$F:$F,Xero!$B:$B,Heron!S$9,Xero!$A:$A,Heron!$A$5,Xero!$E:$E,Heron!$A29)</f>
        <v/>
      </c>
      <c r="T29" s="66">
        <f>SUMIFS(Xero!$F:$F,Xero!$B:$B,Heron!T$9,Xero!$A:$A,Heron!$A$4,Xero!$E:$E,Heron!$A29)+SUMIFS(Xero!$F:$F,Xero!$B:$B,Heron!T$9,Xero!$A:$A,Heron!$A$5,Xero!$E:$E,Heron!$A29)</f>
        <v/>
      </c>
      <c r="U29" s="66">
        <f>SUMIFS(Xero!$F:$F,Xero!$B:$B,Heron!U$9,Xero!$A:$A,Heron!$A$4,Xero!$E:$E,Heron!$A29)+SUMIFS(Xero!$F:$F,Xero!$B:$B,Heron!U$9,Xero!$A:$A,Heron!$A$5,Xero!$E:$E,Heron!$A29)</f>
        <v/>
      </c>
      <c r="V29" s="66">
        <f>SUMIFS(Xero!$F:$F,Xero!$B:$B,Heron!V$9,Xero!$A:$A,Heron!$A$4,Xero!$E:$E,Heron!$A29)+SUMIFS(Xero!$F:$F,Xero!$B:$B,Heron!V$9,Xero!$A:$A,Heron!$A$5,Xero!$E:$E,Heron!$A29)</f>
        <v/>
      </c>
      <c r="W29" s="66">
        <f>SUMIFS(Xero!$F:$F,Xero!$B:$B,Heron!W$9,Xero!$A:$A,Heron!$A$4,Xero!$E:$E,Heron!$A29)+SUMIFS(Xero!$F:$F,Xero!$B:$B,Heron!W$9,Xero!$A:$A,Heron!$A$5,Xero!$E:$E,Heron!$A29)</f>
        <v/>
      </c>
      <c r="X29" s="66">
        <f>SUMIFS(Xero!$F:$F,Xero!$B:$B,Heron!X$9,Xero!$A:$A,Heron!$A$4,Xero!$E:$E,Heron!$A29)+SUMIFS(Xero!$F:$F,Xero!$B:$B,Heron!X$9,Xero!$A:$A,Heron!$A$5,Xero!$E:$E,Heron!$A29)</f>
        <v/>
      </c>
      <c r="Y29" s="66">
        <f>SUMIFS(Xero!$F:$F,Xero!$B:$B,Heron!Y$9,Xero!$A:$A,Heron!$A$4,Xero!$E:$E,Heron!$A29)+SUMIFS(Xero!$F:$F,Xero!$B:$B,Heron!Y$9,Xero!$A:$A,Heron!$A$5,Xero!$E:$E,Heron!$A29)</f>
        <v/>
      </c>
      <c r="Z29" s="66">
        <f>SUMIFS(Xero!$F:$F,Xero!$B:$B,Heron!Z$9,Xero!$A:$A,Heron!$A$4,Xero!$E:$E,Heron!$A29)+SUMIFS(Xero!$F:$F,Xero!$B:$B,Heron!Z$9,Xero!$A:$A,Heron!$A$5,Xero!$E:$E,Heron!$A29)</f>
        <v/>
      </c>
      <c r="AA29" s="66">
        <f>SUMIFS(Xero!$F:$F,Xero!$B:$B,Heron!AA$9,Xero!$A:$A,Heron!$A$4,Xero!$E:$E,Heron!$A29)+SUMIFS(Xero!$F:$F,Xero!$B:$B,Heron!AA$9,Xero!$A:$A,Heron!$A$5,Xero!$E:$E,Heron!$A29)</f>
        <v/>
      </c>
      <c r="AB29" s="66">
        <f>SUMIFS(Xero!$F:$F,Xero!$B:$B,Heron!AB$9,Xero!$A:$A,Heron!$A$4,Xero!$E:$E,Heron!$A29)+SUMIFS(Xero!$F:$F,Xero!$B:$B,Heron!AB$9,Xero!$A:$A,Heron!$A$5,Xero!$E:$E,Heron!$A29)</f>
        <v/>
      </c>
      <c r="AC29" s="66">
        <f>SUMIFS(Xero!$F:$F,Xero!$B:$B,Heron!AC$9,Xero!$A:$A,Heron!$A$4,Xero!$E:$E,Heron!$A29)+SUMIFS(Xero!$F:$F,Xero!$B:$B,Heron!AC$9,Xero!$A:$A,Heron!$A$5,Xero!$E:$E,Heron!$A29)</f>
        <v/>
      </c>
      <c r="AD29" s="66">
        <f>SUMIFS(Xero!$F:$F,Xero!$B:$B,Heron!AD$9,Xero!$A:$A,Heron!$A$4,Xero!$E:$E,Heron!$A29)+SUMIFS(Xero!$F:$F,Xero!$B:$B,Heron!AD$9,Xero!$A:$A,Heron!$A$5,Xero!$E:$E,Heron!$A29)</f>
        <v/>
      </c>
      <c r="AE29" s="66">
        <f>SUMIFS(Xero!$F:$F,Xero!$B:$B,Heron!AE$9,Xero!$A:$A,Heron!$A$4,Xero!$E:$E,Heron!$A29)+SUMIFS(Xero!$F:$F,Xero!$B:$B,Heron!AE$9,Xero!$A:$A,Heron!$A$5,Xero!$E:$E,Heron!$A29)</f>
        <v/>
      </c>
      <c r="AF29" s="66">
        <f>SUMIFS(Xero!$F:$F,Xero!$B:$B,Heron!AF$9,Xero!$A:$A,Heron!$A$4,Xero!$E:$E,Heron!$A29)+SUMIFS(Xero!$F:$F,Xero!$B:$B,Heron!AF$9,Xero!$A:$A,Heron!$A$5,Xero!$E:$E,Heron!$A29)</f>
        <v/>
      </c>
      <c r="AG29" s="66">
        <f>SUMIFS(Xero!$F:$F,Xero!$B:$B,Heron!AG$9,Xero!$A:$A,Heron!$A$4,Xero!$E:$E,Heron!$A29)+SUMIFS(Xero!$F:$F,Xero!$B:$B,Heron!AG$9,Xero!$A:$A,Heron!$A$5,Xero!$E:$E,Heron!$A29)</f>
        <v/>
      </c>
      <c r="AH29" s="66">
        <f>SUMIFS(Xero!$F:$F,Xero!$B:$B,Heron!AH$9,Xero!$A:$A,Heron!$A$4,Xero!$E:$E,Heron!$A29)+SUMIFS(Xero!$F:$F,Xero!$B:$B,Heron!AH$9,Xero!$A:$A,Heron!$A$5,Xero!$E:$E,Heron!$A29)</f>
        <v/>
      </c>
      <c r="AI29" s="66">
        <f>SUMIFS(Xero!$F:$F,Xero!$B:$B,Heron!AI$9,Xero!$A:$A,Heron!$A$4,Xero!$E:$E,Heron!$A29)+SUMIFS(Xero!$F:$F,Xero!$B:$B,Heron!AI$9,Xero!$A:$A,Heron!$A$5,Xero!$E:$E,Heron!$A29)</f>
        <v/>
      </c>
      <c r="AJ29" s="66">
        <f>SUMIFS(Xero!$F:$F,Xero!$B:$B,Heron!AJ$9,Xero!$A:$A,Heron!$A$4,Xero!$E:$E,Heron!$A29)+SUMIFS(Xero!$F:$F,Xero!$B:$B,Heron!AJ$9,Xero!$A:$A,Heron!$A$5,Xero!$E:$E,Heron!$A29)</f>
        <v/>
      </c>
      <c r="AK29" s="66">
        <f>SUMIFS(Xero!$F:$F,Xero!$B:$B,Heron!AK$9,Xero!$A:$A,Heron!$A$4,Xero!$E:$E,Heron!$A29)+SUMIFS(Xero!$F:$F,Xero!$B:$B,Heron!AK$9,Xero!$A:$A,Heron!$A$5,Xero!$E:$E,Heron!$A29)</f>
        <v/>
      </c>
      <c r="AL29" s="66">
        <f>SUMIFS(Xero!$F:$F,Xero!$B:$B,Heron!AL$9,Xero!$A:$A,Heron!$A$4,Xero!$E:$E,Heron!$A29)+SUMIFS(Xero!$F:$F,Xero!$B:$B,Heron!AL$9,Xero!$A:$A,Heron!$A$5,Xero!$E:$E,Heron!$A29)</f>
        <v/>
      </c>
      <c r="AM29" s="66">
        <f>SUMIFS(Xero!$F:$F,Xero!$B:$B,Heron!AM$9,Xero!$A:$A,Heron!$A$4,Xero!$E:$E,Heron!$A29)+SUMIFS(Xero!$F:$F,Xero!$B:$B,Heron!AM$9,Xero!$A:$A,Heron!$A$5,Xero!$E:$E,Heron!$A29)</f>
        <v/>
      </c>
      <c r="AN29" s="66">
        <f>SUMIFS(Xero!$F:$F,Xero!$B:$B,Heron!AN$9,Xero!$A:$A,Heron!$A$4,Xero!$E:$E,Heron!$A29)+SUMIFS(Xero!$F:$F,Xero!$B:$B,Heron!AN$9,Xero!$A:$A,Heron!$A$5,Xero!$E:$E,Heron!$A29)</f>
        <v/>
      </c>
      <c r="AO29" s="66">
        <f>SUMIFS(Xero!$F:$F,Xero!$B:$B,Heron!AO$9,Xero!$A:$A,Heron!$A$4,Xero!$E:$E,Heron!$A29)+SUMIFS(Xero!$F:$F,Xero!$B:$B,Heron!AO$9,Xero!$A:$A,Heron!$A$5,Xero!$E:$E,Heron!$A29)</f>
        <v/>
      </c>
      <c r="AP29" s="66">
        <f>SUMIFS(Xero!$F:$F,Xero!$B:$B,Heron!AP$9,Xero!$A:$A,Heron!$A$4,Xero!$E:$E,Heron!$A29)+SUMIFS(Xero!$F:$F,Xero!$B:$B,Heron!AP$9,Xero!$A:$A,Heron!$A$5,Xero!$E:$E,Heron!$A29)</f>
        <v/>
      </c>
      <c r="AQ29" s="66">
        <f>SUMIFS(Xero!$F:$F,Xero!$B:$B,Heron!AQ$9,Xero!$A:$A,Heron!$A$4,Xero!$E:$E,Heron!$A29)+SUMIFS(Xero!$F:$F,Xero!$B:$B,Heron!AQ$9,Xero!$A:$A,Heron!$A$5,Xero!$E:$E,Heron!$A29)</f>
        <v/>
      </c>
      <c r="AR29" s="66">
        <f>SUMIFS(Xero!$F:$F,Xero!$B:$B,Heron!AR$9,Xero!$A:$A,Heron!$A$4,Xero!$E:$E,Heron!$A29)+SUMIFS(Xero!$F:$F,Xero!$B:$B,Heron!AR$9,Xero!$A:$A,Heron!$A$5,Xero!$E:$E,Heron!$A29)</f>
        <v/>
      </c>
      <c r="AS29" s="66">
        <f>SUMIFS(Xero!$F:$F,Xero!$B:$B,Heron!AS$9,Xero!$A:$A,Heron!$A$4,Xero!$E:$E,Heron!$A29)+SUMIFS(Xero!$F:$F,Xero!$B:$B,Heron!AS$9,Xero!$A:$A,Heron!$A$5,Xero!$E:$E,Heron!$A29)</f>
        <v/>
      </c>
      <c r="AT29" s="66">
        <f>SUMIFS(Xero!$F:$F,Xero!$B:$B,Heron!AT$9,Xero!$A:$A,Heron!$A$4,Xero!$E:$E,Heron!$A29)+SUMIFS(Xero!$F:$F,Xero!$B:$B,Heron!AT$9,Xero!$A:$A,Heron!$A$5,Xero!$E:$E,Heron!$A29)</f>
        <v/>
      </c>
      <c r="AU29" s="66">
        <f>SUMIFS(Xero!$F:$F,Xero!$B:$B,Heron!AU$9,Xero!$A:$A,Heron!$A$4,Xero!$E:$E,Heron!$A29)+SUMIFS(Xero!$F:$F,Xero!$B:$B,Heron!AU$9,Xero!$A:$A,Heron!$A$5,Xero!$E:$E,Heron!$A29)</f>
        <v/>
      </c>
      <c r="AV29" s="66">
        <f>SUMIFS(Xero!$F:$F,Xero!$B:$B,Heron!AV$9,Xero!$A:$A,Heron!$A$4,Xero!$E:$E,Heron!$A29)+SUMIFS(Xero!$F:$F,Xero!$B:$B,Heron!AV$9,Xero!$A:$A,Heron!$A$5,Xero!$E:$E,Heron!$A29)</f>
        <v/>
      </c>
      <c r="AW29" s="66">
        <f>SUMIFS(Xero!$F:$F,Xero!$B:$B,Heron!AW$9,Xero!$A:$A,Heron!$A$4,Xero!$E:$E,Heron!$A29)+SUMIFS(Xero!$F:$F,Xero!$B:$B,Heron!AW$9,Xero!$A:$A,Heron!$A$5,Xero!$E:$E,Heron!$A29)</f>
        <v/>
      </c>
      <c r="AX29" s="66">
        <f>SUMIFS(Xero!$F:$F,Xero!$B:$B,Heron!AX$9,Xero!$A:$A,Heron!$A$4,Xero!$E:$E,Heron!$A29)+SUMIFS(Xero!$F:$F,Xero!$B:$B,Heron!AX$9,Xero!$A:$A,Heron!$A$5,Xero!$E:$E,Heron!$A29)</f>
        <v/>
      </c>
      <c r="AY29" s="66">
        <f>SUMIFS(Xero!$F:$F,Xero!$B:$B,Heron!AY$9,Xero!$A:$A,Heron!$A$4,Xero!$E:$E,Heron!$A29)+SUMIFS(Xero!$F:$F,Xero!$B:$B,Heron!AY$9,Xero!$A:$A,Heron!$A$5,Xero!$E:$E,Heron!$A29)</f>
        <v/>
      </c>
      <c r="AZ29" s="66">
        <f>SUMIFS(Xero!$F:$F,Xero!$B:$B,Heron!AZ$9,Xero!$A:$A,Heron!$A$4,Xero!$E:$E,Heron!$A29)+SUMIFS(Xero!$F:$F,Xero!$B:$B,Heron!AZ$9,Xero!$A:$A,Heron!$A$5,Xero!$E:$E,Heron!$A29)</f>
        <v/>
      </c>
      <c r="BA29" s="66">
        <f>SUMIFS(Xero!$F:$F,Xero!$B:$B,Heron!BA$9,Xero!$A:$A,Heron!$A$4,Xero!$E:$E,Heron!$A29)+SUMIFS(Xero!$F:$F,Xero!$B:$B,Heron!BA$9,Xero!$A:$A,Heron!$A$5,Xero!$E:$E,Heron!$A29)</f>
        <v/>
      </c>
      <c r="BB29" s="66">
        <f>SUMIFS(Xero!$F:$F,Xero!$B:$B,Heron!BB$9,Xero!$A:$A,Heron!$A$4,Xero!$E:$E,Heron!$A29)+SUMIFS(Xero!$F:$F,Xero!$B:$B,Heron!BB$9,Xero!$A:$A,Heron!$A$5,Xero!$E:$E,Heron!$A29)</f>
        <v/>
      </c>
      <c r="BC29" s="66">
        <f>SUMIFS(Xero!$F:$F,Xero!$B:$B,Heron!BC$9,Xero!$A:$A,Heron!$A$4,Xero!$E:$E,Heron!$A29)+SUMIFS(Xero!$F:$F,Xero!$B:$B,Heron!BC$9,Xero!$A:$A,Heron!$A$5,Xero!$E:$E,Heron!$A29)</f>
        <v/>
      </c>
      <c r="BD29" s="66">
        <f>SUMIFS(Xero!$F:$F,Xero!$B:$B,Heron!BD$9,Xero!$A:$A,Heron!$A$4,Xero!$E:$E,Heron!$A29)+SUMIFS(Xero!$F:$F,Xero!$B:$B,Heron!BD$9,Xero!$A:$A,Heron!$A$5,Xero!$E:$E,Heron!$A29)</f>
        <v/>
      </c>
      <c r="BE29" s="66">
        <f>SUMIFS(Xero!$F:$F,Xero!$B:$B,Heron!BE$9,Xero!$A:$A,Heron!$A$4,Xero!$E:$E,Heron!$A29)+SUMIFS(Xero!$F:$F,Xero!$B:$B,Heron!BE$9,Xero!$A:$A,Heron!$A$5,Xero!$E:$E,Heron!$A29)</f>
        <v/>
      </c>
      <c r="BF29" s="66">
        <f>SUMIFS(Xero!$F:$F,Xero!$B:$B,Heron!BF$9,Xero!$A:$A,Heron!$A$4,Xero!$E:$E,Heron!$A29)+SUMIFS(Xero!$F:$F,Xero!$B:$B,Heron!BF$9,Xero!$A:$A,Heron!$A$5,Xero!$E:$E,Heron!$A29)</f>
        <v/>
      </c>
      <c r="BG29" s="66">
        <f>SUMIFS(Xero!$F:$F,Xero!$B:$B,Heron!BG$9,Xero!$A:$A,Heron!$A$4,Xero!$E:$E,Heron!$A29)+SUMIFS(Xero!$F:$F,Xero!$B:$B,Heron!BG$9,Xero!$A:$A,Heron!$A$5,Xero!$E:$E,Heron!$A29)</f>
        <v/>
      </c>
      <c r="BH29" s="66">
        <f>sum(D29:BG29)</f>
        <v/>
      </c>
    </row>
    <row r="30">
      <c r="A30" s="65" t="inlineStr">
        <is>
          <t>Accounting Fees</t>
        </is>
      </c>
      <c r="D30" s="66">
        <f>SUMIFS(Xero!$F:$F,Xero!$B:$B,Heron!D$9,Xero!$A:$A,Heron!$A$4,Xero!$E:$E,Heron!$A30)+SUMIFS(Xero!$F:$F,Xero!$B:$B,Heron!D$9,Xero!$A:$A,Heron!$A$5,Xero!$E:$E,Heron!$A30)</f>
        <v/>
      </c>
      <c r="E30" s="66">
        <f>SUMIFS(Xero!$F:$F,Xero!$B:$B,Heron!E$9,Xero!$A:$A,Heron!$A$4,Xero!$E:$E,Heron!$A30)+SUMIFS(Xero!$F:$F,Xero!$B:$B,Heron!E$9,Xero!$A:$A,Heron!$A$5,Xero!$E:$E,Heron!$A30)</f>
        <v/>
      </c>
      <c r="F30" s="66">
        <f>SUMIFS(Xero!$F:$F,Xero!$B:$B,Heron!F$9,Xero!$A:$A,Heron!$A$4,Xero!$E:$E,Heron!$A30)+SUMIFS(Xero!$F:$F,Xero!$B:$B,Heron!F$9,Xero!$A:$A,Heron!$A$5,Xero!$E:$E,Heron!$A30)</f>
        <v/>
      </c>
      <c r="G30" s="66">
        <f>SUMIFS(Xero!$F:$F,Xero!$B:$B,Heron!G$9,Xero!$A:$A,Heron!$A$4,Xero!$E:$E,Heron!$A30)+SUMIFS(Xero!$F:$F,Xero!$B:$B,Heron!G$9,Xero!$A:$A,Heron!$A$5,Xero!$E:$E,Heron!$A30)</f>
        <v/>
      </c>
      <c r="H30" s="66">
        <f>SUMIFS(Xero!$F:$F,Xero!$B:$B,Heron!H$9,Xero!$A:$A,Heron!$A$4,Xero!$E:$E,Heron!$A30)+SUMIFS(Xero!$F:$F,Xero!$B:$B,Heron!H$9,Xero!$A:$A,Heron!$A$5,Xero!$E:$E,Heron!$A30)</f>
        <v/>
      </c>
      <c r="I30" s="66">
        <f>SUMIFS(Xero!$F:$F,Xero!$B:$B,Heron!I$9,Xero!$A:$A,Heron!$A$4,Xero!$E:$E,Heron!$A30)+SUMIFS(Xero!$F:$F,Xero!$B:$B,Heron!I$9,Xero!$A:$A,Heron!$A$5,Xero!$E:$E,Heron!$A30)</f>
        <v/>
      </c>
      <c r="J30" s="66">
        <f>SUMIFS(Xero!$F:$F,Xero!$B:$B,Heron!J$9,Xero!$A:$A,Heron!$A$4,Xero!$E:$E,Heron!$A30)+SUMIFS(Xero!$F:$F,Xero!$B:$B,Heron!J$9,Xero!$A:$A,Heron!$A$5,Xero!$E:$E,Heron!$A30)</f>
        <v/>
      </c>
      <c r="K30" s="66">
        <f>SUMIFS(Xero!$F:$F,Xero!$B:$B,Heron!K$9,Xero!$A:$A,Heron!$A$4,Xero!$E:$E,Heron!$A30)+SUMIFS(Xero!$F:$F,Xero!$B:$B,Heron!K$9,Xero!$A:$A,Heron!$A$5,Xero!$E:$E,Heron!$A30)</f>
        <v/>
      </c>
      <c r="L30" s="66">
        <f>SUMIFS(Xero!$F:$F,Xero!$B:$B,Heron!L$9,Xero!$A:$A,Heron!$A$4,Xero!$E:$E,Heron!$A30)+SUMIFS(Xero!$F:$F,Xero!$B:$B,Heron!L$9,Xero!$A:$A,Heron!$A$5,Xero!$E:$E,Heron!$A30)</f>
        <v/>
      </c>
      <c r="M30" s="66">
        <f>SUMIFS(Xero!$F:$F,Xero!$B:$B,Heron!M$9,Xero!$A:$A,Heron!$A$4,Xero!$E:$E,Heron!$A30)+SUMIFS(Xero!$F:$F,Xero!$B:$B,Heron!M$9,Xero!$A:$A,Heron!$A$5,Xero!$E:$E,Heron!$A30)</f>
        <v/>
      </c>
      <c r="N30" s="66">
        <f>SUMIFS(Xero!$F:$F,Xero!$B:$B,Heron!N$9,Xero!$A:$A,Heron!$A$4,Xero!$E:$E,Heron!$A30)+SUMIFS(Xero!$F:$F,Xero!$B:$B,Heron!N$9,Xero!$A:$A,Heron!$A$5,Xero!$E:$E,Heron!$A30)</f>
        <v/>
      </c>
      <c r="O30" s="66">
        <f>SUMIFS(Xero!$F:$F,Xero!$B:$B,Heron!O$9,Xero!$A:$A,Heron!$A$4,Xero!$E:$E,Heron!$A30)+SUMIFS(Xero!$F:$F,Xero!$B:$B,Heron!O$9,Xero!$A:$A,Heron!$A$5,Xero!$E:$E,Heron!$A30)</f>
        <v/>
      </c>
      <c r="P30" s="66">
        <f>SUMIFS(Xero!$F:$F,Xero!$B:$B,Heron!P$9,Xero!$A:$A,Heron!$A$4,Xero!$E:$E,Heron!$A30)+SUMIFS(Xero!$F:$F,Xero!$B:$B,Heron!P$9,Xero!$A:$A,Heron!$A$5,Xero!$E:$E,Heron!$A30)</f>
        <v/>
      </c>
      <c r="Q30" s="66">
        <f>SUMIFS(Xero!$F:$F,Xero!$B:$B,Heron!Q$9,Xero!$A:$A,Heron!$A$4,Xero!$E:$E,Heron!$A30)+SUMIFS(Xero!$F:$F,Xero!$B:$B,Heron!Q$9,Xero!$A:$A,Heron!$A$5,Xero!$E:$E,Heron!$A30)</f>
        <v/>
      </c>
      <c r="R30" s="66">
        <f>SUMIFS(Xero!$F:$F,Xero!$B:$B,Heron!R$9,Xero!$A:$A,Heron!$A$4,Xero!$E:$E,Heron!$A30)+SUMIFS(Xero!$F:$F,Xero!$B:$B,Heron!R$9,Xero!$A:$A,Heron!$A$5,Xero!$E:$E,Heron!$A30)</f>
        <v/>
      </c>
      <c r="S30" s="66">
        <f>SUMIFS(Xero!$F:$F,Xero!$B:$B,Heron!S$9,Xero!$A:$A,Heron!$A$4,Xero!$E:$E,Heron!$A30)+SUMIFS(Xero!$F:$F,Xero!$B:$B,Heron!S$9,Xero!$A:$A,Heron!$A$5,Xero!$E:$E,Heron!$A30)</f>
        <v/>
      </c>
      <c r="T30" s="66">
        <f>SUMIFS(Xero!$F:$F,Xero!$B:$B,Heron!T$9,Xero!$A:$A,Heron!$A$4,Xero!$E:$E,Heron!$A30)+SUMIFS(Xero!$F:$F,Xero!$B:$B,Heron!T$9,Xero!$A:$A,Heron!$A$5,Xero!$E:$E,Heron!$A30)</f>
        <v/>
      </c>
      <c r="U30" s="66">
        <f>SUMIFS(Xero!$F:$F,Xero!$B:$B,Heron!U$9,Xero!$A:$A,Heron!$A$4,Xero!$E:$E,Heron!$A30)+SUMIFS(Xero!$F:$F,Xero!$B:$B,Heron!U$9,Xero!$A:$A,Heron!$A$5,Xero!$E:$E,Heron!$A30)</f>
        <v/>
      </c>
      <c r="V30" s="66">
        <f>SUMIFS(Xero!$F:$F,Xero!$B:$B,Heron!V$9,Xero!$A:$A,Heron!$A$4,Xero!$E:$E,Heron!$A30)+SUMIFS(Xero!$F:$F,Xero!$B:$B,Heron!V$9,Xero!$A:$A,Heron!$A$5,Xero!$E:$E,Heron!$A30)</f>
        <v/>
      </c>
      <c r="W30" s="66">
        <f>SUMIFS(Xero!$F:$F,Xero!$B:$B,Heron!W$9,Xero!$A:$A,Heron!$A$4,Xero!$E:$E,Heron!$A30)+SUMIFS(Xero!$F:$F,Xero!$B:$B,Heron!W$9,Xero!$A:$A,Heron!$A$5,Xero!$E:$E,Heron!$A30)</f>
        <v/>
      </c>
      <c r="X30" s="66">
        <f>SUMIFS(Xero!$F:$F,Xero!$B:$B,Heron!X$9,Xero!$A:$A,Heron!$A$4,Xero!$E:$E,Heron!$A30)+SUMIFS(Xero!$F:$F,Xero!$B:$B,Heron!X$9,Xero!$A:$A,Heron!$A$5,Xero!$E:$E,Heron!$A30)</f>
        <v/>
      </c>
      <c r="Y30" s="66">
        <f>SUMIFS(Xero!$F:$F,Xero!$B:$B,Heron!Y$9,Xero!$A:$A,Heron!$A$4,Xero!$E:$E,Heron!$A30)+SUMIFS(Xero!$F:$F,Xero!$B:$B,Heron!Y$9,Xero!$A:$A,Heron!$A$5,Xero!$E:$E,Heron!$A30)</f>
        <v/>
      </c>
      <c r="Z30" s="66">
        <f>SUMIFS(Xero!$F:$F,Xero!$B:$B,Heron!Z$9,Xero!$A:$A,Heron!$A$4,Xero!$E:$E,Heron!$A30)+SUMIFS(Xero!$F:$F,Xero!$B:$B,Heron!Z$9,Xero!$A:$A,Heron!$A$5,Xero!$E:$E,Heron!$A30)</f>
        <v/>
      </c>
      <c r="AA30" s="66">
        <f>SUMIFS(Xero!$F:$F,Xero!$B:$B,Heron!AA$9,Xero!$A:$A,Heron!$A$4,Xero!$E:$E,Heron!$A30)+SUMIFS(Xero!$F:$F,Xero!$B:$B,Heron!AA$9,Xero!$A:$A,Heron!$A$5,Xero!$E:$E,Heron!$A30)</f>
        <v/>
      </c>
      <c r="AB30" s="66">
        <f>SUMIFS(Xero!$F:$F,Xero!$B:$B,Heron!AB$9,Xero!$A:$A,Heron!$A$4,Xero!$E:$E,Heron!$A30)+SUMIFS(Xero!$F:$F,Xero!$B:$B,Heron!AB$9,Xero!$A:$A,Heron!$A$5,Xero!$E:$E,Heron!$A30)</f>
        <v/>
      </c>
      <c r="AC30" s="66">
        <f>SUMIFS(Xero!$F:$F,Xero!$B:$B,Heron!AC$9,Xero!$A:$A,Heron!$A$4,Xero!$E:$E,Heron!$A30)+SUMIFS(Xero!$F:$F,Xero!$B:$B,Heron!AC$9,Xero!$A:$A,Heron!$A$5,Xero!$E:$E,Heron!$A30)</f>
        <v/>
      </c>
      <c r="AD30" s="66">
        <f>SUMIFS(Xero!$F:$F,Xero!$B:$B,Heron!AD$9,Xero!$A:$A,Heron!$A$4,Xero!$E:$E,Heron!$A30)+SUMIFS(Xero!$F:$F,Xero!$B:$B,Heron!AD$9,Xero!$A:$A,Heron!$A$5,Xero!$E:$E,Heron!$A30)</f>
        <v/>
      </c>
      <c r="AE30" s="66">
        <f>SUMIFS(Xero!$F:$F,Xero!$B:$B,Heron!AE$9,Xero!$A:$A,Heron!$A$4,Xero!$E:$E,Heron!$A30)+SUMIFS(Xero!$F:$F,Xero!$B:$B,Heron!AE$9,Xero!$A:$A,Heron!$A$5,Xero!$E:$E,Heron!$A30)</f>
        <v/>
      </c>
      <c r="AF30" s="66">
        <f>SUMIFS(Xero!$F:$F,Xero!$B:$B,Heron!AF$9,Xero!$A:$A,Heron!$A$4,Xero!$E:$E,Heron!$A30)+SUMIFS(Xero!$F:$F,Xero!$B:$B,Heron!AF$9,Xero!$A:$A,Heron!$A$5,Xero!$E:$E,Heron!$A30)</f>
        <v/>
      </c>
      <c r="AG30" s="66">
        <f>SUMIFS(Xero!$F:$F,Xero!$B:$B,Heron!AG$9,Xero!$A:$A,Heron!$A$4,Xero!$E:$E,Heron!$A30)+SUMIFS(Xero!$F:$F,Xero!$B:$B,Heron!AG$9,Xero!$A:$A,Heron!$A$5,Xero!$E:$E,Heron!$A30)</f>
        <v/>
      </c>
      <c r="AH30" s="66">
        <f>SUMIFS(Xero!$F:$F,Xero!$B:$B,Heron!AH$9,Xero!$A:$A,Heron!$A$4,Xero!$E:$E,Heron!$A30)+SUMIFS(Xero!$F:$F,Xero!$B:$B,Heron!AH$9,Xero!$A:$A,Heron!$A$5,Xero!$E:$E,Heron!$A30)</f>
        <v/>
      </c>
      <c r="AI30" s="66">
        <f>SUMIFS(Xero!$F:$F,Xero!$B:$B,Heron!AI$9,Xero!$A:$A,Heron!$A$4,Xero!$E:$E,Heron!$A30)+SUMIFS(Xero!$F:$F,Xero!$B:$B,Heron!AI$9,Xero!$A:$A,Heron!$A$5,Xero!$E:$E,Heron!$A30)</f>
        <v/>
      </c>
      <c r="AJ30" s="66">
        <f>SUMIFS(Xero!$F:$F,Xero!$B:$B,Heron!AJ$9,Xero!$A:$A,Heron!$A$4,Xero!$E:$E,Heron!$A30)+SUMIFS(Xero!$F:$F,Xero!$B:$B,Heron!AJ$9,Xero!$A:$A,Heron!$A$5,Xero!$E:$E,Heron!$A30)</f>
        <v/>
      </c>
      <c r="AK30" s="66">
        <f>SUMIFS(Xero!$F:$F,Xero!$B:$B,Heron!AK$9,Xero!$A:$A,Heron!$A$4,Xero!$E:$E,Heron!$A30)+SUMIFS(Xero!$F:$F,Xero!$B:$B,Heron!AK$9,Xero!$A:$A,Heron!$A$5,Xero!$E:$E,Heron!$A30)</f>
        <v/>
      </c>
      <c r="AL30" s="66">
        <f>SUMIFS(Xero!$F:$F,Xero!$B:$B,Heron!AL$9,Xero!$A:$A,Heron!$A$4,Xero!$E:$E,Heron!$A30)+SUMIFS(Xero!$F:$F,Xero!$B:$B,Heron!AL$9,Xero!$A:$A,Heron!$A$5,Xero!$E:$E,Heron!$A30)</f>
        <v/>
      </c>
      <c r="AM30" s="66">
        <f>SUMIFS(Xero!$F:$F,Xero!$B:$B,Heron!AM$9,Xero!$A:$A,Heron!$A$4,Xero!$E:$E,Heron!$A30)+SUMIFS(Xero!$F:$F,Xero!$B:$B,Heron!AM$9,Xero!$A:$A,Heron!$A$5,Xero!$E:$E,Heron!$A30)</f>
        <v/>
      </c>
      <c r="AN30" s="66">
        <f>SUMIFS(Xero!$F:$F,Xero!$B:$B,Heron!AN$9,Xero!$A:$A,Heron!$A$4,Xero!$E:$E,Heron!$A30)+SUMIFS(Xero!$F:$F,Xero!$B:$B,Heron!AN$9,Xero!$A:$A,Heron!$A$5,Xero!$E:$E,Heron!$A30)</f>
        <v/>
      </c>
      <c r="AO30" s="66">
        <f>SUMIFS(Xero!$F:$F,Xero!$B:$B,Heron!AO$9,Xero!$A:$A,Heron!$A$4,Xero!$E:$E,Heron!$A30)+SUMIFS(Xero!$F:$F,Xero!$B:$B,Heron!AO$9,Xero!$A:$A,Heron!$A$5,Xero!$E:$E,Heron!$A30)</f>
        <v/>
      </c>
      <c r="AP30" s="66">
        <f>SUMIFS(Xero!$F:$F,Xero!$B:$B,Heron!AP$9,Xero!$A:$A,Heron!$A$4,Xero!$E:$E,Heron!$A30)+SUMIFS(Xero!$F:$F,Xero!$B:$B,Heron!AP$9,Xero!$A:$A,Heron!$A$5,Xero!$E:$E,Heron!$A30)</f>
        <v/>
      </c>
      <c r="AQ30" s="66">
        <f>SUMIFS(Xero!$F:$F,Xero!$B:$B,Heron!AQ$9,Xero!$A:$A,Heron!$A$4,Xero!$E:$E,Heron!$A30)+SUMIFS(Xero!$F:$F,Xero!$B:$B,Heron!AQ$9,Xero!$A:$A,Heron!$A$5,Xero!$E:$E,Heron!$A30)</f>
        <v/>
      </c>
      <c r="AR30" s="66">
        <f>SUMIFS(Xero!$F:$F,Xero!$B:$B,Heron!AR$9,Xero!$A:$A,Heron!$A$4,Xero!$E:$E,Heron!$A30)+SUMIFS(Xero!$F:$F,Xero!$B:$B,Heron!AR$9,Xero!$A:$A,Heron!$A$5,Xero!$E:$E,Heron!$A30)</f>
        <v/>
      </c>
      <c r="AS30" s="66">
        <f>SUMIFS(Xero!$F:$F,Xero!$B:$B,Heron!AS$9,Xero!$A:$A,Heron!$A$4,Xero!$E:$E,Heron!$A30)+SUMIFS(Xero!$F:$F,Xero!$B:$B,Heron!AS$9,Xero!$A:$A,Heron!$A$5,Xero!$E:$E,Heron!$A30)</f>
        <v/>
      </c>
      <c r="AT30" s="66">
        <f>SUMIFS(Xero!$F:$F,Xero!$B:$B,Heron!AT$9,Xero!$A:$A,Heron!$A$4,Xero!$E:$E,Heron!$A30)+SUMIFS(Xero!$F:$F,Xero!$B:$B,Heron!AT$9,Xero!$A:$A,Heron!$A$5,Xero!$E:$E,Heron!$A30)</f>
        <v/>
      </c>
      <c r="AU30" s="66">
        <f>SUMIFS(Xero!$F:$F,Xero!$B:$B,Heron!AU$9,Xero!$A:$A,Heron!$A$4,Xero!$E:$E,Heron!$A30)+SUMIFS(Xero!$F:$F,Xero!$B:$B,Heron!AU$9,Xero!$A:$A,Heron!$A$5,Xero!$E:$E,Heron!$A30)</f>
        <v/>
      </c>
      <c r="AV30" s="66">
        <f>SUMIFS(Xero!$F:$F,Xero!$B:$B,Heron!AV$9,Xero!$A:$A,Heron!$A$4,Xero!$E:$E,Heron!$A30)+SUMIFS(Xero!$F:$F,Xero!$B:$B,Heron!AV$9,Xero!$A:$A,Heron!$A$5,Xero!$E:$E,Heron!$A30)</f>
        <v/>
      </c>
      <c r="AW30" s="66">
        <f>SUMIFS(Xero!$F:$F,Xero!$B:$B,Heron!AW$9,Xero!$A:$A,Heron!$A$4,Xero!$E:$E,Heron!$A30)+SUMIFS(Xero!$F:$F,Xero!$B:$B,Heron!AW$9,Xero!$A:$A,Heron!$A$5,Xero!$E:$E,Heron!$A30)</f>
        <v/>
      </c>
      <c r="AX30" s="66">
        <f>SUMIFS(Xero!$F:$F,Xero!$B:$B,Heron!AX$9,Xero!$A:$A,Heron!$A$4,Xero!$E:$E,Heron!$A30)+SUMIFS(Xero!$F:$F,Xero!$B:$B,Heron!AX$9,Xero!$A:$A,Heron!$A$5,Xero!$E:$E,Heron!$A30)</f>
        <v/>
      </c>
      <c r="AY30" s="66">
        <f>SUMIFS(Xero!$F:$F,Xero!$B:$B,Heron!AY$9,Xero!$A:$A,Heron!$A$4,Xero!$E:$E,Heron!$A30)+SUMIFS(Xero!$F:$F,Xero!$B:$B,Heron!AY$9,Xero!$A:$A,Heron!$A$5,Xero!$E:$E,Heron!$A30)</f>
        <v/>
      </c>
      <c r="AZ30" s="66">
        <f>SUMIFS(Xero!$F:$F,Xero!$B:$B,Heron!AZ$9,Xero!$A:$A,Heron!$A$4,Xero!$E:$E,Heron!$A30)+SUMIFS(Xero!$F:$F,Xero!$B:$B,Heron!AZ$9,Xero!$A:$A,Heron!$A$5,Xero!$E:$E,Heron!$A30)</f>
        <v/>
      </c>
      <c r="BA30" s="66">
        <f>SUMIFS(Xero!$F:$F,Xero!$B:$B,Heron!BA$9,Xero!$A:$A,Heron!$A$4,Xero!$E:$E,Heron!$A30)+SUMIFS(Xero!$F:$F,Xero!$B:$B,Heron!BA$9,Xero!$A:$A,Heron!$A$5,Xero!$E:$E,Heron!$A30)</f>
        <v/>
      </c>
      <c r="BB30" s="66">
        <f>SUMIFS(Xero!$F:$F,Xero!$B:$B,Heron!BB$9,Xero!$A:$A,Heron!$A$4,Xero!$E:$E,Heron!$A30)+SUMIFS(Xero!$F:$F,Xero!$B:$B,Heron!BB$9,Xero!$A:$A,Heron!$A$5,Xero!$E:$E,Heron!$A30)</f>
        <v/>
      </c>
      <c r="BC30" s="66">
        <f>SUMIFS(Xero!$F:$F,Xero!$B:$B,Heron!BC$9,Xero!$A:$A,Heron!$A$4,Xero!$E:$E,Heron!$A30)+SUMIFS(Xero!$F:$F,Xero!$B:$B,Heron!BC$9,Xero!$A:$A,Heron!$A$5,Xero!$E:$E,Heron!$A30)</f>
        <v/>
      </c>
      <c r="BD30" s="66">
        <f>SUMIFS(Xero!$F:$F,Xero!$B:$B,Heron!BD$9,Xero!$A:$A,Heron!$A$4,Xero!$E:$E,Heron!$A30)+SUMIFS(Xero!$F:$F,Xero!$B:$B,Heron!BD$9,Xero!$A:$A,Heron!$A$5,Xero!$E:$E,Heron!$A30)</f>
        <v/>
      </c>
      <c r="BE30" s="66">
        <f>SUMIFS(Xero!$F:$F,Xero!$B:$B,Heron!BE$9,Xero!$A:$A,Heron!$A$4,Xero!$E:$E,Heron!$A30)+SUMIFS(Xero!$F:$F,Xero!$B:$B,Heron!BE$9,Xero!$A:$A,Heron!$A$5,Xero!$E:$E,Heron!$A30)</f>
        <v/>
      </c>
      <c r="BF30" s="66">
        <f>SUMIFS(Xero!$F:$F,Xero!$B:$B,Heron!BF$9,Xero!$A:$A,Heron!$A$4,Xero!$E:$E,Heron!$A30)+SUMIFS(Xero!$F:$F,Xero!$B:$B,Heron!BF$9,Xero!$A:$A,Heron!$A$5,Xero!$E:$E,Heron!$A30)</f>
        <v/>
      </c>
      <c r="BG30" s="66">
        <f>SUMIFS(Xero!$F:$F,Xero!$B:$B,Heron!BG$9,Xero!$A:$A,Heron!$A$4,Xero!$E:$E,Heron!$A30)+SUMIFS(Xero!$F:$F,Xero!$B:$B,Heron!BG$9,Xero!$A:$A,Heron!$A$5,Xero!$E:$E,Heron!$A30)</f>
        <v/>
      </c>
      <c r="BH30" s="66">
        <f>sum(D30:BG30)</f>
        <v/>
      </c>
    </row>
    <row r="31">
      <c r="A31" s="65" t="inlineStr">
        <is>
          <t>Admin - MBA</t>
        </is>
      </c>
      <c r="D31" s="66">
        <f>SUMIFS(Xero!$F:$F,Xero!$B:$B,Heron!D$9,Xero!$A:$A,Heron!$A$4,Xero!$E:$E,Heron!$A31)+SUMIFS(Xero!$F:$F,Xero!$B:$B,Heron!D$9,Xero!$A:$A,Heron!$A$5,Xero!$E:$E,Heron!$A31)</f>
        <v/>
      </c>
      <c r="E31" s="66">
        <f>SUMIFS(Xero!$F:$F,Xero!$B:$B,Heron!E$9,Xero!$A:$A,Heron!$A$4,Xero!$E:$E,Heron!$A31)+SUMIFS(Xero!$F:$F,Xero!$B:$B,Heron!E$9,Xero!$A:$A,Heron!$A$5,Xero!$E:$E,Heron!$A31)</f>
        <v/>
      </c>
      <c r="F31" s="66">
        <f>SUMIFS(Xero!$F:$F,Xero!$B:$B,Heron!F$9,Xero!$A:$A,Heron!$A$4,Xero!$E:$E,Heron!$A31)+SUMIFS(Xero!$F:$F,Xero!$B:$B,Heron!F$9,Xero!$A:$A,Heron!$A$5,Xero!$E:$E,Heron!$A31)</f>
        <v/>
      </c>
      <c r="G31" s="66">
        <f>SUMIFS(Xero!$F:$F,Xero!$B:$B,Heron!G$9,Xero!$A:$A,Heron!$A$4,Xero!$E:$E,Heron!$A31)+SUMIFS(Xero!$F:$F,Xero!$B:$B,Heron!G$9,Xero!$A:$A,Heron!$A$5,Xero!$E:$E,Heron!$A31)</f>
        <v/>
      </c>
      <c r="H31" s="66">
        <f>SUMIFS(Xero!$F:$F,Xero!$B:$B,Heron!H$9,Xero!$A:$A,Heron!$A$4,Xero!$E:$E,Heron!$A31)+SUMIFS(Xero!$F:$F,Xero!$B:$B,Heron!H$9,Xero!$A:$A,Heron!$A$5,Xero!$E:$E,Heron!$A31)</f>
        <v/>
      </c>
      <c r="I31" s="66">
        <f>SUMIFS(Xero!$F:$F,Xero!$B:$B,Heron!I$9,Xero!$A:$A,Heron!$A$4,Xero!$E:$E,Heron!$A31)+SUMIFS(Xero!$F:$F,Xero!$B:$B,Heron!I$9,Xero!$A:$A,Heron!$A$5,Xero!$E:$E,Heron!$A31)</f>
        <v/>
      </c>
      <c r="J31" s="66">
        <f>SUMIFS(Xero!$F:$F,Xero!$B:$B,Heron!J$9,Xero!$A:$A,Heron!$A$4,Xero!$E:$E,Heron!$A31)+SUMIFS(Xero!$F:$F,Xero!$B:$B,Heron!J$9,Xero!$A:$A,Heron!$A$5,Xero!$E:$E,Heron!$A31)</f>
        <v/>
      </c>
      <c r="K31" s="66">
        <f>SUMIFS(Xero!$F:$F,Xero!$B:$B,Heron!K$9,Xero!$A:$A,Heron!$A$4,Xero!$E:$E,Heron!$A31)+SUMIFS(Xero!$F:$F,Xero!$B:$B,Heron!K$9,Xero!$A:$A,Heron!$A$5,Xero!$E:$E,Heron!$A31)</f>
        <v/>
      </c>
      <c r="L31" s="66">
        <f>SUMIFS(Xero!$F:$F,Xero!$B:$B,Heron!L$9,Xero!$A:$A,Heron!$A$4,Xero!$E:$E,Heron!$A31)+SUMIFS(Xero!$F:$F,Xero!$B:$B,Heron!L$9,Xero!$A:$A,Heron!$A$5,Xero!$E:$E,Heron!$A31)</f>
        <v/>
      </c>
      <c r="M31" s="66">
        <f>SUMIFS(Xero!$F:$F,Xero!$B:$B,Heron!M$9,Xero!$A:$A,Heron!$A$4,Xero!$E:$E,Heron!$A31)+SUMIFS(Xero!$F:$F,Xero!$B:$B,Heron!M$9,Xero!$A:$A,Heron!$A$5,Xero!$E:$E,Heron!$A31)</f>
        <v/>
      </c>
      <c r="N31" s="66">
        <f>SUMIFS(Xero!$F:$F,Xero!$B:$B,Heron!N$9,Xero!$A:$A,Heron!$A$4,Xero!$E:$E,Heron!$A31)+SUMIFS(Xero!$F:$F,Xero!$B:$B,Heron!N$9,Xero!$A:$A,Heron!$A$5,Xero!$E:$E,Heron!$A31)</f>
        <v/>
      </c>
      <c r="O31" s="66">
        <f>SUMIFS(Xero!$F:$F,Xero!$B:$B,Heron!O$9,Xero!$A:$A,Heron!$A$4,Xero!$E:$E,Heron!$A31)+SUMIFS(Xero!$F:$F,Xero!$B:$B,Heron!O$9,Xero!$A:$A,Heron!$A$5,Xero!$E:$E,Heron!$A31)</f>
        <v/>
      </c>
      <c r="P31" s="66">
        <f>SUMIFS(Xero!$F:$F,Xero!$B:$B,Heron!P$9,Xero!$A:$A,Heron!$A$4,Xero!$E:$E,Heron!$A31)+SUMIFS(Xero!$F:$F,Xero!$B:$B,Heron!P$9,Xero!$A:$A,Heron!$A$5,Xero!$E:$E,Heron!$A31)</f>
        <v/>
      </c>
      <c r="Q31" s="66">
        <f>SUMIFS(Xero!$F:$F,Xero!$B:$B,Heron!Q$9,Xero!$A:$A,Heron!$A$4,Xero!$E:$E,Heron!$A31)+SUMIFS(Xero!$F:$F,Xero!$B:$B,Heron!Q$9,Xero!$A:$A,Heron!$A$5,Xero!$E:$E,Heron!$A31)</f>
        <v/>
      </c>
      <c r="R31" s="66">
        <f>SUMIFS(Xero!$F:$F,Xero!$B:$B,Heron!R$9,Xero!$A:$A,Heron!$A$4,Xero!$E:$E,Heron!$A31)+SUMIFS(Xero!$F:$F,Xero!$B:$B,Heron!R$9,Xero!$A:$A,Heron!$A$5,Xero!$E:$E,Heron!$A31)</f>
        <v/>
      </c>
      <c r="S31" s="66">
        <f>SUMIFS(Xero!$F:$F,Xero!$B:$B,Heron!S$9,Xero!$A:$A,Heron!$A$4,Xero!$E:$E,Heron!$A31)+SUMIFS(Xero!$F:$F,Xero!$B:$B,Heron!S$9,Xero!$A:$A,Heron!$A$5,Xero!$E:$E,Heron!$A31)</f>
        <v/>
      </c>
      <c r="T31" s="66">
        <f>SUMIFS(Xero!$F:$F,Xero!$B:$B,Heron!T$9,Xero!$A:$A,Heron!$A$4,Xero!$E:$E,Heron!$A31)+SUMIFS(Xero!$F:$F,Xero!$B:$B,Heron!T$9,Xero!$A:$A,Heron!$A$5,Xero!$E:$E,Heron!$A31)</f>
        <v/>
      </c>
      <c r="U31" s="66">
        <f>SUMIFS(Xero!$F:$F,Xero!$B:$B,Heron!U$9,Xero!$A:$A,Heron!$A$4,Xero!$E:$E,Heron!$A31)+SUMIFS(Xero!$F:$F,Xero!$B:$B,Heron!U$9,Xero!$A:$A,Heron!$A$5,Xero!$E:$E,Heron!$A31)</f>
        <v/>
      </c>
      <c r="V31" s="66">
        <f>SUMIFS(Xero!$F:$F,Xero!$B:$B,Heron!V$9,Xero!$A:$A,Heron!$A$4,Xero!$E:$E,Heron!$A31)+SUMIFS(Xero!$F:$F,Xero!$B:$B,Heron!V$9,Xero!$A:$A,Heron!$A$5,Xero!$E:$E,Heron!$A31)</f>
        <v/>
      </c>
      <c r="W31" s="66">
        <f>SUMIFS(Xero!$F:$F,Xero!$B:$B,Heron!W$9,Xero!$A:$A,Heron!$A$4,Xero!$E:$E,Heron!$A31)+SUMIFS(Xero!$F:$F,Xero!$B:$B,Heron!W$9,Xero!$A:$A,Heron!$A$5,Xero!$E:$E,Heron!$A31)</f>
        <v/>
      </c>
      <c r="X31" s="66">
        <f>SUMIFS(Xero!$F:$F,Xero!$B:$B,Heron!X$9,Xero!$A:$A,Heron!$A$4,Xero!$E:$E,Heron!$A31)+SUMIFS(Xero!$F:$F,Xero!$B:$B,Heron!X$9,Xero!$A:$A,Heron!$A$5,Xero!$E:$E,Heron!$A31)</f>
        <v/>
      </c>
      <c r="Y31" s="66">
        <f>SUMIFS(Xero!$F:$F,Xero!$B:$B,Heron!Y$9,Xero!$A:$A,Heron!$A$4,Xero!$E:$E,Heron!$A31)+SUMIFS(Xero!$F:$F,Xero!$B:$B,Heron!Y$9,Xero!$A:$A,Heron!$A$5,Xero!$E:$E,Heron!$A31)</f>
        <v/>
      </c>
      <c r="Z31" s="66">
        <f>SUMIFS(Xero!$F:$F,Xero!$B:$B,Heron!Z$9,Xero!$A:$A,Heron!$A$4,Xero!$E:$E,Heron!$A31)+SUMIFS(Xero!$F:$F,Xero!$B:$B,Heron!Z$9,Xero!$A:$A,Heron!$A$5,Xero!$E:$E,Heron!$A31)</f>
        <v/>
      </c>
      <c r="AA31" s="66">
        <f>SUMIFS(Xero!$F:$F,Xero!$B:$B,Heron!AA$9,Xero!$A:$A,Heron!$A$4,Xero!$E:$E,Heron!$A31)+SUMIFS(Xero!$F:$F,Xero!$B:$B,Heron!AA$9,Xero!$A:$A,Heron!$A$5,Xero!$E:$E,Heron!$A31)</f>
        <v/>
      </c>
      <c r="AB31" s="66">
        <f>SUMIFS(Xero!$F:$F,Xero!$B:$B,Heron!AB$9,Xero!$A:$A,Heron!$A$4,Xero!$E:$E,Heron!$A31)+SUMIFS(Xero!$F:$F,Xero!$B:$B,Heron!AB$9,Xero!$A:$A,Heron!$A$5,Xero!$E:$E,Heron!$A31)</f>
        <v/>
      </c>
      <c r="AC31" s="66">
        <f>SUMIFS(Xero!$F:$F,Xero!$B:$B,Heron!AC$9,Xero!$A:$A,Heron!$A$4,Xero!$E:$E,Heron!$A31)+SUMIFS(Xero!$F:$F,Xero!$B:$B,Heron!AC$9,Xero!$A:$A,Heron!$A$5,Xero!$E:$E,Heron!$A31)</f>
        <v/>
      </c>
      <c r="AD31" s="66">
        <f>SUMIFS(Xero!$F:$F,Xero!$B:$B,Heron!AD$9,Xero!$A:$A,Heron!$A$4,Xero!$E:$E,Heron!$A31)+SUMIFS(Xero!$F:$F,Xero!$B:$B,Heron!AD$9,Xero!$A:$A,Heron!$A$5,Xero!$E:$E,Heron!$A31)</f>
        <v/>
      </c>
      <c r="AE31" s="66">
        <f>SUMIFS(Xero!$F:$F,Xero!$B:$B,Heron!AE$9,Xero!$A:$A,Heron!$A$4,Xero!$E:$E,Heron!$A31)+SUMIFS(Xero!$F:$F,Xero!$B:$B,Heron!AE$9,Xero!$A:$A,Heron!$A$5,Xero!$E:$E,Heron!$A31)</f>
        <v/>
      </c>
      <c r="AF31" s="66">
        <f>SUMIFS(Xero!$F:$F,Xero!$B:$B,Heron!AF$9,Xero!$A:$A,Heron!$A$4,Xero!$E:$E,Heron!$A31)+SUMIFS(Xero!$F:$F,Xero!$B:$B,Heron!AF$9,Xero!$A:$A,Heron!$A$5,Xero!$E:$E,Heron!$A31)</f>
        <v/>
      </c>
      <c r="AG31" s="66">
        <f>SUMIFS(Xero!$F:$F,Xero!$B:$B,Heron!AG$9,Xero!$A:$A,Heron!$A$4,Xero!$E:$E,Heron!$A31)+SUMIFS(Xero!$F:$F,Xero!$B:$B,Heron!AG$9,Xero!$A:$A,Heron!$A$5,Xero!$E:$E,Heron!$A31)</f>
        <v/>
      </c>
      <c r="AH31" s="66">
        <f>SUMIFS(Xero!$F:$F,Xero!$B:$B,Heron!AH$9,Xero!$A:$A,Heron!$A$4,Xero!$E:$E,Heron!$A31)+SUMIFS(Xero!$F:$F,Xero!$B:$B,Heron!AH$9,Xero!$A:$A,Heron!$A$5,Xero!$E:$E,Heron!$A31)</f>
        <v/>
      </c>
      <c r="AI31" s="66">
        <f>SUMIFS(Xero!$F:$F,Xero!$B:$B,Heron!AI$9,Xero!$A:$A,Heron!$A$4,Xero!$E:$E,Heron!$A31)+SUMIFS(Xero!$F:$F,Xero!$B:$B,Heron!AI$9,Xero!$A:$A,Heron!$A$5,Xero!$E:$E,Heron!$A31)</f>
        <v/>
      </c>
      <c r="AJ31" s="66">
        <f>SUMIFS(Xero!$F:$F,Xero!$B:$B,Heron!AJ$9,Xero!$A:$A,Heron!$A$4,Xero!$E:$E,Heron!$A31)+SUMIFS(Xero!$F:$F,Xero!$B:$B,Heron!AJ$9,Xero!$A:$A,Heron!$A$5,Xero!$E:$E,Heron!$A31)</f>
        <v/>
      </c>
      <c r="AK31" s="66">
        <f>SUMIFS(Xero!$F:$F,Xero!$B:$B,Heron!AK$9,Xero!$A:$A,Heron!$A$4,Xero!$E:$E,Heron!$A31)+SUMIFS(Xero!$F:$F,Xero!$B:$B,Heron!AK$9,Xero!$A:$A,Heron!$A$5,Xero!$E:$E,Heron!$A31)</f>
        <v/>
      </c>
      <c r="AL31" s="66">
        <f>SUMIFS(Xero!$F:$F,Xero!$B:$B,Heron!AL$9,Xero!$A:$A,Heron!$A$4,Xero!$E:$E,Heron!$A31)+SUMIFS(Xero!$F:$F,Xero!$B:$B,Heron!AL$9,Xero!$A:$A,Heron!$A$5,Xero!$E:$E,Heron!$A31)</f>
        <v/>
      </c>
      <c r="AM31" s="66">
        <f>SUMIFS(Xero!$F:$F,Xero!$B:$B,Heron!AM$9,Xero!$A:$A,Heron!$A$4,Xero!$E:$E,Heron!$A31)+SUMIFS(Xero!$F:$F,Xero!$B:$B,Heron!AM$9,Xero!$A:$A,Heron!$A$5,Xero!$E:$E,Heron!$A31)</f>
        <v/>
      </c>
      <c r="AN31" s="66">
        <f>SUMIFS(Xero!$F:$F,Xero!$B:$B,Heron!AN$9,Xero!$A:$A,Heron!$A$4,Xero!$E:$E,Heron!$A31)+SUMIFS(Xero!$F:$F,Xero!$B:$B,Heron!AN$9,Xero!$A:$A,Heron!$A$5,Xero!$E:$E,Heron!$A31)</f>
        <v/>
      </c>
      <c r="AO31" s="66">
        <f>SUMIFS(Xero!$F:$F,Xero!$B:$B,Heron!AO$9,Xero!$A:$A,Heron!$A$4,Xero!$E:$E,Heron!$A31)+SUMIFS(Xero!$F:$F,Xero!$B:$B,Heron!AO$9,Xero!$A:$A,Heron!$A$5,Xero!$E:$E,Heron!$A31)</f>
        <v/>
      </c>
      <c r="AP31" s="66">
        <f>SUMIFS(Xero!$F:$F,Xero!$B:$B,Heron!AP$9,Xero!$A:$A,Heron!$A$4,Xero!$E:$E,Heron!$A31)+SUMIFS(Xero!$F:$F,Xero!$B:$B,Heron!AP$9,Xero!$A:$A,Heron!$A$5,Xero!$E:$E,Heron!$A31)</f>
        <v/>
      </c>
      <c r="AQ31" s="66">
        <f>SUMIFS(Xero!$F:$F,Xero!$B:$B,Heron!AQ$9,Xero!$A:$A,Heron!$A$4,Xero!$E:$E,Heron!$A31)+SUMIFS(Xero!$F:$F,Xero!$B:$B,Heron!AQ$9,Xero!$A:$A,Heron!$A$5,Xero!$E:$E,Heron!$A31)</f>
        <v/>
      </c>
      <c r="AR31" s="66">
        <f>SUMIFS(Xero!$F:$F,Xero!$B:$B,Heron!AR$9,Xero!$A:$A,Heron!$A$4,Xero!$E:$E,Heron!$A31)+SUMIFS(Xero!$F:$F,Xero!$B:$B,Heron!AR$9,Xero!$A:$A,Heron!$A$5,Xero!$E:$E,Heron!$A31)</f>
        <v/>
      </c>
      <c r="AS31" s="66">
        <f>SUMIFS(Xero!$F:$F,Xero!$B:$B,Heron!AS$9,Xero!$A:$A,Heron!$A$4,Xero!$E:$E,Heron!$A31)+SUMIFS(Xero!$F:$F,Xero!$B:$B,Heron!AS$9,Xero!$A:$A,Heron!$A$5,Xero!$E:$E,Heron!$A31)</f>
        <v/>
      </c>
      <c r="AT31" s="66">
        <f>SUMIFS(Xero!$F:$F,Xero!$B:$B,Heron!AT$9,Xero!$A:$A,Heron!$A$4,Xero!$E:$E,Heron!$A31)+SUMIFS(Xero!$F:$F,Xero!$B:$B,Heron!AT$9,Xero!$A:$A,Heron!$A$5,Xero!$E:$E,Heron!$A31)</f>
        <v/>
      </c>
      <c r="AU31" s="66">
        <f>SUMIFS(Xero!$F:$F,Xero!$B:$B,Heron!AU$9,Xero!$A:$A,Heron!$A$4,Xero!$E:$E,Heron!$A31)+SUMIFS(Xero!$F:$F,Xero!$B:$B,Heron!AU$9,Xero!$A:$A,Heron!$A$5,Xero!$E:$E,Heron!$A31)</f>
        <v/>
      </c>
      <c r="AV31" s="66">
        <f>SUMIFS(Xero!$F:$F,Xero!$B:$B,Heron!AV$9,Xero!$A:$A,Heron!$A$4,Xero!$E:$E,Heron!$A31)+SUMIFS(Xero!$F:$F,Xero!$B:$B,Heron!AV$9,Xero!$A:$A,Heron!$A$5,Xero!$E:$E,Heron!$A31)</f>
        <v/>
      </c>
      <c r="AW31" s="66">
        <f>SUMIFS(Xero!$F:$F,Xero!$B:$B,Heron!AW$9,Xero!$A:$A,Heron!$A$4,Xero!$E:$E,Heron!$A31)+SUMIFS(Xero!$F:$F,Xero!$B:$B,Heron!AW$9,Xero!$A:$A,Heron!$A$5,Xero!$E:$E,Heron!$A31)</f>
        <v/>
      </c>
      <c r="AX31" s="66">
        <f>SUMIFS(Xero!$F:$F,Xero!$B:$B,Heron!AX$9,Xero!$A:$A,Heron!$A$4,Xero!$E:$E,Heron!$A31)+SUMIFS(Xero!$F:$F,Xero!$B:$B,Heron!AX$9,Xero!$A:$A,Heron!$A$5,Xero!$E:$E,Heron!$A31)</f>
        <v/>
      </c>
      <c r="AY31" s="66">
        <f>SUMIFS(Xero!$F:$F,Xero!$B:$B,Heron!AY$9,Xero!$A:$A,Heron!$A$4,Xero!$E:$E,Heron!$A31)+SUMIFS(Xero!$F:$F,Xero!$B:$B,Heron!AY$9,Xero!$A:$A,Heron!$A$5,Xero!$E:$E,Heron!$A31)</f>
        <v/>
      </c>
      <c r="AZ31" s="66">
        <f>SUMIFS(Xero!$F:$F,Xero!$B:$B,Heron!AZ$9,Xero!$A:$A,Heron!$A$4,Xero!$E:$E,Heron!$A31)+SUMIFS(Xero!$F:$F,Xero!$B:$B,Heron!AZ$9,Xero!$A:$A,Heron!$A$5,Xero!$E:$E,Heron!$A31)</f>
        <v/>
      </c>
      <c r="BA31" s="66">
        <f>SUMIFS(Xero!$F:$F,Xero!$B:$B,Heron!BA$9,Xero!$A:$A,Heron!$A$4,Xero!$E:$E,Heron!$A31)+SUMIFS(Xero!$F:$F,Xero!$B:$B,Heron!BA$9,Xero!$A:$A,Heron!$A$5,Xero!$E:$E,Heron!$A31)</f>
        <v/>
      </c>
      <c r="BB31" s="66">
        <f>SUMIFS(Xero!$F:$F,Xero!$B:$B,Heron!BB$9,Xero!$A:$A,Heron!$A$4,Xero!$E:$E,Heron!$A31)+SUMIFS(Xero!$F:$F,Xero!$B:$B,Heron!BB$9,Xero!$A:$A,Heron!$A$5,Xero!$E:$E,Heron!$A31)</f>
        <v/>
      </c>
      <c r="BC31" s="66">
        <f>SUMIFS(Xero!$F:$F,Xero!$B:$B,Heron!BC$9,Xero!$A:$A,Heron!$A$4,Xero!$E:$E,Heron!$A31)+SUMIFS(Xero!$F:$F,Xero!$B:$B,Heron!BC$9,Xero!$A:$A,Heron!$A$5,Xero!$E:$E,Heron!$A31)</f>
        <v/>
      </c>
      <c r="BD31" s="66">
        <f>SUMIFS(Xero!$F:$F,Xero!$B:$B,Heron!BD$9,Xero!$A:$A,Heron!$A$4,Xero!$E:$E,Heron!$A31)+SUMIFS(Xero!$F:$F,Xero!$B:$B,Heron!BD$9,Xero!$A:$A,Heron!$A$5,Xero!$E:$E,Heron!$A31)</f>
        <v/>
      </c>
      <c r="BE31" s="66">
        <f>SUMIFS(Xero!$F:$F,Xero!$B:$B,Heron!BE$9,Xero!$A:$A,Heron!$A$4,Xero!$E:$E,Heron!$A31)+SUMIFS(Xero!$F:$F,Xero!$B:$B,Heron!BE$9,Xero!$A:$A,Heron!$A$5,Xero!$E:$E,Heron!$A31)</f>
        <v/>
      </c>
      <c r="BF31" s="66">
        <f>SUMIFS(Xero!$F:$F,Xero!$B:$B,Heron!BF$9,Xero!$A:$A,Heron!$A$4,Xero!$E:$E,Heron!$A31)+SUMIFS(Xero!$F:$F,Xero!$B:$B,Heron!BF$9,Xero!$A:$A,Heron!$A$5,Xero!$E:$E,Heron!$A31)</f>
        <v/>
      </c>
      <c r="BG31" s="66">
        <f>SUMIFS(Xero!$F:$F,Xero!$B:$B,Heron!BG$9,Xero!$A:$A,Heron!$A$4,Xero!$E:$E,Heron!$A31)+SUMIFS(Xero!$F:$F,Xero!$B:$B,Heron!BG$9,Xero!$A:$A,Heron!$A$5,Xero!$E:$E,Heron!$A31)</f>
        <v/>
      </c>
      <c r="BH31" s="66">
        <f>sum(D31:BG31)</f>
        <v/>
      </c>
    </row>
    <row r="32">
      <c r="A32" s="65" t="inlineStr">
        <is>
          <t>Advertising - Media24</t>
        </is>
      </c>
      <c r="D32" s="66">
        <f>SUMIFS(Xero!$F:$F,Xero!$B:$B,Heron!D$9,Xero!$A:$A,Heron!$A$4,Xero!$E:$E,Heron!$A32)+SUMIFS(Xero!$F:$F,Xero!$B:$B,Heron!D$9,Xero!$A:$A,Heron!$A$5,Xero!$E:$E,Heron!$A32)</f>
        <v/>
      </c>
      <c r="E32" s="66">
        <f>SUMIFS(Xero!$F:$F,Xero!$B:$B,Heron!E$9,Xero!$A:$A,Heron!$A$4,Xero!$E:$E,Heron!$A32)+SUMIFS(Xero!$F:$F,Xero!$B:$B,Heron!E$9,Xero!$A:$A,Heron!$A$5,Xero!$E:$E,Heron!$A32)</f>
        <v/>
      </c>
      <c r="F32" s="66">
        <f>SUMIFS(Xero!$F:$F,Xero!$B:$B,Heron!F$9,Xero!$A:$A,Heron!$A$4,Xero!$E:$E,Heron!$A32)+SUMIFS(Xero!$F:$F,Xero!$B:$B,Heron!F$9,Xero!$A:$A,Heron!$A$5,Xero!$E:$E,Heron!$A32)</f>
        <v/>
      </c>
      <c r="G32" s="66">
        <f>SUMIFS(Xero!$F:$F,Xero!$B:$B,Heron!G$9,Xero!$A:$A,Heron!$A$4,Xero!$E:$E,Heron!$A32)+SUMIFS(Xero!$F:$F,Xero!$B:$B,Heron!G$9,Xero!$A:$A,Heron!$A$5,Xero!$E:$E,Heron!$A32)</f>
        <v/>
      </c>
      <c r="H32" s="66">
        <f>SUMIFS(Xero!$F:$F,Xero!$B:$B,Heron!H$9,Xero!$A:$A,Heron!$A$4,Xero!$E:$E,Heron!$A32)+SUMIFS(Xero!$F:$F,Xero!$B:$B,Heron!H$9,Xero!$A:$A,Heron!$A$5,Xero!$E:$E,Heron!$A32)</f>
        <v/>
      </c>
      <c r="I32" s="66">
        <f>SUMIFS(Xero!$F:$F,Xero!$B:$B,Heron!I$9,Xero!$A:$A,Heron!$A$4,Xero!$E:$E,Heron!$A32)+SUMIFS(Xero!$F:$F,Xero!$B:$B,Heron!I$9,Xero!$A:$A,Heron!$A$5,Xero!$E:$E,Heron!$A32)</f>
        <v/>
      </c>
      <c r="J32" s="66">
        <f>SUMIFS(Xero!$F:$F,Xero!$B:$B,Heron!J$9,Xero!$A:$A,Heron!$A$4,Xero!$E:$E,Heron!$A32)+SUMIFS(Xero!$F:$F,Xero!$B:$B,Heron!J$9,Xero!$A:$A,Heron!$A$5,Xero!$E:$E,Heron!$A32)</f>
        <v/>
      </c>
      <c r="K32" s="66">
        <f>SUMIFS(Xero!$F:$F,Xero!$B:$B,Heron!K$9,Xero!$A:$A,Heron!$A$4,Xero!$E:$E,Heron!$A32)+SUMIFS(Xero!$F:$F,Xero!$B:$B,Heron!K$9,Xero!$A:$A,Heron!$A$5,Xero!$E:$E,Heron!$A32)</f>
        <v/>
      </c>
      <c r="L32" s="66">
        <f>SUMIFS(Xero!$F:$F,Xero!$B:$B,Heron!L$9,Xero!$A:$A,Heron!$A$4,Xero!$E:$E,Heron!$A32)+SUMIFS(Xero!$F:$F,Xero!$B:$B,Heron!L$9,Xero!$A:$A,Heron!$A$5,Xero!$E:$E,Heron!$A32)</f>
        <v/>
      </c>
      <c r="M32" s="66">
        <f>SUMIFS(Xero!$F:$F,Xero!$B:$B,Heron!M$9,Xero!$A:$A,Heron!$A$4,Xero!$E:$E,Heron!$A32)+SUMIFS(Xero!$F:$F,Xero!$B:$B,Heron!M$9,Xero!$A:$A,Heron!$A$5,Xero!$E:$E,Heron!$A32)</f>
        <v/>
      </c>
      <c r="N32" s="66">
        <f>SUMIFS(Xero!$F:$F,Xero!$B:$B,Heron!N$9,Xero!$A:$A,Heron!$A$4,Xero!$E:$E,Heron!$A32)+SUMIFS(Xero!$F:$F,Xero!$B:$B,Heron!N$9,Xero!$A:$A,Heron!$A$5,Xero!$E:$E,Heron!$A32)</f>
        <v/>
      </c>
      <c r="O32" s="66">
        <f>SUMIFS(Xero!$F:$F,Xero!$B:$B,Heron!O$9,Xero!$A:$A,Heron!$A$4,Xero!$E:$E,Heron!$A32)+SUMIFS(Xero!$F:$F,Xero!$B:$B,Heron!O$9,Xero!$A:$A,Heron!$A$5,Xero!$E:$E,Heron!$A32)</f>
        <v/>
      </c>
      <c r="P32" s="66">
        <f>SUMIFS(Xero!$F:$F,Xero!$B:$B,Heron!P$9,Xero!$A:$A,Heron!$A$4,Xero!$E:$E,Heron!$A32)+SUMIFS(Xero!$F:$F,Xero!$B:$B,Heron!P$9,Xero!$A:$A,Heron!$A$5,Xero!$E:$E,Heron!$A32)</f>
        <v/>
      </c>
      <c r="Q32" s="66">
        <f>SUMIFS(Xero!$F:$F,Xero!$B:$B,Heron!Q$9,Xero!$A:$A,Heron!$A$4,Xero!$E:$E,Heron!$A32)+SUMIFS(Xero!$F:$F,Xero!$B:$B,Heron!Q$9,Xero!$A:$A,Heron!$A$5,Xero!$E:$E,Heron!$A32)</f>
        <v/>
      </c>
      <c r="R32" s="66">
        <f>SUMIFS(Xero!$F:$F,Xero!$B:$B,Heron!R$9,Xero!$A:$A,Heron!$A$4,Xero!$E:$E,Heron!$A32)+SUMIFS(Xero!$F:$F,Xero!$B:$B,Heron!R$9,Xero!$A:$A,Heron!$A$5,Xero!$E:$E,Heron!$A32)</f>
        <v/>
      </c>
      <c r="S32" s="66">
        <f>SUMIFS(Xero!$F:$F,Xero!$B:$B,Heron!S$9,Xero!$A:$A,Heron!$A$4,Xero!$E:$E,Heron!$A32)+SUMIFS(Xero!$F:$F,Xero!$B:$B,Heron!S$9,Xero!$A:$A,Heron!$A$5,Xero!$E:$E,Heron!$A32)</f>
        <v/>
      </c>
      <c r="T32" s="66">
        <f>SUMIFS(Xero!$F:$F,Xero!$B:$B,Heron!T$9,Xero!$A:$A,Heron!$A$4,Xero!$E:$E,Heron!$A32)+SUMIFS(Xero!$F:$F,Xero!$B:$B,Heron!T$9,Xero!$A:$A,Heron!$A$5,Xero!$E:$E,Heron!$A32)</f>
        <v/>
      </c>
      <c r="U32" s="66">
        <f>SUMIFS(Xero!$F:$F,Xero!$B:$B,Heron!U$9,Xero!$A:$A,Heron!$A$4,Xero!$E:$E,Heron!$A32)+SUMIFS(Xero!$F:$F,Xero!$B:$B,Heron!U$9,Xero!$A:$A,Heron!$A$5,Xero!$E:$E,Heron!$A32)</f>
        <v/>
      </c>
      <c r="V32" s="66">
        <f>SUMIFS(Xero!$F:$F,Xero!$B:$B,Heron!V$9,Xero!$A:$A,Heron!$A$4,Xero!$E:$E,Heron!$A32)+SUMIFS(Xero!$F:$F,Xero!$B:$B,Heron!V$9,Xero!$A:$A,Heron!$A$5,Xero!$E:$E,Heron!$A32)</f>
        <v/>
      </c>
      <c r="W32" s="66">
        <f>SUMIFS(Xero!$F:$F,Xero!$B:$B,Heron!W$9,Xero!$A:$A,Heron!$A$4,Xero!$E:$E,Heron!$A32)+SUMIFS(Xero!$F:$F,Xero!$B:$B,Heron!W$9,Xero!$A:$A,Heron!$A$5,Xero!$E:$E,Heron!$A32)</f>
        <v/>
      </c>
      <c r="X32" s="66">
        <f>SUMIFS(Xero!$F:$F,Xero!$B:$B,Heron!X$9,Xero!$A:$A,Heron!$A$4,Xero!$E:$E,Heron!$A32)+SUMIFS(Xero!$F:$F,Xero!$B:$B,Heron!X$9,Xero!$A:$A,Heron!$A$5,Xero!$E:$E,Heron!$A32)</f>
        <v/>
      </c>
      <c r="Y32" s="66">
        <f>SUMIFS(Xero!$F:$F,Xero!$B:$B,Heron!Y$9,Xero!$A:$A,Heron!$A$4,Xero!$E:$E,Heron!$A32)+SUMIFS(Xero!$F:$F,Xero!$B:$B,Heron!Y$9,Xero!$A:$A,Heron!$A$5,Xero!$E:$E,Heron!$A32)</f>
        <v/>
      </c>
      <c r="Z32" s="66">
        <f>SUMIFS(Xero!$F:$F,Xero!$B:$B,Heron!Z$9,Xero!$A:$A,Heron!$A$4,Xero!$E:$E,Heron!$A32)+SUMIFS(Xero!$F:$F,Xero!$B:$B,Heron!Z$9,Xero!$A:$A,Heron!$A$5,Xero!$E:$E,Heron!$A32)</f>
        <v/>
      </c>
      <c r="AA32" s="66">
        <f>SUMIFS(Xero!$F:$F,Xero!$B:$B,Heron!AA$9,Xero!$A:$A,Heron!$A$4,Xero!$E:$E,Heron!$A32)+SUMIFS(Xero!$F:$F,Xero!$B:$B,Heron!AA$9,Xero!$A:$A,Heron!$A$5,Xero!$E:$E,Heron!$A32)</f>
        <v/>
      </c>
      <c r="AB32" s="66">
        <f>SUMIFS(Xero!$F:$F,Xero!$B:$B,Heron!AB$9,Xero!$A:$A,Heron!$A$4,Xero!$E:$E,Heron!$A32)+SUMIFS(Xero!$F:$F,Xero!$B:$B,Heron!AB$9,Xero!$A:$A,Heron!$A$5,Xero!$E:$E,Heron!$A32)</f>
        <v/>
      </c>
      <c r="AC32" s="66">
        <f>SUMIFS(Xero!$F:$F,Xero!$B:$B,Heron!AC$9,Xero!$A:$A,Heron!$A$4,Xero!$E:$E,Heron!$A32)+SUMIFS(Xero!$F:$F,Xero!$B:$B,Heron!AC$9,Xero!$A:$A,Heron!$A$5,Xero!$E:$E,Heron!$A32)</f>
        <v/>
      </c>
      <c r="AD32" s="66">
        <f>SUMIFS(Xero!$F:$F,Xero!$B:$B,Heron!AD$9,Xero!$A:$A,Heron!$A$4,Xero!$E:$E,Heron!$A32)+SUMIFS(Xero!$F:$F,Xero!$B:$B,Heron!AD$9,Xero!$A:$A,Heron!$A$5,Xero!$E:$E,Heron!$A32)</f>
        <v/>
      </c>
      <c r="AE32" s="66">
        <f>SUMIFS(Xero!$F:$F,Xero!$B:$B,Heron!AE$9,Xero!$A:$A,Heron!$A$4,Xero!$E:$E,Heron!$A32)+SUMIFS(Xero!$F:$F,Xero!$B:$B,Heron!AE$9,Xero!$A:$A,Heron!$A$5,Xero!$E:$E,Heron!$A32)</f>
        <v/>
      </c>
      <c r="AF32" s="66">
        <f>SUMIFS(Xero!$F:$F,Xero!$B:$B,Heron!AF$9,Xero!$A:$A,Heron!$A$4,Xero!$E:$E,Heron!$A32)+SUMIFS(Xero!$F:$F,Xero!$B:$B,Heron!AF$9,Xero!$A:$A,Heron!$A$5,Xero!$E:$E,Heron!$A32)</f>
        <v/>
      </c>
      <c r="AG32" s="66">
        <f>SUMIFS(Xero!$F:$F,Xero!$B:$B,Heron!AG$9,Xero!$A:$A,Heron!$A$4,Xero!$E:$E,Heron!$A32)+SUMIFS(Xero!$F:$F,Xero!$B:$B,Heron!AG$9,Xero!$A:$A,Heron!$A$5,Xero!$E:$E,Heron!$A32)</f>
        <v/>
      </c>
      <c r="AH32" s="66">
        <f>SUMIFS(Xero!$F:$F,Xero!$B:$B,Heron!AH$9,Xero!$A:$A,Heron!$A$4,Xero!$E:$E,Heron!$A32)+SUMIFS(Xero!$F:$F,Xero!$B:$B,Heron!AH$9,Xero!$A:$A,Heron!$A$5,Xero!$E:$E,Heron!$A32)</f>
        <v/>
      </c>
      <c r="AI32" s="66">
        <f>SUMIFS(Xero!$F:$F,Xero!$B:$B,Heron!AI$9,Xero!$A:$A,Heron!$A$4,Xero!$E:$E,Heron!$A32)+SUMIFS(Xero!$F:$F,Xero!$B:$B,Heron!AI$9,Xero!$A:$A,Heron!$A$5,Xero!$E:$E,Heron!$A32)</f>
        <v/>
      </c>
      <c r="AJ32" s="66">
        <f>SUMIFS(Xero!$F:$F,Xero!$B:$B,Heron!AJ$9,Xero!$A:$A,Heron!$A$4,Xero!$E:$E,Heron!$A32)+SUMIFS(Xero!$F:$F,Xero!$B:$B,Heron!AJ$9,Xero!$A:$A,Heron!$A$5,Xero!$E:$E,Heron!$A32)</f>
        <v/>
      </c>
      <c r="AK32" s="66">
        <f>SUMIFS(Xero!$F:$F,Xero!$B:$B,Heron!AK$9,Xero!$A:$A,Heron!$A$4,Xero!$E:$E,Heron!$A32)+SUMIFS(Xero!$F:$F,Xero!$B:$B,Heron!AK$9,Xero!$A:$A,Heron!$A$5,Xero!$E:$E,Heron!$A32)</f>
        <v/>
      </c>
      <c r="AL32" s="66">
        <f>SUMIFS(Xero!$F:$F,Xero!$B:$B,Heron!AL$9,Xero!$A:$A,Heron!$A$4,Xero!$E:$E,Heron!$A32)+SUMIFS(Xero!$F:$F,Xero!$B:$B,Heron!AL$9,Xero!$A:$A,Heron!$A$5,Xero!$E:$E,Heron!$A32)</f>
        <v/>
      </c>
      <c r="AM32" s="66">
        <f>SUMIFS(Xero!$F:$F,Xero!$B:$B,Heron!AM$9,Xero!$A:$A,Heron!$A$4,Xero!$E:$E,Heron!$A32)+SUMIFS(Xero!$F:$F,Xero!$B:$B,Heron!AM$9,Xero!$A:$A,Heron!$A$5,Xero!$E:$E,Heron!$A32)</f>
        <v/>
      </c>
      <c r="AN32" s="66">
        <f>SUMIFS(Xero!$F:$F,Xero!$B:$B,Heron!AN$9,Xero!$A:$A,Heron!$A$4,Xero!$E:$E,Heron!$A32)+SUMIFS(Xero!$F:$F,Xero!$B:$B,Heron!AN$9,Xero!$A:$A,Heron!$A$5,Xero!$E:$E,Heron!$A32)</f>
        <v/>
      </c>
      <c r="AO32" s="66">
        <f>SUMIFS(Xero!$F:$F,Xero!$B:$B,Heron!AO$9,Xero!$A:$A,Heron!$A$4,Xero!$E:$E,Heron!$A32)+SUMIFS(Xero!$F:$F,Xero!$B:$B,Heron!AO$9,Xero!$A:$A,Heron!$A$5,Xero!$E:$E,Heron!$A32)</f>
        <v/>
      </c>
      <c r="AP32" s="66">
        <f>SUMIFS(Xero!$F:$F,Xero!$B:$B,Heron!AP$9,Xero!$A:$A,Heron!$A$4,Xero!$E:$E,Heron!$A32)+SUMIFS(Xero!$F:$F,Xero!$B:$B,Heron!AP$9,Xero!$A:$A,Heron!$A$5,Xero!$E:$E,Heron!$A32)</f>
        <v/>
      </c>
      <c r="AQ32" s="66">
        <f>SUMIFS(Xero!$F:$F,Xero!$B:$B,Heron!AQ$9,Xero!$A:$A,Heron!$A$4,Xero!$E:$E,Heron!$A32)+SUMIFS(Xero!$F:$F,Xero!$B:$B,Heron!AQ$9,Xero!$A:$A,Heron!$A$5,Xero!$E:$E,Heron!$A32)</f>
        <v/>
      </c>
      <c r="AR32" s="66">
        <f>SUMIFS(Xero!$F:$F,Xero!$B:$B,Heron!AR$9,Xero!$A:$A,Heron!$A$4,Xero!$E:$E,Heron!$A32)+SUMIFS(Xero!$F:$F,Xero!$B:$B,Heron!AR$9,Xero!$A:$A,Heron!$A$5,Xero!$E:$E,Heron!$A32)</f>
        <v/>
      </c>
      <c r="AS32" s="66">
        <f>SUMIFS(Xero!$F:$F,Xero!$B:$B,Heron!AS$9,Xero!$A:$A,Heron!$A$4,Xero!$E:$E,Heron!$A32)+SUMIFS(Xero!$F:$F,Xero!$B:$B,Heron!AS$9,Xero!$A:$A,Heron!$A$5,Xero!$E:$E,Heron!$A32)</f>
        <v/>
      </c>
      <c r="AT32" s="66">
        <f>SUMIFS(Xero!$F:$F,Xero!$B:$B,Heron!AT$9,Xero!$A:$A,Heron!$A$4,Xero!$E:$E,Heron!$A32)+SUMIFS(Xero!$F:$F,Xero!$B:$B,Heron!AT$9,Xero!$A:$A,Heron!$A$5,Xero!$E:$E,Heron!$A32)</f>
        <v/>
      </c>
      <c r="AU32" s="66">
        <f>SUMIFS(Xero!$F:$F,Xero!$B:$B,Heron!AU$9,Xero!$A:$A,Heron!$A$4,Xero!$E:$E,Heron!$A32)+SUMIFS(Xero!$F:$F,Xero!$B:$B,Heron!AU$9,Xero!$A:$A,Heron!$A$5,Xero!$E:$E,Heron!$A32)</f>
        <v/>
      </c>
      <c r="AV32" s="66">
        <f>SUMIFS(Xero!$F:$F,Xero!$B:$B,Heron!AV$9,Xero!$A:$A,Heron!$A$4,Xero!$E:$E,Heron!$A32)+SUMIFS(Xero!$F:$F,Xero!$B:$B,Heron!AV$9,Xero!$A:$A,Heron!$A$5,Xero!$E:$E,Heron!$A32)</f>
        <v/>
      </c>
      <c r="AW32" s="66">
        <f>SUMIFS(Xero!$F:$F,Xero!$B:$B,Heron!AW$9,Xero!$A:$A,Heron!$A$4,Xero!$E:$E,Heron!$A32)+SUMIFS(Xero!$F:$F,Xero!$B:$B,Heron!AW$9,Xero!$A:$A,Heron!$A$5,Xero!$E:$E,Heron!$A32)</f>
        <v/>
      </c>
      <c r="AX32" s="66">
        <f>SUMIFS(Xero!$F:$F,Xero!$B:$B,Heron!AX$9,Xero!$A:$A,Heron!$A$4,Xero!$E:$E,Heron!$A32)+SUMIFS(Xero!$F:$F,Xero!$B:$B,Heron!AX$9,Xero!$A:$A,Heron!$A$5,Xero!$E:$E,Heron!$A32)</f>
        <v/>
      </c>
      <c r="AY32" s="66">
        <f>SUMIFS(Xero!$F:$F,Xero!$B:$B,Heron!AY$9,Xero!$A:$A,Heron!$A$4,Xero!$E:$E,Heron!$A32)+SUMIFS(Xero!$F:$F,Xero!$B:$B,Heron!AY$9,Xero!$A:$A,Heron!$A$5,Xero!$E:$E,Heron!$A32)</f>
        <v/>
      </c>
      <c r="AZ32" s="66">
        <f>SUMIFS(Xero!$F:$F,Xero!$B:$B,Heron!AZ$9,Xero!$A:$A,Heron!$A$4,Xero!$E:$E,Heron!$A32)+SUMIFS(Xero!$F:$F,Xero!$B:$B,Heron!AZ$9,Xero!$A:$A,Heron!$A$5,Xero!$E:$E,Heron!$A32)</f>
        <v/>
      </c>
      <c r="BA32" s="66">
        <f>SUMIFS(Xero!$F:$F,Xero!$B:$B,Heron!BA$9,Xero!$A:$A,Heron!$A$4,Xero!$E:$E,Heron!$A32)+SUMIFS(Xero!$F:$F,Xero!$B:$B,Heron!BA$9,Xero!$A:$A,Heron!$A$5,Xero!$E:$E,Heron!$A32)</f>
        <v/>
      </c>
      <c r="BB32" s="66">
        <f>SUMIFS(Xero!$F:$F,Xero!$B:$B,Heron!BB$9,Xero!$A:$A,Heron!$A$4,Xero!$E:$E,Heron!$A32)+SUMIFS(Xero!$F:$F,Xero!$B:$B,Heron!BB$9,Xero!$A:$A,Heron!$A$5,Xero!$E:$E,Heron!$A32)</f>
        <v/>
      </c>
      <c r="BC32" s="66">
        <f>SUMIFS(Xero!$F:$F,Xero!$B:$B,Heron!BC$9,Xero!$A:$A,Heron!$A$4,Xero!$E:$E,Heron!$A32)+SUMIFS(Xero!$F:$F,Xero!$B:$B,Heron!BC$9,Xero!$A:$A,Heron!$A$5,Xero!$E:$E,Heron!$A32)</f>
        <v/>
      </c>
      <c r="BD32" s="66">
        <f>SUMIFS(Xero!$F:$F,Xero!$B:$B,Heron!BD$9,Xero!$A:$A,Heron!$A$4,Xero!$E:$E,Heron!$A32)+SUMIFS(Xero!$F:$F,Xero!$B:$B,Heron!BD$9,Xero!$A:$A,Heron!$A$5,Xero!$E:$E,Heron!$A32)</f>
        <v/>
      </c>
      <c r="BE32" s="66">
        <f>SUMIFS(Xero!$F:$F,Xero!$B:$B,Heron!BE$9,Xero!$A:$A,Heron!$A$4,Xero!$E:$E,Heron!$A32)+SUMIFS(Xero!$F:$F,Xero!$B:$B,Heron!BE$9,Xero!$A:$A,Heron!$A$5,Xero!$E:$E,Heron!$A32)</f>
        <v/>
      </c>
      <c r="BF32" s="66">
        <f>SUMIFS(Xero!$F:$F,Xero!$B:$B,Heron!BF$9,Xero!$A:$A,Heron!$A$4,Xero!$E:$E,Heron!$A32)+SUMIFS(Xero!$F:$F,Xero!$B:$B,Heron!BF$9,Xero!$A:$A,Heron!$A$5,Xero!$E:$E,Heron!$A32)</f>
        <v/>
      </c>
      <c r="BG32" s="66">
        <f>SUMIFS(Xero!$F:$F,Xero!$B:$B,Heron!BG$9,Xero!$A:$A,Heron!$A$4,Xero!$E:$E,Heron!$A32)+SUMIFS(Xero!$F:$F,Xero!$B:$B,Heron!BG$9,Xero!$A:$A,Heron!$A$5,Xero!$E:$E,Heron!$A32)</f>
        <v/>
      </c>
      <c r="BH32" s="66">
        <f>sum(D32:BG32)</f>
        <v/>
      </c>
    </row>
    <row r="33">
      <c r="A33" s="65" t="inlineStr">
        <is>
          <t>Advertising - Property24</t>
        </is>
      </c>
      <c r="D33" s="66">
        <f>SUMIFS(Xero!$F:$F,Xero!$B:$B,Heron!D$9,Xero!$A:$A,Heron!$A$4,Xero!$E:$E,Heron!$A33)+SUMIFS(Xero!$F:$F,Xero!$B:$B,Heron!D$9,Xero!$A:$A,Heron!$A$5,Xero!$E:$E,Heron!$A33)</f>
        <v/>
      </c>
      <c r="E33" s="66">
        <f>SUMIFS(Xero!$F:$F,Xero!$B:$B,Heron!E$9,Xero!$A:$A,Heron!$A$4,Xero!$E:$E,Heron!$A33)+SUMIFS(Xero!$F:$F,Xero!$B:$B,Heron!E$9,Xero!$A:$A,Heron!$A$5,Xero!$E:$E,Heron!$A33)</f>
        <v/>
      </c>
      <c r="F33" s="66">
        <f>SUMIFS(Xero!$F:$F,Xero!$B:$B,Heron!F$9,Xero!$A:$A,Heron!$A$4,Xero!$E:$E,Heron!$A33)+SUMIFS(Xero!$F:$F,Xero!$B:$B,Heron!F$9,Xero!$A:$A,Heron!$A$5,Xero!$E:$E,Heron!$A33)</f>
        <v/>
      </c>
      <c r="G33" s="66">
        <f>SUMIFS(Xero!$F:$F,Xero!$B:$B,Heron!G$9,Xero!$A:$A,Heron!$A$4,Xero!$E:$E,Heron!$A33)+SUMIFS(Xero!$F:$F,Xero!$B:$B,Heron!G$9,Xero!$A:$A,Heron!$A$5,Xero!$E:$E,Heron!$A33)</f>
        <v/>
      </c>
      <c r="H33" s="66">
        <f>SUMIFS(Xero!$F:$F,Xero!$B:$B,Heron!H$9,Xero!$A:$A,Heron!$A$4,Xero!$E:$E,Heron!$A33)+SUMIFS(Xero!$F:$F,Xero!$B:$B,Heron!H$9,Xero!$A:$A,Heron!$A$5,Xero!$E:$E,Heron!$A33)</f>
        <v/>
      </c>
      <c r="I33" s="66">
        <f>SUMIFS(Xero!$F:$F,Xero!$B:$B,Heron!I$9,Xero!$A:$A,Heron!$A$4,Xero!$E:$E,Heron!$A33)+SUMIFS(Xero!$F:$F,Xero!$B:$B,Heron!I$9,Xero!$A:$A,Heron!$A$5,Xero!$E:$E,Heron!$A33)</f>
        <v/>
      </c>
      <c r="J33" s="66">
        <f>SUMIFS(Xero!$F:$F,Xero!$B:$B,Heron!J$9,Xero!$A:$A,Heron!$A$4,Xero!$E:$E,Heron!$A33)+SUMIFS(Xero!$F:$F,Xero!$B:$B,Heron!J$9,Xero!$A:$A,Heron!$A$5,Xero!$E:$E,Heron!$A33)</f>
        <v/>
      </c>
      <c r="K33" s="66">
        <f>SUMIFS(Xero!$F:$F,Xero!$B:$B,Heron!K$9,Xero!$A:$A,Heron!$A$4,Xero!$E:$E,Heron!$A33)+SUMIFS(Xero!$F:$F,Xero!$B:$B,Heron!K$9,Xero!$A:$A,Heron!$A$5,Xero!$E:$E,Heron!$A33)</f>
        <v/>
      </c>
      <c r="L33" s="66">
        <f>SUMIFS(Xero!$F:$F,Xero!$B:$B,Heron!L$9,Xero!$A:$A,Heron!$A$4,Xero!$E:$E,Heron!$A33)+SUMIFS(Xero!$F:$F,Xero!$B:$B,Heron!L$9,Xero!$A:$A,Heron!$A$5,Xero!$E:$E,Heron!$A33)</f>
        <v/>
      </c>
      <c r="M33" s="66">
        <f>SUMIFS(Xero!$F:$F,Xero!$B:$B,Heron!M$9,Xero!$A:$A,Heron!$A$4,Xero!$E:$E,Heron!$A33)+SUMIFS(Xero!$F:$F,Xero!$B:$B,Heron!M$9,Xero!$A:$A,Heron!$A$5,Xero!$E:$E,Heron!$A33)</f>
        <v/>
      </c>
      <c r="N33" s="66">
        <f>SUMIFS(Xero!$F:$F,Xero!$B:$B,Heron!N$9,Xero!$A:$A,Heron!$A$4,Xero!$E:$E,Heron!$A33)+SUMIFS(Xero!$F:$F,Xero!$B:$B,Heron!N$9,Xero!$A:$A,Heron!$A$5,Xero!$E:$E,Heron!$A33)</f>
        <v/>
      </c>
      <c r="O33" s="66">
        <f>SUMIFS(Xero!$F:$F,Xero!$B:$B,Heron!O$9,Xero!$A:$A,Heron!$A$4,Xero!$E:$E,Heron!$A33)+SUMIFS(Xero!$F:$F,Xero!$B:$B,Heron!O$9,Xero!$A:$A,Heron!$A$5,Xero!$E:$E,Heron!$A33)</f>
        <v/>
      </c>
      <c r="P33" s="66">
        <f>SUMIFS(Xero!$F:$F,Xero!$B:$B,Heron!P$9,Xero!$A:$A,Heron!$A$4,Xero!$E:$E,Heron!$A33)+SUMIFS(Xero!$F:$F,Xero!$B:$B,Heron!P$9,Xero!$A:$A,Heron!$A$5,Xero!$E:$E,Heron!$A33)</f>
        <v/>
      </c>
      <c r="Q33" s="66">
        <f>SUMIFS(Xero!$F:$F,Xero!$B:$B,Heron!Q$9,Xero!$A:$A,Heron!$A$4,Xero!$E:$E,Heron!$A33)+SUMIFS(Xero!$F:$F,Xero!$B:$B,Heron!Q$9,Xero!$A:$A,Heron!$A$5,Xero!$E:$E,Heron!$A33)</f>
        <v/>
      </c>
      <c r="R33" s="66">
        <f>SUMIFS(Xero!$F:$F,Xero!$B:$B,Heron!R$9,Xero!$A:$A,Heron!$A$4,Xero!$E:$E,Heron!$A33)+SUMIFS(Xero!$F:$F,Xero!$B:$B,Heron!R$9,Xero!$A:$A,Heron!$A$5,Xero!$E:$E,Heron!$A33)</f>
        <v/>
      </c>
      <c r="S33" s="66">
        <f>SUMIFS(Xero!$F:$F,Xero!$B:$B,Heron!S$9,Xero!$A:$A,Heron!$A$4,Xero!$E:$E,Heron!$A33)+SUMIFS(Xero!$F:$F,Xero!$B:$B,Heron!S$9,Xero!$A:$A,Heron!$A$5,Xero!$E:$E,Heron!$A33)</f>
        <v/>
      </c>
      <c r="T33" s="66">
        <f>SUMIFS(Xero!$F:$F,Xero!$B:$B,Heron!T$9,Xero!$A:$A,Heron!$A$4,Xero!$E:$E,Heron!$A33)+SUMIFS(Xero!$F:$F,Xero!$B:$B,Heron!T$9,Xero!$A:$A,Heron!$A$5,Xero!$E:$E,Heron!$A33)</f>
        <v/>
      </c>
      <c r="U33" s="66">
        <f>SUMIFS(Xero!$F:$F,Xero!$B:$B,Heron!U$9,Xero!$A:$A,Heron!$A$4,Xero!$E:$E,Heron!$A33)+SUMIFS(Xero!$F:$F,Xero!$B:$B,Heron!U$9,Xero!$A:$A,Heron!$A$5,Xero!$E:$E,Heron!$A33)</f>
        <v/>
      </c>
      <c r="V33" s="66">
        <f>SUMIFS(Xero!$F:$F,Xero!$B:$B,Heron!V$9,Xero!$A:$A,Heron!$A$4,Xero!$E:$E,Heron!$A33)+SUMIFS(Xero!$F:$F,Xero!$B:$B,Heron!V$9,Xero!$A:$A,Heron!$A$5,Xero!$E:$E,Heron!$A33)</f>
        <v/>
      </c>
      <c r="W33" s="66">
        <f>SUMIFS(Xero!$F:$F,Xero!$B:$B,Heron!W$9,Xero!$A:$A,Heron!$A$4,Xero!$E:$E,Heron!$A33)+SUMIFS(Xero!$F:$F,Xero!$B:$B,Heron!W$9,Xero!$A:$A,Heron!$A$5,Xero!$E:$E,Heron!$A33)</f>
        <v/>
      </c>
      <c r="X33" s="66">
        <f>SUMIFS(Xero!$F:$F,Xero!$B:$B,Heron!X$9,Xero!$A:$A,Heron!$A$4,Xero!$E:$E,Heron!$A33)+SUMIFS(Xero!$F:$F,Xero!$B:$B,Heron!X$9,Xero!$A:$A,Heron!$A$5,Xero!$E:$E,Heron!$A33)</f>
        <v/>
      </c>
      <c r="Y33" s="66">
        <f>SUMIFS(Xero!$F:$F,Xero!$B:$B,Heron!Y$9,Xero!$A:$A,Heron!$A$4,Xero!$E:$E,Heron!$A33)+SUMIFS(Xero!$F:$F,Xero!$B:$B,Heron!Y$9,Xero!$A:$A,Heron!$A$5,Xero!$E:$E,Heron!$A33)</f>
        <v/>
      </c>
      <c r="Z33" s="66">
        <f>SUMIFS(Xero!$F:$F,Xero!$B:$B,Heron!Z$9,Xero!$A:$A,Heron!$A$4,Xero!$E:$E,Heron!$A33)+SUMIFS(Xero!$F:$F,Xero!$B:$B,Heron!Z$9,Xero!$A:$A,Heron!$A$5,Xero!$E:$E,Heron!$A33)</f>
        <v/>
      </c>
      <c r="AA33" s="66">
        <f>SUMIFS(Xero!$F:$F,Xero!$B:$B,Heron!AA$9,Xero!$A:$A,Heron!$A$4,Xero!$E:$E,Heron!$A33)+SUMIFS(Xero!$F:$F,Xero!$B:$B,Heron!AA$9,Xero!$A:$A,Heron!$A$5,Xero!$E:$E,Heron!$A33)</f>
        <v/>
      </c>
      <c r="AB33" s="66">
        <f>SUMIFS(Xero!$F:$F,Xero!$B:$B,Heron!AB$9,Xero!$A:$A,Heron!$A$4,Xero!$E:$E,Heron!$A33)+SUMIFS(Xero!$F:$F,Xero!$B:$B,Heron!AB$9,Xero!$A:$A,Heron!$A$5,Xero!$E:$E,Heron!$A33)</f>
        <v/>
      </c>
      <c r="AC33" s="66">
        <f>SUMIFS(Xero!$F:$F,Xero!$B:$B,Heron!AC$9,Xero!$A:$A,Heron!$A$4,Xero!$E:$E,Heron!$A33)+SUMIFS(Xero!$F:$F,Xero!$B:$B,Heron!AC$9,Xero!$A:$A,Heron!$A$5,Xero!$E:$E,Heron!$A33)</f>
        <v/>
      </c>
      <c r="AD33" s="66">
        <f>SUMIFS(Xero!$F:$F,Xero!$B:$B,Heron!AD$9,Xero!$A:$A,Heron!$A$4,Xero!$E:$E,Heron!$A33)+SUMIFS(Xero!$F:$F,Xero!$B:$B,Heron!AD$9,Xero!$A:$A,Heron!$A$5,Xero!$E:$E,Heron!$A33)</f>
        <v/>
      </c>
      <c r="AE33" s="66">
        <f>SUMIFS(Xero!$F:$F,Xero!$B:$B,Heron!AE$9,Xero!$A:$A,Heron!$A$4,Xero!$E:$E,Heron!$A33)+SUMIFS(Xero!$F:$F,Xero!$B:$B,Heron!AE$9,Xero!$A:$A,Heron!$A$5,Xero!$E:$E,Heron!$A33)</f>
        <v/>
      </c>
      <c r="AF33" s="66">
        <f>SUMIFS(Xero!$F:$F,Xero!$B:$B,Heron!AF$9,Xero!$A:$A,Heron!$A$4,Xero!$E:$E,Heron!$A33)+SUMIFS(Xero!$F:$F,Xero!$B:$B,Heron!AF$9,Xero!$A:$A,Heron!$A$5,Xero!$E:$E,Heron!$A33)</f>
        <v/>
      </c>
      <c r="AG33" s="66">
        <f>SUMIFS(Xero!$F:$F,Xero!$B:$B,Heron!AG$9,Xero!$A:$A,Heron!$A$4,Xero!$E:$E,Heron!$A33)+SUMIFS(Xero!$F:$F,Xero!$B:$B,Heron!AG$9,Xero!$A:$A,Heron!$A$5,Xero!$E:$E,Heron!$A33)</f>
        <v/>
      </c>
      <c r="AH33" s="66">
        <f>SUMIFS(Xero!$F:$F,Xero!$B:$B,Heron!AH$9,Xero!$A:$A,Heron!$A$4,Xero!$E:$E,Heron!$A33)+SUMIFS(Xero!$F:$F,Xero!$B:$B,Heron!AH$9,Xero!$A:$A,Heron!$A$5,Xero!$E:$E,Heron!$A33)</f>
        <v/>
      </c>
      <c r="AI33" s="66">
        <f>SUMIFS(Xero!$F:$F,Xero!$B:$B,Heron!AI$9,Xero!$A:$A,Heron!$A$4,Xero!$E:$E,Heron!$A33)+SUMIFS(Xero!$F:$F,Xero!$B:$B,Heron!AI$9,Xero!$A:$A,Heron!$A$5,Xero!$E:$E,Heron!$A33)</f>
        <v/>
      </c>
      <c r="AJ33" s="66">
        <f>SUMIFS(Xero!$F:$F,Xero!$B:$B,Heron!AJ$9,Xero!$A:$A,Heron!$A$4,Xero!$E:$E,Heron!$A33)+SUMIFS(Xero!$F:$F,Xero!$B:$B,Heron!AJ$9,Xero!$A:$A,Heron!$A$5,Xero!$E:$E,Heron!$A33)</f>
        <v/>
      </c>
      <c r="AK33" s="66">
        <f>SUMIFS(Xero!$F:$F,Xero!$B:$B,Heron!AK$9,Xero!$A:$A,Heron!$A$4,Xero!$E:$E,Heron!$A33)+SUMIFS(Xero!$F:$F,Xero!$B:$B,Heron!AK$9,Xero!$A:$A,Heron!$A$5,Xero!$E:$E,Heron!$A33)</f>
        <v/>
      </c>
      <c r="AL33" s="66">
        <f>SUMIFS(Xero!$F:$F,Xero!$B:$B,Heron!AL$9,Xero!$A:$A,Heron!$A$4,Xero!$E:$E,Heron!$A33)+SUMIFS(Xero!$F:$F,Xero!$B:$B,Heron!AL$9,Xero!$A:$A,Heron!$A$5,Xero!$E:$E,Heron!$A33)</f>
        <v/>
      </c>
      <c r="AM33" s="66">
        <f>SUMIFS(Xero!$F:$F,Xero!$B:$B,Heron!AM$9,Xero!$A:$A,Heron!$A$4,Xero!$E:$E,Heron!$A33)+SUMIFS(Xero!$F:$F,Xero!$B:$B,Heron!AM$9,Xero!$A:$A,Heron!$A$5,Xero!$E:$E,Heron!$A33)</f>
        <v/>
      </c>
      <c r="AN33" s="66">
        <f>SUMIFS(Xero!$F:$F,Xero!$B:$B,Heron!AN$9,Xero!$A:$A,Heron!$A$4,Xero!$E:$E,Heron!$A33)+SUMIFS(Xero!$F:$F,Xero!$B:$B,Heron!AN$9,Xero!$A:$A,Heron!$A$5,Xero!$E:$E,Heron!$A33)</f>
        <v/>
      </c>
      <c r="AO33" s="66">
        <f>SUMIFS(Xero!$F:$F,Xero!$B:$B,Heron!AO$9,Xero!$A:$A,Heron!$A$4,Xero!$E:$E,Heron!$A33)+SUMIFS(Xero!$F:$F,Xero!$B:$B,Heron!AO$9,Xero!$A:$A,Heron!$A$5,Xero!$E:$E,Heron!$A33)</f>
        <v/>
      </c>
      <c r="AP33" s="66">
        <f>SUMIFS(Xero!$F:$F,Xero!$B:$B,Heron!AP$9,Xero!$A:$A,Heron!$A$4,Xero!$E:$E,Heron!$A33)+SUMIFS(Xero!$F:$F,Xero!$B:$B,Heron!AP$9,Xero!$A:$A,Heron!$A$5,Xero!$E:$E,Heron!$A33)</f>
        <v/>
      </c>
      <c r="AQ33" s="66">
        <f>SUMIFS(Xero!$F:$F,Xero!$B:$B,Heron!AQ$9,Xero!$A:$A,Heron!$A$4,Xero!$E:$E,Heron!$A33)+SUMIFS(Xero!$F:$F,Xero!$B:$B,Heron!AQ$9,Xero!$A:$A,Heron!$A$5,Xero!$E:$E,Heron!$A33)</f>
        <v/>
      </c>
      <c r="AR33" s="66">
        <f>SUMIFS(Xero!$F:$F,Xero!$B:$B,Heron!AR$9,Xero!$A:$A,Heron!$A$4,Xero!$E:$E,Heron!$A33)+SUMIFS(Xero!$F:$F,Xero!$B:$B,Heron!AR$9,Xero!$A:$A,Heron!$A$5,Xero!$E:$E,Heron!$A33)</f>
        <v/>
      </c>
      <c r="AS33" s="66">
        <f>SUMIFS(Xero!$F:$F,Xero!$B:$B,Heron!AS$9,Xero!$A:$A,Heron!$A$4,Xero!$E:$E,Heron!$A33)+SUMIFS(Xero!$F:$F,Xero!$B:$B,Heron!AS$9,Xero!$A:$A,Heron!$A$5,Xero!$E:$E,Heron!$A33)</f>
        <v/>
      </c>
      <c r="AT33" s="66">
        <f>SUMIFS(Xero!$F:$F,Xero!$B:$B,Heron!AT$9,Xero!$A:$A,Heron!$A$4,Xero!$E:$E,Heron!$A33)+SUMIFS(Xero!$F:$F,Xero!$B:$B,Heron!AT$9,Xero!$A:$A,Heron!$A$5,Xero!$E:$E,Heron!$A33)</f>
        <v/>
      </c>
      <c r="AU33" s="66">
        <f>SUMIFS(Xero!$F:$F,Xero!$B:$B,Heron!AU$9,Xero!$A:$A,Heron!$A$4,Xero!$E:$E,Heron!$A33)+SUMIFS(Xero!$F:$F,Xero!$B:$B,Heron!AU$9,Xero!$A:$A,Heron!$A$5,Xero!$E:$E,Heron!$A33)</f>
        <v/>
      </c>
      <c r="AV33" s="66">
        <f>SUMIFS(Xero!$F:$F,Xero!$B:$B,Heron!AV$9,Xero!$A:$A,Heron!$A$4,Xero!$E:$E,Heron!$A33)+SUMIFS(Xero!$F:$F,Xero!$B:$B,Heron!AV$9,Xero!$A:$A,Heron!$A$5,Xero!$E:$E,Heron!$A33)</f>
        <v/>
      </c>
      <c r="AW33" s="66">
        <f>SUMIFS(Xero!$F:$F,Xero!$B:$B,Heron!AW$9,Xero!$A:$A,Heron!$A$4,Xero!$E:$E,Heron!$A33)+SUMIFS(Xero!$F:$F,Xero!$B:$B,Heron!AW$9,Xero!$A:$A,Heron!$A$5,Xero!$E:$E,Heron!$A33)</f>
        <v/>
      </c>
      <c r="AX33" s="66">
        <f>SUMIFS(Xero!$F:$F,Xero!$B:$B,Heron!AX$9,Xero!$A:$A,Heron!$A$4,Xero!$E:$E,Heron!$A33)+SUMIFS(Xero!$F:$F,Xero!$B:$B,Heron!AX$9,Xero!$A:$A,Heron!$A$5,Xero!$E:$E,Heron!$A33)</f>
        <v/>
      </c>
      <c r="AY33" s="66">
        <f>SUMIFS(Xero!$F:$F,Xero!$B:$B,Heron!AY$9,Xero!$A:$A,Heron!$A$4,Xero!$E:$E,Heron!$A33)+SUMIFS(Xero!$F:$F,Xero!$B:$B,Heron!AY$9,Xero!$A:$A,Heron!$A$5,Xero!$E:$E,Heron!$A33)</f>
        <v/>
      </c>
      <c r="AZ33" s="66">
        <f>SUMIFS(Xero!$F:$F,Xero!$B:$B,Heron!AZ$9,Xero!$A:$A,Heron!$A$4,Xero!$E:$E,Heron!$A33)+SUMIFS(Xero!$F:$F,Xero!$B:$B,Heron!AZ$9,Xero!$A:$A,Heron!$A$5,Xero!$E:$E,Heron!$A33)</f>
        <v/>
      </c>
      <c r="BA33" s="66">
        <f>SUMIFS(Xero!$F:$F,Xero!$B:$B,Heron!BA$9,Xero!$A:$A,Heron!$A$4,Xero!$E:$E,Heron!$A33)+SUMIFS(Xero!$F:$F,Xero!$B:$B,Heron!BA$9,Xero!$A:$A,Heron!$A$5,Xero!$E:$E,Heron!$A33)</f>
        <v/>
      </c>
      <c r="BB33" s="66">
        <f>SUMIFS(Xero!$F:$F,Xero!$B:$B,Heron!BB$9,Xero!$A:$A,Heron!$A$4,Xero!$E:$E,Heron!$A33)+SUMIFS(Xero!$F:$F,Xero!$B:$B,Heron!BB$9,Xero!$A:$A,Heron!$A$5,Xero!$E:$E,Heron!$A33)</f>
        <v/>
      </c>
      <c r="BC33" s="66">
        <f>SUMIFS(Xero!$F:$F,Xero!$B:$B,Heron!BC$9,Xero!$A:$A,Heron!$A$4,Xero!$E:$E,Heron!$A33)+SUMIFS(Xero!$F:$F,Xero!$B:$B,Heron!BC$9,Xero!$A:$A,Heron!$A$5,Xero!$E:$E,Heron!$A33)</f>
        <v/>
      </c>
      <c r="BD33" s="66">
        <f>SUMIFS(Xero!$F:$F,Xero!$B:$B,Heron!BD$9,Xero!$A:$A,Heron!$A$4,Xero!$E:$E,Heron!$A33)+SUMIFS(Xero!$F:$F,Xero!$B:$B,Heron!BD$9,Xero!$A:$A,Heron!$A$5,Xero!$E:$E,Heron!$A33)</f>
        <v/>
      </c>
      <c r="BE33" s="66">
        <f>SUMIFS(Xero!$F:$F,Xero!$B:$B,Heron!BE$9,Xero!$A:$A,Heron!$A$4,Xero!$E:$E,Heron!$A33)+SUMIFS(Xero!$F:$F,Xero!$B:$B,Heron!BE$9,Xero!$A:$A,Heron!$A$5,Xero!$E:$E,Heron!$A33)</f>
        <v/>
      </c>
      <c r="BF33" s="66">
        <f>SUMIFS(Xero!$F:$F,Xero!$B:$B,Heron!BF$9,Xero!$A:$A,Heron!$A$4,Xero!$E:$E,Heron!$A33)+SUMIFS(Xero!$F:$F,Xero!$B:$B,Heron!BF$9,Xero!$A:$A,Heron!$A$5,Xero!$E:$E,Heron!$A33)</f>
        <v/>
      </c>
      <c r="BG33" s="66">
        <f>SUMIFS(Xero!$F:$F,Xero!$B:$B,Heron!BG$9,Xero!$A:$A,Heron!$A$4,Xero!$E:$E,Heron!$A33)+SUMIFS(Xero!$F:$F,Xero!$B:$B,Heron!BG$9,Xero!$A:$A,Heron!$A$5,Xero!$E:$E,Heron!$A33)</f>
        <v/>
      </c>
      <c r="BH33" s="66">
        <f>sum(D33:BG33)</f>
        <v/>
      </c>
    </row>
    <row r="34">
      <c r="A34" s="65" t="inlineStr">
        <is>
          <t>Advertising - Pure Brand Activation</t>
        </is>
      </c>
      <c r="D34" s="66">
        <f>SUMIFS(Xero!$F:$F,Xero!$B:$B,Heron!D$9,Xero!$A:$A,Heron!$A$4,Xero!$E:$E,Heron!$A34)+SUMIFS(Xero!$F:$F,Xero!$B:$B,Heron!D$9,Xero!$A:$A,Heron!$A$5,Xero!$E:$E,Heron!$A34)</f>
        <v/>
      </c>
      <c r="E34" s="66">
        <f>SUMIFS(Xero!$F:$F,Xero!$B:$B,Heron!E$9,Xero!$A:$A,Heron!$A$4,Xero!$E:$E,Heron!$A34)+SUMIFS(Xero!$F:$F,Xero!$B:$B,Heron!E$9,Xero!$A:$A,Heron!$A$5,Xero!$E:$E,Heron!$A34)</f>
        <v/>
      </c>
      <c r="F34" s="66">
        <f>SUMIFS(Xero!$F:$F,Xero!$B:$B,Heron!F$9,Xero!$A:$A,Heron!$A$4,Xero!$E:$E,Heron!$A34)+SUMIFS(Xero!$F:$F,Xero!$B:$B,Heron!F$9,Xero!$A:$A,Heron!$A$5,Xero!$E:$E,Heron!$A34)</f>
        <v/>
      </c>
      <c r="G34" s="66">
        <f>SUMIFS(Xero!$F:$F,Xero!$B:$B,Heron!G$9,Xero!$A:$A,Heron!$A$4,Xero!$E:$E,Heron!$A34)+SUMIFS(Xero!$F:$F,Xero!$B:$B,Heron!G$9,Xero!$A:$A,Heron!$A$5,Xero!$E:$E,Heron!$A34)</f>
        <v/>
      </c>
      <c r="H34" s="66">
        <f>SUMIFS(Xero!$F:$F,Xero!$B:$B,Heron!H$9,Xero!$A:$A,Heron!$A$4,Xero!$E:$E,Heron!$A34)+SUMIFS(Xero!$F:$F,Xero!$B:$B,Heron!H$9,Xero!$A:$A,Heron!$A$5,Xero!$E:$E,Heron!$A34)</f>
        <v/>
      </c>
      <c r="I34" s="66">
        <f>SUMIFS(Xero!$F:$F,Xero!$B:$B,Heron!I$9,Xero!$A:$A,Heron!$A$4,Xero!$E:$E,Heron!$A34)+SUMIFS(Xero!$F:$F,Xero!$B:$B,Heron!I$9,Xero!$A:$A,Heron!$A$5,Xero!$E:$E,Heron!$A34)</f>
        <v/>
      </c>
      <c r="J34" s="66">
        <f>SUMIFS(Xero!$F:$F,Xero!$B:$B,Heron!J$9,Xero!$A:$A,Heron!$A$4,Xero!$E:$E,Heron!$A34)+SUMIFS(Xero!$F:$F,Xero!$B:$B,Heron!J$9,Xero!$A:$A,Heron!$A$5,Xero!$E:$E,Heron!$A34)</f>
        <v/>
      </c>
      <c r="K34" s="66">
        <f>SUMIFS(Xero!$F:$F,Xero!$B:$B,Heron!K$9,Xero!$A:$A,Heron!$A$4,Xero!$E:$E,Heron!$A34)+SUMIFS(Xero!$F:$F,Xero!$B:$B,Heron!K$9,Xero!$A:$A,Heron!$A$5,Xero!$E:$E,Heron!$A34)</f>
        <v/>
      </c>
      <c r="L34" s="66">
        <f>SUMIFS(Xero!$F:$F,Xero!$B:$B,Heron!L$9,Xero!$A:$A,Heron!$A$4,Xero!$E:$E,Heron!$A34)+SUMIFS(Xero!$F:$F,Xero!$B:$B,Heron!L$9,Xero!$A:$A,Heron!$A$5,Xero!$E:$E,Heron!$A34)</f>
        <v/>
      </c>
      <c r="M34" s="66">
        <f>SUMIFS(Xero!$F:$F,Xero!$B:$B,Heron!M$9,Xero!$A:$A,Heron!$A$4,Xero!$E:$E,Heron!$A34)+SUMIFS(Xero!$F:$F,Xero!$B:$B,Heron!M$9,Xero!$A:$A,Heron!$A$5,Xero!$E:$E,Heron!$A34)</f>
        <v/>
      </c>
      <c r="N34" s="66">
        <f>SUMIFS(Xero!$F:$F,Xero!$B:$B,Heron!N$9,Xero!$A:$A,Heron!$A$4,Xero!$E:$E,Heron!$A34)+SUMIFS(Xero!$F:$F,Xero!$B:$B,Heron!N$9,Xero!$A:$A,Heron!$A$5,Xero!$E:$E,Heron!$A34)</f>
        <v/>
      </c>
      <c r="O34" s="66">
        <f>SUMIFS(Xero!$F:$F,Xero!$B:$B,Heron!O$9,Xero!$A:$A,Heron!$A$4,Xero!$E:$E,Heron!$A34)+SUMIFS(Xero!$F:$F,Xero!$B:$B,Heron!O$9,Xero!$A:$A,Heron!$A$5,Xero!$E:$E,Heron!$A34)</f>
        <v/>
      </c>
      <c r="P34" s="66">
        <f>SUMIFS(Xero!$F:$F,Xero!$B:$B,Heron!P$9,Xero!$A:$A,Heron!$A$4,Xero!$E:$E,Heron!$A34)+SUMIFS(Xero!$F:$F,Xero!$B:$B,Heron!P$9,Xero!$A:$A,Heron!$A$5,Xero!$E:$E,Heron!$A34)</f>
        <v/>
      </c>
      <c r="Q34" s="66">
        <f>SUMIFS(Xero!$F:$F,Xero!$B:$B,Heron!Q$9,Xero!$A:$A,Heron!$A$4,Xero!$E:$E,Heron!$A34)+SUMIFS(Xero!$F:$F,Xero!$B:$B,Heron!Q$9,Xero!$A:$A,Heron!$A$5,Xero!$E:$E,Heron!$A34)</f>
        <v/>
      </c>
      <c r="R34" s="66">
        <f>SUMIFS(Xero!$F:$F,Xero!$B:$B,Heron!R$9,Xero!$A:$A,Heron!$A$4,Xero!$E:$E,Heron!$A34)+SUMIFS(Xero!$F:$F,Xero!$B:$B,Heron!R$9,Xero!$A:$A,Heron!$A$5,Xero!$E:$E,Heron!$A34)</f>
        <v/>
      </c>
      <c r="S34" s="66">
        <f>SUMIFS(Xero!$F:$F,Xero!$B:$B,Heron!S$9,Xero!$A:$A,Heron!$A$4,Xero!$E:$E,Heron!$A34)+SUMIFS(Xero!$F:$F,Xero!$B:$B,Heron!S$9,Xero!$A:$A,Heron!$A$5,Xero!$E:$E,Heron!$A34)</f>
        <v/>
      </c>
      <c r="T34" s="66">
        <f>SUMIFS(Xero!$F:$F,Xero!$B:$B,Heron!T$9,Xero!$A:$A,Heron!$A$4,Xero!$E:$E,Heron!$A34)+SUMIFS(Xero!$F:$F,Xero!$B:$B,Heron!T$9,Xero!$A:$A,Heron!$A$5,Xero!$E:$E,Heron!$A34)</f>
        <v/>
      </c>
      <c r="U34" s="66">
        <f>SUMIFS(Xero!$F:$F,Xero!$B:$B,Heron!U$9,Xero!$A:$A,Heron!$A$4,Xero!$E:$E,Heron!$A34)+SUMIFS(Xero!$F:$F,Xero!$B:$B,Heron!U$9,Xero!$A:$A,Heron!$A$5,Xero!$E:$E,Heron!$A34)</f>
        <v/>
      </c>
      <c r="V34" s="66">
        <f>SUMIFS(Xero!$F:$F,Xero!$B:$B,Heron!V$9,Xero!$A:$A,Heron!$A$4,Xero!$E:$E,Heron!$A34)+SUMIFS(Xero!$F:$F,Xero!$B:$B,Heron!V$9,Xero!$A:$A,Heron!$A$5,Xero!$E:$E,Heron!$A34)</f>
        <v/>
      </c>
      <c r="W34" s="66">
        <f>SUMIFS(Xero!$F:$F,Xero!$B:$B,Heron!W$9,Xero!$A:$A,Heron!$A$4,Xero!$E:$E,Heron!$A34)+SUMIFS(Xero!$F:$F,Xero!$B:$B,Heron!W$9,Xero!$A:$A,Heron!$A$5,Xero!$E:$E,Heron!$A34)</f>
        <v/>
      </c>
      <c r="X34" s="66">
        <f>SUMIFS(Xero!$F:$F,Xero!$B:$B,Heron!X$9,Xero!$A:$A,Heron!$A$4,Xero!$E:$E,Heron!$A34)+SUMIFS(Xero!$F:$F,Xero!$B:$B,Heron!X$9,Xero!$A:$A,Heron!$A$5,Xero!$E:$E,Heron!$A34)</f>
        <v/>
      </c>
      <c r="Y34" s="66">
        <f>SUMIFS(Xero!$F:$F,Xero!$B:$B,Heron!Y$9,Xero!$A:$A,Heron!$A$4,Xero!$E:$E,Heron!$A34)+SUMIFS(Xero!$F:$F,Xero!$B:$B,Heron!Y$9,Xero!$A:$A,Heron!$A$5,Xero!$E:$E,Heron!$A34)</f>
        <v/>
      </c>
      <c r="Z34" s="66">
        <f>SUMIFS(Xero!$F:$F,Xero!$B:$B,Heron!Z$9,Xero!$A:$A,Heron!$A$4,Xero!$E:$E,Heron!$A34)+SUMIFS(Xero!$F:$F,Xero!$B:$B,Heron!Z$9,Xero!$A:$A,Heron!$A$5,Xero!$E:$E,Heron!$A34)</f>
        <v/>
      </c>
      <c r="AA34" s="66">
        <f>SUMIFS(Xero!$F:$F,Xero!$B:$B,Heron!AA$9,Xero!$A:$A,Heron!$A$4,Xero!$E:$E,Heron!$A34)+SUMIFS(Xero!$F:$F,Xero!$B:$B,Heron!AA$9,Xero!$A:$A,Heron!$A$5,Xero!$E:$E,Heron!$A34)</f>
        <v/>
      </c>
      <c r="AB34" s="66">
        <f>SUMIFS(Xero!$F:$F,Xero!$B:$B,Heron!AB$9,Xero!$A:$A,Heron!$A$4,Xero!$E:$E,Heron!$A34)+SUMIFS(Xero!$F:$F,Xero!$B:$B,Heron!AB$9,Xero!$A:$A,Heron!$A$5,Xero!$E:$E,Heron!$A34)</f>
        <v/>
      </c>
      <c r="AC34" s="66">
        <f>SUMIFS(Xero!$F:$F,Xero!$B:$B,Heron!AC$9,Xero!$A:$A,Heron!$A$4,Xero!$E:$E,Heron!$A34)+SUMIFS(Xero!$F:$F,Xero!$B:$B,Heron!AC$9,Xero!$A:$A,Heron!$A$5,Xero!$E:$E,Heron!$A34)</f>
        <v/>
      </c>
      <c r="AD34" s="66">
        <f>SUMIFS(Xero!$F:$F,Xero!$B:$B,Heron!AD$9,Xero!$A:$A,Heron!$A$4,Xero!$E:$E,Heron!$A34)+SUMIFS(Xero!$F:$F,Xero!$B:$B,Heron!AD$9,Xero!$A:$A,Heron!$A$5,Xero!$E:$E,Heron!$A34)</f>
        <v/>
      </c>
      <c r="AE34" s="66">
        <f>SUMIFS(Xero!$F:$F,Xero!$B:$B,Heron!AE$9,Xero!$A:$A,Heron!$A$4,Xero!$E:$E,Heron!$A34)+SUMIFS(Xero!$F:$F,Xero!$B:$B,Heron!AE$9,Xero!$A:$A,Heron!$A$5,Xero!$E:$E,Heron!$A34)</f>
        <v/>
      </c>
      <c r="AF34" s="66">
        <f>SUMIFS(Xero!$F:$F,Xero!$B:$B,Heron!AF$9,Xero!$A:$A,Heron!$A$4,Xero!$E:$E,Heron!$A34)+SUMIFS(Xero!$F:$F,Xero!$B:$B,Heron!AF$9,Xero!$A:$A,Heron!$A$5,Xero!$E:$E,Heron!$A34)</f>
        <v/>
      </c>
      <c r="AG34" s="66">
        <f>SUMIFS(Xero!$F:$F,Xero!$B:$B,Heron!AG$9,Xero!$A:$A,Heron!$A$4,Xero!$E:$E,Heron!$A34)+SUMIFS(Xero!$F:$F,Xero!$B:$B,Heron!AG$9,Xero!$A:$A,Heron!$A$5,Xero!$E:$E,Heron!$A34)</f>
        <v/>
      </c>
      <c r="AH34" s="66">
        <f>SUMIFS(Xero!$F:$F,Xero!$B:$B,Heron!AH$9,Xero!$A:$A,Heron!$A$4,Xero!$E:$E,Heron!$A34)+SUMIFS(Xero!$F:$F,Xero!$B:$B,Heron!AH$9,Xero!$A:$A,Heron!$A$5,Xero!$E:$E,Heron!$A34)</f>
        <v/>
      </c>
      <c r="AI34" s="66">
        <f>SUMIFS(Xero!$F:$F,Xero!$B:$B,Heron!AI$9,Xero!$A:$A,Heron!$A$4,Xero!$E:$E,Heron!$A34)+SUMIFS(Xero!$F:$F,Xero!$B:$B,Heron!AI$9,Xero!$A:$A,Heron!$A$5,Xero!$E:$E,Heron!$A34)</f>
        <v/>
      </c>
      <c r="AJ34" s="66">
        <f>SUMIFS(Xero!$F:$F,Xero!$B:$B,Heron!AJ$9,Xero!$A:$A,Heron!$A$4,Xero!$E:$E,Heron!$A34)+SUMIFS(Xero!$F:$F,Xero!$B:$B,Heron!AJ$9,Xero!$A:$A,Heron!$A$5,Xero!$E:$E,Heron!$A34)</f>
        <v/>
      </c>
      <c r="AK34" s="66">
        <f>SUMIFS(Xero!$F:$F,Xero!$B:$B,Heron!AK$9,Xero!$A:$A,Heron!$A$4,Xero!$E:$E,Heron!$A34)+SUMIFS(Xero!$F:$F,Xero!$B:$B,Heron!AK$9,Xero!$A:$A,Heron!$A$5,Xero!$E:$E,Heron!$A34)</f>
        <v/>
      </c>
      <c r="AL34" s="66">
        <f>SUMIFS(Xero!$F:$F,Xero!$B:$B,Heron!AL$9,Xero!$A:$A,Heron!$A$4,Xero!$E:$E,Heron!$A34)+SUMIFS(Xero!$F:$F,Xero!$B:$B,Heron!AL$9,Xero!$A:$A,Heron!$A$5,Xero!$E:$E,Heron!$A34)</f>
        <v/>
      </c>
      <c r="AM34" s="66">
        <f>SUMIFS(Xero!$F:$F,Xero!$B:$B,Heron!AM$9,Xero!$A:$A,Heron!$A$4,Xero!$E:$E,Heron!$A34)+SUMIFS(Xero!$F:$F,Xero!$B:$B,Heron!AM$9,Xero!$A:$A,Heron!$A$5,Xero!$E:$E,Heron!$A34)</f>
        <v/>
      </c>
      <c r="AN34" s="66">
        <f>SUMIFS(Xero!$F:$F,Xero!$B:$B,Heron!AN$9,Xero!$A:$A,Heron!$A$4,Xero!$E:$E,Heron!$A34)+SUMIFS(Xero!$F:$F,Xero!$B:$B,Heron!AN$9,Xero!$A:$A,Heron!$A$5,Xero!$E:$E,Heron!$A34)</f>
        <v/>
      </c>
      <c r="AO34" s="66">
        <f>SUMIFS(Xero!$F:$F,Xero!$B:$B,Heron!AO$9,Xero!$A:$A,Heron!$A$4,Xero!$E:$E,Heron!$A34)+SUMIFS(Xero!$F:$F,Xero!$B:$B,Heron!AO$9,Xero!$A:$A,Heron!$A$5,Xero!$E:$E,Heron!$A34)</f>
        <v/>
      </c>
      <c r="AP34" s="66">
        <f>SUMIFS(Xero!$F:$F,Xero!$B:$B,Heron!AP$9,Xero!$A:$A,Heron!$A$4,Xero!$E:$E,Heron!$A34)+SUMIFS(Xero!$F:$F,Xero!$B:$B,Heron!AP$9,Xero!$A:$A,Heron!$A$5,Xero!$E:$E,Heron!$A34)</f>
        <v/>
      </c>
      <c r="AQ34" s="66">
        <f>SUMIFS(Xero!$F:$F,Xero!$B:$B,Heron!AQ$9,Xero!$A:$A,Heron!$A$4,Xero!$E:$E,Heron!$A34)+SUMIFS(Xero!$F:$F,Xero!$B:$B,Heron!AQ$9,Xero!$A:$A,Heron!$A$5,Xero!$E:$E,Heron!$A34)</f>
        <v/>
      </c>
      <c r="AR34" s="66">
        <f>SUMIFS(Xero!$F:$F,Xero!$B:$B,Heron!AR$9,Xero!$A:$A,Heron!$A$4,Xero!$E:$E,Heron!$A34)+SUMIFS(Xero!$F:$F,Xero!$B:$B,Heron!AR$9,Xero!$A:$A,Heron!$A$5,Xero!$E:$E,Heron!$A34)</f>
        <v/>
      </c>
      <c r="AS34" s="66">
        <f>SUMIFS(Xero!$F:$F,Xero!$B:$B,Heron!AS$9,Xero!$A:$A,Heron!$A$4,Xero!$E:$E,Heron!$A34)+SUMIFS(Xero!$F:$F,Xero!$B:$B,Heron!AS$9,Xero!$A:$A,Heron!$A$5,Xero!$E:$E,Heron!$A34)</f>
        <v/>
      </c>
      <c r="AT34" s="66">
        <f>SUMIFS(Xero!$F:$F,Xero!$B:$B,Heron!AT$9,Xero!$A:$A,Heron!$A$4,Xero!$E:$E,Heron!$A34)+SUMIFS(Xero!$F:$F,Xero!$B:$B,Heron!AT$9,Xero!$A:$A,Heron!$A$5,Xero!$E:$E,Heron!$A34)</f>
        <v/>
      </c>
      <c r="AU34" s="66">
        <f>SUMIFS(Xero!$F:$F,Xero!$B:$B,Heron!AU$9,Xero!$A:$A,Heron!$A$4,Xero!$E:$E,Heron!$A34)+SUMIFS(Xero!$F:$F,Xero!$B:$B,Heron!AU$9,Xero!$A:$A,Heron!$A$5,Xero!$E:$E,Heron!$A34)</f>
        <v/>
      </c>
      <c r="AV34" s="66">
        <f>SUMIFS(Xero!$F:$F,Xero!$B:$B,Heron!AV$9,Xero!$A:$A,Heron!$A$4,Xero!$E:$E,Heron!$A34)+SUMIFS(Xero!$F:$F,Xero!$B:$B,Heron!AV$9,Xero!$A:$A,Heron!$A$5,Xero!$E:$E,Heron!$A34)</f>
        <v/>
      </c>
      <c r="AW34" s="66">
        <f>SUMIFS(Xero!$F:$F,Xero!$B:$B,Heron!AW$9,Xero!$A:$A,Heron!$A$4,Xero!$E:$E,Heron!$A34)+SUMIFS(Xero!$F:$F,Xero!$B:$B,Heron!AW$9,Xero!$A:$A,Heron!$A$5,Xero!$E:$E,Heron!$A34)</f>
        <v/>
      </c>
      <c r="AX34" s="66">
        <f>SUMIFS(Xero!$F:$F,Xero!$B:$B,Heron!AX$9,Xero!$A:$A,Heron!$A$4,Xero!$E:$E,Heron!$A34)+SUMIFS(Xero!$F:$F,Xero!$B:$B,Heron!AX$9,Xero!$A:$A,Heron!$A$5,Xero!$E:$E,Heron!$A34)</f>
        <v/>
      </c>
      <c r="AY34" s="66">
        <f>SUMIFS(Xero!$F:$F,Xero!$B:$B,Heron!AY$9,Xero!$A:$A,Heron!$A$4,Xero!$E:$E,Heron!$A34)+SUMIFS(Xero!$F:$F,Xero!$B:$B,Heron!AY$9,Xero!$A:$A,Heron!$A$5,Xero!$E:$E,Heron!$A34)</f>
        <v/>
      </c>
      <c r="AZ34" s="66">
        <f>SUMIFS(Xero!$F:$F,Xero!$B:$B,Heron!AZ$9,Xero!$A:$A,Heron!$A$4,Xero!$E:$E,Heron!$A34)+SUMIFS(Xero!$F:$F,Xero!$B:$B,Heron!AZ$9,Xero!$A:$A,Heron!$A$5,Xero!$E:$E,Heron!$A34)</f>
        <v/>
      </c>
      <c r="BA34" s="66">
        <f>SUMIFS(Xero!$F:$F,Xero!$B:$B,Heron!BA$9,Xero!$A:$A,Heron!$A$4,Xero!$E:$E,Heron!$A34)+SUMIFS(Xero!$F:$F,Xero!$B:$B,Heron!BA$9,Xero!$A:$A,Heron!$A$5,Xero!$E:$E,Heron!$A34)</f>
        <v/>
      </c>
      <c r="BB34" s="66">
        <f>SUMIFS(Xero!$F:$F,Xero!$B:$B,Heron!BB$9,Xero!$A:$A,Heron!$A$4,Xero!$E:$E,Heron!$A34)+SUMIFS(Xero!$F:$F,Xero!$B:$B,Heron!BB$9,Xero!$A:$A,Heron!$A$5,Xero!$E:$E,Heron!$A34)</f>
        <v/>
      </c>
      <c r="BC34" s="66">
        <f>SUMIFS(Xero!$F:$F,Xero!$B:$B,Heron!BC$9,Xero!$A:$A,Heron!$A$4,Xero!$E:$E,Heron!$A34)+SUMIFS(Xero!$F:$F,Xero!$B:$B,Heron!BC$9,Xero!$A:$A,Heron!$A$5,Xero!$E:$E,Heron!$A34)</f>
        <v/>
      </c>
      <c r="BD34" s="66">
        <f>SUMIFS(Xero!$F:$F,Xero!$B:$B,Heron!BD$9,Xero!$A:$A,Heron!$A$4,Xero!$E:$E,Heron!$A34)+SUMIFS(Xero!$F:$F,Xero!$B:$B,Heron!BD$9,Xero!$A:$A,Heron!$A$5,Xero!$E:$E,Heron!$A34)</f>
        <v/>
      </c>
      <c r="BE34" s="66">
        <f>SUMIFS(Xero!$F:$F,Xero!$B:$B,Heron!BE$9,Xero!$A:$A,Heron!$A$4,Xero!$E:$E,Heron!$A34)+SUMIFS(Xero!$F:$F,Xero!$B:$B,Heron!BE$9,Xero!$A:$A,Heron!$A$5,Xero!$E:$E,Heron!$A34)</f>
        <v/>
      </c>
      <c r="BF34" s="66">
        <f>SUMIFS(Xero!$F:$F,Xero!$B:$B,Heron!BF$9,Xero!$A:$A,Heron!$A$4,Xero!$E:$E,Heron!$A34)+SUMIFS(Xero!$F:$F,Xero!$B:$B,Heron!BF$9,Xero!$A:$A,Heron!$A$5,Xero!$E:$E,Heron!$A34)</f>
        <v/>
      </c>
      <c r="BG34" s="66">
        <f>SUMIFS(Xero!$F:$F,Xero!$B:$B,Heron!BG$9,Xero!$A:$A,Heron!$A$4,Xero!$E:$E,Heron!$A34)+SUMIFS(Xero!$F:$F,Xero!$B:$B,Heron!BG$9,Xero!$A:$A,Heron!$A$5,Xero!$E:$E,Heron!$A34)</f>
        <v/>
      </c>
      <c r="BH34" s="66">
        <f>sum(D34:BG34)</f>
        <v/>
      </c>
    </row>
    <row r="35">
      <c r="A35" s="65" t="inlineStr">
        <is>
          <t>Advertising - Real Marketing</t>
        </is>
      </c>
      <c r="D35" s="66">
        <f>SUMIFS(Xero!$F:$F,Xero!$B:$B,Heron!D$9,Xero!$A:$A,Heron!$A$4,Xero!$E:$E,Heron!$A35)+SUMIFS(Xero!$F:$F,Xero!$B:$B,Heron!D$9,Xero!$A:$A,Heron!$A$5,Xero!$E:$E,Heron!$A35)</f>
        <v/>
      </c>
      <c r="E35" s="66">
        <f>SUMIFS(Xero!$F:$F,Xero!$B:$B,Heron!E$9,Xero!$A:$A,Heron!$A$4,Xero!$E:$E,Heron!$A35)+SUMIFS(Xero!$F:$F,Xero!$B:$B,Heron!E$9,Xero!$A:$A,Heron!$A$5,Xero!$E:$E,Heron!$A35)</f>
        <v/>
      </c>
      <c r="F35" s="66">
        <f>SUMIFS(Xero!$F:$F,Xero!$B:$B,Heron!F$9,Xero!$A:$A,Heron!$A$4,Xero!$E:$E,Heron!$A35)+SUMIFS(Xero!$F:$F,Xero!$B:$B,Heron!F$9,Xero!$A:$A,Heron!$A$5,Xero!$E:$E,Heron!$A35)</f>
        <v/>
      </c>
      <c r="G35" s="66">
        <f>SUMIFS(Xero!$F:$F,Xero!$B:$B,Heron!G$9,Xero!$A:$A,Heron!$A$4,Xero!$E:$E,Heron!$A35)+SUMIFS(Xero!$F:$F,Xero!$B:$B,Heron!G$9,Xero!$A:$A,Heron!$A$5,Xero!$E:$E,Heron!$A35)</f>
        <v/>
      </c>
      <c r="H35" s="66">
        <f>SUMIFS(Xero!$F:$F,Xero!$B:$B,Heron!H$9,Xero!$A:$A,Heron!$A$4,Xero!$E:$E,Heron!$A35)+SUMIFS(Xero!$F:$F,Xero!$B:$B,Heron!H$9,Xero!$A:$A,Heron!$A$5,Xero!$E:$E,Heron!$A35)</f>
        <v/>
      </c>
      <c r="I35" s="66">
        <f>SUMIFS(Xero!$F:$F,Xero!$B:$B,Heron!I$9,Xero!$A:$A,Heron!$A$4,Xero!$E:$E,Heron!$A35)+SUMIFS(Xero!$F:$F,Xero!$B:$B,Heron!I$9,Xero!$A:$A,Heron!$A$5,Xero!$E:$E,Heron!$A35)</f>
        <v/>
      </c>
      <c r="J35" s="66">
        <f>SUMIFS(Xero!$F:$F,Xero!$B:$B,Heron!J$9,Xero!$A:$A,Heron!$A$4,Xero!$E:$E,Heron!$A35)+SUMIFS(Xero!$F:$F,Xero!$B:$B,Heron!J$9,Xero!$A:$A,Heron!$A$5,Xero!$E:$E,Heron!$A35)</f>
        <v/>
      </c>
      <c r="K35" s="66">
        <f>SUMIFS(Xero!$F:$F,Xero!$B:$B,Heron!K$9,Xero!$A:$A,Heron!$A$4,Xero!$E:$E,Heron!$A35)+SUMIFS(Xero!$F:$F,Xero!$B:$B,Heron!K$9,Xero!$A:$A,Heron!$A$5,Xero!$E:$E,Heron!$A35)</f>
        <v/>
      </c>
      <c r="L35" s="66">
        <f>SUMIFS(Xero!$F:$F,Xero!$B:$B,Heron!L$9,Xero!$A:$A,Heron!$A$4,Xero!$E:$E,Heron!$A35)+SUMIFS(Xero!$F:$F,Xero!$B:$B,Heron!L$9,Xero!$A:$A,Heron!$A$5,Xero!$E:$E,Heron!$A35)</f>
        <v/>
      </c>
      <c r="M35" s="66">
        <f>SUMIFS(Xero!$F:$F,Xero!$B:$B,Heron!M$9,Xero!$A:$A,Heron!$A$4,Xero!$E:$E,Heron!$A35)+SUMIFS(Xero!$F:$F,Xero!$B:$B,Heron!M$9,Xero!$A:$A,Heron!$A$5,Xero!$E:$E,Heron!$A35)</f>
        <v/>
      </c>
      <c r="N35" s="66">
        <f>SUMIFS(Xero!$F:$F,Xero!$B:$B,Heron!N$9,Xero!$A:$A,Heron!$A$4,Xero!$E:$E,Heron!$A35)+SUMIFS(Xero!$F:$F,Xero!$B:$B,Heron!N$9,Xero!$A:$A,Heron!$A$5,Xero!$E:$E,Heron!$A35)</f>
        <v/>
      </c>
      <c r="O35" s="66">
        <f>SUMIFS(Xero!$F:$F,Xero!$B:$B,Heron!O$9,Xero!$A:$A,Heron!$A$4,Xero!$E:$E,Heron!$A35)+SUMIFS(Xero!$F:$F,Xero!$B:$B,Heron!O$9,Xero!$A:$A,Heron!$A$5,Xero!$E:$E,Heron!$A35)</f>
        <v/>
      </c>
      <c r="P35" s="66">
        <f>SUMIFS(Xero!$F:$F,Xero!$B:$B,Heron!P$9,Xero!$A:$A,Heron!$A$4,Xero!$E:$E,Heron!$A35)+SUMIFS(Xero!$F:$F,Xero!$B:$B,Heron!P$9,Xero!$A:$A,Heron!$A$5,Xero!$E:$E,Heron!$A35)</f>
        <v/>
      </c>
      <c r="Q35" s="66">
        <f>SUMIFS(Xero!$F:$F,Xero!$B:$B,Heron!Q$9,Xero!$A:$A,Heron!$A$4,Xero!$E:$E,Heron!$A35)+SUMIFS(Xero!$F:$F,Xero!$B:$B,Heron!Q$9,Xero!$A:$A,Heron!$A$5,Xero!$E:$E,Heron!$A35)</f>
        <v/>
      </c>
      <c r="R35" s="66">
        <f>SUMIFS(Xero!$F:$F,Xero!$B:$B,Heron!R$9,Xero!$A:$A,Heron!$A$4,Xero!$E:$E,Heron!$A35)+SUMIFS(Xero!$F:$F,Xero!$B:$B,Heron!R$9,Xero!$A:$A,Heron!$A$5,Xero!$E:$E,Heron!$A35)</f>
        <v/>
      </c>
      <c r="S35" s="66">
        <f>SUMIFS(Xero!$F:$F,Xero!$B:$B,Heron!S$9,Xero!$A:$A,Heron!$A$4,Xero!$E:$E,Heron!$A35)+SUMIFS(Xero!$F:$F,Xero!$B:$B,Heron!S$9,Xero!$A:$A,Heron!$A$5,Xero!$E:$E,Heron!$A35)</f>
        <v/>
      </c>
      <c r="T35" s="66">
        <f>SUMIFS(Xero!$F:$F,Xero!$B:$B,Heron!T$9,Xero!$A:$A,Heron!$A$4,Xero!$E:$E,Heron!$A35)+SUMIFS(Xero!$F:$F,Xero!$B:$B,Heron!T$9,Xero!$A:$A,Heron!$A$5,Xero!$E:$E,Heron!$A35)</f>
        <v/>
      </c>
      <c r="U35" s="66">
        <f>SUMIFS(Xero!$F:$F,Xero!$B:$B,Heron!U$9,Xero!$A:$A,Heron!$A$4,Xero!$E:$E,Heron!$A35)+SUMIFS(Xero!$F:$F,Xero!$B:$B,Heron!U$9,Xero!$A:$A,Heron!$A$5,Xero!$E:$E,Heron!$A35)</f>
        <v/>
      </c>
      <c r="V35" s="66">
        <f>SUMIFS(Xero!$F:$F,Xero!$B:$B,Heron!V$9,Xero!$A:$A,Heron!$A$4,Xero!$E:$E,Heron!$A35)+SUMIFS(Xero!$F:$F,Xero!$B:$B,Heron!V$9,Xero!$A:$A,Heron!$A$5,Xero!$E:$E,Heron!$A35)</f>
        <v/>
      </c>
      <c r="W35" s="66">
        <f>SUMIFS(Xero!$F:$F,Xero!$B:$B,Heron!W$9,Xero!$A:$A,Heron!$A$4,Xero!$E:$E,Heron!$A35)+SUMIFS(Xero!$F:$F,Xero!$B:$B,Heron!W$9,Xero!$A:$A,Heron!$A$5,Xero!$E:$E,Heron!$A35)</f>
        <v/>
      </c>
      <c r="X35" s="66">
        <f>SUMIFS(Xero!$F:$F,Xero!$B:$B,Heron!X$9,Xero!$A:$A,Heron!$A$4,Xero!$E:$E,Heron!$A35)+SUMIFS(Xero!$F:$F,Xero!$B:$B,Heron!X$9,Xero!$A:$A,Heron!$A$5,Xero!$E:$E,Heron!$A35)</f>
        <v/>
      </c>
      <c r="Y35" s="66">
        <f>SUMIFS(Xero!$F:$F,Xero!$B:$B,Heron!Y$9,Xero!$A:$A,Heron!$A$4,Xero!$E:$E,Heron!$A35)+SUMIFS(Xero!$F:$F,Xero!$B:$B,Heron!Y$9,Xero!$A:$A,Heron!$A$5,Xero!$E:$E,Heron!$A35)</f>
        <v/>
      </c>
      <c r="Z35" s="66">
        <f>SUMIFS(Xero!$F:$F,Xero!$B:$B,Heron!Z$9,Xero!$A:$A,Heron!$A$4,Xero!$E:$E,Heron!$A35)+SUMIFS(Xero!$F:$F,Xero!$B:$B,Heron!Z$9,Xero!$A:$A,Heron!$A$5,Xero!$E:$E,Heron!$A35)</f>
        <v/>
      </c>
      <c r="AA35" s="66">
        <f>SUMIFS(Xero!$F:$F,Xero!$B:$B,Heron!AA$9,Xero!$A:$A,Heron!$A$4,Xero!$E:$E,Heron!$A35)+SUMIFS(Xero!$F:$F,Xero!$B:$B,Heron!AA$9,Xero!$A:$A,Heron!$A$5,Xero!$E:$E,Heron!$A35)</f>
        <v/>
      </c>
      <c r="AB35" s="66">
        <f>SUMIFS(Xero!$F:$F,Xero!$B:$B,Heron!AB$9,Xero!$A:$A,Heron!$A$4,Xero!$E:$E,Heron!$A35)+SUMIFS(Xero!$F:$F,Xero!$B:$B,Heron!AB$9,Xero!$A:$A,Heron!$A$5,Xero!$E:$E,Heron!$A35)</f>
        <v/>
      </c>
      <c r="AC35" s="66">
        <f>SUMIFS(Xero!$F:$F,Xero!$B:$B,Heron!AC$9,Xero!$A:$A,Heron!$A$4,Xero!$E:$E,Heron!$A35)+SUMIFS(Xero!$F:$F,Xero!$B:$B,Heron!AC$9,Xero!$A:$A,Heron!$A$5,Xero!$E:$E,Heron!$A35)</f>
        <v/>
      </c>
      <c r="AD35" s="66">
        <f>SUMIFS(Xero!$F:$F,Xero!$B:$B,Heron!AD$9,Xero!$A:$A,Heron!$A$4,Xero!$E:$E,Heron!$A35)+SUMIFS(Xero!$F:$F,Xero!$B:$B,Heron!AD$9,Xero!$A:$A,Heron!$A$5,Xero!$E:$E,Heron!$A35)</f>
        <v/>
      </c>
      <c r="AE35" s="66">
        <f>SUMIFS(Xero!$F:$F,Xero!$B:$B,Heron!AE$9,Xero!$A:$A,Heron!$A$4,Xero!$E:$E,Heron!$A35)+SUMIFS(Xero!$F:$F,Xero!$B:$B,Heron!AE$9,Xero!$A:$A,Heron!$A$5,Xero!$E:$E,Heron!$A35)</f>
        <v/>
      </c>
      <c r="AF35" s="66">
        <f>SUMIFS(Xero!$F:$F,Xero!$B:$B,Heron!AF$9,Xero!$A:$A,Heron!$A$4,Xero!$E:$E,Heron!$A35)+SUMIFS(Xero!$F:$F,Xero!$B:$B,Heron!AF$9,Xero!$A:$A,Heron!$A$5,Xero!$E:$E,Heron!$A35)</f>
        <v/>
      </c>
      <c r="AG35" s="66">
        <f>SUMIFS(Xero!$F:$F,Xero!$B:$B,Heron!AG$9,Xero!$A:$A,Heron!$A$4,Xero!$E:$E,Heron!$A35)+SUMIFS(Xero!$F:$F,Xero!$B:$B,Heron!AG$9,Xero!$A:$A,Heron!$A$5,Xero!$E:$E,Heron!$A35)</f>
        <v/>
      </c>
      <c r="AH35" s="66">
        <f>SUMIFS(Xero!$F:$F,Xero!$B:$B,Heron!AH$9,Xero!$A:$A,Heron!$A$4,Xero!$E:$E,Heron!$A35)+SUMIFS(Xero!$F:$F,Xero!$B:$B,Heron!AH$9,Xero!$A:$A,Heron!$A$5,Xero!$E:$E,Heron!$A35)</f>
        <v/>
      </c>
      <c r="AI35" s="66">
        <f>SUMIFS(Xero!$F:$F,Xero!$B:$B,Heron!AI$9,Xero!$A:$A,Heron!$A$4,Xero!$E:$E,Heron!$A35)+SUMIFS(Xero!$F:$F,Xero!$B:$B,Heron!AI$9,Xero!$A:$A,Heron!$A$5,Xero!$E:$E,Heron!$A35)</f>
        <v/>
      </c>
      <c r="AJ35" s="66">
        <f>SUMIFS(Xero!$F:$F,Xero!$B:$B,Heron!AJ$9,Xero!$A:$A,Heron!$A$4,Xero!$E:$E,Heron!$A35)+SUMIFS(Xero!$F:$F,Xero!$B:$B,Heron!AJ$9,Xero!$A:$A,Heron!$A$5,Xero!$E:$E,Heron!$A35)</f>
        <v/>
      </c>
      <c r="AK35" s="66">
        <f>SUMIFS(Xero!$F:$F,Xero!$B:$B,Heron!AK$9,Xero!$A:$A,Heron!$A$4,Xero!$E:$E,Heron!$A35)+SUMIFS(Xero!$F:$F,Xero!$B:$B,Heron!AK$9,Xero!$A:$A,Heron!$A$5,Xero!$E:$E,Heron!$A35)</f>
        <v/>
      </c>
      <c r="AL35" s="66">
        <f>SUMIFS(Xero!$F:$F,Xero!$B:$B,Heron!AL$9,Xero!$A:$A,Heron!$A$4,Xero!$E:$E,Heron!$A35)+SUMIFS(Xero!$F:$F,Xero!$B:$B,Heron!AL$9,Xero!$A:$A,Heron!$A$5,Xero!$E:$E,Heron!$A35)</f>
        <v/>
      </c>
      <c r="AM35" s="66">
        <f>SUMIFS(Xero!$F:$F,Xero!$B:$B,Heron!AM$9,Xero!$A:$A,Heron!$A$4,Xero!$E:$E,Heron!$A35)+SUMIFS(Xero!$F:$F,Xero!$B:$B,Heron!AM$9,Xero!$A:$A,Heron!$A$5,Xero!$E:$E,Heron!$A35)</f>
        <v/>
      </c>
      <c r="AN35" s="66">
        <f>SUMIFS(Xero!$F:$F,Xero!$B:$B,Heron!AN$9,Xero!$A:$A,Heron!$A$4,Xero!$E:$E,Heron!$A35)+SUMIFS(Xero!$F:$F,Xero!$B:$B,Heron!AN$9,Xero!$A:$A,Heron!$A$5,Xero!$E:$E,Heron!$A35)</f>
        <v/>
      </c>
      <c r="AO35" s="66">
        <f>SUMIFS(Xero!$F:$F,Xero!$B:$B,Heron!AO$9,Xero!$A:$A,Heron!$A$4,Xero!$E:$E,Heron!$A35)+SUMIFS(Xero!$F:$F,Xero!$B:$B,Heron!AO$9,Xero!$A:$A,Heron!$A$5,Xero!$E:$E,Heron!$A35)</f>
        <v/>
      </c>
      <c r="AP35" s="66">
        <f>SUMIFS(Xero!$F:$F,Xero!$B:$B,Heron!AP$9,Xero!$A:$A,Heron!$A$4,Xero!$E:$E,Heron!$A35)+SUMIFS(Xero!$F:$F,Xero!$B:$B,Heron!AP$9,Xero!$A:$A,Heron!$A$5,Xero!$E:$E,Heron!$A35)</f>
        <v/>
      </c>
      <c r="AQ35" s="66">
        <f>SUMIFS(Xero!$F:$F,Xero!$B:$B,Heron!AQ$9,Xero!$A:$A,Heron!$A$4,Xero!$E:$E,Heron!$A35)+SUMIFS(Xero!$F:$F,Xero!$B:$B,Heron!AQ$9,Xero!$A:$A,Heron!$A$5,Xero!$E:$E,Heron!$A35)</f>
        <v/>
      </c>
      <c r="AR35" s="66">
        <f>SUMIFS(Xero!$F:$F,Xero!$B:$B,Heron!AR$9,Xero!$A:$A,Heron!$A$4,Xero!$E:$E,Heron!$A35)+SUMIFS(Xero!$F:$F,Xero!$B:$B,Heron!AR$9,Xero!$A:$A,Heron!$A$5,Xero!$E:$E,Heron!$A35)</f>
        <v/>
      </c>
      <c r="AS35" s="66">
        <f>SUMIFS(Xero!$F:$F,Xero!$B:$B,Heron!AS$9,Xero!$A:$A,Heron!$A$4,Xero!$E:$E,Heron!$A35)+SUMIFS(Xero!$F:$F,Xero!$B:$B,Heron!AS$9,Xero!$A:$A,Heron!$A$5,Xero!$E:$E,Heron!$A35)</f>
        <v/>
      </c>
      <c r="AT35" s="66">
        <f>SUMIFS(Xero!$F:$F,Xero!$B:$B,Heron!AT$9,Xero!$A:$A,Heron!$A$4,Xero!$E:$E,Heron!$A35)+SUMIFS(Xero!$F:$F,Xero!$B:$B,Heron!AT$9,Xero!$A:$A,Heron!$A$5,Xero!$E:$E,Heron!$A35)</f>
        <v/>
      </c>
      <c r="AU35" s="66">
        <f>SUMIFS(Xero!$F:$F,Xero!$B:$B,Heron!AU$9,Xero!$A:$A,Heron!$A$4,Xero!$E:$E,Heron!$A35)+SUMIFS(Xero!$F:$F,Xero!$B:$B,Heron!AU$9,Xero!$A:$A,Heron!$A$5,Xero!$E:$E,Heron!$A35)</f>
        <v/>
      </c>
      <c r="AV35" s="66">
        <f>SUMIFS(Xero!$F:$F,Xero!$B:$B,Heron!AV$9,Xero!$A:$A,Heron!$A$4,Xero!$E:$E,Heron!$A35)+SUMIFS(Xero!$F:$F,Xero!$B:$B,Heron!AV$9,Xero!$A:$A,Heron!$A$5,Xero!$E:$E,Heron!$A35)</f>
        <v/>
      </c>
      <c r="AW35" s="66">
        <f>SUMIFS(Xero!$F:$F,Xero!$B:$B,Heron!AW$9,Xero!$A:$A,Heron!$A$4,Xero!$E:$E,Heron!$A35)+SUMIFS(Xero!$F:$F,Xero!$B:$B,Heron!AW$9,Xero!$A:$A,Heron!$A$5,Xero!$E:$E,Heron!$A35)</f>
        <v/>
      </c>
      <c r="AX35" s="66">
        <f>SUMIFS(Xero!$F:$F,Xero!$B:$B,Heron!AX$9,Xero!$A:$A,Heron!$A$4,Xero!$E:$E,Heron!$A35)+SUMIFS(Xero!$F:$F,Xero!$B:$B,Heron!AX$9,Xero!$A:$A,Heron!$A$5,Xero!$E:$E,Heron!$A35)</f>
        <v/>
      </c>
      <c r="AY35" s="66">
        <f>SUMIFS(Xero!$F:$F,Xero!$B:$B,Heron!AY$9,Xero!$A:$A,Heron!$A$4,Xero!$E:$E,Heron!$A35)+SUMIFS(Xero!$F:$F,Xero!$B:$B,Heron!AY$9,Xero!$A:$A,Heron!$A$5,Xero!$E:$E,Heron!$A35)</f>
        <v/>
      </c>
      <c r="AZ35" s="66">
        <f>SUMIFS(Xero!$F:$F,Xero!$B:$B,Heron!AZ$9,Xero!$A:$A,Heron!$A$4,Xero!$E:$E,Heron!$A35)+SUMIFS(Xero!$F:$F,Xero!$B:$B,Heron!AZ$9,Xero!$A:$A,Heron!$A$5,Xero!$E:$E,Heron!$A35)</f>
        <v/>
      </c>
      <c r="BA35" s="66">
        <f>SUMIFS(Xero!$F:$F,Xero!$B:$B,Heron!BA$9,Xero!$A:$A,Heron!$A$4,Xero!$E:$E,Heron!$A35)+SUMIFS(Xero!$F:$F,Xero!$B:$B,Heron!BA$9,Xero!$A:$A,Heron!$A$5,Xero!$E:$E,Heron!$A35)</f>
        <v/>
      </c>
      <c r="BB35" s="66">
        <f>SUMIFS(Xero!$F:$F,Xero!$B:$B,Heron!BB$9,Xero!$A:$A,Heron!$A$4,Xero!$E:$E,Heron!$A35)+SUMIFS(Xero!$F:$F,Xero!$B:$B,Heron!BB$9,Xero!$A:$A,Heron!$A$5,Xero!$E:$E,Heron!$A35)</f>
        <v/>
      </c>
      <c r="BC35" s="66">
        <f>SUMIFS(Xero!$F:$F,Xero!$B:$B,Heron!BC$9,Xero!$A:$A,Heron!$A$4,Xero!$E:$E,Heron!$A35)+SUMIFS(Xero!$F:$F,Xero!$B:$B,Heron!BC$9,Xero!$A:$A,Heron!$A$5,Xero!$E:$E,Heron!$A35)</f>
        <v/>
      </c>
      <c r="BD35" s="66">
        <f>SUMIFS(Xero!$F:$F,Xero!$B:$B,Heron!BD$9,Xero!$A:$A,Heron!$A$4,Xero!$E:$E,Heron!$A35)+SUMIFS(Xero!$F:$F,Xero!$B:$B,Heron!BD$9,Xero!$A:$A,Heron!$A$5,Xero!$E:$E,Heron!$A35)</f>
        <v/>
      </c>
      <c r="BE35" s="66">
        <f>SUMIFS(Xero!$F:$F,Xero!$B:$B,Heron!BE$9,Xero!$A:$A,Heron!$A$4,Xero!$E:$E,Heron!$A35)+SUMIFS(Xero!$F:$F,Xero!$B:$B,Heron!BE$9,Xero!$A:$A,Heron!$A$5,Xero!$E:$E,Heron!$A35)</f>
        <v/>
      </c>
      <c r="BF35" s="66">
        <f>SUMIFS(Xero!$F:$F,Xero!$B:$B,Heron!BF$9,Xero!$A:$A,Heron!$A$4,Xero!$E:$E,Heron!$A35)+SUMIFS(Xero!$F:$F,Xero!$B:$B,Heron!BF$9,Xero!$A:$A,Heron!$A$5,Xero!$E:$E,Heron!$A35)</f>
        <v/>
      </c>
      <c r="BG35" s="66">
        <f>SUMIFS(Xero!$F:$F,Xero!$B:$B,Heron!BG$9,Xero!$A:$A,Heron!$A$4,Xero!$E:$E,Heron!$A35)+SUMIFS(Xero!$F:$F,Xero!$B:$B,Heron!BG$9,Xero!$A:$A,Heron!$A$5,Xero!$E:$E,Heron!$A35)</f>
        <v/>
      </c>
      <c r="BH35" s="66">
        <f>sum(D35:BG35)</f>
        <v/>
      </c>
    </row>
    <row r="36">
      <c r="A36" s="65" t="inlineStr">
        <is>
          <t>Advertising - Thinkink</t>
        </is>
      </c>
      <c r="D36" s="66">
        <f>SUMIFS(Xero!$F:$F,Xero!$B:$B,Heron!D$9,Xero!$A:$A,Heron!$A$4,Xero!$E:$E,Heron!$A36)+SUMIFS(Xero!$F:$F,Xero!$B:$B,Heron!D$9,Xero!$A:$A,Heron!$A$5,Xero!$E:$E,Heron!$A36)</f>
        <v/>
      </c>
      <c r="E36" s="66">
        <f>SUMIFS(Xero!$F:$F,Xero!$B:$B,Heron!E$9,Xero!$A:$A,Heron!$A$4,Xero!$E:$E,Heron!$A36)+SUMIFS(Xero!$F:$F,Xero!$B:$B,Heron!E$9,Xero!$A:$A,Heron!$A$5,Xero!$E:$E,Heron!$A36)</f>
        <v/>
      </c>
      <c r="F36" s="66">
        <f>SUMIFS(Xero!$F:$F,Xero!$B:$B,Heron!F$9,Xero!$A:$A,Heron!$A$4,Xero!$E:$E,Heron!$A36)+SUMIFS(Xero!$F:$F,Xero!$B:$B,Heron!F$9,Xero!$A:$A,Heron!$A$5,Xero!$E:$E,Heron!$A36)</f>
        <v/>
      </c>
      <c r="G36" s="66">
        <f>SUMIFS(Xero!$F:$F,Xero!$B:$B,Heron!G$9,Xero!$A:$A,Heron!$A$4,Xero!$E:$E,Heron!$A36)+SUMIFS(Xero!$F:$F,Xero!$B:$B,Heron!G$9,Xero!$A:$A,Heron!$A$5,Xero!$E:$E,Heron!$A36)</f>
        <v/>
      </c>
      <c r="H36" s="66">
        <f>SUMIFS(Xero!$F:$F,Xero!$B:$B,Heron!H$9,Xero!$A:$A,Heron!$A$4,Xero!$E:$E,Heron!$A36)+SUMIFS(Xero!$F:$F,Xero!$B:$B,Heron!H$9,Xero!$A:$A,Heron!$A$5,Xero!$E:$E,Heron!$A36)</f>
        <v/>
      </c>
      <c r="I36" s="66">
        <f>SUMIFS(Xero!$F:$F,Xero!$B:$B,Heron!I$9,Xero!$A:$A,Heron!$A$4,Xero!$E:$E,Heron!$A36)+SUMIFS(Xero!$F:$F,Xero!$B:$B,Heron!I$9,Xero!$A:$A,Heron!$A$5,Xero!$E:$E,Heron!$A36)</f>
        <v/>
      </c>
      <c r="J36" s="66">
        <f>SUMIFS(Xero!$F:$F,Xero!$B:$B,Heron!J$9,Xero!$A:$A,Heron!$A$4,Xero!$E:$E,Heron!$A36)+SUMIFS(Xero!$F:$F,Xero!$B:$B,Heron!J$9,Xero!$A:$A,Heron!$A$5,Xero!$E:$E,Heron!$A36)</f>
        <v/>
      </c>
      <c r="K36" s="66">
        <f>SUMIFS(Xero!$F:$F,Xero!$B:$B,Heron!K$9,Xero!$A:$A,Heron!$A$4,Xero!$E:$E,Heron!$A36)+SUMIFS(Xero!$F:$F,Xero!$B:$B,Heron!K$9,Xero!$A:$A,Heron!$A$5,Xero!$E:$E,Heron!$A36)</f>
        <v/>
      </c>
      <c r="L36" s="66">
        <f>SUMIFS(Xero!$F:$F,Xero!$B:$B,Heron!L$9,Xero!$A:$A,Heron!$A$4,Xero!$E:$E,Heron!$A36)+SUMIFS(Xero!$F:$F,Xero!$B:$B,Heron!L$9,Xero!$A:$A,Heron!$A$5,Xero!$E:$E,Heron!$A36)</f>
        <v/>
      </c>
      <c r="M36" s="66">
        <f>SUMIFS(Xero!$F:$F,Xero!$B:$B,Heron!M$9,Xero!$A:$A,Heron!$A$4,Xero!$E:$E,Heron!$A36)+SUMIFS(Xero!$F:$F,Xero!$B:$B,Heron!M$9,Xero!$A:$A,Heron!$A$5,Xero!$E:$E,Heron!$A36)</f>
        <v/>
      </c>
      <c r="N36" s="66">
        <f>SUMIFS(Xero!$F:$F,Xero!$B:$B,Heron!N$9,Xero!$A:$A,Heron!$A$4,Xero!$E:$E,Heron!$A36)+SUMIFS(Xero!$F:$F,Xero!$B:$B,Heron!N$9,Xero!$A:$A,Heron!$A$5,Xero!$E:$E,Heron!$A36)</f>
        <v/>
      </c>
      <c r="O36" s="66">
        <f>SUMIFS(Xero!$F:$F,Xero!$B:$B,Heron!O$9,Xero!$A:$A,Heron!$A$4,Xero!$E:$E,Heron!$A36)+SUMIFS(Xero!$F:$F,Xero!$B:$B,Heron!O$9,Xero!$A:$A,Heron!$A$5,Xero!$E:$E,Heron!$A36)</f>
        <v/>
      </c>
      <c r="P36" s="66">
        <f>SUMIFS(Xero!$F:$F,Xero!$B:$B,Heron!P$9,Xero!$A:$A,Heron!$A$4,Xero!$E:$E,Heron!$A36)+SUMIFS(Xero!$F:$F,Xero!$B:$B,Heron!P$9,Xero!$A:$A,Heron!$A$5,Xero!$E:$E,Heron!$A36)</f>
        <v/>
      </c>
      <c r="Q36" s="66">
        <f>SUMIFS(Xero!$F:$F,Xero!$B:$B,Heron!Q$9,Xero!$A:$A,Heron!$A$4,Xero!$E:$E,Heron!$A36)+SUMIFS(Xero!$F:$F,Xero!$B:$B,Heron!Q$9,Xero!$A:$A,Heron!$A$5,Xero!$E:$E,Heron!$A36)</f>
        <v/>
      </c>
      <c r="R36" s="66">
        <f>SUMIFS(Xero!$F:$F,Xero!$B:$B,Heron!R$9,Xero!$A:$A,Heron!$A$4,Xero!$E:$E,Heron!$A36)+SUMIFS(Xero!$F:$F,Xero!$B:$B,Heron!R$9,Xero!$A:$A,Heron!$A$5,Xero!$E:$E,Heron!$A36)</f>
        <v/>
      </c>
      <c r="S36" s="66">
        <f>SUMIFS(Xero!$F:$F,Xero!$B:$B,Heron!S$9,Xero!$A:$A,Heron!$A$4,Xero!$E:$E,Heron!$A36)+SUMIFS(Xero!$F:$F,Xero!$B:$B,Heron!S$9,Xero!$A:$A,Heron!$A$5,Xero!$E:$E,Heron!$A36)</f>
        <v/>
      </c>
      <c r="T36" s="66">
        <f>SUMIFS(Xero!$F:$F,Xero!$B:$B,Heron!T$9,Xero!$A:$A,Heron!$A$4,Xero!$E:$E,Heron!$A36)+SUMIFS(Xero!$F:$F,Xero!$B:$B,Heron!T$9,Xero!$A:$A,Heron!$A$5,Xero!$E:$E,Heron!$A36)</f>
        <v/>
      </c>
      <c r="U36" s="66">
        <f>SUMIFS(Xero!$F:$F,Xero!$B:$B,Heron!U$9,Xero!$A:$A,Heron!$A$4,Xero!$E:$E,Heron!$A36)+SUMIFS(Xero!$F:$F,Xero!$B:$B,Heron!U$9,Xero!$A:$A,Heron!$A$5,Xero!$E:$E,Heron!$A36)</f>
        <v/>
      </c>
      <c r="V36" s="66">
        <f>SUMIFS(Xero!$F:$F,Xero!$B:$B,Heron!V$9,Xero!$A:$A,Heron!$A$4,Xero!$E:$E,Heron!$A36)+SUMIFS(Xero!$F:$F,Xero!$B:$B,Heron!V$9,Xero!$A:$A,Heron!$A$5,Xero!$E:$E,Heron!$A36)</f>
        <v/>
      </c>
      <c r="W36" s="66">
        <f>SUMIFS(Xero!$F:$F,Xero!$B:$B,Heron!W$9,Xero!$A:$A,Heron!$A$4,Xero!$E:$E,Heron!$A36)+SUMIFS(Xero!$F:$F,Xero!$B:$B,Heron!W$9,Xero!$A:$A,Heron!$A$5,Xero!$E:$E,Heron!$A36)</f>
        <v/>
      </c>
      <c r="X36" s="66">
        <f>SUMIFS(Xero!$F:$F,Xero!$B:$B,Heron!X$9,Xero!$A:$A,Heron!$A$4,Xero!$E:$E,Heron!$A36)+SUMIFS(Xero!$F:$F,Xero!$B:$B,Heron!X$9,Xero!$A:$A,Heron!$A$5,Xero!$E:$E,Heron!$A36)</f>
        <v/>
      </c>
      <c r="Y36" s="66">
        <f>SUMIFS(Xero!$F:$F,Xero!$B:$B,Heron!Y$9,Xero!$A:$A,Heron!$A$4,Xero!$E:$E,Heron!$A36)+SUMIFS(Xero!$F:$F,Xero!$B:$B,Heron!Y$9,Xero!$A:$A,Heron!$A$5,Xero!$E:$E,Heron!$A36)</f>
        <v/>
      </c>
      <c r="Z36" s="66">
        <f>SUMIFS(Xero!$F:$F,Xero!$B:$B,Heron!Z$9,Xero!$A:$A,Heron!$A$4,Xero!$E:$E,Heron!$A36)+SUMIFS(Xero!$F:$F,Xero!$B:$B,Heron!Z$9,Xero!$A:$A,Heron!$A$5,Xero!$E:$E,Heron!$A36)</f>
        <v/>
      </c>
      <c r="AA36" s="66">
        <f>SUMIFS(Xero!$F:$F,Xero!$B:$B,Heron!AA$9,Xero!$A:$A,Heron!$A$4,Xero!$E:$E,Heron!$A36)+SUMIFS(Xero!$F:$F,Xero!$B:$B,Heron!AA$9,Xero!$A:$A,Heron!$A$5,Xero!$E:$E,Heron!$A36)</f>
        <v/>
      </c>
      <c r="AB36" s="66">
        <f>SUMIFS(Xero!$F:$F,Xero!$B:$B,Heron!AB$9,Xero!$A:$A,Heron!$A$4,Xero!$E:$E,Heron!$A36)+SUMIFS(Xero!$F:$F,Xero!$B:$B,Heron!AB$9,Xero!$A:$A,Heron!$A$5,Xero!$E:$E,Heron!$A36)</f>
        <v/>
      </c>
      <c r="AC36" s="66">
        <f>SUMIFS(Xero!$F:$F,Xero!$B:$B,Heron!AC$9,Xero!$A:$A,Heron!$A$4,Xero!$E:$E,Heron!$A36)+SUMIFS(Xero!$F:$F,Xero!$B:$B,Heron!AC$9,Xero!$A:$A,Heron!$A$5,Xero!$E:$E,Heron!$A36)</f>
        <v/>
      </c>
      <c r="AD36" s="66">
        <f>SUMIFS(Xero!$F:$F,Xero!$B:$B,Heron!AD$9,Xero!$A:$A,Heron!$A$4,Xero!$E:$E,Heron!$A36)+SUMIFS(Xero!$F:$F,Xero!$B:$B,Heron!AD$9,Xero!$A:$A,Heron!$A$5,Xero!$E:$E,Heron!$A36)</f>
        <v/>
      </c>
      <c r="AE36" s="66">
        <f>SUMIFS(Xero!$F:$F,Xero!$B:$B,Heron!AE$9,Xero!$A:$A,Heron!$A$4,Xero!$E:$E,Heron!$A36)+SUMIFS(Xero!$F:$F,Xero!$B:$B,Heron!AE$9,Xero!$A:$A,Heron!$A$5,Xero!$E:$E,Heron!$A36)</f>
        <v/>
      </c>
      <c r="AF36" s="66">
        <f>SUMIFS(Xero!$F:$F,Xero!$B:$B,Heron!AF$9,Xero!$A:$A,Heron!$A$4,Xero!$E:$E,Heron!$A36)+SUMIFS(Xero!$F:$F,Xero!$B:$B,Heron!AF$9,Xero!$A:$A,Heron!$A$5,Xero!$E:$E,Heron!$A36)</f>
        <v/>
      </c>
      <c r="AG36" s="66">
        <f>SUMIFS(Xero!$F:$F,Xero!$B:$B,Heron!AG$9,Xero!$A:$A,Heron!$A$4,Xero!$E:$E,Heron!$A36)+SUMIFS(Xero!$F:$F,Xero!$B:$B,Heron!AG$9,Xero!$A:$A,Heron!$A$5,Xero!$E:$E,Heron!$A36)</f>
        <v/>
      </c>
      <c r="AH36" s="66">
        <f>SUMIFS(Xero!$F:$F,Xero!$B:$B,Heron!AH$9,Xero!$A:$A,Heron!$A$4,Xero!$E:$E,Heron!$A36)+SUMIFS(Xero!$F:$F,Xero!$B:$B,Heron!AH$9,Xero!$A:$A,Heron!$A$5,Xero!$E:$E,Heron!$A36)</f>
        <v/>
      </c>
      <c r="AI36" s="66">
        <f>SUMIFS(Xero!$F:$F,Xero!$B:$B,Heron!AI$9,Xero!$A:$A,Heron!$A$4,Xero!$E:$E,Heron!$A36)+SUMIFS(Xero!$F:$F,Xero!$B:$B,Heron!AI$9,Xero!$A:$A,Heron!$A$5,Xero!$E:$E,Heron!$A36)</f>
        <v/>
      </c>
      <c r="AJ36" s="66">
        <f>SUMIFS(Xero!$F:$F,Xero!$B:$B,Heron!AJ$9,Xero!$A:$A,Heron!$A$4,Xero!$E:$E,Heron!$A36)+SUMIFS(Xero!$F:$F,Xero!$B:$B,Heron!AJ$9,Xero!$A:$A,Heron!$A$5,Xero!$E:$E,Heron!$A36)</f>
        <v/>
      </c>
      <c r="AK36" s="66">
        <f>SUMIFS(Xero!$F:$F,Xero!$B:$B,Heron!AK$9,Xero!$A:$A,Heron!$A$4,Xero!$E:$E,Heron!$A36)+SUMIFS(Xero!$F:$F,Xero!$B:$B,Heron!AK$9,Xero!$A:$A,Heron!$A$5,Xero!$E:$E,Heron!$A36)</f>
        <v/>
      </c>
      <c r="AL36" s="66">
        <f>SUMIFS(Xero!$F:$F,Xero!$B:$B,Heron!AL$9,Xero!$A:$A,Heron!$A$4,Xero!$E:$E,Heron!$A36)+SUMIFS(Xero!$F:$F,Xero!$B:$B,Heron!AL$9,Xero!$A:$A,Heron!$A$5,Xero!$E:$E,Heron!$A36)</f>
        <v/>
      </c>
      <c r="AM36" s="66">
        <f>SUMIFS(Xero!$F:$F,Xero!$B:$B,Heron!AM$9,Xero!$A:$A,Heron!$A$4,Xero!$E:$E,Heron!$A36)+SUMIFS(Xero!$F:$F,Xero!$B:$B,Heron!AM$9,Xero!$A:$A,Heron!$A$5,Xero!$E:$E,Heron!$A36)</f>
        <v/>
      </c>
      <c r="AN36" s="66">
        <f>SUMIFS(Xero!$F:$F,Xero!$B:$B,Heron!AN$9,Xero!$A:$A,Heron!$A$4,Xero!$E:$E,Heron!$A36)+SUMIFS(Xero!$F:$F,Xero!$B:$B,Heron!AN$9,Xero!$A:$A,Heron!$A$5,Xero!$E:$E,Heron!$A36)</f>
        <v/>
      </c>
      <c r="AO36" s="66">
        <f>SUMIFS(Xero!$F:$F,Xero!$B:$B,Heron!AO$9,Xero!$A:$A,Heron!$A$4,Xero!$E:$E,Heron!$A36)+SUMIFS(Xero!$F:$F,Xero!$B:$B,Heron!AO$9,Xero!$A:$A,Heron!$A$5,Xero!$E:$E,Heron!$A36)</f>
        <v/>
      </c>
      <c r="AP36" s="66">
        <f>SUMIFS(Xero!$F:$F,Xero!$B:$B,Heron!AP$9,Xero!$A:$A,Heron!$A$4,Xero!$E:$E,Heron!$A36)+SUMIFS(Xero!$F:$F,Xero!$B:$B,Heron!AP$9,Xero!$A:$A,Heron!$A$5,Xero!$E:$E,Heron!$A36)</f>
        <v/>
      </c>
      <c r="AQ36" s="66">
        <f>SUMIFS(Xero!$F:$F,Xero!$B:$B,Heron!AQ$9,Xero!$A:$A,Heron!$A$4,Xero!$E:$E,Heron!$A36)+SUMIFS(Xero!$F:$F,Xero!$B:$B,Heron!AQ$9,Xero!$A:$A,Heron!$A$5,Xero!$E:$E,Heron!$A36)</f>
        <v/>
      </c>
      <c r="AR36" s="66">
        <f>SUMIFS(Xero!$F:$F,Xero!$B:$B,Heron!AR$9,Xero!$A:$A,Heron!$A$4,Xero!$E:$E,Heron!$A36)+SUMIFS(Xero!$F:$F,Xero!$B:$B,Heron!AR$9,Xero!$A:$A,Heron!$A$5,Xero!$E:$E,Heron!$A36)</f>
        <v/>
      </c>
      <c r="AS36" s="66">
        <f>SUMIFS(Xero!$F:$F,Xero!$B:$B,Heron!AS$9,Xero!$A:$A,Heron!$A$4,Xero!$E:$E,Heron!$A36)+SUMIFS(Xero!$F:$F,Xero!$B:$B,Heron!AS$9,Xero!$A:$A,Heron!$A$5,Xero!$E:$E,Heron!$A36)</f>
        <v/>
      </c>
      <c r="AT36" s="66">
        <f>SUMIFS(Xero!$F:$F,Xero!$B:$B,Heron!AT$9,Xero!$A:$A,Heron!$A$4,Xero!$E:$E,Heron!$A36)+SUMIFS(Xero!$F:$F,Xero!$B:$B,Heron!AT$9,Xero!$A:$A,Heron!$A$5,Xero!$E:$E,Heron!$A36)</f>
        <v/>
      </c>
      <c r="AU36" s="66">
        <f>SUMIFS(Xero!$F:$F,Xero!$B:$B,Heron!AU$9,Xero!$A:$A,Heron!$A$4,Xero!$E:$E,Heron!$A36)+SUMIFS(Xero!$F:$F,Xero!$B:$B,Heron!AU$9,Xero!$A:$A,Heron!$A$5,Xero!$E:$E,Heron!$A36)</f>
        <v/>
      </c>
      <c r="AV36" s="66">
        <f>SUMIFS(Xero!$F:$F,Xero!$B:$B,Heron!AV$9,Xero!$A:$A,Heron!$A$4,Xero!$E:$E,Heron!$A36)+SUMIFS(Xero!$F:$F,Xero!$B:$B,Heron!AV$9,Xero!$A:$A,Heron!$A$5,Xero!$E:$E,Heron!$A36)</f>
        <v/>
      </c>
      <c r="AW36" s="66">
        <f>SUMIFS(Xero!$F:$F,Xero!$B:$B,Heron!AW$9,Xero!$A:$A,Heron!$A$4,Xero!$E:$E,Heron!$A36)+SUMIFS(Xero!$F:$F,Xero!$B:$B,Heron!AW$9,Xero!$A:$A,Heron!$A$5,Xero!$E:$E,Heron!$A36)</f>
        <v/>
      </c>
      <c r="AX36" s="66">
        <f>SUMIFS(Xero!$F:$F,Xero!$B:$B,Heron!AX$9,Xero!$A:$A,Heron!$A$4,Xero!$E:$E,Heron!$A36)+SUMIFS(Xero!$F:$F,Xero!$B:$B,Heron!AX$9,Xero!$A:$A,Heron!$A$5,Xero!$E:$E,Heron!$A36)</f>
        <v/>
      </c>
      <c r="AY36" s="66">
        <f>SUMIFS(Xero!$F:$F,Xero!$B:$B,Heron!AY$9,Xero!$A:$A,Heron!$A$4,Xero!$E:$E,Heron!$A36)+SUMIFS(Xero!$F:$F,Xero!$B:$B,Heron!AY$9,Xero!$A:$A,Heron!$A$5,Xero!$E:$E,Heron!$A36)</f>
        <v/>
      </c>
      <c r="AZ36" s="66">
        <f>SUMIFS(Xero!$F:$F,Xero!$B:$B,Heron!AZ$9,Xero!$A:$A,Heron!$A$4,Xero!$E:$E,Heron!$A36)+SUMIFS(Xero!$F:$F,Xero!$B:$B,Heron!AZ$9,Xero!$A:$A,Heron!$A$5,Xero!$E:$E,Heron!$A36)</f>
        <v/>
      </c>
      <c r="BA36" s="66">
        <f>SUMIFS(Xero!$F:$F,Xero!$B:$B,Heron!BA$9,Xero!$A:$A,Heron!$A$4,Xero!$E:$E,Heron!$A36)+SUMIFS(Xero!$F:$F,Xero!$B:$B,Heron!BA$9,Xero!$A:$A,Heron!$A$5,Xero!$E:$E,Heron!$A36)</f>
        <v/>
      </c>
      <c r="BB36" s="66">
        <f>SUMIFS(Xero!$F:$F,Xero!$B:$B,Heron!BB$9,Xero!$A:$A,Heron!$A$4,Xero!$E:$E,Heron!$A36)+SUMIFS(Xero!$F:$F,Xero!$B:$B,Heron!BB$9,Xero!$A:$A,Heron!$A$5,Xero!$E:$E,Heron!$A36)</f>
        <v/>
      </c>
      <c r="BC36" s="66">
        <f>SUMIFS(Xero!$F:$F,Xero!$B:$B,Heron!BC$9,Xero!$A:$A,Heron!$A$4,Xero!$E:$E,Heron!$A36)+SUMIFS(Xero!$F:$F,Xero!$B:$B,Heron!BC$9,Xero!$A:$A,Heron!$A$5,Xero!$E:$E,Heron!$A36)</f>
        <v/>
      </c>
      <c r="BD36" s="66">
        <f>SUMIFS(Xero!$F:$F,Xero!$B:$B,Heron!BD$9,Xero!$A:$A,Heron!$A$4,Xero!$E:$E,Heron!$A36)+SUMIFS(Xero!$F:$F,Xero!$B:$B,Heron!BD$9,Xero!$A:$A,Heron!$A$5,Xero!$E:$E,Heron!$A36)</f>
        <v/>
      </c>
      <c r="BE36" s="66">
        <f>SUMIFS(Xero!$F:$F,Xero!$B:$B,Heron!BE$9,Xero!$A:$A,Heron!$A$4,Xero!$E:$E,Heron!$A36)+SUMIFS(Xero!$F:$F,Xero!$B:$B,Heron!BE$9,Xero!$A:$A,Heron!$A$5,Xero!$E:$E,Heron!$A36)</f>
        <v/>
      </c>
      <c r="BF36" s="66">
        <f>SUMIFS(Xero!$F:$F,Xero!$B:$B,Heron!BF$9,Xero!$A:$A,Heron!$A$4,Xero!$E:$E,Heron!$A36)+SUMIFS(Xero!$F:$F,Xero!$B:$B,Heron!BF$9,Xero!$A:$A,Heron!$A$5,Xero!$E:$E,Heron!$A36)</f>
        <v/>
      </c>
      <c r="BG36" s="66">
        <f>SUMIFS(Xero!$F:$F,Xero!$B:$B,Heron!BG$9,Xero!$A:$A,Heron!$A$4,Xero!$E:$E,Heron!$A36)+SUMIFS(Xero!$F:$F,Xero!$B:$B,Heron!BG$9,Xero!$A:$A,Heron!$A$5,Xero!$E:$E,Heron!$A36)</f>
        <v/>
      </c>
      <c r="BH36" s="66">
        <f>sum(D36:BG36)</f>
        <v/>
      </c>
    </row>
    <row r="37">
      <c r="A37" s="65" t="inlineStr">
        <is>
          <t>Advertising _AND_ Promotions</t>
        </is>
      </c>
      <c r="D37" s="66">
        <f>SUMIFS(Xero!$F:$F,Xero!$B:$B,Heron!D$9,Xero!$A:$A,Heron!$A$4,Xero!$E:$E,Heron!$A37)+SUMIFS(Xero!$F:$F,Xero!$B:$B,Heron!D$9,Xero!$A:$A,Heron!$A$5,Xero!$E:$E,Heron!$A37)</f>
        <v/>
      </c>
      <c r="E37" s="66">
        <f>SUMIFS(Xero!$F:$F,Xero!$B:$B,Heron!E$9,Xero!$A:$A,Heron!$A$4,Xero!$E:$E,Heron!$A37)+SUMIFS(Xero!$F:$F,Xero!$B:$B,Heron!E$9,Xero!$A:$A,Heron!$A$5,Xero!$E:$E,Heron!$A37)</f>
        <v/>
      </c>
      <c r="F37" s="66">
        <f>SUMIFS(Xero!$F:$F,Xero!$B:$B,Heron!F$9,Xero!$A:$A,Heron!$A$4,Xero!$E:$E,Heron!$A37)+SUMIFS(Xero!$F:$F,Xero!$B:$B,Heron!F$9,Xero!$A:$A,Heron!$A$5,Xero!$E:$E,Heron!$A37)</f>
        <v/>
      </c>
      <c r="G37" s="66">
        <f>SUMIFS(Xero!$F:$F,Xero!$B:$B,Heron!G$9,Xero!$A:$A,Heron!$A$4,Xero!$E:$E,Heron!$A37)+SUMIFS(Xero!$F:$F,Xero!$B:$B,Heron!G$9,Xero!$A:$A,Heron!$A$5,Xero!$E:$E,Heron!$A37)</f>
        <v/>
      </c>
      <c r="H37" s="66">
        <f>SUMIFS(Xero!$F:$F,Xero!$B:$B,Heron!H$9,Xero!$A:$A,Heron!$A$4,Xero!$E:$E,Heron!$A37)+SUMIFS(Xero!$F:$F,Xero!$B:$B,Heron!H$9,Xero!$A:$A,Heron!$A$5,Xero!$E:$E,Heron!$A37)</f>
        <v/>
      </c>
      <c r="I37" s="66">
        <f>SUMIFS(Xero!$F:$F,Xero!$B:$B,Heron!I$9,Xero!$A:$A,Heron!$A$4,Xero!$E:$E,Heron!$A37)+SUMIFS(Xero!$F:$F,Xero!$B:$B,Heron!I$9,Xero!$A:$A,Heron!$A$5,Xero!$E:$E,Heron!$A37)</f>
        <v/>
      </c>
      <c r="J37" s="66">
        <f>SUMIFS(Xero!$F:$F,Xero!$B:$B,Heron!J$9,Xero!$A:$A,Heron!$A$4,Xero!$E:$E,Heron!$A37)+SUMIFS(Xero!$F:$F,Xero!$B:$B,Heron!J$9,Xero!$A:$A,Heron!$A$5,Xero!$E:$E,Heron!$A37)</f>
        <v/>
      </c>
      <c r="K37" s="66">
        <f>SUMIFS(Xero!$F:$F,Xero!$B:$B,Heron!K$9,Xero!$A:$A,Heron!$A$4,Xero!$E:$E,Heron!$A37)+SUMIFS(Xero!$F:$F,Xero!$B:$B,Heron!K$9,Xero!$A:$A,Heron!$A$5,Xero!$E:$E,Heron!$A37)</f>
        <v/>
      </c>
      <c r="L37" s="66">
        <f>SUMIFS(Xero!$F:$F,Xero!$B:$B,Heron!L$9,Xero!$A:$A,Heron!$A$4,Xero!$E:$E,Heron!$A37)+SUMIFS(Xero!$F:$F,Xero!$B:$B,Heron!L$9,Xero!$A:$A,Heron!$A$5,Xero!$E:$E,Heron!$A37)</f>
        <v/>
      </c>
      <c r="M37" s="66">
        <f>SUMIFS(Xero!$F:$F,Xero!$B:$B,Heron!M$9,Xero!$A:$A,Heron!$A$4,Xero!$E:$E,Heron!$A37)+SUMIFS(Xero!$F:$F,Xero!$B:$B,Heron!M$9,Xero!$A:$A,Heron!$A$5,Xero!$E:$E,Heron!$A37)</f>
        <v/>
      </c>
      <c r="N37" s="66">
        <f>SUMIFS(Xero!$F:$F,Xero!$B:$B,Heron!N$9,Xero!$A:$A,Heron!$A$4,Xero!$E:$E,Heron!$A37)+SUMIFS(Xero!$F:$F,Xero!$B:$B,Heron!N$9,Xero!$A:$A,Heron!$A$5,Xero!$E:$E,Heron!$A37)</f>
        <v/>
      </c>
      <c r="O37" s="66">
        <f>SUMIFS(Xero!$F:$F,Xero!$B:$B,Heron!O$9,Xero!$A:$A,Heron!$A$4,Xero!$E:$E,Heron!$A37)+SUMIFS(Xero!$F:$F,Xero!$B:$B,Heron!O$9,Xero!$A:$A,Heron!$A$5,Xero!$E:$E,Heron!$A37)</f>
        <v/>
      </c>
      <c r="P37" s="66">
        <f>SUMIFS(Xero!$F:$F,Xero!$B:$B,Heron!P$9,Xero!$A:$A,Heron!$A$4,Xero!$E:$E,Heron!$A37)+SUMIFS(Xero!$F:$F,Xero!$B:$B,Heron!P$9,Xero!$A:$A,Heron!$A$5,Xero!$E:$E,Heron!$A37)</f>
        <v/>
      </c>
      <c r="Q37" s="66">
        <f>SUMIFS(Xero!$F:$F,Xero!$B:$B,Heron!Q$9,Xero!$A:$A,Heron!$A$4,Xero!$E:$E,Heron!$A37)+SUMIFS(Xero!$F:$F,Xero!$B:$B,Heron!Q$9,Xero!$A:$A,Heron!$A$5,Xero!$E:$E,Heron!$A37)</f>
        <v/>
      </c>
      <c r="R37" s="66">
        <f>SUMIFS(Xero!$F:$F,Xero!$B:$B,Heron!R$9,Xero!$A:$A,Heron!$A$4,Xero!$E:$E,Heron!$A37)+SUMIFS(Xero!$F:$F,Xero!$B:$B,Heron!R$9,Xero!$A:$A,Heron!$A$5,Xero!$E:$E,Heron!$A37)</f>
        <v/>
      </c>
      <c r="S37" s="66">
        <f>SUMIFS(Xero!$F:$F,Xero!$B:$B,Heron!S$9,Xero!$A:$A,Heron!$A$4,Xero!$E:$E,Heron!$A37)+SUMIFS(Xero!$F:$F,Xero!$B:$B,Heron!S$9,Xero!$A:$A,Heron!$A$5,Xero!$E:$E,Heron!$A37)</f>
        <v/>
      </c>
      <c r="T37" s="66">
        <f>SUMIFS(Xero!$F:$F,Xero!$B:$B,Heron!T$9,Xero!$A:$A,Heron!$A$4,Xero!$E:$E,Heron!$A37)+SUMIFS(Xero!$F:$F,Xero!$B:$B,Heron!T$9,Xero!$A:$A,Heron!$A$5,Xero!$E:$E,Heron!$A37)</f>
        <v/>
      </c>
      <c r="U37" s="66">
        <f>SUMIFS(Xero!$F:$F,Xero!$B:$B,Heron!U$9,Xero!$A:$A,Heron!$A$4,Xero!$E:$E,Heron!$A37)+SUMIFS(Xero!$F:$F,Xero!$B:$B,Heron!U$9,Xero!$A:$A,Heron!$A$5,Xero!$E:$E,Heron!$A37)</f>
        <v/>
      </c>
      <c r="V37" s="66">
        <f>SUMIFS(Xero!$F:$F,Xero!$B:$B,Heron!V$9,Xero!$A:$A,Heron!$A$4,Xero!$E:$E,Heron!$A37)+SUMIFS(Xero!$F:$F,Xero!$B:$B,Heron!V$9,Xero!$A:$A,Heron!$A$5,Xero!$E:$E,Heron!$A37)</f>
        <v/>
      </c>
      <c r="W37" s="66">
        <f>SUMIFS(Xero!$F:$F,Xero!$B:$B,Heron!W$9,Xero!$A:$A,Heron!$A$4,Xero!$E:$E,Heron!$A37)+SUMIFS(Xero!$F:$F,Xero!$B:$B,Heron!W$9,Xero!$A:$A,Heron!$A$5,Xero!$E:$E,Heron!$A37)</f>
        <v/>
      </c>
      <c r="X37" s="66">
        <f>SUMIFS(Xero!$F:$F,Xero!$B:$B,Heron!X$9,Xero!$A:$A,Heron!$A$4,Xero!$E:$E,Heron!$A37)+SUMIFS(Xero!$F:$F,Xero!$B:$B,Heron!X$9,Xero!$A:$A,Heron!$A$5,Xero!$E:$E,Heron!$A37)</f>
        <v/>
      </c>
      <c r="Y37" s="66">
        <f>SUMIFS(Xero!$F:$F,Xero!$B:$B,Heron!Y$9,Xero!$A:$A,Heron!$A$4,Xero!$E:$E,Heron!$A37)+SUMIFS(Xero!$F:$F,Xero!$B:$B,Heron!Y$9,Xero!$A:$A,Heron!$A$5,Xero!$E:$E,Heron!$A37)</f>
        <v/>
      </c>
      <c r="Z37" s="66">
        <f>SUMIFS(Xero!$F:$F,Xero!$B:$B,Heron!Z$9,Xero!$A:$A,Heron!$A$4,Xero!$E:$E,Heron!$A37)+SUMIFS(Xero!$F:$F,Xero!$B:$B,Heron!Z$9,Xero!$A:$A,Heron!$A$5,Xero!$E:$E,Heron!$A37)</f>
        <v/>
      </c>
      <c r="AA37" s="66">
        <f>SUMIFS(Xero!$F:$F,Xero!$B:$B,Heron!AA$9,Xero!$A:$A,Heron!$A$4,Xero!$E:$E,Heron!$A37)+SUMIFS(Xero!$F:$F,Xero!$B:$B,Heron!AA$9,Xero!$A:$A,Heron!$A$5,Xero!$E:$E,Heron!$A37)</f>
        <v/>
      </c>
      <c r="AB37" s="66">
        <f>SUMIFS(Xero!$F:$F,Xero!$B:$B,Heron!AB$9,Xero!$A:$A,Heron!$A$4,Xero!$E:$E,Heron!$A37)+SUMIFS(Xero!$F:$F,Xero!$B:$B,Heron!AB$9,Xero!$A:$A,Heron!$A$5,Xero!$E:$E,Heron!$A37)</f>
        <v/>
      </c>
      <c r="AC37" s="66">
        <f>SUMIFS(Xero!$F:$F,Xero!$B:$B,Heron!AC$9,Xero!$A:$A,Heron!$A$4,Xero!$E:$E,Heron!$A37)+SUMIFS(Xero!$F:$F,Xero!$B:$B,Heron!AC$9,Xero!$A:$A,Heron!$A$5,Xero!$E:$E,Heron!$A37)</f>
        <v/>
      </c>
      <c r="AD37" s="66">
        <f>SUMIFS(Xero!$F:$F,Xero!$B:$B,Heron!AD$9,Xero!$A:$A,Heron!$A$4,Xero!$E:$E,Heron!$A37)+SUMIFS(Xero!$F:$F,Xero!$B:$B,Heron!AD$9,Xero!$A:$A,Heron!$A$5,Xero!$E:$E,Heron!$A37)</f>
        <v/>
      </c>
      <c r="AE37" s="66">
        <f>SUMIFS(Xero!$F:$F,Xero!$B:$B,Heron!AE$9,Xero!$A:$A,Heron!$A$4,Xero!$E:$E,Heron!$A37)+SUMIFS(Xero!$F:$F,Xero!$B:$B,Heron!AE$9,Xero!$A:$A,Heron!$A$5,Xero!$E:$E,Heron!$A37)</f>
        <v/>
      </c>
      <c r="AF37" s="66">
        <f>SUMIFS(Xero!$F:$F,Xero!$B:$B,Heron!AF$9,Xero!$A:$A,Heron!$A$4,Xero!$E:$E,Heron!$A37)+SUMIFS(Xero!$F:$F,Xero!$B:$B,Heron!AF$9,Xero!$A:$A,Heron!$A$5,Xero!$E:$E,Heron!$A37)</f>
        <v/>
      </c>
      <c r="AG37" s="66">
        <f>SUMIFS(Xero!$F:$F,Xero!$B:$B,Heron!AG$9,Xero!$A:$A,Heron!$A$4,Xero!$E:$E,Heron!$A37)+SUMIFS(Xero!$F:$F,Xero!$B:$B,Heron!AG$9,Xero!$A:$A,Heron!$A$5,Xero!$E:$E,Heron!$A37)</f>
        <v/>
      </c>
      <c r="AH37" s="66">
        <f>SUMIFS(Xero!$F:$F,Xero!$B:$B,Heron!AH$9,Xero!$A:$A,Heron!$A$4,Xero!$E:$E,Heron!$A37)+SUMIFS(Xero!$F:$F,Xero!$B:$B,Heron!AH$9,Xero!$A:$A,Heron!$A$5,Xero!$E:$E,Heron!$A37)</f>
        <v/>
      </c>
      <c r="AI37" s="66">
        <f>SUMIFS(Xero!$F:$F,Xero!$B:$B,Heron!AI$9,Xero!$A:$A,Heron!$A$4,Xero!$E:$E,Heron!$A37)+SUMIFS(Xero!$F:$F,Xero!$B:$B,Heron!AI$9,Xero!$A:$A,Heron!$A$5,Xero!$E:$E,Heron!$A37)</f>
        <v/>
      </c>
      <c r="AJ37" s="66">
        <f>SUMIFS(Xero!$F:$F,Xero!$B:$B,Heron!AJ$9,Xero!$A:$A,Heron!$A$4,Xero!$E:$E,Heron!$A37)+SUMIFS(Xero!$F:$F,Xero!$B:$B,Heron!AJ$9,Xero!$A:$A,Heron!$A$5,Xero!$E:$E,Heron!$A37)</f>
        <v/>
      </c>
      <c r="AK37" s="66">
        <f>SUMIFS(Xero!$F:$F,Xero!$B:$B,Heron!AK$9,Xero!$A:$A,Heron!$A$4,Xero!$E:$E,Heron!$A37)+SUMIFS(Xero!$F:$F,Xero!$B:$B,Heron!AK$9,Xero!$A:$A,Heron!$A$5,Xero!$E:$E,Heron!$A37)</f>
        <v/>
      </c>
      <c r="AL37" s="66">
        <f>SUMIFS(Xero!$F:$F,Xero!$B:$B,Heron!AL$9,Xero!$A:$A,Heron!$A$4,Xero!$E:$E,Heron!$A37)+SUMIFS(Xero!$F:$F,Xero!$B:$B,Heron!AL$9,Xero!$A:$A,Heron!$A$5,Xero!$E:$E,Heron!$A37)</f>
        <v/>
      </c>
      <c r="AM37" s="66">
        <f>SUMIFS(Xero!$F:$F,Xero!$B:$B,Heron!AM$9,Xero!$A:$A,Heron!$A$4,Xero!$E:$E,Heron!$A37)+SUMIFS(Xero!$F:$F,Xero!$B:$B,Heron!AM$9,Xero!$A:$A,Heron!$A$5,Xero!$E:$E,Heron!$A37)</f>
        <v/>
      </c>
      <c r="AN37" s="66">
        <f>SUMIFS(Xero!$F:$F,Xero!$B:$B,Heron!AN$9,Xero!$A:$A,Heron!$A$4,Xero!$E:$E,Heron!$A37)+SUMIFS(Xero!$F:$F,Xero!$B:$B,Heron!AN$9,Xero!$A:$A,Heron!$A$5,Xero!$E:$E,Heron!$A37)</f>
        <v/>
      </c>
      <c r="AO37" s="66">
        <f>SUMIFS(Xero!$F:$F,Xero!$B:$B,Heron!AO$9,Xero!$A:$A,Heron!$A$4,Xero!$E:$E,Heron!$A37)+SUMIFS(Xero!$F:$F,Xero!$B:$B,Heron!AO$9,Xero!$A:$A,Heron!$A$5,Xero!$E:$E,Heron!$A37)</f>
        <v/>
      </c>
      <c r="AP37" s="66">
        <f>SUMIFS(Xero!$F:$F,Xero!$B:$B,Heron!AP$9,Xero!$A:$A,Heron!$A$4,Xero!$E:$E,Heron!$A37)+SUMIFS(Xero!$F:$F,Xero!$B:$B,Heron!AP$9,Xero!$A:$A,Heron!$A$5,Xero!$E:$E,Heron!$A37)</f>
        <v/>
      </c>
      <c r="AQ37" s="66">
        <f>SUMIFS(Xero!$F:$F,Xero!$B:$B,Heron!AQ$9,Xero!$A:$A,Heron!$A$4,Xero!$E:$E,Heron!$A37)+SUMIFS(Xero!$F:$F,Xero!$B:$B,Heron!AQ$9,Xero!$A:$A,Heron!$A$5,Xero!$E:$E,Heron!$A37)</f>
        <v/>
      </c>
      <c r="AR37" s="66">
        <f>SUMIFS(Xero!$F:$F,Xero!$B:$B,Heron!AR$9,Xero!$A:$A,Heron!$A$4,Xero!$E:$E,Heron!$A37)+SUMIFS(Xero!$F:$F,Xero!$B:$B,Heron!AR$9,Xero!$A:$A,Heron!$A$5,Xero!$E:$E,Heron!$A37)</f>
        <v/>
      </c>
      <c r="AS37" s="66">
        <f>SUMIFS(Xero!$F:$F,Xero!$B:$B,Heron!AS$9,Xero!$A:$A,Heron!$A$4,Xero!$E:$E,Heron!$A37)+SUMIFS(Xero!$F:$F,Xero!$B:$B,Heron!AS$9,Xero!$A:$A,Heron!$A$5,Xero!$E:$E,Heron!$A37)</f>
        <v/>
      </c>
      <c r="AT37" s="66">
        <f>SUMIFS(Xero!$F:$F,Xero!$B:$B,Heron!AT$9,Xero!$A:$A,Heron!$A$4,Xero!$E:$E,Heron!$A37)+SUMIFS(Xero!$F:$F,Xero!$B:$B,Heron!AT$9,Xero!$A:$A,Heron!$A$5,Xero!$E:$E,Heron!$A37)</f>
        <v/>
      </c>
      <c r="AU37" s="66">
        <f>SUMIFS(Xero!$F:$F,Xero!$B:$B,Heron!AU$9,Xero!$A:$A,Heron!$A$4,Xero!$E:$E,Heron!$A37)+SUMIFS(Xero!$F:$F,Xero!$B:$B,Heron!AU$9,Xero!$A:$A,Heron!$A$5,Xero!$E:$E,Heron!$A37)</f>
        <v/>
      </c>
      <c r="AV37" s="66">
        <f>SUMIFS(Xero!$F:$F,Xero!$B:$B,Heron!AV$9,Xero!$A:$A,Heron!$A$4,Xero!$E:$E,Heron!$A37)+SUMIFS(Xero!$F:$F,Xero!$B:$B,Heron!AV$9,Xero!$A:$A,Heron!$A$5,Xero!$E:$E,Heron!$A37)</f>
        <v/>
      </c>
      <c r="AW37" s="66">
        <f>SUMIFS(Xero!$F:$F,Xero!$B:$B,Heron!AW$9,Xero!$A:$A,Heron!$A$4,Xero!$E:$E,Heron!$A37)+SUMIFS(Xero!$F:$F,Xero!$B:$B,Heron!AW$9,Xero!$A:$A,Heron!$A$5,Xero!$E:$E,Heron!$A37)</f>
        <v/>
      </c>
      <c r="AX37" s="66">
        <f>SUMIFS(Xero!$F:$F,Xero!$B:$B,Heron!AX$9,Xero!$A:$A,Heron!$A$4,Xero!$E:$E,Heron!$A37)+SUMIFS(Xero!$F:$F,Xero!$B:$B,Heron!AX$9,Xero!$A:$A,Heron!$A$5,Xero!$E:$E,Heron!$A37)</f>
        <v/>
      </c>
      <c r="AY37" s="66">
        <f>SUMIFS(Xero!$F:$F,Xero!$B:$B,Heron!AY$9,Xero!$A:$A,Heron!$A$4,Xero!$E:$E,Heron!$A37)+SUMIFS(Xero!$F:$F,Xero!$B:$B,Heron!AY$9,Xero!$A:$A,Heron!$A$5,Xero!$E:$E,Heron!$A37)</f>
        <v/>
      </c>
      <c r="AZ37" s="66">
        <f>SUMIFS(Xero!$F:$F,Xero!$B:$B,Heron!AZ$9,Xero!$A:$A,Heron!$A$4,Xero!$E:$E,Heron!$A37)+SUMIFS(Xero!$F:$F,Xero!$B:$B,Heron!AZ$9,Xero!$A:$A,Heron!$A$5,Xero!$E:$E,Heron!$A37)</f>
        <v/>
      </c>
      <c r="BA37" s="66">
        <f>SUMIFS(Xero!$F:$F,Xero!$B:$B,Heron!BA$9,Xero!$A:$A,Heron!$A$4,Xero!$E:$E,Heron!$A37)+SUMIFS(Xero!$F:$F,Xero!$B:$B,Heron!BA$9,Xero!$A:$A,Heron!$A$5,Xero!$E:$E,Heron!$A37)</f>
        <v/>
      </c>
      <c r="BB37" s="66">
        <f>SUMIFS(Xero!$F:$F,Xero!$B:$B,Heron!BB$9,Xero!$A:$A,Heron!$A$4,Xero!$E:$E,Heron!$A37)+SUMIFS(Xero!$F:$F,Xero!$B:$B,Heron!BB$9,Xero!$A:$A,Heron!$A$5,Xero!$E:$E,Heron!$A37)</f>
        <v/>
      </c>
      <c r="BC37" s="66">
        <f>SUMIFS(Xero!$F:$F,Xero!$B:$B,Heron!BC$9,Xero!$A:$A,Heron!$A$4,Xero!$E:$E,Heron!$A37)+SUMIFS(Xero!$F:$F,Xero!$B:$B,Heron!BC$9,Xero!$A:$A,Heron!$A$5,Xero!$E:$E,Heron!$A37)</f>
        <v/>
      </c>
      <c r="BD37" s="66">
        <f>SUMIFS(Xero!$F:$F,Xero!$B:$B,Heron!BD$9,Xero!$A:$A,Heron!$A$4,Xero!$E:$E,Heron!$A37)+SUMIFS(Xero!$F:$F,Xero!$B:$B,Heron!BD$9,Xero!$A:$A,Heron!$A$5,Xero!$E:$E,Heron!$A37)</f>
        <v/>
      </c>
      <c r="BE37" s="66">
        <f>SUMIFS(Xero!$F:$F,Xero!$B:$B,Heron!BE$9,Xero!$A:$A,Heron!$A$4,Xero!$E:$E,Heron!$A37)+SUMIFS(Xero!$F:$F,Xero!$B:$B,Heron!BE$9,Xero!$A:$A,Heron!$A$5,Xero!$E:$E,Heron!$A37)</f>
        <v/>
      </c>
      <c r="BF37" s="66">
        <f>SUMIFS(Xero!$F:$F,Xero!$B:$B,Heron!BF$9,Xero!$A:$A,Heron!$A$4,Xero!$E:$E,Heron!$A37)+SUMIFS(Xero!$F:$F,Xero!$B:$B,Heron!BF$9,Xero!$A:$A,Heron!$A$5,Xero!$E:$E,Heron!$A37)</f>
        <v/>
      </c>
      <c r="BG37" s="66">
        <f>SUMIFS(Xero!$F:$F,Xero!$B:$B,Heron!BG$9,Xero!$A:$A,Heron!$A$4,Xero!$E:$E,Heron!$A37)+SUMIFS(Xero!$F:$F,Xero!$B:$B,Heron!BG$9,Xero!$A:$A,Heron!$A$5,Xero!$E:$E,Heron!$A37)</f>
        <v/>
      </c>
      <c r="BH37" s="66">
        <f>sum(D37:BG37)</f>
        <v/>
      </c>
    </row>
    <row r="38">
      <c r="A38" s="65" t="inlineStr">
        <is>
          <t>Bank Charges</t>
        </is>
      </c>
      <c r="D38" s="66">
        <f>SUMIFS(Xero!$F:$F,Xero!$B:$B,Heron!D$9,Xero!$A:$A,Heron!$A$4,Xero!$E:$E,Heron!$A38)+SUMIFS(Xero!$F:$F,Xero!$B:$B,Heron!D$9,Xero!$A:$A,Heron!$A$5,Xero!$E:$E,Heron!$A38)</f>
        <v/>
      </c>
      <c r="E38" s="66">
        <f>SUMIFS(Xero!$F:$F,Xero!$B:$B,Heron!E$9,Xero!$A:$A,Heron!$A$4,Xero!$E:$E,Heron!$A38)+SUMIFS(Xero!$F:$F,Xero!$B:$B,Heron!E$9,Xero!$A:$A,Heron!$A$5,Xero!$E:$E,Heron!$A38)</f>
        <v/>
      </c>
      <c r="F38" s="66">
        <f>SUMIFS(Xero!$F:$F,Xero!$B:$B,Heron!F$9,Xero!$A:$A,Heron!$A$4,Xero!$E:$E,Heron!$A38)+SUMIFS(Xero!$F:$F,Xero!$B:$B,Heron!F$9,Xero!$A:$A,Heron!$A$5,Xero!$E:$E,Heron!$A38)</f>
        <v/>
      </c>
      <c r="G38" s="66">
        <f>SUMIFS(Xero!$F:$F,Xero!$B:$B,Heron!G$9,Xero!$A:$A,Heron!$A$4,Xero!$E:$E,Heron!$A38)+SUMIFS(Xero!$F:$F,Xero!$B:$B,Heron!G$9,Xero!$A:$A,Heron!$A$5,Xero!$E:$E,Heron!$A38)</f>
        <v/>
      </c>
      <c r="H38" s="66">
        <f>SUMIFS(Xero!$F:$F,Xero!$B:$B,Heron!H$9,Xero!$A:$A,Heron!$A$4,Xero!$E:$E,Heron!$A38)+SUMIFS(Xero!$F:$F,Xero!$B:$B,Heron!H$9,Xero!$A:$A,Heron!$A$5,Xero!$E:$E,Heron!$A38)</f>
        <v/>
      </c>
      <c r="I38" s="66">
        <f>SUMIFS(Xero!$F:$F,Xero!$B:$B,Heron!I$9,Xero!$A:$A,Heron!$A$4,Xero!$E:$E,Heron!$A38)+SUMIFS(Xero!$F:$F,Xero!$B:$B,Heron!I$9,Xero!$A:$A,Heron!$A$5,Xero!$E:$E,Heron!$A38)</f>
        <v/>
      </c>
      <c r="J38" s="66">
        <f>SUMIFS(Xero!$F:$F,Xero!$B:$B,Heron!J$9,Xero!$A:$A,Heron!$A$4,Xero!$E:$E,Heron!$A38)+SUMIFS(Xero!$F:$F,Xero!$B:$B,Heron!J$9,Xero!$A:$A,Heron!$A$5,Xero!$E:$E,Heron!$A38)</f>
        <v/>
      </c>
      <c r="K38" s="66">
        <f>SUMIFS(Xero!$F:$F,Xero!$B:$B,Heron!K$9,Xero!$A:$A,Heron!$A$4,Xero!$E:$E,Heron!$A38)+SUMIFS(Xero!$F:$F,Xero!$B:$B,Heron!K$9,Xero!$A:$A,Heron!$A$5,Xero!$E:$E,Heron!$A38)</f>
        <v/>
      </c>
      <c r="L38" s="66">
        <f>SUMIFS(Xero!$F:$F,Xero!$B:$B,Heron!L$9,Xero!$A:$A,Heron!$A$4,Xero!$E:$E,Heron!$A38)+SUMIFS(Xero!$F:$F,Xero!$B:$B,Heron!L$9,Xero!$A:$A,Heron!$A$5,Xero!$E:$E,Heron!$A38)</f>
        <v/>
      </c>
      <c r="M38" s="66">
        <f>SUMIFS(Xero!$F:$F,Xero!$B:$B,Heron!M$9,Xero!$A:$A,Heron!$A$4,Xero!$E:$E,Heron!$A38)+SUMIFS(Xero!$F:$F,Xero!$B:$B,Heron!M$9,Xero!$A:$A,Heron!$A$5,Xero!$E:$E,Heron!$A38)</f>
        <v/>
      </c>
      <c r="N38" s="66">
        <f>SUMIFS(Xero!$F:$F,Xero!$B:$B,Heron!N$9,Xero!$A:$A,Heron!$A$4,Xero!$E:$E,Heron!$A38)+SUMIFS(Xero!$F:$F,Xero!$B:$B,Heron!N$9,Xero!$A:$A,Heron!$A$5,Xero!$E:$E,Heron!$A38)</f>
        <v/>
      </c>
      <c r="O38" s="66">
        <f>SUMIFS(Xero!$F:$F,Xero!$B:$B,Heron!O$9,Xero!$A:$A,Heron!$A$4,Xero!$E:$E,Heron!$A38)+SUMIFS(Xero!$F:$F,Xero!$B:$B,Heron!O$9,Xero!$A:$A,Heron!$A$5,Xero!$E:$E,Heron!$A38)</f>
        <v/>
      </c>
      <c r="P38" s="66">
        <f>SUMIFS(Xero!$F:$F,Xero!$B:$B,Heron!P$9,Xero!$A:$A,Heron!$A$4,Xero!$E:$E,Heron!$A38)+SUMIFS(Xero!$F:$F,Xero!$B:$B,Heron!P$9,Xero!$A:$A,Heron!$A$5,Xero!$E:$E,Heron!$A38)</f>
        <v/>
      </c>
      <c r="Q38" s="66">
        <f>SUMIFS(Xero!$F:$F,Xero!$B:$B,Heron!Q$9,Xero!$A:$A,Heron!$A$4,Xero!$E:$E,Heron!$A38)+SUMIFS(Xero!$F:$F,Xero!$B:$B,Heron!Q$9,Xero!$A:$A,Heron!$A$5,Xero!$E:$E,Heron!$A38)</f>
        <v/>
      </c>
      <c r="R38" s="66">
        <f>SUMIFS(Xero!$F:$F,Xero!$B:$B,Heron!R$9,Xero!$A:$A,Heron!$A$4,Xero!$E:$E,Heron!$A38)+SUMIFS(Xero!$F:$F,Xero!$B:$B,Heron!R$9,Xero!$A:$A,Heron!$A$5,Xero!$E:$E,Heron!$A38)</f>
        <v/>
      </c>
      <c r="S38" s="66">
        <f>SUMIFS(Xero!$F:$F,Xero!$B:$B,Heron!S$9,Xero!$A:$A,Heron!$A$4,Xero!$E:$E,Heron!$A38)+SUMIFS(Xero!$F:$F,Xero!$B:$B,Heron!S$9,Xero!$A:$A,Heron!$A$5,Xero!$E:$E,Heron!$A38)</f>
        <v/>
      </c>
      <c r="T38" s="66">
        <f>SUMIFS(Xero!$F:$F,Xero!$B:$B,Heron!T$9,Xero!$A:$A,Heron!$A$4,Xero!$E:$E,Heron!$A38)+SUMIFS(Xero!$F:$F,Xero!$B:$B,Heron!T$9,Xero!$A:$A,Heron!$A$5,Xero!$E:$E,Heron!$A38)</f>
        <v/>
      </c>
      <c r="U38" s="66">
        <f>SUMIFS(Xero!$F:$F,Xero!$B:$B,Heron!U$9,Xero!$A:$A,Heron!$A$4,Xero!$E:$E,Heron!$A38)+SUMIFS(Xero!$F:$F,Xero!$B:$B,Heron!U$9,Xero!$A:$A,Heron!$A$5,Xero!$E:$E,Heron!$A38)</f>
        <v/>
      </c>
      <c r="V38" s="66">
        <f>SUMIFS(Xero!$F:$F,Xero!$B:$B,Heron!V$9,Xero!$A:$A,Heron!$A$4,Xero!$E:$E,Heron!$A38)+SUMIFS(Xero!$F:$F,Xero!$B:$B,Heron!V$9,Xero!$A:$A,Heron!$A$5,Xero!$E:$E,Heron!$A38)</f>
        <v/>
      </c>
      <c r="W38" s="66">
        <f>SUMIFS(Xero!$F:$F,Xero!$B:$B,Heron!W$9,Xero!$A:$A,Heron!$A$4,Xero!$E:$E,Heron!$A38)+SUMIFS(Xero!$F:$F,Xero!$B:$B,Heron!W$9,Xero!$A:$A,Heron!$A$5,Xero!$E:$E,Heron!$A38)</f>
        <v/>
      </c>
      <c r="X38" s="66">
        <f>SUMIFS(Xero!$F:$F,Xero!$B:$B,Heron!X$9,Xero!$A:$A,Heron!$A$4,Xero!$E:$E,Heron!$A38)+SUMIFS(Xero!$F:$F,Xero!$B:$B,Heron!X$9,Xero!$A:$A,Heron!$A$5,Xero!$E:$E,Heron!$A38)</f>
        <v/>
      </c>
      <c r="Y38" s="66">
        <f>SUMIFS(Xero!$F:$F,Xero!$B:$B,Heron!Y$9,Xero!$A:$A,Heron!$A$4,Xero!$E:$E,Heron!$A38)+SUMIFS(Xero!$F:$F,Xero!$B:$B,Heron!Y$9,Xero!$A:$A,Heron!$A$5,Xero!$E:$E,Heron!$A38)</f>
        <v/>
      </c>
      <c r="Z38" s="66">
        <f>SUMIFS(Xero!$F:$F,Xero!$B:$B,Heron!Z$9,Xero!$A:$A,Heron!$A$4,Xero!$E:$E,Heron!$A38)+SUMIFS(Xero!$F:$F,Xero!$B:$B,Heron!Z$9,Xero!$A:$A,Heron!$A$5,Xero!$E:$E,Heron!$A38)</f>
        <v/>
      </c>
      <c r="AA38" s="66">
        <f>SUMIFS(Xero!$F:$F,Xero!$B:$B,Heron!AA$9,Xero!$A:$A,Heron!$A$4,Xero!$E:$E,Heron!$A38)+SUMIFS(Xero!$F:$F,Xero!$B:$B,Heron!AA$9,Xero!$A:$A,Heron!$A$5,Xero!$E:$E,Heron!$A38)</f>
        <v/>
      </c>
      <c r="AB38" s="66">
        <f>SUMIFS(Xero!$F:$F,Xero!$B:$B,Heron!AB$9,Xero!$A:$A,Heron!$A$4,Xero!$E:$E,Heron!$A38)+SUMIFS(Xero!$F:$F,Xero!$B:$B,Heron!AB$9,Xero!$A:$A,Heron!$A$5,Xero!$E:$E,Heron!$A38)</f>
        <v/>
      </c>
      <c r="AC38" s="66">
        <f>SUMIFS(Xero!$F:$F,Xero!$B:$B,Heron!AC$9,Xero!$A:$A,Heron!$A$4,Xero!$E:$E,Heron!$A38)+SUMIFS(Xero!$F:$F,Xero!$B:$B,Heron!AC$9,Xero!$A:$A,Heron!$A$5,Xero!$E:$E,Heron!$A38)</f>
        <v/>
      </c>
      <c r="AD38" s="66">
        <f>SUMIFS(Xero!$F:$F,Xero!$B:$B,Heron!AD$9,Xero!$A:$A,Heron!$A$4,Xero!$E:$E,Heron!$A38)+SUMIFS(Xero!$F:$F,Xero!$B:$B,Heron!AD$9,Xero!$A:$A,Heron!$A$5,Xero!$E:$E,Heron!$A38)</f>
        <v/>
      </c>
      <c r="AE38" s="66">
        <f>SUMIFS(Xero!$F:$F,Xero!$B:$B,Heron!AE$9,Xero!$A:$A,Heron!$A$4,Xero!$E:$E,Heron!$A38)+SUMIFS(Xero!$F:$F,Xero!$B:$B,Heron!AE$9,Xero!$A:$A,Heron!$A$5,Xero!$E:$E,Heron!$A38)</f>
        <v/>
      </c>
      <c r="AF38" s="66">
        <f>SUMIFS(Xero!$F:$F,Xero!$B:$B,Heron!AF$9,Xero!$A:$A,Heron!$A$4,Xero!$E:$E,Heron!$A38)+SUMIFS(Xero!$F:$F,Xero!$B:$B,Heron!AF$9,Xero!$A:$A,Heron!$A$5,Xero!$E:$E,Heron!$A38)</f>
        <v/>
      </c>
      <c r="AG38" s="66">
        <f>SUMIFS(Xero!$F:$F,Xero!$B:$B,Heron!AG$9,Xero!$A:$A,Heron!$A$4,Xero!$E:$E,Heron!$A38)+SUMIFS(Xero!$F:$F,Xero!$B:$B,Heron!AG$9,Xero!$A:$A,Heron!$A$5,Xero!$E:$E,Heron!$A38)</f>
        <v/>
      </c>
      <c r="AH38" s="66">
        <f>SUMIFS(Xero!$F:$F,Xero!$B:$B,Heron!AH$9,Xero!$A:$A,Heron!$A$4,Xero!$E:$E,Heron!$A38)+SUMIFS(Xero!$F:$F,Xero!$B:$B,Heron!AH$9,Xero!$A:$A,Heron!$A$5,Xero!$E:$E,Heron!$A38)</f>
        <v/>
      </c>
      <c r="AI38" s="66">
        <f>SUMIFS(Xero!$F:$F,Xero!$B:$B,Heron!AI$9,Xero!$A:$A,Heron!$A$4,Xero!$E:$E,Heron!$A38)+SUMIFS(Xero!$F:$F,Xero!$B:$B,Heron!AI$9,Xero!$A:$A,Heron!$A$5,Xero!$E:$E,Heron!$A38)</f>
        <v/>
      </c>
      <c r="AJ38" s="66">
        <f>SUMIFS(Xero!$F:$F,Xero!$B:$B,Heron!AJ$9,Xero!$A:$A,Heron!$A$4,Xero!$E:$E,Heron!$A38)+SUMIFS(Xero!$F:$F,Xero!$B:$B,Heron!AJ$9,Xero!$A:$A,Heron!$A$5,Xero!$E:$E,Heron!$A38)</f>
        <v/>
      </c>
      <c r="AK38" s="66">
        <f>SUMIFS(Xero!$F:$F,Xero!$B:$B,Heron!AK$9,Xero!$A:$A,Heron!$A$4,Xero!$E:$E,Heron!$A38)+SUMIFS(Xero!$F:$F,Xero!$B:$B,Heron!AK$9,Xero!$A:$A,Heron!$A$5,Xero!$E:$E,Heron!$A38)</f>
        <v/>
      </c>
      <c r="AL38" s="66">
        <f>SUMIFS(Xero!$F:$F,Xero!$B:$B,Heron!AL$9,Xero!$A:$A,Heron!$A$4,Xero!$E:$E,Heron!$A38)+SUMIFS(Xero!$F:$F,Xero!$B:$B,Heron!AL$9,Xero!$A:$A,Heron!$A$5,Xero!$E:$E,Heron!$A38)</f>
        <v/>
      </c>
      <c r="AM38" s="66">
        <f>SUMIFS(Xero!$F:$F,Xero!$B:$B,Heron!AM$9,Xero!$A:$A,Heron!$A$4,Xero!$E:$E,Heron!$A38)+SUMIFS(Xero!$F:$F,Xero!$B:$B,Heron!AM$9,Xero!$A:$A,Heron!$A$5,Xero!$E:$E,Heron!$A38)</f>
        <v/>
      </c>
      <c r="AN38" s="66">
        <f>SUMIFS(Xero!$F:$F,Xero!$B:$B,Heron!AN$9,Xero!$A:$A,Heron!$A$4,Xero!$E:$E,Heron!$A38)+SUMIFS(Xero!$F:$F,Xero!$B:$B,Heron!AN$9,Xero!$A:$A,Heron!$A$5,Xero!$E:$E,Heron!$A38)</f>
        <v/>
      </c>
      <c r="AO38" s="66">
        <f>SUMIFS(Xero!$F:$F,Xero!$B:$B,Heron!AO$9,Xero!$A:$A,Heron!$A$4,Xero!$E:$E,Heron!$A38)+SUMIFS(Xero!$F:$F,Xero!$B:$B,Heron!AO$9,Xero!$A:$A,Heron!$A$5,Xero!$E:$E,Heron!$A38)</f>
        <v/>
      </c>
      <c r="AP38" s="66">
        <f>SUMIFS(Xero!$F:$F,Xero!$B:$B,Heron!AP$9,Xero!$A:$A,Heron!$A$4,Xero!$E:$E,Heron!$A38)+SUMIFS(Xero!$F:$F,Xero!$B:$B,Heron!AP$9,Xero!$A:$A,Heron!$A$5,Xero!$E:$E,Heron!$A38)</f>
        <v/>
      </c>
      <c r="AQ38" s="66">
        <f>SUMIFS(Xero!$F:$F,Xero!$B:$B,Heron!AQ$9,Xero!$A:$A,Heron!$A$4,Xero!$E:$E,Heron!$A38)+SUMIFS(Xero!$F:$F,Xero!$B:$B,Heron!AQ$9,Xero!$A:$A,Heron!$A$5,Xero!$E:$E,Heron!$A38)</f>
        <v/>
      </c>
      <c r="AR38" s="66">
        <f>SUMIFS(Xero!$F:$F,Xero!$B:$B,Heron!AR$9,Xero!$A:$A,Heron!$A$4,Xero!$E:$E,Heron!$A38)+SUMIFS(Xero!$F:$F,Xero!$B:$B,Heron!AR$9,Xero!$A:$A,Heron!$A$5,Xero!$E:$E,Heron!$A38)</f>
        <v/>
      </c>
      <c r="AS38" s="66">
        <f>SUMIFS(Xero!$F:$F,Xero!$B:$B,Heron!AS$9,Xero!$A:$A,Heron!$A$4,Xero!$E:$E,Heron!$A38)+SUMIFS(Xero!$F:$F,Xero!$B:$B,Heron!AS$9,Xero!$A:$A,Heron!$A$5,Xero!$E:$E,Heron!$A38)</f>
        <v/>
      </c>
      <c r="AT38" s="66">
        <f>SUMIFS(Xero!$F:$F,Xero!$B:$B,Heron!AT$9,Xero!$A:$A,Heron!$A$4,Xero!$E:$E,Heron!$A38)+SUMIFS(Xero!$F:$F,Xero!$B:$B,Heron!AT$9,Xero!$A:$A,Heron!$A$5,Xero!$E:$E,Heron!$A38)</f>
        <v/>
      </c>
      <c r="AU38" s="66">
        <f>SUMIFS(Xero!$F:$F,Xero!$B:$B,Heron!AU$9,Xero!$A:$A,Heron!$A$4,Xero!$E:$E,Heron!$A38)+SUMIFS(Xero!$F:$F,Xero!$B:$B,Heron!AU$9,Xero!$A:$A,Heron!$A$5,Xero!$E:$E,Heron!$A38)</f>
        <v/>
      </c>
      <c r="AV38" s="66">
        <f>SUMIFS(Xero!$F:$F,Xero!$B:$B,Heron!AV$9,Xero!$A:$A,Heron!$A$4,Xero!$E:$E,Heron!$A38)+SUMIFS(Xero!$F:$F,Xero!$B:$B,Heron!AV$9,Xero!$A:$A,Heron!$A$5,Xero!$E:$E,Heron!$A38)</f>
        <v/>
      </c>
      <c r="AW38" s="66">
        <f>SUMIFS(Xero!$F:$F,Xero!$B:$B,Heron!AW$9,Xero!$A:$A,Heron!$A$4,Xero!$E:$E,Heron!$A38)+SUMIFS(Xero!$F:$F,Xero!$B:$B,Heron!AW$9,Xero!$A:$A,Heron!$A$5,Xero!$E:$E,Heron!$A38)</f>
        <v/>
      </c>
      <c r="AX38" s="66">
        <f>SUMIFS(Xero!$F:$F,Xero!$B:$B,Heron!AX$9,Xero!$A:$A,Heron!$A$4,Xero!$E:$E,Heron!$A38)+SUMIFS(Xero!$F:$F,Xero!$B:$B,Heron!AX$9,Xero!$A:$A,Heron!$A$5,Xero!$E:$E,Heron!$A38)</f>
        <v/>
      </c>
      <c r="AY38" s="66">
        <f>SUMIFS(Xero!$F:$F,Xero!$B:$B,Heron!AY$9,Xero!$A:$A,Heron!$A$4,Xero!$E:$E,Heron!$A38)+SUMIFS(Xero!$F:$F,Xero!$B:$B,Heron!AY$9,Xero!$A:$A,Heron!$A$5,Xero!$E:$E,Heron!$A38)</f>
        <v/>
      </c>
      <c r="AZ38" s="66">
        <f>SUMIFS(Xero!$F:$F,Xero!$B:$B,Heron!AZ$9,Xero!$A:$A,Heron!$A$4,Xero!$E:$E,Heron!$A38)+SUMIFS(Xero!$F:$F,Xero!$B:$B,Heron!AZ$9,Xero!$A:$A,Heron!$A$5,Xero!$E:$E,Heron!$A38)</f>
        <v/>
      </c>
      <c r="BA38" s="66">
        <f>SUMIFS(Xero!$F:$F,Xero!$B:$B,Heron!BA$9,Xero!$A:$A,Heron!$A$4,Xero!$E:$E,Heron!$A38)+SUMIFS(Xero!$F:$F,Xero!$B:$B,Heron!BA$9,Xero!$A:$A,Heron!$A$5,Xero!$E:$E,Heron!$A38)</f>
        <v/>
      </c>
      <c r="BB38" s="66">
        <f>SUMIFS(Xero!$F:$F,Xero!$B:$B,Heron!BB$9,Xero!$A:$A,Heron!$A$4,Xero!$E:$E,Heron!$A38)+SUMIFS(Xero!$F:$F,Xero!$B:$B,Heron!BB$9,Xero!$A:$A,Heron!$A$5,Xero!$E:$E,Heron!$A38)</f>
        <v/>
      </c>
      <c r="BC38" s="66">
        <f>SUMIFS(Xero!$F:$F,Xero!$B:$B,Heron!BC$9,Xero!$A:$A,Heron!$A$4,Xero!$E:$E,Heron!$A38)+SUMIFS(Xero!$F:$F,Xero!$B:$B,Heron!BC$9,Xero!$A:$A,Heron!$A$5,Xero!$E:$E,Heron!$A38)</f>
        <v/>
      </c>
      <c r="BD38" s="66">
        <f>SUMIFS(Xero!$F:$F,Xero!$B:$B,Heron!BD$9,Xero!$A:$A,Heron!$A$4,Xero!$E:$E,Heron!$A38)+SUMIFS(Xero!$F:$F,Xero!$B:$B,Heron!BD$9,Xero!$A:$A,Heron!$A$5,Xero!$E:$E,Heron!$A38)</f>
        <v/>
      </c>
      <c r="BE38" s="66">
        <f>SUMIFS(Xero!$F:$F,Xero!$B:$B,Heron!BE$9,Xero!$A:$A,Heron!$A$4,Xero!$E:$E,Heron!$A38)+SUMIFS(Xero!$F:$F,Xero!$B:$B,Heron!BE$9,Xero!$A:$A,Heron!$A$5,Xero!$E:$E,Heron!$A38)</f>
        <v/>
      </c>
      <c r="BF38" s="66">
        <f>SUMIFS(Xero!$F:$F,Xero!$B:$B,Heron!BF$9,Xero!$A:$A,Heron!$A$4,Xero!$E:$E,Heron!$A38)+SUMIFS(Xero!$F:$F,Xero!$B:$B,Heron!BF$9,Xero!$A:$A,Heron!$A$5,Xero!$E:$E,Heron!$A38)</f>
        <v/>
      </c>
      <c r="BG38" s="66">
        <f>SUMIFS(Xero!$F:$F,Xero!$B:$B,Heron!BG$9,Xero!$A:$A,Heron!$A$4,Xero!$E:$E,Heron!$A38)+SUMIFS(Xero!$F:$F,Xero!$B:$B,Heron!BG$9,Xero!$A:$A,Heron!$A$5,Xero!$E:$E,Heron!$A38)</f>
        <v/>
      </c>
      <c r="BH38" s="66">
        <f>sum(D38:BG38)</f>
        <v/>
      </c>
    </row>
    <row r="39">
      <c r="A39" s="65" t="inlineStr">
        <is>
          <t>COCT: Developers Rates &amp; Refuse Acc: 236356811</t>
        </is>
      </c>
      <c r="D39" s="66">
        <f>SUMIFS(Xero!$F:$F,Xero!$B:$B,Heron!D$9,Xero!$A:$A,Heron!$A$4,Xero!$E:$E,Heron!$A39)+SUMIFS(Xero!$F:$F,Xero!$B:$B,Heron!D$9,Xero!$A:$A,Heron!$A$5,Xero!$E:$E,Heron!$A39)</f>
        <v/>
      </c>
      <c r="E39" s="66">
        <f>SUMIFS(Xero!$F:$F,Xero!$B:$B,Heron!E$9,Xero!$A:$A,Heron!$A$4,Xero!$E:$E,Heron!$A39)+SUMIFS(Xero!$F:$F,Xero!$B:$B,Heron!E$9,Xero!$A:$A,Heron!$A$5,Xero!$E:$E,Heron!$A39)</f>
        <v/>
      </c>
      <c r="F39" s="66">
        <f>SUMIFS(Xero!$F:$F,Xero!$B:$B,Heron!F$9,Xero!$A:$A,Heron!$A$4,Xero!$E:$E,Heron!$A39)+SUMIFS(Xero!$F:$F,Xero!$B:$B,Heron!F$9,Xero!$A:$A,Heron!$A$5,Xero!$E:$E,Heron!$A39)</f>
        <v/>
      </c>
      <c r="G39" s="66">
        <f>SUMIFS(Xero!$F:$F,Xero!$B:$B,Heron!G$9,Xero!$A:$A,Heron!$A$4,Xero!$E:$E,Heron!$A39)+SUMIFS(Xero!$F:$F,Xero!$B:$B,Heron!G$9,Xero!$A:$A,Heron!$A$5,Xero!$E:$E,Heron!$A39)</f>
        <v/>
      </c>
      <c r="H39" s="66">
        <f>SUMIFS(Xero!$F:$F,Xero!$B:$B,Heron!H$9,Xero!$A:$A,Heron!$A$4,Xero!$E:$E,Heron!$A39)+SUMIFS(Xero!$F:$F,Xero!$B:$B,Heron!H$9,Xero!$A:$A,Heron!$A$5,Xero!$E:$E,Heron!$A39)</f>
        <v/>
      </c>
      <c r="I39" s="66">
        <f>SUMIFS(Xero!$F:$F,Xero!$B:$B,Heron!I$9,Xero!$A:$A,Heron!$A$4,Xero!$E:$E,Heron!$A39)+SUMIFS(Xero!$F:$F,Xero!$B:$B,Heron!I$9,Xero!$A:$A,Heron!$A$5,Xero!$E:$E,Heron!$A39)</f>
        <v/>
      </c>
      <c r="J39" s="66">
        <f>SUMIFS(Xero!$F:$F,Xero!$B:$B,Heron!J$9,Xero!$A:$A,Heron!$A$4,Xero!$E:$E,Heron!$A39)+SUMIFS(Xero!$F:$F,Xero!$B:$B,Heron!J$9,Xero!$A:$A,Heron!$A$5,Xero!$E:$E,Heron!$A39)</f>
        <v/>
      </c>
      <c r="K39" s="66">
        <f>SUMIFS(Xero!$F:$F,Xero!$B:$B,Heron!K$9,Xero!$A:$A,Heron!$A$4,Xero!$E:$E,Heron!$A39)+SUMIFS(Xero!$F:$F,Xero!$B:$B,Heron!K$9,Xero!$A:$A,Heron!$A$5,Xero!$E:$E,Heron!$A39)</f>
        <v/>
      </c>
      <c r="L39" s="66">
        <f>SUMIFS(Xero!$F:$F,Xero!$B:$B,Heron!L$9,Xero!$A:$A,Heron!$A$4,Xero!$E:$E,Heron!$A39)+SUMIFS(Xero!$F:$F,Xero!$B:$B,Heron!L$9,Xero!$A:$A,Heron!$A$5,Xero!$E:$E,Heron!$A39)</f>
        <v/>
      </c>
      <c r="M39" s="66">
        <f>SUMIFS(Xero!$F:$F,Xero!$B:$B,Heron!M$9,Xero!$A:$A,Heron!$A$4,Xero!$E:$E,Heron!$A39)+SUMIFS(Xero!$F:$F,Xero!$B:$B,Heron!M$9,Xero!$A:$A,Heron!$A$5,Xero!$E:$E,Heron!$A39)</f>
        <v/>
      </c>
      <c r="N39" s="66">
        <f>SUMIFS(Xero!$F:$F,Xero!$B:$B,Heron!N$9,Xero!$A:$A,Heron!$A$4,Xero!$E:$E,Heron!$A39)+SUMIFS(Xero!$F:$F,Xero!$B:$B,Heron!N$9,Xero!$A:$A,Heron!$A$5,Xero!$E:$E,Heron!$A39)</f>
        <v/>
      </c>
      <c r="O39" s="66">
        <f>SUMIFS(Xero!$F:$F,Xero!$B:$B,Heron!O$9,Xero!$A:$A,Heron!$A$4,Xero!$E:$E,Heron!$A39)+SUMIFS(Xero!$F:$F,Xero!$B:$B,Heron!O$9,Xero!$A:$A,Heron!$A$5,Xero!$E:$E,Heron!$A39)</f>
        <v/>
      </c>
      <c r="P39" s="66">
        <f>SUMIFS(Xero!$F:$F,Xero!$B:$B,Heron!P$9,Xero!$A:$A,Heron!$A$4,Xero!$E:$E,Heron!$A39)+SUMIFS(Xero!$F:$F,Xero!$B:$B,Heron!P$9,Xero!$A:$A,Heron!$A$5,Xero!$E:$E,Heron!$A39)</f>
        <v/>
      </c>
      <c r="Q39" s="66">
        <f>SUMIFS(Xero!$F:$F,Xero!$B:$B,Heron!Q$9,Xero!$A:$A,Heron!$A$4,Xero!$E:$E,Heron!$A39)+SUMIFS(Xero!$F:$F,Xero!$B:$B,Heron!Q$9,Xero!$A:$A,Heron!$A$5,Xero!$E:$E,Heron!$A39)</f>
        <v/>
      </c>
      <c r="R39" s="66">
        <f>SUMIFS(Xero!$F:$F,Xero!$B:$B,Heron!R$9,Xero!$A:$A,Heron!$A$4,Xero!$E:$E,Heron!$A39)+SUMIFS(Xero!$F:$F,Xero!$B:$B,Heron!R$9,Xero!$A:$A,Heron!$A$5,Xero!$E:$E,Heron!$A39)</f>
        <v/>
      </c>
      <c r="S39" s="66">
        <f>SUMIFS(Xero!$F:$F,Xero!$B:$B,Heron!S$9,Xero!$A:$A,Heron!$A$4,Xero!$E:$E,Heron!$A39)+SUMIFS(Xero!$F:$F,Xero!$B:$B,Heron!S$9,Xero!$A:$A,Heron!$A$5,Xero!$E:$E,Heron!$A39)</f>
        <v/>
      </c>
      <c r="T39" s="66">
        <f>SUMIFS(Xero!$F:$F,Xero!$B:$B,Heron!T$9,Xero!$A:$A,Heron!$A$4,Xero!$E:$E,Heron!$A39)+SUMIFS(Xero!$F:$F,Xero!$B:$B,Heron!T$9,Xero!$A:$A,Heron!$A$5,Xero!$E:$E,Heron!$A39)</f>
        <v/>
      </c>
      <c r="U39" s="66">
        <f>SUMIFS(Xero!$F:$F,Xero!$B:$B,Heron!U$9,Xero!$A:$A,Heron!$A$4,Xero!$E:$E,Heron!$A39)+SUMIFS(Xero!$F:$F,Xero!$B:$B,Heron!U$9,Xero!$A:$A,Heron!$A$5,Xero!$E:$E,Heron!$A39)</f>
        <v/>
      </c>
      <c r="V39" s="66">
        <f>SUMIFS(Xero!$F:$F,Xero!$B:$B,Heron!V$9,Xero!$A:$A,Heron!$A$4,Xero!$E:$E,Heron!$A39)+SUMIFS(Xero!$F:$F,Xero!$B:$B,Heron!V$9,Xero!$A:$A,Heron!$A$5,Xero!$E:$E,Heron!$A39)</f>
        <v/>
      </c>
      <c r="W39" s="66">
        <f>SUMIFS(Xero!$F:$F,Xero!$B:$B,Heron!W$9,Xero!$A:$A,Heron!$A$4,Xero!$E:$E,Heron!$A39)+SUMIFS(Xero!$F:$F,Xero!$B:$B,Heron!W$9,Xero!$A:$A,Heron!$A$5,Xero!$E:$E,Heron!$A39)</f>
        <v/>
      </c>
      <c r="X39" s="66">
        <f>SUMIFS(Xero!$F:$F,Xero!$B:$B,Heron!X$9,Xero!$A:$A,Heron!$A$4,Xero!$E:$E,Heron!$A39)+SUMIFS(Xero!$F:$F,Xero!$B:$B,Heron!X$9,Xero!$A:$A,Heron!$A$5,Xero!$E:$E,Heron!$A39)</f>
        <v/>
      </c>
      <c r="Y39" s="66">
        <f>SUMIFS(Xero!$F:$F,Xero!$B:$B,Heron!Y$9,Xero!$A:$A,Heron!$A$4,Xero!$E:$E,Heron!$A39)+SUMIFS(Xero!$F:$F,Xero!$B:$B,Heron!Y$9,Xero!$A:$A,Heron!$A$5,Xero!$E:$E,Heron!$A39)</f>
        <v/>
      </c>
      <c r="Z39" s="66">
        <f>SUMIFS(Xero!$F:$F,Xero!$B:$B,Heron!Z$9,Xero!$A:$A,Heron!$A$4,Xero!$E:$E,Heron!$A39)+SUMIFS(Xero!$F:$F,Xero!$B:$B,Heron!Z$9,Xero!$A:$A,Heron!$A$5,Xero!$E:$E,Heron!$A39)</f>
        <v/>
      </c>
      <c r="AA39" s="66">
        <f>SUMIFS(Xero!$F:$F,Xero!$B:$B,Heron!AA$9,Xero!$A:$A,Heron!$A$4,Xero!$E:$E,Heron!$A39)+SUMIFS(Xero!$F:$F,Xero!$B:$B,Heron!AA$9,Xero!$A:$A,Heron!$A$5,Xero!$E:$E,Heron!$A39)</f>
        <v/>
      </c>
      <c r="AB39" s="66">
        <f>SUMIFS(Xero!$F:$F,Xero!$B:$B,Heron!AB$9,Xero!$A:$A,Heron!$A$4,Xero!$E:$E,Heron!$A39)+SUMIFS(Xero!$F:$F,Xero!$B:$B,Heron!AB$9,Xero!$A:$A,Heron!$A$5,Xero!$E:$E,Heron!$A39)</f>
        <v/>
      </c>
      <c r="AC39" s="66">
        <f>SUMIFS(Xero!$F:$F,Xero!$B:$B,Heron!AC$9,Xero!$A:$A,Heron!$A$4,Xero!$E:$E,Heron!$A39)+SUMIFS(Xero!$F:$F,Xero!$B:$B,Heron!AC$9,Xero!$A:$A,Heron!$A$5,Xero!$E:$E,Heron!$A39)</f>
        <v/>
      </c>
      <c r="AD39" s="66">
        <f>SUMIFS(Xero!$F:$F,Xero!$B:$B,Heron!AD$9,Xero!$A:$A,Heron!$A$4,Xero!$E:$E,Heron!$A39)+SUMIFS(Xero!$F:$F,Xero!$B:$B,Heron!AD$9,Xero!$A:$A,Heron!$A$5,Xero!$E:$E,Heron!$A39)</f>
        <v/>
      </c>
      <c r="AE39" s="66">
        <f>SUMIFS(Xero!$F:$F,Xero!$B:$B,Heron!AE$9,Xero!$A:$A,Heron!$A$4,Xero!$E:$E,Heron!$A39)+SUMIFS(Xero!$F:$F,Xero!$B:$B,Heron!AE$9,Xero!$A:$A,Heron!$A$5,Xero!$E:$E,Heron!$A39)</f>
        <v/>
      </c>
      <c r="AF39" s="66">
        <f>SUMIFS(Xero!$F:$F,Xero!$B:$B,Heron!AF$9,Xero!$A:$A,Heron!$A$4,Xero!$E:$E,Heron!$A39)+SUMIFS(Xero!$F:$F,Xero!$B:$B,Heron!AF$9,Xero!$A:$A,Heron!$A$5,Xero!$E:$E,Heron!$A39)</f>
        <v/>
      </c>
      <c r="AG39" s="66">
        <f>SUMIFS(Xero!$F:$F,Xero!$B:$B,Heron!AG$9,Xero!$A:$A,Heron!$A$4,Xero!$E:$E,Heron!$A39)+SUMIFS(Xero!$F:$F,Xero!$B:$B,Heron!AG$9,Xero!$A:$A,Heron!$A$5,Xero!$E:$E,Heron!$A39)</f>
        <v/>
      </c>
      <c r="AH39" s="66">
        <f>SUMIFS(Xero!$F:$F,Xero!$B:$B,Heron!AH$9,Xero!$A:$A,Heron!$A$4,Xero!$E:$E,Heron!$A39)+SUMIFS(Xero!$F:$F,Xero!$B:$B,Heron!AH$9,Xero!$A:$A,Heron!$A$5,Xero!$E:$E,Heron!$A39)</f>
        <v/>
      </c>
      <c r="AI39" s="66">
        <f>SUMIFS(Xero!$F:$F,Xero!$B:$B,Heron!AI$9,Xero!$A:$A,Heron!$A$4,Xero!$E:$E,Heron!$A39)+SUMIFS(Xero!$F:$F,Xero!$B:$B,Heron!AI$9,Xero!$A:$A,Heron!$A$5,Xero!$E:$E,Heron!$A39)</f>
        <v/>
      </c>
      <c r="AJ39" s="66">
        <f>SUMIFS(Xero!$F:$F,Xero!$B:$B,Heron!AJ$9,Xero!$A:$A,Heron!$A$4,Xero!$E:$E,Heron!$A39)+SUMIFS(Xero!$F:$F,Xero!$B:$B,Heron!AJ$9,Xero!$A:$A,Heron!$A$5,Xero!$E:$E,Heron!$A39)</f>
        <v/>
      </c>
      <c r="AK39" s="66">
        <f>SUMIFS(Xero!$F:$F,Xero!$B:$B,Heron!AK$9,Xero!$A:$A,Heron!$A$4,Xero!$E:$E,Heron!$A39)+SUMIFS(Xero!$F:$F,Xero!$B:$B,Heron!AK$9,Xero!$A:$A,Heron!$A$5,Xero!$E:$E,Heron!$A39)</f>
        <v/>
      </c>
      <c r="AL39" s="66">
        <f>SUMIFS(Xero!$F:$F,Xero!$B:$B,Heron!AL$9,Xero!$A:$A,Heron!$A$4,Xero!$E:$E,Heron!$A39)+SUMIFS(Xero!$F:$F,Xero!$B:$B,Heron!AL$9,Xero!$A:$A,Heron!$A$5,Xero!$E:$E,Heron!$A39)</f>
        <v/>
      </c>
      <c r="AM39" s="66">
        <f>SUMIFS(Xero!$F:$F,Xero!$B:$B,Heron!AM$9,Xero!$A:$A,Heron!$A$4,Xero!$E:$E,Heron!$A39)+SUMIFS(Xero!$F:$F,Xero!$B:$B,Heron!AM$9,Xero!$A:$A,Heron!$A$5,Xero!$E:$E,Heron!$A39)</f>
        <v/>
      </c>
      <c r="AN39" s="66">
        <f>SUMIFS(Xero!$F:$F,Xero!$B:$B,Heron!AN$9,Xero!$A:$A,Heron!$A$4,Xero!$E:$E,Heron!$A39)+SUMIFS(Xero!$F:$F,Xero!$B:$B,Heron!AN$9,Xero!$A:$A,Heron!$A$5,Xero!$E:$E,Heron!$A39)</f>
        <v/>
      </c>
      <c r="AO39" s="66">
        <f>SUMIFS(Xero!$F:$F,Xero!$B:$B,Heron!AO$9,Xero!$A:$A,Heron!$A$4,Xero!$E:$E,Heron!$A39)+SUMIFS(Xero!$F:$F,Xero!$B:$B,Heron!AO$9,Xero!$A:$A,Heron!$A$5,Xero!$E:$E,Heron!$A39)</f>
        <v/>
      </c>
      <c r="AP39" s="66">
        <f>SUMIFS(Xero!$F:$F,Xero!$B:$B,Heron!AP$9,Xero!$A:$A,Heron!$A$4,Xero!$E:$E,Heron!$A39)+SUMIFS(Xero!$F:$F,Xero!$B:$B,Heron!AP$9,Xero!$A:$A,Heron!$A$5,Xero!$E:$E,Heron!$A39)</f>
        <v/>
      </c>
      <c r="AQ39" s="66">
        <f>SUMIFS(Xero!$F:$F,Xero!$B:$B,Heron!AQ$9,Xero!$A:$A,Heron!$A$4,Xero!$E:$E,Heron!$A39)+SUMIFS(Xero!$F:$F,Xero!$B:$B,Heron!AQ$9,Xero!$A:$A,Heron!$A$5,Xero!$E:$E,Heron!$A39)</f>
        <v/>
      </c>
      <c r="AR39" s="66">
        <f>SUMIFS(Xero!$F:$F,Xero!$B:$B,Heron!AR$9,Xero!$A:$A,Heron!$A$4,Xero!$E:$E,Heron!$A39)+SUMIFS(Xero!$F:$F,Xero!$B:$B,Heron!AR$9,Xero!$A:$A,Heron!$A$5,Xero!$E:$E,Heron!$A39)</f>
        <v/>
      </c>
      <c r="AS39" s="66">
        <f>SUMIFS(Xero!$F:$F,Xero!$B:$B,Heron!AS$9,Xero!$A:$A,Heron!$A$4,Xero!$E:$E,Heron!$A39)+SUMIFS(Xero!$F:$F,Xero!$B:$B,Heron!AS$9,Xero!$A:$A,Heron!$A$5,Xero!$E:$E,Heron!$A39)</f>
        <v/>
      </c>
      <c r="AT39" s="66">
        <f>SUMIFS(Xero!$F:$F,Xero!$B:$B,Heron!AT$9,Xero!$A:$A,Heron!$A$4,Xero!$E:$E,Heron!$A39)+SUMIFS(Xero!$F:$F,Xero!$B:$B,Heron!AT$9,Xero!$A:$A,Heron!$A$5,Xero!$E:$E,Heron!$A39)</f>
        <v/>
      </c>
      <c r="AU39" s="66">
        <f>SUMIFS(Xero!$F:$F,Xero!$B:$B,Heron!AU$9,Xero!$A:$A,Heron!$A$4,Xero!$E:$E,Heron!$A39)+SUMIFS(Xero!$F:$F,Xero!$B:$B,Heron!AU$9,Xero!$A:$A,Heron!$A$5,Xero!$E:$E,Heron!$A39)</f>
        <v/>
      </c>
      <c r="AV39" s="66">
        <f>SUMIFS(Xero!$F:$F,Xero!$B:$B,Heron!AV$9,Xero!$A:$A,Heron!$A$4,Xero!$E:$E,Heron!$A39)+SUMIFS(Xero!$F:$F,Xero!$B:$B,Heron!AV$9,Xero!$A:$A,Heron!$A$5,Xero!$E:$E,Heron!$A39)</f>
        <v/>
      </c>
      <c r="AW39" s="66">
        <f>SUMIFS(Xero!$F:$F,Xero!$B:$B,Heron!AW$9,Xero!$A:$A,Heron!$A$4,Xero!$E:$E,Heron!$A39)+SUMIFS(Xero!$F:$F,Xero!$B:$B,Heron!AW$9,Xero!$A:$A,Heron!$A$5,Xero!$E:$E,Heron!$A39)</f>
        <v/>
      </c>
      <c r="AX39" s="66">
        <f>SUMIFS(Xero!$F:$F,Xero!$B:$B,Heron!AX$9,Xero!$A:$A,Heron!$A$4,Xero!$E:$E,Heron!$A39)+SUMIFS(Xero!$F:$F,Xero!$B:$B,Heron!AX$9,Xero!$A:$A,Heron!$A$5,Xero!$E:$E,Heron!$A39)</f>
        <v/>
      </c>
      <c r="AY39" s="66">
        <f>SUMIFS(Xero!$F:$F,Xero!$B:$B,Heron!AY$9,Xero!$A:$A,Heron!$A$4,Xero!$E:$E,Heron!$A39)+SUMIFS(Xero!$F:$F,Xero!$B:$B,Heron!AY$9,Xero!$A:$A,Heron!$A$5,Xero!$E:$E,Heron!$A39)</f>
        <v/>
      </c>
      <c r="AZ39" s="66">
        <f>SUMIFS(Xero!$F:$F,Xero!$B:$B,Heron!AZ$9,Xero!$A:$A,Heron!$A$4,Xero!$E:$E,Heron!$A39)+SUMIFS(Xero!$F:$F,Xero!$B:$B,Heron!AZ$9,Xero!$A:$A,Heron!$A$5,Xero!$E:$E,Heron!$A39)</f>
        <v/>
      </c>
      <c r="BA39" s="66">
        <f>SUMIFS(Xero!$F:$F,Xero!$B:$B,Heron!BA$9,Xero!$A:$A,Heron!$A$4,Xero!$E:$E,Heron!$A39)+SUMIFS(Xero!$F:$F,Xero!$B:$B,Heron!BA$9,Xero!$A:$A,Heron!$A$5,Xero!$E:$E,Heron!$A39)</f>
        <v/>
      </c>
      <c r="BB39" s="66">
        <f>SUMIFS(Xero!$F:$F,Xero!$B:$B,Heron!BB$9,Xero!$A:$A,Heron!$A$4,Xero!$E:$E,Heron!$A39)+SUMIFS(Xero!$F:$F,Xero!$B:$B,Heron!BB$9,Xero!$A:$A,Heron!$A$5,Xero!$E:$E,Heron!$A39)</f>
        <v/>
      </c>
      <c r="BC39" s="66">
        <f>SUMIFS(Xero!$F:$F,Xero!$B:$B,Heron!BC$9,Xero!$A:$A,Heron!$A$4,Xero!$E:$E,Heron!$A39)+SUMIFS(Xero!$F:$F,Xero!$B:$B,Heron!BC$9,Xero!$A:$A,Heron!$A$5,Xero!$E:$E,Heron!$A39)</f>
        <v/>
      </c>
      <c r="BD39" s="66">
        <f>SUMIFS(Xero!$F:$F,Xero!$B:$B,Heron!BD$9,Xero!$A:$A,Heron!$A$4,Xero!$E:$E,Heron!$A39)+SUMIFS(Xero!$F:$F,Xero!$B:$B,Heron!BD$9,Xero!$A:$A,Heron!$A$5,Xero!$E:$E,Heron!$A39)</f>
        <v/>
      </c>
      <c r="BE39" s="66">
        <f>SUMIFS(Xero!$F:$F,Xero!$B:$B,Heron!BE$9,Xero!$A:$A,Heron!$A$4,Xero!$E:$E,Heron!$A39)+SUMIFS(Xero!$F:$F,Xero!$B:$B,Heron!BE$9,Xero!$A:$A,Heron!$A$5,Xero!$E:$E,Heron!$A39)</f>
        <v/>
      </c>
      <c r="BF39" s="66">
        <f>SUMIFS(Xero!$F:$F,Xero!$B:$B,Heron!BF$9,Xero!$A:$A,Heron!$A$4,Xero!$E:$E,Heron!$A39)+SUMIFS(Xero!$F:$F,Xero!$B:$B,Heron!BF$9,Xero!$A:$A,Heron!$A$5,Xero!$E:$E,Heron!$A39)</f>
        <v/>
      </c>
      <c r="BG39" s="66">
        <f>SUMIFS(Xero!$F:$F,Xero!$B:$B,Heron!BG$9,Xero!$A:$A,Heron!$A$4,Xero!$E:$E,Heron!$A39)+SUMIFS(Xero!$F:$F,Xero!$B:$B,Heron!BG$9,Xero!$A:$A,Heron!$A$5,Xero!$E:$E,Heron!$A39)</f>
        <v/>
      </c>
      <c r="BH39" s="66">
        <f>sum(D39:BG39)</f>
        <v/>
      </c>
    </row>
    <row r="40">
      <c r="A40" s="65" t="inlineStr">
        <is>
          <t>COS - Commission HF Units</t>
        </is>
      </c>
      <c r="D40" s="66">
        <f>SUMIFS(Xero!$F:$F,Xero!$B:$B,Heron!D$9,Xero!$A:$A,Heron!$A$4,Xero!$E:$E,Heron!$A40)+SUMIFS(Xero!$F:$F,Xero!$B:$B,Heron!D$9,Xero!$A:$A,Heron!$A$5,Xero!$E:$E,Heron!$A40)+SUMIFS(Sales!$O:$O,Sales!$E:$E,FALSE,Sales!$A:$A,Heron!$B$4,Sales!$H:$H,"&lt;="&amp;Heron!D$9,Sales!$H:$H,"&gt;"&amp;Heron!C$9,Sales!$F:$F,1)/1.15</f>
        <v/>
      </c>
      <c r="E40" s="66">
        <f>SUMIFS(Xero!$F:$F,Xero!$B:$B,Heron!E$9,Xero!$A:$A,Heron!$A$4,Xero!$E:$E,Heron!$A40)+SUMIFS(Xero!$F:$F,Xero!$B:$B,Heron!E$9,Xero!$A:$A,Heron!$A$5,Xero!$E:$E,Heron!$A40)+SUMIFS(Sales!$O:$O,Sales!$E:$E,FALSE,Sales!$A:$A,Heron!$B$4,Sales!$H:$H,"&lt;="&amp;Heron!E$9,Sales!$H:$H,"&gt;"&amp;Heron!D$9,Sales!$F:$F,1)/1.15</f>
        <v/>
      </c>
      <c r="F40" s="66">
        <f>SUMIFS(Xero!$F:$F,Xero!$B:$B,Heron!F$9,Xero!$A:$A,Heron!$A$4,Xero!$E:$E,Heron!$A40)+SUMIFS(Xero!$F:$F,Xero!$B:$B,Heron!F$9,Xero!$A:$A,Heron!$A$5,Xero!$E:$E,Heron!$A40)+SUMIFS(Sales!$O:$O,Sales!$E:$E,FALSE,Sales!$A:$A,Heron!$B$4,Sales!$H:$H,"&lt;="&amp;Heron!F$9,Sales!$H:$H,"&gt;"&amp;Heron!E$9,Sales!$F:$F,1)/1.15</f>
        <v/>
      </c>
      <c r="G40" s="66">
        <f>SUMIFS(Xero!$F:$F,Xero!$B:$B,Heron!G$9,Xero!$A:$A,Heron!$A$4,Xero!$E:$E,Heron!$A40)+SUMIFS(Xero!$F:$F,Xero!$B:$B,Heron!G$9,Xero!$A:$A,Heron!$A$5,Xero!$E:$E,Heron!$A40)+SUMIFS(Sales!$O:$O,Sales!$E:$E,FALSE,Sales!$A:$A,Heron!$B$4,Sales!$H:$H,"&lt;="&amp;Heron!G$9,Sales!$H:$H,"&gt;"&amp;Heron!F$9,Sales!$F:$F,1)/1.15</f>
        <v/>
      </c>
      <c r="H40" s="66">
        <f>SUMIFS(Xero!$F:$F,Xero!$B:$B,Heron!H$9,Xero!$A:$A,Heron!$A$4,Xero!$E:$E,Heron!$A40)+SUMIFS(Xero!$F:$F,Xero!$B:$B,Heron!H$9,Xero!$A:$A,Heron!$A$5,Xero!$E:$E,Heron!$A40)+SUMIFS(Sales!$O:$O,Sales!$E:$E,FALSE,Sales!$A:$A,Heron!$B$4,Sales!$H:$H,"&lt;="&amp;Heron!H$9,Sales!$H:$H,"&gt;"&amp;Heron!G$9,Sales!$F:$F,1)/1.15</f>
        <v/>
      </c>
      <c r="I40" s="66">
        <f>SUMIFS(Xero!$F:$F,Xero!$B:$B,Heron!I$9,Xero!$A:$A,Heron!$A$4,Xero!$E:$E,Heron!$A40)+SUMIFS(Xero!$F:$F,Xero!$B:$B,Heron!I$9,Xero!$A:$A,Heron!$A$5,Xero!$E:$E,Heron!$A40)+SUMIFS(Sales!$O:$O,Sales!$E:$E,FALSE,Sales!$A:$A,Heron!$B$4,Sales!$H:$H,"&lt;="&amp;Heron!I$9,Sales!$H:$H,"&gt;"&amp;Heron!H$9,Sales!$F:$F,1)/1.15</f>
        <v/>
      </c>
      <c r="J40" s="66">
        <f>SUMIFS(Xero!$F:$F,Xero!$B:$B,Heron!J$9,Xero!$A:$A,Heron!$A$4,Xero!$E:$E,Heron!$A40)+SUMIFS(Xero!$F:$F,Xero!$B:$B,Heron!J$9,Xero!$A:$A,Heron!$A$5,Xero!$E:$E,Heron!$A40)+SUMIFS(Sales!$O:$O,Sales!$E:$E,FALSE,Sales!$A:$A,Heron!$B$4,Sales!$H:$H,"&lt;="&amp;Heron!J$9,Sales!$H:$H,"&gt;"&amp;Heron!I$9,Sales!$F:$F,1)/1.15</f>
        <v/>
      </c>
      <c r="K40" s="66">
        <f>SUMIFS(Xero!$F:$F,Xero!$B:$B,Heron!K$9,Xero!$A:$A,Heron!$A$4,Xero!$E:$E,Heron!$A40)+SUMIFS(Xero!$F:$F,Xero!$B:$B,Heron!K$9,Xero!$A:$A,Heron!$A$5,Xero!$E:$E,Heron!$A40)+SUMIFS(Sales!$O:$O,Sales!$E:$E,FALSE,Sales!$A:$A,Heron!$B$4,Sales!$H:$H,"&lt;="&amp;Heron!K$9,Sales!$H:$H,"&gt;"&amp;Heron!J$9,Sales!$F:$F,1)/1.15</f>
        <v/>
      </c>
      <c r="L40" s="66">
        <f>SUMIFS(Xero!$F:$F,Xero!$B:$B,Heron!L$9,Xero!$A:$A,Heron!$A$4,Xero!$E:$E,Heron!$A40)+SUMIFS(Xero!$F:$F,Xero!$B:$B,Heron!L$9,Xero!$A:$A,Heron!$A$5,Xero!$E:$E,Heron!$A40)+SUMIFS(Sales!$O:$O,Sales!$E:$E,FALSE,Sales!$A:$A,Heron!$B$4,Sales!$H:$H,"&lt;="&amp;Heron!L$9,Sales!$H:$H,"&gt;"&amp;Heron!K$9,Sales!$F:$F,1)/1.15</f>
        <v/>
      </c>
      <c r="M40" s="66">
        <f>SUMIFS(Xero!$F:$F,Xero!$B:$B,Heron!M$9,Xero!$A:$A,Heron!$A$4,Xero!$E:$E,Heron!$A40)+SUMIFS(Xero!$F:$F,Xero!$B:$B,Heron!M$9,Xero!$A:$A,Heron!$A$5,Xero!$E:$E,Heron!$A40)+SUMIFS(Sales!$O:$O,Sales!$E:$E,FALSE,Sales!$A:$A,Heron!$B$4,Sales!$H:$H,"&lt;="&amp;Heron!M$9,Sales!$H:$H,"&gt;"&amp;Heron!L$9,Sales!$F:$F,1)/1.15</f>
        <v/>
      </c>
      <c r="N40" s="66">
        <f>SUMIFS(Xero!$F:$F,Xero!$B:$B,Heron!N$9,Xero!$A:$A,Heron!$A$4,Xero!$E:$E,Heron!$A40)+SUMIFS(Xero!$F:$F,Xero!$B:$B,Heron!N$9,Xero!$A:$A,Heron!$A$5,Xero!$E:$E,Heron!$A40)+SUMIFS(Sales!$O:$O,Sales!$E:$E,FALSE,Sales!$A:$A,Heron!$B$4,Sales!$H:$H,"&lt;="&amp;Heron!N$9,Sales!$H:$H,"&gt;"&amp;Heron!M$9,Sales!$F:$F,1)/1.15</f>
        <v/>
      </c>
      <c r="O40" s="66">
        <f>SUMIFS(Xero!$F:$F,Xero!$B:$B,Heron!O$9,Xero!$A:$A,Heron!$A$4,Xero!$E:$E,Heron!$A40)+SUMIFS(Xero!$F:$F,Xero!$B:$B,Heron!O$9,Xero!$A:$A,Heron!$A$5,Xero!$E:$E,Heron!$A40)+SUMIFS(Sales!$O:$O,Sales!$E:$E,FALSE,Sales!$A:$A,Heron!$B$4,Sales!$H:$H,"&lt;="&amp;Heron!O$9,Sales!$H:$H,"&gt;"&amp;Heron!N$9,Sales!$F:$F,1)/1.15</f>
        <v/>
      </c>
      <c r="P40" s="66">
        <f>SUMIFS(Xero!$F:$F,Xero!$B:$B,Heron!P$9,Xero!$A:$A,Heron!$A$4,Xero!$E:$E,Heron!$A40)+SUMIFS(Xero!$F:$F,Xero!$B:$B,Heron!P$9,Xero!$A:$A,Heron!$A$5,Xero!$E:$E,Heron!$A40)+SUMIFS(Sales!$O:$O,Sales!$E:$E,FALSE,Sales!$A:$A,Heron!$B$4,Sales!$H:$H,"&lt;="&amp;Heron!P$9,Sales!$H:$H,"&gt;"&amp;Heron!O$9,Sales!$F:$F,1)/1.15</f>
        <v/>
      </c>
      <c r="Q40" s="66">
        <f>SUMIFS(Xero!$F:$F,Xero!$B:$B,Heron!Q$9,Xero!$A:$A,Heron!$A$4,Xero!$E:$E,Heron!$A40)+SUMIFS(Xero!$F:$F,Xero!$B:$B,Heron!Q$9,Xero!$A:$A,Heron!$A$5,Xero!$E:$E,Heron!$A40)+SUMIFS(Sales!$O:$O,Sales!$E:$E,FALSE,Sales!$A:$A,Heron!$B$4,Sales!$H:$H,"&lt;="&amp;Heron!Q$9,Sales!$H:$H,"&gt;"&amp;Heron!P$9,Sales!$F:$F,1)/1.15</f>
        <v/>
      </c>
      <c r="R40" s="66">
        <f>SUMIFS(Xero!$F:$F,Xero!$B:$B,Heron!R$9,Xero!$A:$A,Heron!$A$4,Xero!$E:$E,Heron!$A40)+SUMIFS(Xero!$F:$F,Xero!$B:$B,Heron!R$9,Xero!$A:$A,Heron!$A$5,Xero!$E:$E,Heron!$A40)+SUMIFS(Sales!$O:$O,Sales!$E:$E,FALSE,Sales!$A:$A,Heron!$B$4,Sales!$H:$H,"&lt;="&amp;Heron!R$9,Sales!$H:$H,"&gt;"&amp;Heron!Q$9,Sales!$F:$F,1)/1.15</f>
        <v/>
      </c>
      <c r="S40" s="66">
        <f>SUMIFS(Xero!$F:$F,Xero!$B:$B,Heron!S$9,Xero!$A:$A,Heron!$A$4,Xero!$E:$E,Heron!$A40)+SUMIFS(Xero!$F:$F,Xero!$B:$B,Heron!S$9,Xero!$A:$A,Heron!$A$5,Xero!$E:$E,Heron!$A40)+SUMIFS(Sales!$O:$O,Sales!$E:$E,FALSE,Sales!$A:$A,Heron!$B$4,Sales!$H:$H,"&lt;="&amp;Heron!S$9,Sales!$H:$H,"&gt;"&amp;Heron!R$9,Sales!$F:$F,1)/1.15</f>
        <v/>
      </c>
      <c r="T40" s="66">
        <f>SUMIFS(Xero!$F:$F,Xero!$B:$B,Heron!T$9,Xero!$A:$A,Heron!$A$4,Xero!$E:$E,Heron!$A40)+SUMIFS(Xero!$F:$F,Xero!$B:$B,Heron!T$9,Xero!$A:$A,Heron!$A$5,Xero!$E:$E,Heron!$A40)+SUMIFS(Sales!$O:$O,Sales!$E:$E,FALSE,Sales!$A:$A,Heron!$B$4,Sales!$H:$H,"&lt;="&amp;Heron!T$9,Sales!$H:$H,"&gt;"&amp;Heron!S$9,Sales!$F:$F,1)/1.15</f>
        <v/>
      </c>
      <c r="U40" s="66">
        <f>SUMIFS(Xero!$F:$F,Xero!$B:$B,Heron!U$9,Xero!$A:$A,Heron!$A$4,Xero!$E:$E,Heron!$A40)+SUMIFS(Xero!$F:$F,Xero!$B:$B,Heron!U$9,Xero!$A:$A,Heron!$A$5,Xero!$E:$E,Heron!$A40)+SUMIFS(Sales!$O:$O,Sales!$E:$E,FALSE,Sales!$A:$A,Heron!$B$4,Sales!$H:$H,"&lt;="&amp;Heron!U$9,Sales!$H:$H,"&gt;"&amp;Heron!T$9,Sales!$F:$F,1)/1.15</f>
        <v/>
      </c>
      <c r="V40" s="66">
        <f>SUMIFS(Xero!$F:$F,Xero!$B:$B,Heron!V$9,Xero!$A:$A,Heron!$A$4,Xero!$E:$E,Heron!$A40)+SUMIFS(Xero!$F:$F,Xero!$B:$B,Heron!V$9,Xero!$A:$A,Heron!$A$5,Xero!$E:$E,Heron!$A40)+SUMIFS(Sales!$O:$O,Sales!$E:$E,FALSE,Sales!$A:$A,Heron!$B$4,Sales!$H:$H,"&lt;="&amp;Heron!V$9,Sales!$H:$H,"&gt;"&amp;Heron!U$9,Sales!$F:$F,1)/1.15</f>
        <v/>
      </c>
      <c r="W40" s="66">
        <f>SUMIFS(Xero!$F:$F,Xero!$B:$B,Heron!W$9,Xero!$A:$A,Heron!$A$4,Xero!$E:$E,Heron!$A40)+SUMIFS(Xero!$F:$F,Xero!$B:$B,Heron!W$9,Xero!$A:$A,Heron!$A$5,Xero!$E:$E,Heron!$A40)+SUMIFS(Sales!$O:$O,Sales!$E:$E,FALSE,Sales!$A:$A,Heron!$B$4,Sales!$H:$H,"&lt;="&amp;Heron!W$9,Sales!$H:$H,"&gt;"&amp;Heron!V$9,Sales!$F:$F,1)/1.15</f>
        <v/>
      </c>
      <c r="X40" s="66">
        <f>SUMIFS(Xero!$F:$F,Xero!$B:$B,Heron!X$9,Xero!$A:$A,Heron!$A$4,Xero!$E:$E,Heron!$A40)+SUMIFS(Xero!$F:$F,Xero!$B:$B,Heron!X$9,Xero!$A:$A,Heron!$A$5,Xero!$E:$E,Heron!$A40)+SUMIFS(Sales!$O:$O,Sales!$E:$E,FALSE,Sales!$A:$A,Heron!$B$4,Sales!$H:$H,"&lt;="&amp;Heron!X$9,Sales!$H:$H,"&gt;"&amp;Heron!W$9,Sales!$F:$F,1)/1.15</f>
        <v/>
      </c>
      <c r="Y40" s="66">
        <f>SUMIFS(Xero!$F:$F,Xero!$B:$B,Heron!Y$9,Xero!$A:$A,Heron!$A$4,Xero!$E:$E,Heron!$A40)+SUMIFS(Xero!$F:$F,Xero!$B:$B,Heron!Y$9,Xero!$A:$A,Heron!$A$5,Xero!$E:$E,Heron!$A40)+SUMIFS(Sales!$O:$O,Sales!$E:$E,FALSE,Sales!$A:$A,Heron!$B$4,Sales!$H:$H,"&lt;="&amp;Heron!Y$9,Sales!$H:$H,"&gt;"&amp;Heron!X$9,Sales!$F:$F,1)/1.15</f>
        <v/>
      </c>
      <c r="Z40" s="66">
        <f>SUMIFS(Xero!$F:$F,Xero!$B:$B,Heron!Z$9,Xero!$A:$A,Heron!$A$4,Xero!$E:$E,Heron!$A40)+SUMIFS(Xero!$F:$F,Xero!$B:$B,Heron!Z$9,Xero!$A:$A,Heron!$A$5,Xero!$E:$E,Heron!$A40)+SUMIFS(Sales!$O:$O,Sales!$E:$E,FALSE,Sales!$A:$A,Heron!$B$4,Sales!$H:$H,"&lt;="&amp;Heron!Z$9,Sales!$H:$H,"&gt;"&amp;Heron!Y$9,Sales!$F:$F,1)/1.15</f>
        <v/>
      </c>
      <c r="AA40" s="66">
        <f>SUMIFS(Xero!$F:$F,Xero!$B:$B,Heron!AA$9,Xero!$A:$A,Heron!$A$4,Xero!$E:$E,Heron!$A40)+SUMIFS(Xero!$F:$F,Xero!$B:$B,Heron!AA$9,Xero!$A:$A,Heron!$A$5,Xero!$E:$E,Heron!$A40)+SUMIFS(Sales!$O:$O,Sales!$E:$E,FALSE,Sales!$A:$A,Heron!$B$4,Sales!$H:$H,"&lt;="&amp;Heron!AA$9,Sales!$H:$H,"&gt;"&amp;Heron!Z$9,Sales!$F:$F,1)/1.15</f>
        <v/>
      </c>
      <c r="AB40" s="66">
        <f>SUMIFS(Xero!$F:$F,Xero!$B:$B,Heron!AB$9,Xero!$A:$A,Heron!$A$4,Xero!$E:$E,Heron!$A40)+SUMIFS(Xero!$F:$F,Xero!$B:$B,Heron!AB$9,Xero!$A:$A,Heron!$A$5,Xero!$E:$E,Heron!$A40)+SUMIFS(Sales!$O:$O,Sales!$E:$E,FALSE,Sales!$A:$A,Heron!$B$4,Sales!$H:$H,"&lt;="&amp;Heron!AB$9,Sales!$H:$H,"&gt;"&amp;Heron!AA$9,Sales!$F:$F,1)/1.15</f>
        <v/>
      </c>
      <c r="AC40" s="66">
        <f>SUMIFS(Xero!$F:$F,Xero!$B:$B,Heron!AC$9,Xero!$A:$A,Heron!$A$4,Xero!$E:$E,Heron!$A40)+SUMIFS(Xero!$F:$F,Xero!$B:$B,Heron!AC$9,Xero!$A:$A,Heron!$A$5,Xero!$E:$E,Heron!$A40)+SUMIFS(Sales!$O:$O,Sales!$E:$E,FALSE,Sales!$A:$A,Heron!$B$4,Sales!$H:$H,"&lt;="&amp;Heron!AC$9,Sales!$H:$H,"&gt;"&amp;Heron!AB$9,Sales!$F:$F,1)/1.15</f>
        <v/>
      </c>
      <c r="AD40" s="66">
        <f>SUMIFS(Xero!$F:$F,Xero!$B:$B,Heron!AD$9,Xero!$A:$A,Heron!$A$4,Xero!$E:$E,Heron!$A40)+SUMIFS(Xero!$F:$F,Xero!$B:$B,Heron!AD$9,Xero!$A:$A,Heron!$A$5,Xero!$E:$E,Heron!$A40)+SUMIFS(Sales!$O:$O,Sales!$E:$E,FALSE,Sales!$A:$A,Heron!$B$4,Sales!$H:$H,"&lt;="&amp;Heron!AD$9,Sales!$H:$H,"&gt;"&amp;Heron!AC$9,Sales!$F:$F,1)/1.15</f>
        <v/>
      </c>
      <c r="AE40" s="66">
        <f>SUMIFS(Xero!$F:$F,Xero!$B:$B,Heron!AE$9,Xero!$A:$A,Heron!$A$4,Xero!$E:$E,Heron!$A40)+SUMIFS(Xero!$F:$F,Xero!$B:$B,Heron!AE$9,Xero!$A:$A,Heron!$A$5,Xero!$E:$E,Heron!$A40)+SUMIFS(Sales!$O:$O,Sales!$E:$E,FALSE,Sales!$A:$A,Heron!$B$4,Sales!$H:$H,"&lt;="&amp;Heron!AE$9,Sales!$H:$H,"&gt;"&amp;Heron!AD$9,Sales!$F:$F,1)/1.15</f>
        <v/>
      </c>
      <c r="AF40" s="66">
        <f>SUMIFS(Xero!$F:$F,Xero!$B:$B,Heron!AF$9,Xero!$A:$A,Heron!$A$4,Xero!$E:$E,Heron!$A40)+SUMIFS(Xero!$F:$F,Xero!$B:$B,Heron!AF$9,Xero!$A:$A,Heron!$A$5,Xero!$E:$E,Heron!$A40)+SUMIFS(Sales!$O:$O,Sales!$E:$E,FALSE,Sales!$A:$A,Heron!$B$4,Sales!$H:$H,"&lt;="&amp;Heron!AF$9,Sales!$H:$H,"&gt;"&amp;Heron!AE$9,Sales!$F:$F,1)/1.15</f>
        <v/>
      </c>
      <c r="AG40" s="66">
        <f>SUMIFS(Xero!$F:$F,Xero!$B:$B,Heron!AG$9,Xero!$A:$A,Heron!$A$4,Xero!$E:$E,Heron!$A40)+SUMIFS(Xero!$F:$F,Xero!$B:$B,Heron!AG$9,Xero!$A:$A,Heron!$A$5,Xero!$E:$E,Heron!$A40)+SUMIFS(Sales!$O:$O,Sales!$E:$E,FALSE,Sales!$A:$A,Heron!$B$4,Sales!$H:$H,"&lt;="&amp;Heron!AG$9,Sales!$H:$H,"&gt;"&amp;Heron!AF$9,Sales!$F:$F,1)/1.15</f>
        <v/>
      </c>
      <c r="AH40" s="66">
        <f>SUMIFS(Xero!$F:$F,Xero!$B:$B,Heron!AH$9,Xero!$A:$A,Heron!$A$4,Xero!$E:$E,Heron!$A40)+SUMIFS(Xero!$F:$F,Xero!$B:$B,Heron!AH$9,Xero!$A:$A,Heron!$A$5,Xero!$E:$E,Heron!$A40)+SUMIFS(Sales!$O:$O,Sales!$E:$E,FALSE,Sales!$A:$A,Heron!$B$4,Sales!$H:$H,"&lt;="&amp;Heron!AH$9,Sales!$H:$H,"&gt;"&amp;Heron!AG$9,Sales!$F:$F,1)/1.15</f>
        <v/>
      </c>
      <c r="AI40" s="66">
        <f>SUMIFS(Xero!$F:$F,Xero!$B:$B,Heron!AI$9,Xero!$A:$A,Heron!$A$4,Xero!$E:$E,Heron!$A40)+SUMIFS(Xero!$F:$F,Xero!$B:$B,Heron!AI$9,Xero!$A:$A,Heron!$A$5,Xero!$E:$E,Heron!$A40)+SUMIFS(Sales!$O:$O,Sales!$E:$E,FALSE,Sales!$A:$A,Heron!$B$4,Sales!$H:$H,"&lt;="&amp;Heron!AI$9,Sales!$H:$H,"&gt;"&amp;Heron!AH$9,Sales!$F:$F,1)/1.15</f>
        <v/>
      </c>
      <c r="AJ40" s="66">
        <f>SUMIFS(Xero!$F:$F,Xero!$B:$B,Heron!AJ$9,Xero!$A:$A,Heron!$A$4,Xero!$E:$E,Heron!$A40)+SUMIFS(Xero!$F:$F,Xero!$B:$B,Heron!AJ$9,Xero!$A:$A,Heron!$A$5,Xero!$E:$E,Heron!$A40)+SUMIFS(Sales!$O:$O,Sales!$E:$E,FALSE,Sales!$A:$A,Heron!$B$4,Sales!$H:$H,"&lt;="&amp;Heron!AJ$9,Sales!$H:$H,"&gt;"&amp;Heron!AI$9,Sales!$F:$F,1)/1.15</f>
        <v/>
      </c>
      <c r="AK40" s="66">
        <f>SUMIFS(Xero!$F:$F,Xero!$B:$B,Heron!AK$9,Xero!$A:$A,Heron!$A$4,Xero!$E:$E,Heron!$A40)+SUMIFS(Xero!$F:$F,Xero!$B:$B,Heron!AK$9,Xero!$A:$A,Heron!$A$5,Xero!$E:$E,Heron!$A40)+SUMIFS(Sales!$O:$O,Sales!$E:$E,FALSE,Sales!$A:$A,Heron!$B$4,Sales!$H:$H,"&lt;="&amp;Heron!AK$9,Sales!$H:$H,"&gt;"&amp;Heron!AJ$9,Sales!$F:$F,1)/1.15</f>
        <v/>
      </c>
      <c r="AL40" s="66">
        <f>SUMIFS(Xero!$F:$F,Xero!$B:$B,Heron!AL$9,Xero!$A:$A,Heron!$A$4,Xero!$E:$E,Heron!$A40)+SUMIFS(Xero!$F:$F,Xero!$B:$B,Heron!AL$9,Xero!$A:$A,Heron!$A$5,Xero!$E:$E,Heron!$A40)+SUMIFS(Sales!$O:$O,Sales!$E:$E,FALSE,Sales!$A:$A,Heron!$B$4,Sales!$H:$H,"&lt;="&amp;Heron!AL$9,Sales!$H:$H,"&gt;"&amp;Heron!AK$9,Sales!$F:$F,1)/1.15</f>
        <v/>
      </c>
      <c r="AM40" s="66">
        <f>SUMIFS(Xero!$F:$F,Xero!$B:$B,Heron!AM$9,Xero!$A:$A,Heron!$A$4,Xero!$E:$E,Heron!$A40)+SUMIFS(Xero!$F:$F,Xero!$B:$B,Heron!AM$9,Xero!$A:$A,Heron!$A$5,Xero!$E:$E,Heron!$A40)+SUMIFS(Sales!$O:$O,Sales!$E:$E,FALSE,Sales!$A:$A,Heron!$B$4,Sales!$H:$H,"&lt;="&amp;Heron!AM$9,Sales!$H:$H,"&gt;"&amp;Heron!AL$9,Sales!$F:$F,1)/1.15</f>
        <v/>
      </c>
      <c r="AN40" s="66">
        <f>SUMIFS(Xero!$F:$F,Xero!$B:$B,Heron!AN$9,Xero!$A:$A,Heron!$A$4,Xero!$E:$E,Heron!$A40)+SUMIFS(Xero!$F:$F,Xero!$B:$B,Heron!AN$9,Xero!$A:$A,Heron!$A$5,Xero!$E:$E,Heron!$A40)+SUMIFS(Sales!$O:$O,Sales!$E:$E,FALSE,Sales!$A:$A,Heron!$B$4,Sales!$H:$H,"&lt;="&amp;Heron!AN$9,Sales!$H:$H,"&gt;"&amp;Heron!AM$9,Sales!$F:$F,1)/1.15</f>
        <v/>
      </c>
      <c r="AO40" s="66">
        <f>SUMIFS(Xero!$F:$F,Xero!$B:$B,Heron!AO$9,Xero!$A:$A,Heron!$A$4,Xero!$E:$E,Heron!$A40)+SUMIFS(Xero!$F:$F,Xero!$B:$B,Heron!AO$9,Xero!$A:$A,Heron!$A$5,Xero!$E:$E,Heron!$A40)+SUMIFS(Sales!$O:$O,Sales!$E:$E,FALSE,Sales!$A:$A,Heron!$B$4,Sales!$H:$H,"&lt;="&amp;Heron!AO$9,Sales!$H:$H,"&gt;"&amp;Heron!AN$9,Sales!$F:$F,1)/1.15</f>
        <v/>
      </c>
      <c r="AP40" s="66">
        <f>SUMIFS(Xero!$F:$F,Xero!$B:$B,Heron!AP$9,Xero!$A:$A,Heron!$A$4,Xero!$E:$E,Heron!$A40)+SUMIFS(Xero!$F:$F,Xero!$B:$B,Heron!AP$9,Xero!$A:$A,Heron!$A$5,Xero!$E:$E,Heron!$A40)+SUMIFS(Sales!$O:$O,Sales!$E:$E,FALSE,Sales!$A:$A,Heron!$B$4,Sales!$H:$H,"&lt;="&amp;Heron!AP$9,Sales!$H:$H,"&gt;"&amp;Heron!AO$9,Sales!$F:$F,1)/1.15</f>
        <v/>
      </c>
      <c r="AQ40" s="66">
        <f>SUMIFS(Xero!$F:$F,Xero!$B:$B,Heron!AQ$9,Xero!$A:$A,Heron!$A$4,Xero!$E:$E,Heron!$A40)+SUMIFS(Xero!$F:$F,Xero!$B:$B,Heron!AQ$9,Xero!$A:$A,Heron!$A$5,Xero!$E:$E,Heron!$A40)+SUMIFS(Sales!$O:$O,Sales!$E:$E,FALSE,Sales!$A:$A,Heron!$B$4,Sales!$H:$H,"&lt;="&amp;Heron!AQ$9,Sales!$H:$H,"&gt;"&amp;Heron!AP$9,Sales!$F:$F,1)/1.15</f>
        <v/>
      </c>
      <c r="AR40" s="66">
        <f>SUMIFS(Xero!$F:$F,Xero!$B:$B,Heron!AR$9,Xero!$A:$A,Heron!$A$4,Xero!$E:$E,Heron!$A40)+SUMIFS(Xero!$F:$F,Xero!$B:$B,Heron!AR$9,Xero!$A:$A,Heron!$A$5,Xero!$E:$E,Heron!$A40)+SUMIFS(Sales!$O:$O,Sales!$E:$E,FALSE,Sales!$A:$A,Heron!$B$4,Sales!$H:$H,"&lt;="&amp;Heron!AR$9,Sales!$H:$H,"&gt;"&amp;Heron!AQ$9,Sales!$F:$F,1)/1.15</f>
        <v/>
      </c>
      <c r="AS40" s="66">
        <f>SUMIFS(Xero!$F:$F,Xero!$B:$B,Heron!AS$9,Xero!$A:$A,Heron!$A$4,Xero!$E:$E,Heron!$A40)+SUMIFS(Xero!$F:$F,Xero!$B:$B,Heron!AS$9,Xero!$A:$A,Heron!$A$5,Xero!$E:$E,Heron!$A40)+SUMIFS(Sales!$O:$O,Sales!$E:$E,FALSE,Sales!$A:$A,Heron!$B$4,Sales!$H:$H,"&lt;="&amp;Heron!AS$9,Sales!$H:$H,"&gt;"&amp;Heron!AR$9,Sales!$F:$F,1)/1.15</f>
        <v/>
      </c>
      <c r="AT40" s="66">
        <f>SUMIFS(Xero!$F:$F,Xero!$B:$B,Heron!AT$9,Xero!$A:$A,Heron!$A$4,Xero!$E:$E,Heron!$A40)+SUMIFS(Xero!$F:$F,Xero!$B:$B,Heron!AT$9,Xero!$A:$A,Heron!$A$5,Xero!$E:$E,Heron!$A40)+SUMIFS(Sales!$O:$O,Sales!$E:$E,FALSE,Sales!$A:$A,Heron!$B$4,Sales!$H:$H,"&lt;="&amp;Heron!AT$9,Sales!$H:$H,"&gt;"&amp;Heron!AS$9,Sales!$F:$F,1)/1.15</f>
        <v/>
      </c>
      <c r="AU40" s="66">
        <f>SUMIFS(Xero!$F:$F,Xero!$B:$B,Heron!AU$9,Xero!$A:$A,Heron!$A$4,Xero!$E:$E,Heron!$A40)+SUMIFS(Xero!$F:$F,Xero!$B:$B,Heron!AU$9,Xero!$A:$A,Heron!$A$5,Xero!$E:$E,Heron!$A40)+SUMIFS(Sales!$O:$O,Sales!$E:$E,FALSE,Sales!$A:$A,Heron!$B$4,Sales!$H:$H,"&lt;="&amp;Heron!AU$9,Sales!$H:$H,"&gt;"&amp;Heron!AT$9,Sales!$F:$F,1)/1.15</f>
        <v/>
      </c>
      <c r="AV40" s="66">
        <f>SUMIFS(Xero!$F:$F,Xero!$B:$B,Heron!AV$9,Xero!$A:$A,Heron!$A$4,Xero!$E:$E,Heron!$A40)+SUMIFS(Xero!$F:$F,Xero!$B:$B,Heron!AV$9,Xero!$A:$A,Heron!$A$5,Xero!$E:$E,Heron!$A40)+SUMIFS(Sales!$O:$O,Sales!$E:$E,FALSE,Sales!$A:$A,Heron!$B$4,Sales!$H:$H,"&lt;="&amp;Heron!AV$9,Sales!$H:$H,"&gt;"&amp;Heron!AU$9,Sales!$F:$F,1)/1.15</f>
        <v/>
      </c>
      <c r="AW40" s="66">
        <f>SUMIFS(Xero!$F:$F,Xero!$B:$B,Heron!AW$9,Xero!$A:$A,Heron!$A$4,Xero!$E:$E,Heron!$A40)+SUMIFS(Xero!$F:$F,Xero!$B:$B,Heron!AW$9,Xero!$A:$A,Heron!$A$5,Xero!$E:$E,Heron!$A40)+SUMIFS(Sales!$O:$O,Sales!$E:$E,FALSE,Sales!$A:$A,Heron!$B$4,Sales!$H:$H,"&lt;="&amp;Heron!AW$9,Sales!$H:$H,"&gt;"&amp;Heron!AV$9,Sales!$F:$F,1)/1.15</f>
        <v/>
      </c>
      <c r="AX40" s="66">
        <f>SUMIFS(Xero!$F:$F,Xero!$B:$B,Heron!AX$9,Xero!$A:$A,Heron!$A$4,Xero!$E:$E,Heron!$A40)+SUMIFS(Xero!$F:$F,Xero!$B:$B,Heron!AX$9,Xero!$A:$A,Heron!$A$5,Xero!$E:$E,Heron!$A40)+SUMIFS(Sales!$O:$O,Sales!$E:$E,FALSE,Sales!$A:$A,Heron!$B$4,Sales!$H:$H,"&lt;="&amp;Heron!AX$9,Sales!$H:$H,"&gt;"&amp;Heron!AW$9,Sales!$F:$F,1)/1.15</f>
        <v/>
      </c>
      <c r="AY40" s="66">
        <f>SUMIFS(Xero!$F:$F,Xero!$B:$B,Heron!AY$9,Xero!$A:$A,Heron!$A$4,Xero!$E:$E,Heron!$A40)+SUMIFS(Xero!$F:$F,Xero!$B:$B,Heron!AY$9,Xero!$A:$A,Heron!$A$5,Xero!$E:$E,Heron!$A40)+SUMIFS(Sales!$O:$O,Sales!$E:$E,FALSE,Sales!$A:$A,Heron!$B$4,Sales!$H:$H,"&lt;="&amp;Heron!AY$9,Sales!$H:$H,"&gt;"&amp;Heron!AX$9,Sales!$F:$F,1)/1.15</f>
        <v/>
      </c>
      <c r="AZ40" s="66">
        <f>SUMIFS(Xero!$F:$F,Xero!$B:$B,Heron!AZ$9,Xero!$A:$A,Heron!$A$4,Xero!$E:$E,Heron!$A40)+SUMIFS(Xero!$F:$F,Xero!$B:$B,Heron!AZ$9,Xero!$A:$A,Heron!$A$5,Xero!$E:$E,Heron!$A40)+SUMIFS(Sales!$O:$O,Sales!$E:$E,FALSE,Sales!$A:$A,Heron!$B$4,Sales!$H:$H,"&lt;="&amp;Heron!AZ$9,Sales!$H:$H,"&gt;"&amp;Heron!AY$9,Sales!$F:$F,1)/1.15</f>
        <v/>
      </c>
      <c r="BA40" s="66">
        <f>SUMIFS(Xero!$F:$F,Xero!$B:$B,Heron!BA$9,Xero!$A:$A,Heron!$A$4,Xero!$E:$E,Heron!$A40)+SUMIFS(Xero!$F:$F,Xero!$B:$B,Heron!BA$9,Xero!$A:$A,Heron!$A$5,Xero!$E:$E,Heron!$A40)+SUMIFS(Sales!$O:$O,Sales!$E:$E,FALSE,Sales!$A:$A,Heron!$B$4,Sales!$H:$H,"&lt;="&amp;Heron!BA$9,Sales!$H:$H,"&gt;"&amp;Heron!AZ$9,Sales!$F:$F,1)/1.15</f>
        <v/>
      </c>
      <c r="BB40" s="66">
        <f>SUMIFS(Xero!$F:$F,Xero!$B:$B,Heron!BB$9,Xero!$A:$A,Heron!$A$4,Xero!$E:$E,Heron!$A40)+SUMIFS(Xero!$F:$F,Xero!$B:$B,Heron!BB$9,Xero!$A:$A,Heron!$A$5,Xero!$E:$E,Heron!$A40)+SUMIFS(Sales!$O:$O,Sales!$E:$E,FALSE,Sales!$A:$A,Heron!$B$4,Sales!$H:$H,"&lt;="&amp;Heron!BB$9,Sales!$H:$H,"&gt;"&amp;Heron!BA$9,Sales!$F:$F,1)/1.15</f>
        <v/>
      </c>
      <c r="BC40" s="66">
        <f>SUMIFS(Xero!$F:$F,Xero!$B:$B,Heron!BC$9,Xero!$A:$A,Heron!$A$4,Xero!$E:$E,Heron!$A40)+SUMIFS(Xero!$F:$F,Xero!$B:$B,Heron!BC$9,Xero!$A:$A,Heron!$A$5,Xero!$E:$E,Heron!$A40)+SUMIFS(Sales!$O:$O,Sales!$E:$E,FALSE,Sales!$A:$A,Heron!$B$4,Sales!$H:$H,"&lt;="&amp;Heron!BC$9,Sales!$H:$H,"&gt;"&amp;Heron!BB$9,Sales!$F:$F,1)/1.15</f>
        <v/>
      </c>
      <c r="BD40" s="66">
        <f>SUMIFS(Xero!$F:$F,Xero!$B:$B,Heron!BD$9,Xero!$A:$A,Heron!$A$4,Xero!$E:$E,Heron!$A40)+SUMIFS(Xero!$F:$F,Xero!$B:$B,Heron!BD$9,Xero!$A:$A,Heron!$A$5,Xero!$E:$E,Heron!$A40)+SUMIFS(Sales!$O:$O,Sales!$E:$E,FALSE,Sales!$A:$A,Heron!$B$4,Sales!$H:$H,"&lt;="&amp;Heron!BD$9,Sales!$H:$H,"&gt;"&amp;Heron!BC$9,Sales!$F:$F,1)/1.15</f>
        <v/>
      </c>
      <c r="BE40" s="66">
        <f>SUMIFS(Xero!$F:$F,Xero!$B:$B,Heron!BE$9,Xero!$A:$A,Heron!$A$4,Xero!$E:$E,Heron!$A40)+SUMIFS(Xero!$F:$F,Xero!$B:$B,Heron!BE$9,Xero!$A:$A,Heron!$A$5,Xero!$E:$E,Heron!$A40)+SUMIFS(Sales!$O:$O,Sales!$E:$E,FALSE,Sales!$A:$A,Heron!$B$4,Sales!$H:$H,"&lt;="&amp;Heron!BE$9,Sales!$H:$H,"&gt;"&amp;Heron!BD$9,Sales!$F:$F,1)/1.15</f>
        <v/>
      </c>
      <c r="BF40" s="66">
        <f>SUMIFS(Xero!$F:$F,Xero!$B:$B,Heron!BF$9,Xero!$A:$A,Heron!$A$4,Xero!$E:$E,Heron!$A40)+SUMIFS(Xero!$F:$F,Xero!$B:$B,Heron!BF$9,Xero!$A:$A,Heron!$A$5,Xero!$E:$E,Heron!$A40)+SUMIFS(Sales!$O:$O,Sales!$E:$E,FALSE,Sales!$A:$A,Heron!$B$4,Sales!$H:$H,"&lt;="&amp;Heron!BF$9,Sales!$H:$H,"&gt;"&amp;Heron!BE$9,Sales!$F:$F,1)/1.15</f>
        <v/>
      </c>
      <c r="BG40" s="66">
        <f>SUMIFS(Xero!$F:$F,Xero!$B:$B,Heron!BG$9,Xero!$A:$A,Heron!$A$4,Xero!$E:$E,Heron!$A40)+SUMIFS(Xero!$F:$F,Xero!$B:$B,Heron!BG$9,Xero!$A:$A,Heron!$A$5,Xero!$E:$E,Heron!$A40)+SUMIFS(Sales!$O:$O,Sales!$E:$E,FALSE,Sales!$A:$A,Heron!$B$4,Sales!$H:$H,"&lt;="&amp;Heron!BG$9,Sales!$H:$H,"&gt;"&amp;Heron!BF$9,Sales!$F:$F,1)/1.15</f>
        <v/>
      </c>
      <c r="BH40" s="66">
        <f>sum(D40:BG40)</f>
        <v/>
      </c>
    </row>
    <row r="41">
      <c r="A41" s="65" t="inlineStr">
        <is>
          <t>COS - Commission HV Units</t>
        </is>
      </c>
      <c r="D41" s="66">
        <f>SUMIFS(Xero!$F:$F,Xero!$B:$B,Heron!D$9,Xero!$A:$A,Heron!$A$4,Xero!$E:$E,Heron!$A41)+SUMIFS(Xero!$F:$F,Xero!$B:$B,Heron!D$9,Xero!$A:$A,Heron!$A$5,Xero!$E:$E,Heron!$A41)+SUMIFS(Sales!$O:$O,Sales!$E:$E,FALSE,Sales!$A:$A,Heron!$B$5,Sales!$H:$H,"&lt;="&amp;Heron!D$9,Sales!$H:$H,"&gt;"&amp;Heron!C$9,Sales!$F:$F,1)/1.15</f>
        <v/>
      </c>
      <c r="E41" s="66">
        <f>SUMIFS(Xero!$F:$F,Xero!$B:$B,Heron!E$9,Xero!$A:$A,Heron!$A$4,Xero!$E:$E,Heron!$A41)+SUMIFS(Xero!$F:$F,Xero!$B:$B,Heron!E$9,Xero!$A:$A,Heron!$A$5,Xero!$E:$E,Heron!$A41)+SUMIFS(Sales!$O:$O,Sales!$E:$E,FALSE,Sales!$A:$A,Heron!$B$5,Sales!$H:$H,"&lt;="&amp;Heron!E$9,Sales!$H:$H,"&gt;"&amp;Heron!D$9,Sales!$F:$F,1)/1.15</f>
        <v/>
      </c>
      <c r="F41" s="66">
        <f>SUMIFS(Xero!$F:$F,Xero!$B:$B,Heron!F$9,Xero!$A:$A,Heron!$A$4,Xero!$E:$E,Heron!$A41)+SUMIFS(Xero!$F:$F,Xero!$B:$B,Heron!F$9,Xero!$A:$A,Heron!$A$5,Xero!$E:$E,Heron!$A41)+SUMIFS(Sales!$O:$O,Sales!$E:$E,FALSE,Sales!$A:$A,Heron!$B$5,Sales!$H:$H,"&lt;="&amp;Heron!F$9,Sales!$H:$H,"&gt;"&amp;Heron!E$9,Sales!$F:$F,1)/1.15</f>
        <v/>
      </c>
      <c r="G41" s="66">
        <f>SUMIFS(Xero!$F:$F,Xero!$B:$B,Heron!G$9,Xero!$A:$A,Heron!$A$4,Xero!$E:$E,Heron!$A41)+SUMIFS(Xero!$F:$F,Xero!$B:$B,Heron!G$9,Xero!$A:$A,Heron!$A$5,Xero!$E:$E,Heron!$A41)+SUMIFS(Sales!$O:$O,Sales!$E:$E,FALSE,Sales!$A:$A,Heron!$B$5,Sales!$H:$H,"&lt;="&amp;Heron!G$9,Sales!$H:$H,"&gt;"&amp;Heron!F$9,Sales!$F:$F,1)/1.15</f>
        <v/>
      </c>
      <c r="H41" s="66">
        <f>SUMIFS(Xero!$F:$F,Xero!$B:$B,Heron!H$9,Xero!$A:$A,Heron!$A$4,Xero!$E:$E,Heron!$A41)+SUMIFS(Xero!$F:$F,Xero!$B:$B,Heron!H$9,Xero!$A:$A,Heron!$A$5,Xero!$E:$E,Heron!$A41)+SUMIFS(Sales!$O:$O,Sales!$E:$E,FALSE,Sales!$A:$A,Heron!$B$5,Sales!$H:$H,"&lt;="&amp;Heron!H$9,Sales!$H:$H,"&gt;"&amp;Heron!G$9,Sales!$F:$F,1)/1.15</f>
        <v/>
      </c>
      <c r="I41" s="66">
        <f>SUMIFS(Xero!$F:$F,Xero!$B:$B,Heron!I$9,Xero!$A:$A,Heron!$A$4,Xero!$E:$E,Heron!$A41)+SUMIFS(Xero!$F:$F,Xero!$B:$B,Heron!I$9,Xero!$A:$A,Heron!$A$5,Xero!$E:$E,Heron!$A41)+SUMIFS(Sales!$O:$O,Sales!$E:$E,FALSE,Sales!$A:$A,Heron!$B$5,Sales!$H:$H,"&lt;="&amp;Heron!I$9,Sales!$H:$H,"&gt;"&amp;Heron!H$9,Sales!$F:$F,1)/1.15</f>
        <v/>
      </c>
      <c r="J41" s="66">
        <f>SUMIFS(Xero!$F:$F,Xero!$B:$B,Heron!J$9,Xero!$A:$A,Heron!$A$4,Xero!$E:$E,Heron!$A41)+SUMIFS(Xero!$F:$F,Xero!$B:$B,Heron!J$9,Xero!$A:$A,Heron!$A$5,Xero!$E:$E,Heron!$A41)+SUMIFS(Sales!$O:$O,Sales!$E:$E,FALSE,Sales!$A:$A,Heron!$B$5,Sales!$H:$H,"&lt;="&amp;Heron!J$9,Sales!$H:$H,"&gt;"&amp;Heron!I$9,Sales!$F:$F,1)/1.15</f>
        <v/>
      </c>
      <c r="K41" s="66">
        <f>SUMIFS(Xero!$F:$F,Xero!$B:$B,Heron!K$9,Xero!$A:$A,Heron!$A$4,Xero!$E:$E,Heron!$A41)+SUMIFS(Xero!$F:$F,Xero!$B:$B,Heron!K$9,Xero!$A:$A,Heron!$A$5,Xero!$E:$E,Heron!$A41)+SUMIFS(Sales!$O:$O,Sales!$E:$E,FALSE,Sales!$A:$A,Heron!$B$5,Sales!$H:$H,"&lt;="&amp;Heron!K$9,Sales!$H:$H,"&gt;"&amp;Heron!J$9,Sales!$F:$F,1)/1.15</f>
        <v/>
      </c>
      <c r="L41" s="66">
        <f>SUMIFS(Xero!$F:$F,Xero!$B:$B,Heron!L$9,Xero!$A:$A,Heron!$A$4,Xero!$E:$E,Heron!$A41)+SUMIFS(Xero!$F:$F,Xero!$B:$B,Heron!L$9,Xero!$A:$A,Heron!$A$5,Xero!$E:$E,Heron!$A41)+SUMIFS(Sales!$O:$O,Sales!$E:$E,FALSE,Sales!$A:$A,Heron!$B$5,Sales!$H:$H,"&lt;="&amp;Heron!L$9,Sales!$H:$H,"&gt;"&amp;Heron!K$9,Sales!$F:$F,1)/1.15</f>
        <v/>
      </c>
      <c r="M41" s="66">
        <f>SUMIFS(Xero!$F:$F,Xero!$B:$B,Heron!M$9,Xero!$A:$A,Heron!$A$4,Xero!$E:$E,Heron!$A41)+SUMIFS(Xero!$F:$F,Xero!$B:$B,Heron!M$9,Xero!$A:$A,Heron!$A$5,Xero!$E:$E,Heron!$A41)+SUMIFS(Sales!$O:$O,Sales!$E:$E,FALSE,Sales!$A:$A,Heron!$B$5,Sales!$H:$H,"&lt;="&amp;Heron!M$9,Sales!$H:$H,"&gt;"&amp;Heron!L$9,Sales!$F:$F,1)/1.15</f>
        <v/>
      </c>
      <c r="N41" s="66">
        <f>SUMIFS(Xero!$F:$F,Xero!$B:$B,Heron!N$9,Xero!$A:$A,Heron!$A$4,Xero!$E:$E,Heron!$A41)+SUMIFS(Xero!$F:$F,Xero!$B:$B,Heron!N$9,Xero!$A:$A,Heron!$A$5,Xero!$E:$E,Heron!$A41)+SUMIFS(Sales!$O:$O,Sales!$E:$E,FALSE,Sales!$A:$A,Heron!$B$5,Sales!$H:$H,"&lt;="&amp;Heron!N$9,Sales!$H:$H,"&gt;"&amp;Heron!M$9,Sales!$F:$F,1)/1.15</f>
        <v/>
      </c>
      <c r="O41" s="66">
        <f>SUMIFS(Xero!$F:$F,Xero!$B:$B,Heron!O$9,Xero!$A:$A,Heron!$A$4,Xero!$E:$E,Heron!$A41)+SUMIFS(Xero!$F:$F,Xero!$B:$B,Heron!O$9,Xero!$A:$A,Heron!$A$5,Xero!$E:$E,Heron!$A41)+SUMIFS(Sales!$O:$O,Sales!$E:$E,FALSE,Sales!$A:$A,Heron!$B$5,Sales!$H:$H,"&lt;="&amp;Heron!O$9,Sales!$H:$H,"&gt;"&amp;Heron!N$9,Sales!$F:$F,1)/1.15</f>
        <v/>
      </c>
      <c r="P41" s="66">
        <f>SUMIFS(Xero!$F:$F,Xero!$B:$B,Heron!P$9,Xero!$A:$A,Heron!$A$4,Xero!$E:$E,Heron!$A41)+SUMIFS(Xero!$F:$F,Xero!$B:$B,Heron!P$9,Xero!$A:$A,Heron!$A$5,Xero!$E:$E,Heron!$A41)+SUMIFS(Sales!$O:$O,Sales!$E:$E,FALSE,Sales!$A:$A,Heron!$B$5,Sales!$H:$H,"&lt;="&amp;Heron!P$9,Sales!$H:$H,"&gt;"&amp;Heron!O$9,Sales!$F:$F,1)/1.15</f>
        <v/>
      </c>
      <c r="Q41" s="66">
        <f>SUMIFS(Xero!$F:$F,Xero!$B:$B,Heron!Q$9,Xero!$A:$A,Heron!$A$4,Xero!$E:$E,Heron!$A41)+SUMIFS(Xero!$F:$F,Xero!$B:$B,Heron!Q$9,Xero!$A:$A,Heron!$A$5,Xero!$E:$E,Heron!$A41)+SUMIFS(Sales!$O:$O,Sales!$E:$E,FALSE,Sales!$A:$A,Heron!$B$5,Sales!$H:$H,"&lt;="&amp;Heron!Q$9,Sales!$H:$H,"&gt;"&amp;Heron!P$9,Sales!$F:$F,1)/1.15</f>
        <v/>
      </c>
      <c r="R41" s="66">
        <f>SUMIFS(Xero!$F:$F,Xero!$B:$B,Heron!R$9,Xero!$A:$A,Heron!$A$4,Xero!$E:$E,Heron!$A41)+SUMIFS(Xero!$F:$F,Xero!$B:$B,Heron!R$9,Xero!$A:$A,Heron!$A$5,Xero!$E:$E,Heron!$A41)+SUMIFS(Sales!$O:$O,Sales!$E:$E,FALSE,Sales!$A:$A,Heron!$B$5,Sales!$H:$H,"&lt;="&amp;Heron!R$9,Sales!$H:$H,"&gt;"&amp;Heron!Q$9,Sales!$F:$F,1)/1.15</f>
        <v/>
      </c>
      <c r="S41" s="66">
        <f>SUMIFS(Xero!$F:$F,Xero!$B:$B,Heron!S$9,Xero!$A:$A,Heron!$A$4,Xero!$E:$E,Heron!$A41)+SUMIFS(Xero!$F:$F,Xero!$B:$B,Heron!S$9,Xero!$A:$A,Heron!$A$5,Xero!$E:$E,Heron!$A41)+SUMIFS(Sales!$O:$O,Sales!$E:$E,FALSE,Sales!$A:$A,Heron!$B$5,Sales!$H:$H,"&lt;="&amp;Heron!S$9,Sales!$H:$H,"&gt;"&amp;Heron!R$9,Sales!$F:$F,1)/1.15</f>
        <v/>
      </c>
      <c r="T41" s="66">
        <f>SUMIFS(Xero!$F:$F,Xero!$B:$B,Heron!T$9,Xero!$A:$A,Heron!$A$4,Xero!$E:$E,Heron!$A41)+SUMIFS(Xero!$F:$F,Xero!$B:$B,Heron!T$9,Xero!$A:$A,Heron!$A$5,Xero!$E:$E,Heron!$A41)+SUMIFS(Sales!$O:$O,Sales!$E:$E,FALSE,Sales!$A:$A,Heron!$B$5,Sales!$H:$H,"&lt;="&amp;Heron!T$9,Sales!$H:$H,"&gt;"&amp;Heron!S$9,Sales!$F:$F,1)/1.15</f>
        <v/>
      </c>
      <c r="U41" s="66">
        <f>SUMIFS(Xero!$F:$F,Xero!$B:$B,Heron!U$9,Xero!$A:$A,Heron!$A$4,Xero!$E:$E,Heron!$A41)+SUMIFS(Xero!$F:$F,Xero!$B:$B,Heron!U$9,Xero!$A:$A,Heron!$A$5,Xero!$E:$E,Heron!$A41)+SUMIFS(Sales!$O:$O,Sales!$E:$E,FALSE,Sales!$A:$A,Heron!$B$5,Sales!$H:$H,"&lt;="&amp;Heron!U$9,Sales!$H:$H,"&gt;"&amp;Heron!T$9,Sales!$F:$F,1)/1.15</f>
        <v/>
      </c>
      <c r="V41" s="66">
        <f>SUMIFS(Xero!$F:$F,Xero!$B:$B,Heron!V$9,Xero!$A:$A,Heron!$A$4,Xero!$E:$E,Heron!$A41)+SUMIFS(Xero!$F:$F,Xero!$B:$B,Heron!V$9,Xero!$A:$A,Heron!$A$5,Xero!$E:$E,Heron!$A41)+SUMIFS(Sales!$O:$O,Sales!$E:$E,FALSE,Sales!$A:$A,Heron!$B$5,Sales!$H:$H,"&lt;="&amp;Heron!V$9,Sales!$H:$H,"&gt;"&amp;Heron!U$9,Sales!$F:$F,1)/1.15</f>
        <v/>
      </c>
      <c r="W41" s="66">
        <f>SUMIFS(Xero!$F:$F,Xero!$B:$B,Heron!W$9,Xero!$A:$A,Heron!$A$4,Xero!$E:$E,Heron!$A41)+SUMIFS(Xero!$F:$F,Xero!$B:$B,Heron!W$9,Xero!$A:$A,Heron!$A$5,Xero!$E:$E,Heron!$A41)+SUMIFS(Sales!$O:$O,Sales!$E:$E,FALSE,Sales!$A:$A,Heron!$B$5,Sales!$H:$H,"&lt;="&amp;Heron!W$9,Sales!$H:$H,"&gt;"&amp;Heron!V$9,Sales!$F:$F,1)/1.15</f>
        <v/>
      </c>
      <c r="X41" s="66">
        <f>SUMIFS(Xero!$F:$F,Xero!$B:$B,Heron!X$9,Xero!$A:$A,Heron!$A$4,Xero!$E:$E,Heron!$A41)+SUMIFS(Xero!$F:$F,Xero!$B:$B,Heron!X$9,Xero!$A:$A,Heron!$A$5,Xero!$E:$E,Heron!$A41)+SUMIFS(Sales!$O:$O,Sales!$E:$E,FALSE,Sales!$A:$A,Heron!$B$5,Sales!$H:$H,"&lt;="&amp;Heron!X$9,Sales!$H:$H,"&gt;"&amp;Heron!W$9,Sales!$F:$F,1)/1.15</f>
        <v/>
      </c>
      <c r="Y41" s="66">
        <f>SUMIFS(Xero!$F:$F,Xero!$B:$B,Heron!Y$9,Xero!$A:$A,Heron!$A$4,Xero!$E:$E,Heron!$A41)+SUMIFS(Xero!$F:$F,Xero!$B:$B,Heron!Y$9,Xero!$A:$A,Heron!$A$5,Xero!$E:$E,Heron!$A41)+SUMIFS(Sales!$O:$O,Sales!$E:$E,FALSE,Sales!$A:$A,Heron!$B$5,Sales!$H:$H,"&lt;="&amp;Heron!Y$9,Sales!$H:$H,"&gt;"&amp;Heron!X$9,Sales!$F:$F,1)/1.15</f>
        <v/>
      </c>
      <c r="Z41" s="66">
        <f>SUMIFS(Xero!$F:$F,Xero!$B:$B,Heron!Z$9,Xero!$A:$A,Heron!$A$4,Xero!$E:$E,Heron!$A41)+SUMIFS(Xero!$F:$F,Xero!$B:$B,Heron!Z$9,Xero!$A:$A,Heron!$A$5,Xero!$E:$E,Heron!$A41)+SUMIFS(Sales!$O:$O,Sales!$E:$E,FALSE,Sales!$A:$A,Heron!$B$5,Sales!$H:$H,"&lt;="&amp;Heron!Z$9,Sales!$H:$H,"&gt;"&amp;Heron!Y$9,Sales!$F:$F,1)/1.15</f>
        <v/>
      </c>
      <c r="AA41" s="66">
        <f>SUMIFS(Xero!$F:$F,Xero!$B:$B,Heron!AA$9,Xero!$A:$A,Heron!$A$4,Xero!$E:$E,Heron!$A41)+SUMIFS(Xero!$F:$F,Xero!$B:$B,Heron!AA$9,Xero!$A:$A,Heron!$A$5,Xero!$E:$E,Heron!$A41)+SUMIFS(Sales!$O:$O,Sales!$E:$E,FALSE,Sales!$A:$A,Heron!$B$5,Sales!$H:$H,"&lt;="&amp;Heron!AA$9,Sales!$H:$H,"&gt;"&amp;Heron!Z$9,Sales!$F:$F,1)/1.15</f>
        <v/>
      </c>
      <c r="AB41" s="66">
        <f>SUMIFS(Xero!$F:$F,Xero!$B:$B,Heron!AB$9,Xero!$A:$A,Heron!$A$4,Xero!$E:$E,Heron!$A41)+SUMIFS(Xero!$F:$F,Xero!$B:$B,Heron!AB$9,Xero!$A:$A,Heron!$A$5,Xero!$E:$E,Heron!$A41)+SUMIFS(Sales!$O:$O,Sales!$E:$E,FALSE,Sales!$A:$A,Heron!$B$5,Sales!$H:$H,"&lt;="&amp;Heron!AB$9,Sales!$H:$H,"&gt;"&amp;Heron!AA$9,Sales!$F:$F,1)/1.15</f>
        <v/>
      </c>
      <c r="AC41" s="66">
        <f>SUMIFS(Xero!$F:$F,Xero!$B:$B,Heron!AC$9,Xero!$A:$A,Heron!$A$4,Xero!$E:$E,Heron!$A41)+SUMIFS(Xero!$F:$F,Xero!$B:$B,Heron!AC$9,Xero!$A:$A,Heron!$A$5,Xero!$E:$E,Heron!$A41)+SUMIFS(Sales!$O:$O,Sales!$E:$E,FALSE,Sales!$A:$A,Heron!$B$5,Sales!$H:$H,"&lt;="&amp;Heron!AC$9,Sales!$H:$H,"&gt;"&amp;Heron!AB$9,Sales!$F:$F,1)/1.15</f>
        <v/>
      </c>
      <c r="AD41" s="66">
        <f>SUMIFS(Xero!$F:$F,Xero!$B:$B,Heron!AD$9,Xero!$A:$A,Heron!$A$4,Xero!$E:$E,Heron!$A41)+SUMIFS(Xero!$F:$F,Xero!$B:$B,Heron!AD$9,Xero!$A:$A,Heron!$A$5,Xero!$E:$E,Heron!$A41)+SUMIFS(Sales!$O:$O,Sales!$E:$E,FALSE,Sales!$A:$A,Heron!$B$5,Sales!$H:$H,"&lt;="&amp;Heron!AD$9,Sales!$H:$H,"&gt;"&amp;Heron!AC$9,Sales!$F:$F,1)/1.15</f>
        <v/>
      </c>
      <c r="AE41" s="66">
        <f>SUMIFS(Xero!$F:$F,Xero!$B:$B,Heron!AE$9,Xero!$A:$A,Heron!$A$4,Xero!$E:$E,Heron!$A41)+SUMIFS(Xero!$F:$F,Xero!$B:$B,Heron!AE$9,Xero!$A:$A,Heron!$A$5,Xero!$E:$E,Heron!$A41)+SUMIFS(Sales!$O:$O,Sales!$E:$E,FALSE,Sales!$A:$A,Heron!$B$5,Sales!$H:$H,"&lt;="&amp;Heron!AE$9,Sales!$H:$H,"&gt;"&amp;Heron!AD$9,Sales!$F:$F,1)/1.15</f>
        <v/>
      </c>
      <c r="AF41" s="66">
        <f>SUMIFS(Xero!$F:$F,Xero!$B:$B,Heron!AF$9,Xero!$A:$A,Heron!$A$4,Xero!$E:$E,Heron!$A41)+SUMIFS(Xero!$F:$F,Xero!$B:$B,Heron!AF$9,Xero!$A:$A,Heron!$A$5,Xero!$E:$E,Heron!$A41)+SUMIFS(Sales!$O:$O,Sales!$E:$E,FALSE,Sales!$A:$A,Heron!$B$5,Sales!$H:$H,"&lt;="&amp;Heron!AF$9,Sales!$H:$H,"&gt;"&amp;Heron!AE$9,Sales!$F:$F,1)/1.15</f>
        <v/>
      </c>
      <c r="AG41" s="66">
        <f>SUMIFS(Xero!$F:$F,Xero!$B:$B,Heron!AG$9,Xero!$A:$A,Heron!$A$4,Xero!$E:$E,Heron!$A41)+SUMIFS(Xero!$F:$F,Xero!$B:$B,Heron!AG$9,Xero!$A:$A,Heron!$A$5,Xero!$E:$E,Heron!$A41)+SUMIFS(Sales!$O:$O,Sales!$E:$E,FALSE,Sales!$A:$A,Heron!$B$5,Sales!$H:$H,"&lt;="&amp;Heron!AG$9,Sales!$H:$H,"&gt;"&amp;Heron!AF$9,Sales!$F:$F,1)/1.15</f>
        <v/>
      </c>
      <c r="AH41" s="66">
        <f>SUMIFS(Xero!$F:$F,Xero!$B:$B,Heron!AH$9,Xero!$A:$A,Heron!$A$4,Xero!$E:$E,Heron!$A41)+SUMIFS(Xero!$F:$F,Xero!$B:$B,Heron!AH$9,Xero!$A:$A,Heron!$A$5,Xero!$E:$E,Heron!$A41)+SUMIFS(Sales!$O:$O,Sales!$E:$E,FALSE,Sales!$A:$A,Heron!$B$5,Sales!$H:$H,"&lt;="&amp;Heron!AH$9,Sales!$H:$H,"&gt;"&amp;Heron!AG$9,Sales!$F:$F,1)/1.15</f>
        <v/>
      </c>
      <c r="AI41" s="66">
        <f>SUMIFS(Xero!$F:$F,Xero!$B:$B,Heron!AI$9,Xero!$A:$A,Heron!$A$4,Xero!$E:$E,Heron!$A41)+SUMIFS(Xero!$F:$F,Xero!$B:$B,Heron!AI$9,Xero!$A:$A,Heron!$A$5,Xero!$E:$E,Heron!$A41)+SUMIFS(Sales!$O:$O,Sales!$E:$E,FALSE,Sales!$A:$A,Heron!$B$5,Sales!$H:$H,"&lt;="&amp;Heron!AI$9,Sales!$H:$H,"&gt;"&amp;Heron!AH$9,Sales!$F:$F,1)/1.15</f>
        <v/>
      </c>
      <c r="AJ41" s="66">
        <f>SUMIFS(Xero!$F:$F,Xero!$B:$B,Heron!AJ$9,Xero!$A:$A,Heron!$A$4,Xero!$E:$E,Heron!$A41)+SUMIFS(Xero!$F:$F,Xero!$B:$B,Heron!AJ$9,Xero!$A:$A,Heron!$A$5,Xero!$E:$E,Heron!$A41)+SUMIFS(Sales!$O:$O,Sales!$E:$E,FALSE,Sales!$A:$A,Heron!$B$5,Sales!$H:$H,"&lt;="&amp;Heron!AJ$9,Sales!$H:$H,"&gt;"&amp;Heron!AI$9,Sales!$F:$F,1)/1.15</f>
        <v/>
      </c>
      <c r="AK41" s="66">
        <f>SUMIFS(Xero!$F:$F,Xero!$B:$B,Heron!AK$9,Xero!$A:$A,Heron!$A$4,Xero!$E:$E,Heron!$A41)+SUMIFS(Xero!$F:$F,Xero!$B:$B,Heron!AK$9,Xero!$A:$A,Heron!$A$5,Xero!$E:$E,Heron!$A41)+SUMIFS(Sales!$O:$O,Sales!$E:$E,FALSE,Sales!$A:$A,Heron!$B$5,Sales!$H:$H,"&lt;="&amp;Heron!AK$9,Sales!$H:$H,"&gt;"&amp;Heron!AJ$9,Sales!$F:$F,1)/1.15</f>
        <v/>
      </c>
      <c r="AL41" s="66">
        <f>SUMIFS(Xero!$F:$F,Xero!$B:$B,Heron!AL$9,Xero!$A:$A,Heron!$A$4,Xero!$E:$E,Heron!$A41)+SUMIFS(Xero!$F:$F,Xero!$B:$B,Heron!AL$9,Xero!$A:$A,Heron!$A$5,Xero!$E:$E,Heron!$A41)+SUMIFS(Sales!$O:$O,Sales!$E:$E,FALSE,Sales!$A:$A,Heron!$B$5,Sales!$H:$H,"&lt;="&amp;Heron!AL$9,Sales!$H:$H,"&gt;"&amp;Heron!AK$9,Sales!$F:$F,1)/1.15</f>
        <v/>
      </c>
      <c r="AM41" s="66">
        <f>SUMIFS(Xero!$F:$F,Xero!$B:$B,Heron!AM$9,Xero!$A:$A,Heron!$A$4,Xero!$E:$E,Heron!$A41)+SUMIFS(Xero!$F:$F,Xero!$B:$B,Heron!AM$9,Xero!$A:$A,Heron!$A$5,Xero!$E:$E,Heron!$A41)+SUMIFS(Sales!$O:$O,Sales!$E:$E,FALSE,Sales!$A:$A,Heron!$B$5,Sales!$H:$H,"&lt;="&amp;Heron!AM$9,Sales!$H:$H,"&gt;"&amp;Heron!AL$9,Sales!$F:$F,1)/1.15</f>
        <v/>
      </c>
      <c r="AN41" s="66">
        <f>SUMIFS(Xero!$F:$F,Xero!$B:$B,Heron!AN$9,Xero!$A:$A,Heron!$A$4,Xero!$E:$E,Heron!$A41)+SUMIFS(Xero!$F:$F,Xero!$B:$B,Heron!AN$9,Xero!$A:$A,Heron!$A$5,Xero!$E:$E,Heron!$A41)+SUMIFS(Sales!$O:$O,Sales!$E:$E,FALSE,Sales!$A:$A,Heron!$B$5,Sales!$H:$H,"&lt;="&amp;Heron!AN$9,Sales!$H:$H,"&gt;"&amp;Heron!AM$9,Sales!$F:$F,1)/1.15</f>
        <v/>
      </c>
      <c r="AO41" s="66">
        <f>SUMIFS(Xero!$F:$F,Xero!$B:$B,Heron!AO$9,Xero!$A:$A,Heron!$A$4,Xero!$E:$E,Heron!$A41)+SUMIFS(Xero!$F:$F,Xero!$B:$B,Heron!AO$9,Xero!$A:$A,Heron!$A$5,Xero!$E:$E,Heron!$A41)+SUMIFS(Sales!$O:$O,Sales!$E:$E,FALSE,Sales!$A:$A,Heron!$B$5,Sales!$H:$H,"&lt;="&amp;Heron!AO$9,Sales!$H:$H,"&gt;"&amp;Heron!AN$9,Sales!$F:$F,1)/1.15</f>
        <v/>
      </c>
      <c r="AP41" s="66">
        <f>SUMIFS(Xero!$F:$F,Xero!$B:$B,Heron!AP$9,Xero!$A:$A,Heron!$A$4,Xero!$E:$E,Heron!$A41)+SUMIFS(Xero!$F:$F,Xero!$B:$B,Heron!AP$9,Xero!$A:$A,Heron!$A$5,Xero!$E:$E,Heron!$A41)+SUMIFS(Sales!$O:$O,Sales!$E:$E,FALSE,Sales!$A:$A,Heron!$B$5,Sales!$H:$H,"&lt;="&amp;Heron!AP$9,Sales!$H:$H,"&gt;"&amp;Heron!AO$9,Sales!$F:$F,1)/1.15</f>
        <v/>
      </c>
      <c r="AQ41" s="66">
        <f>SUMIFS(Xero!$F:$F,Xero!$B:$B,Heron!AQ$9,Xero!$A:$A,Heron!$A$4,Xero!$E:$E,Heron!$A41)+SUMIFS(Xero!$F:$F,Xero!$B:$B,Heron!AQ$9,Xero!$A:$A,Heron!$A$5,Xero!$E:$E,Heron!$A41)+SUMIFS(Sales!$O:$O,Sales!$E:$E,FALSE,Sales!$A:$A,Heron!$B$5,Sales!$H:$H,"&lt;="&amp;Heron!AQ$9,Sales!$H:$H,"&gt;"&amp;Heron!AP$9,Sales!$F:$F,1)/1.15</f>
        <v/>
      </c>
      <c r="AR41" s="66">
        <f>SUMIFS(Xero!$F:$F,Xero!$B:$B,Heron!AR$9,Xero!$A:$A,Heron!$A$4,Xero!$E:$E,Heron!$A41)+SUMIFS(Xero!$F:$F,Xero!$B:$B,Heron!AR$9,Xero!$A:$A,Heron!$A$5,Xero!$E:$E,Heron!$A41)+SUMIFS(Sales!$O:$O,Sales!$E:$E,FALSE,Sales!$A:$A,Heron!$B$5,Sales!$H:$H,"&lt;="&amp;Heron!AR$9,Sales!$H:$H,"&gt;"&amp;Heron!AQ$9,Sales!$F:$F,1)/1.15</f>
        <v/>
      </c>
      <c r="AS41" s="66">
        <f>SUMIFS(Xero!$F:$F,Xero!$B:$B,Heron!AS$9,Xero!$A:$A,Heron!$A$4,Xero!$E:$E,Heron!$A41)+SUMIFS(Xero!$F:$F,Xero!$B:$B,Heron!AS$9,Xero!$A:$A,Heron!$A$5,Xero!$E:$E,Heron!$A41)+SUMIFS(Sales!$O:$O,Sales!$E:$E,FALSE,Sales!$A:$A,Heron!$B$5,Sales!$H:$H,"&lt;="&amp;Heron!AS$9,Sales!$H:$H,"&gt;"&amp;Heron!AR$9,Sales!$F:$F,1)/1.15</f>
        <v/>
      </c>
      <c r="AT41" s="66">
        <f>SUMIFS(Xero!$F:$F,Xero!$B:$B,Heron!AT$9,Xero!$A:$A,Heron!$A$4,Xero!$E:$E,Heron!$A41)+SUMIFS(Xero!$F:$F,Xero!$B:$B,Heron!AT$9,Xero!$A:$A,Heron!$A$5,Xero!$E:$E,Heron!$A41)+SUMIFS(Sales!$O:$O,Sales!$E:$E,FALSE,Sales!$A:$A,Heron!$B$5,Sales!$H:$H,"&lt;="&amp;Heron!AT$9,Sales!$H:$H,"&gt;"&amp;Heron!AS$9,Sales!$F:$F,1)/1.15</f>
        <v/>
      </c>
      <c r="AU41" s="66">
        <f>SUMIFS(Xero!$F:$F,Xero!$B:$B,Heron!AU$9,Xero!$A:$A,Heron!$A$4,Xero!$E:$E,Heron!$A41)+SUMIFS(Xero!$F:$F,Xero!$B:$B,Heron!AU$9,Xero!$A:$A,Heron!$A$5,Xero!$E:$E,Heron!$A41)+SUMIFS(Sales!$O:$O,Sales!$E:$E,FALSE,Sales!$A:$A,Heron!$B$5,Sales!$H:$H,"&lt;="&amp;Heron!AU$9,Sales!$H:$H,"&gt;"&amp;Heron!AT$9,Sales!$F:$F,1)/1.15</f>
        <v/>
      </c>
      <c r="AV41" s="66">
        <f>SUMIFS(Xero!$F:$F,Xero!$B:$B,Heron!AV$9,Xero!$A:$A,Heron!$A$4,Xero!$E:$E,Heron!$A41)+SUMIFS(Xero!$F:$F,Xero!$B:$B,Heron!AV$9,Xero!$A:$A,Heron!$A$5,Xero!$E:$E,Heron!$A41)+SUMIFS(Sales!$O:$O,Sales!$E:$E,FALSE,Sales!$A:$A,Heron!$B$5,Sales!$H:$H,"&lt;="&amp;Heron!AV$9,Sales!$H:$H,"&gt;"&amp;Heron!AU$9,Sales!$F:$F,1)/1.15</f>
        <v/>
      </c>
      <c r="AW41" s="66">
        <f>SUMIFS(Xero!$F:$F,Xero!$B:$B,Heron!AW$9,Xero!$A:$A,Heron!$A$4,Xero!$E:$E,Heron!$A41)+SUMIFS(Xero!$F:$F,Xero!$B:$B,Heron!AW$9,Xero!$A:$A,Heron!$A$5,Xero!$E:$E,Heron!$A41)+SUMIFS(Sales!$O:$O,Sales!$E:$E,FALSE,Sales!$A:$A,Heron!$B$5,Sales!$H:$H,"&lt;="&amp;Heron!AW$9,Sales!$H:$H,"&gt;"&amp;Heron!AV$9,Sales!$F:$F,1)/1.15</f>
        <v/>
      </c>
      <c r="AX41" s="66">
        <f>SUMIFS(Xero!$F:$F,Xero!$B:$B,Heron!AX$9,Xero!$A:$A,Heron!$A$4,Xero!$E:$E,Heron!$A41)+SUMIFS(Xero!$F:$F,Xero!$B:$B,Heron!AX$9,Xero!$A:$A,Heron!$A$5,Xero!$E:$E,Heron!$A41)+SUMIFS(Sales!$O:$O,Sales!$E:$E,FALSE,Sales!$A:$A,Heron!$B$5,Sales!$H:$H,"&lt;="&amp;Heron!AX$9,Sales!$H:$H,"&gt;"&amp;Heron!AW$9,Sales!$F:$F,1)/1.15</f>
        <v/>
      </c>
      <c r="AY41" s="66">
        <f>SUMIFS(Xero!$F:$F,Xero!$B:$B,Heron!AY$9,Xero!$A:$A,Heron!$A$4,Xero!$E:$E,Heron!$A41)+SUMIFS(Xero!$F:$F,Xero!$B:$B,Heron!AY$9,Xero!$A:$A,Heron!$A$5,Xero!$E:$E,Heron!$A41)+SUMIFS(Sales!$O:$O,Sales!$E:$E,FALSE,Sales!$A:$A,Heron!$B$5,Sales!$H:$H,"&lt;="&amp;Heron!AY$9,Sales!$H:$H,"&gt;"&amp;Heron!AX$9,Sales!$F:$F,1)/1.15</f>
        <v/>
      </c>
      <c r="AZ41" s="66">
        <f>SUMIFS(Xero!$F:$F,Xero!$B:$B,Heron!AZ$9,Xero!$A:$A,Heron!$A$4,Xero!$E:$E,Heron!$A41)+SUMIFS(Xero!$F:$F,Xero!$B:$B,Heron!AZ$9,Xero!$A:$A,Heron!$A$5,Xero!$E:$E,Heron!$A41)+SUMIFS(Sales!$O:$O,Sales!$E:$E,FALSE,Sales!$A:$A,Heron!$B$5,Sales!$H:$H,"&lt;="&amp;Heron!AZ$9,Sales!$H:$H,"&gt;"&amp;Heron!AY$9,Sales!$F:$F,1)/1.15</f>
        <v/>
      </c>
      <c r="BA41" s="66">
        <f>SUMIFS(Xero!$F:$F,Xero!$B:$B,Heron!BA$9,Xero!$A:$A,Heron!$A$4,Xero!$E:$E,Heron!$A41)+SUMIFS(Xero!$F:$F,Xero!$B:$B,Heron!BA$9,Xero!$A:$A,Heron!$A$5,Xero!$E:$E,Heron!$A41)+SUMIFS(Sales!$O:$O,Sales!$E:$E,FALSE,Sales!$A:$A,Heron!$B$5,Sales!$H:$H,"&lt;="&amp;Heron!BA$9,Sales!$H:$H,"&gt;"&amp;Heron!AZ$9,Sales!$F:$F,1)/1.15</f>
        <v/>
      </c>
      <c r="BB41" s="66">
        <f>SUMIFS(Xero!$F:$F,Xero!$B:$B,Heron!BB$9,Xero!$A:$A,Heron!$A$4,Xero!$E:$E,Heron!$A41)+SUMIFS(Xero!$F:$F,Xero!$B:$B,Heron!BB$9,Xero!$A:$A,Heron!$A$5,Xero!$E:$E,Heron!$A41)+SUMIFS(Sales!$O:$O,Sales!$E:$E,FALSE,Sales!$A:$A,Heron!$B$5,Sales!$H:$H,"&lt;="&amp;Heron!BB$9,Sales!$H:$H,"&gt;"&amp;Heron!BA$9,Sales!$F:$F,1)/1.15</f>
        <v/>
      </c>
      <c r="BC41" s="66">
        <f>SUMIFS(Xero!$F:$F,Xero!$B:$B,Heron!BC$9,Xero!$A:$A,Heron!$A$4,Xero!$E:$E,Heron!$A41)+SUMIFS(Xero!$F:$F,Xero!$B:$B,Heron!BC$9,Xero!$A:$A,Heron!$A$5,Xero!$E:$E,Heron!$A41)+SUMIFS(Sales!$O:$O,Sales!$E:$E,FALSE,Sales!$A:$A,Heron!$B$5,Sales!$H:$H,"&lt;="&amp;Heron!BC$9,Sales!$H:$H,"&gt;"&amp;Heron!BB$9,Sales!$F:$F,1)/1.15</f>
        <v/>
      </c>
      <c r="BD41" s="66">
        <f>SUMIFS(Xero!$F:$F,Xero!$B:$B,Heron!BD$9,Xero!$A:$A,Heron!$A$4,Xero!$E:$E,Heron!$A41)+SUMIFS(Xero!$F:$F,Xero!$B:$B,Heron!BD$9,Xero!$A:$A,Heron!$A$5,Xero!$E:$E,Heron!$A41)+SUMIFS(Sales!$O:$O,Sales!$E:$E,FALSE,Sales!$A:$A,Heron!$B$5,Sales!$H:$H,"&lt;="&amp;Heron!BD$9,Sales!$H:$H,"&gt;"&amp;Heron!BC$9,Sales!$F:$F,1)/1.15</f>
        <v/>
      </c>
      <c r="BE41" s="66">
        <f>SUMIFS(Xero!$F:$F,Xero!$B:$B,Heron!BE$9,Xero!$A:$A,Heron!$A$4,Xero!$E:$E,Heron!$A41)+SUMIFS(Xero!$F:$F,Xero!$B:$B,Heron!BE$9,Xero!$A:$A,Heron!$A$5,Xero!$E:$E,Heron!$A41)+SUMIFS(Sales!$O:$O,Sales!$E:$E,FALSE,Sales!$A:$A,Heron!$B$5,Sales!$H:$H,"&lt;="&amp;Heron!BE$9,Sales!$H:$H,"&gt;"&amp;Heron!BD$9,Sales!$F:$F,1)/1.15</f>
        <v/>
      </c>
      <c r="BF41" s="66">
        <f>SUMIFS(Xero!$F:$F,Xero!$B:$B,Heron!BF$9,Xero!$A:$A,Heron!$A$4,Xero!$E:$E,Heron!$A41)+SUMIFS(Xero!$F:$F,Xero!$B:$B,Heron!BF$9,Xero!$A:$A,Heron!$A$5,Xero!$E:$E,Heron!$A41)+SUMIFS(Sales!$O:$O,Sales!$E:$E,FALSE,Sales!$A:$A,Heron!$B$5,Sales!$H:$H,"&lt;="&amp;Heron!BF$9,Sales!$H:$H,"&gt;"&amp;Heron!BE$9,Sales!$F:$F,1)/1.15</f>
        <v/>
      </c>
      <c r="BG41" s="66">
        <f>SUMIFS(Xero!$F:$F,Xero!$B:$B,Heron!BG$9,Xero!$A:$A,Heron!$A$4,Xero!$E:$E,Heron!$A41)+SUMIFS(Xero!$F:$F,Xero!$B:$B,Heron!BG$9,Xero!$A:$A,Heron!$A$5,Xero!$E:$E,Heron!$A41)+SUMIFS(Sales!$O:$O,Sales!$E:$E,FALSE,Sales!$A:$A,Heron!$B$5,Sales!$H:$H,"&lt;="&amp;Heron!BG$9,Sales!$H:$H,"&gt;"&amp;Heron!BF$9,Sales!$F:$F,1)/1.15</f>
        <v/>
      </c>
      <c r="BH41" s="66">
        <f>sum(D41:BG41)</f>
        <v/>
      </c>
    </row>
    <row r="42">
      <c r="A42" s="65" t="inlineStr">
        <is>
          <t>COS - Commission Heron Fields investors</t>
        </is>
      </c>
      <c r="D42" s="66">
        <f>SUMIFS(Xero!$F:$F,Xero!$B:$B,Heron!D$9,Xero!$A:$A,Heron!$A$4,Xero!$E:$E,Heron!$A42)+SUMIFS(Xero!$F:$F,Xero!$B:$B,Heron!D$9,Xero!$A:$A,Heron!$A$5,Xero!$E:$E,Heron!$A42)</f>
        <v/>
      </c>
      <c r="E42" s="66">
        <f>SUMIFS(Xero!$F:$F,Xero!$B:$B,Heron!E$9,Xero!$A:$A,Heron!$A$4,Xero!$E:$E,Heron!$A42)+SUMIFS(Xero!$F:$F,Xero!$B:$B,Heron!E$9,Xero!$A:$A,Heron!$A$5,Xero!$E:$E,Heron!$A42)</f>
        <v/>
      </c>
      <c r="F42" s="66">
        <f>SUMIFS(Xero!$F:$F,Xero!$B:$B,Heron!F$9,Xero!$A:$A,Heron!$A$4,Xero!$E:$E,Heron!$A42)+SUMIFS(Xero!$F:$F,Xero!$B:$B,Heron!F$9,Xero!$A:$A,Heron!$A$5,Xero!$E:$E,Heron!$A42)</f>
        <v/>
      </c>
      <c r="G42" s="66">
        <f>SUMIFS(Xero!$F:$F,Xero!$B:$B,Heron!G$9,Xero!$A:$A,Heron!$A$4,Xero!$E:$E,Heron!$A42)+SUMIFS(Xero!$F:$F,Xero!$B:$B,Heron!G$9,Xero!$A:$A,Heron!$A$5,Xero!$E:$E,Heron!$A42)</f>
        <v/>
      </c>
      <c r="H42" s="66">
        <f>SUMIFS(Xero!$F:$F,Xero!$B:$B,Heron!H$9,Xero!$A:$A,Heron!$A$4,Xero!$E:$E,Heron!$A42)+SUMIFS(Xero!$F:$F,Xero!$B:$B,Heron!H$9,Xero!$A:$A,Heron!$A$5,Xero!$E:$E,Heron!$A42)</f>
        <v/>
      </c>
      <c r="I42" s="66">
        <f>SUMIFS(Xero!$F:$F,Xero!$B:$B,Heron!I$9,Xero!$A:$A,Heron!$A$4,Xero!$E:$E,Heron!$A42)+SUMIFS(Xero!$F:$F,Xero!$B:$B,Heron!I$9,Xero!$A:$A,Heron!$A$5,Xero!$E:$E,Heron!$A42)</f>
        <v/>
      </c>
      <c r="J42" s="66">
        <f>SUMIFS(Xero!$F:$F,Xero!$B:$B,Heron!J$9,Xero!$A:$A,Heron!$A$4,Xero!$E:$E,Heron!$A42)+SUMIFS(Xero!$F:$F,Xero!$B:$B,Heron!J$9,Xero!$A:$A,Heron!$A$5,Xero!$E:$E,Heron!$A42)</f>
        <v/>
      </c>
      <c r="K42" s="66">
        <f>SUMIFS(Xero!$F:$F,Xero!$B:$B,Heron!K$9,Xero!$A:$A,Heron!$A$4,Xero!$E:$E,Heron!$A42)+SUMIFS(Xero!$F:$F,Xero!$B:$B,Heron!K$9,Xero!$A:$A,Heron!$A$5,Xero!$E:$E,Heron!$A42)</f>
        <v/>
      </c>
      <c r="L42" s="66">
        <f>SUMIFS(Xero!$F:$F,Xero!$B:$B,Heron!L$9,Xero!$A:$A,Heron!$A$4,Xero!$E:$E,Heron!$A42)+SUMIFS(Xero!$F:$F,Xero!$B:$B,Heron!L$9,Xero!$A:$A,Heron!$A$5,Xero!$E:$E,Heron!$A42)</f>
        <v/>
      </c>
      <c r="M42" s="66">
        <f>SUMIFS(Xero!$F:$F,Xero!$B:$B,Heron!M$9,Xero!$A:$A,Heron!$A$4,Xero!$E:$E,Heron!$A42)+SUMIFS(Xero!$F:$F,Xero!$B:$B,Heron!M$9,Xero!$A:$A,Heron!$A$5,Xero!$E:$E,Heron!$A42)</f>
        <v/>
      </c>
      <c r="N42" s="66">
        <f>SUMIFS(Xero!$F:$F,Xero!$B:$B,Heron!N$9,Xero!$A:$A,Heron!$A$4,Xero!$E:$E,Heron!$A42)+SUMIFS(Xero!$F:$F,Xero!$B:$B,Heron!N$9,Xero!$A:$A,Heron!$A$5,Xero!$E:$E,Heron!$A42)</f>
        <v/>
      </c>
      <c r="O42" s="66">
        <f>SUMIFS(Xero!$F:$F,Xero!$B:$B,Heron!O$9,Xero!$A:$A,Heron!$A$4,Xero!$E:$E,Heron!$A42)+SUMIFS(Xero!$F:$F,Xero!$B:$B,Heron!O$9,Xero!$A:$A,Heron!$A$5,Xero!$E:$E,Heron!$A42)</f>
        <v/>
      </c>
      <c r="P42" s="66">
        <f>SUMIFS(Xero!$F:$F,Xero!$B:$B,Heron!P$9,Xero!$A:$A,Heron!$A$4,Xero!$E:$E,Heron!$A42)+SUMIFS(Xero!$F:$F,Xero!$B:$B,Heron!P$9,Xero!$A:$A,Heron!$A$5,Xero!$E:$E,Heron!$A42)</f>
        <v/>
      </c>
      <c r="Q42" s="66">
        <f>SUMIFS(Xero!$F:$F,Xero!$B:$B,Heron!Q$9,Xero!$A:$A,Heron!$A$4,Xero!$E:$E,Heron!$A42)+SUMIFS(Xero!$F:$F,Xero!$B:$B,Heron!Q$9,Xero!$A:$A,Heron!$A$5,Xero!$E:$E,Heron!$A42)</f>
        <v/>
      </c>
      <c r="R42" s="66">
        <f>SUMIFS(Xero!$F:$F,Xero!$B:$B,Heron!R$9,Xero!$A:$A,Heron!$A$4,Xero!$E:$E,Heron!$A42)+SUMIFS(Xero!$F:$F,Xero!$B:$B,Heron!R$9,Xero!$A:$A,Heron!$A$5,Xero!$E:$E,Heron!$A42)</f>
        <v/>
      </c>
      <c r="S42" s="66">
        <f>SUMIFS(Xero!$F:$F,Xero!$B:$B,Heron!S$9,Xero!$A:$A,Heron!$A$4,Xero!$E:$E,Heron!$A42)+SUMIFS(Xero!$F:$F,Xero!$B:$B,Heron!S$9,Xero!$A:$A,Heron!$A$5,Xero!$E:$E,Heron!$A42)</f>
        <v/>
      </c>
      <c r="T42" s="66">
        <f>SUMIFS(Xero!$F:$F,Xero!$B:$B,Heron!T$9,Xero!$A:$A,Heron!$A$4,Xero!$E:$E,Heron!$A42)+SUMIFS(Xero!$F:$F,Xero!$B:$B,Heron!T$9,Xero!$A:$A,Heron!$A$5,Xero!$E:$E,Heron!$A42)</f>
        <v/>
      </c>
      <c r="U42" s="66">
        <f>SUMIFS(Xero!$F:$F,Xero!$B:$B,Heron!U$9,Xero!$A:$A,Heron!$A$4,Xero!$E:$E,Heron!$A42)+SUMIFS(Xero!$F:$F,Xero!$B:$B,Heron!U$9,Xero!$A:$A,Heron!$A$5,Xero!$E:$E,Heron!$A42)</f>
        <v/>
      </c>
      <c r="V42" s="66">
        <f>SUMIFS(Xero!$F:$F,Xero!$B:$B,Heron!V$9,Xero!$A:$A,Heron!$A$4,Xero!$E:$E,Heron!$A42)+SUMIFS(Xero!$F:$F,Xero!$B:$B,Heron!V$9,Xero!$A:$A,Heron!$A$5,Xero!$E:$E,Heron!$A42)</f>
        <v/>
      </c>
      <c r="W42" s="66">
        <f>SUMIFS(Xero!$F:$F,Xero!$B:$B,Heron!W$9,Xero!$A:$A,Heron!$A$4,Xero!$E:$E,Heron!$A42)+SUMIFS(Xero!$F:$F,Xero!$B:$B,Heron!W$9,Xero!$A:$A,Heron!$A$5,Xero!$E:$E,Heron!$A42)</f>
        <v/>
      </c>
      <c r="X42" s="66">
        <f>SUMIFS(Xero!$F:$F,Xero!$B:$B,Heron!X$9,Xero!$A:$A,Heron!$A$4,Xero!$E:$E,Heron!$A42)+SUMIFS(Xero!$F:$F,Xero!$B:$B,Heron!X$9,Xero!$A:$A,Heron!$A$5,Xero!$E:$E,Heron!$A42)</f>
        <v/>
      </c>
      <c r="Y42" s="66">
        <f>SUMIFS(Xero!$F:$F,Xero!$B:$B,Heron!Y$9,Xero!$A:$A,Heron!$A$4,Xero!$E:$E,Heron!$A42)+SUMIFS(Xero!$F:$F,Xero!$B:$B,Heron!Y$9,Xero!$A:$A,Heron!$A$5,Xero!$E:$E,Heron!$A42)</f>
        <v/>
      </c>
      <c r="Z42" s="66">
        <f>SUMIFS(Xero!$F:$F,Xero!$B:$B,Heron!Z$9,Xero!$A:$A,Heron!$A$4,Xero!$E:$E,Heron!$A42)+SUMIFS(Xero!$F:$F,Xero!$B:$B,Heron!Z$9,Xero!$A:$A,Heron!$A$5,Xero!$E:$E,Heron!$A42)</f>
        <v/>
      </c>
      <c r="AA42" s="66">
        <f>SUMIFS(Xero!$F:$F,Xero!$B:$B,Heron!AA$9,Xero!$A:$A,Heron!$A$4,Xero!$E:$E,Heron!$A42)+SUMIFS(Xero!$F:$F,Xero!$B:$B,Heron!AA$9,Xero!$A:$A,Heron!$A$5,Xero!$E:$E,Heron!$A42)</f>
        <v/>
      </c>
      <c r="AB42" s="66">
        <f>SUMIFS(Xero!$F:$F,Xero!$B:$B,Heron!AB$9,Xero!$A:$A,Heron!$A$4,Xero!$E:$E,Heron!$A42)+SUMIFS(Xero!$F:$F,Xero!$B:$B,Heron!AB$9,Xero!$A:$A,Heron!$A$5,Xero!$E:$E,Heron!$A42)</f>
        <v/>
      </c>
      <c r="AC42" s="66">
        <f>SUMIFS(Xero!$F:$F,Xero!$B:$B,Heron!AC$9,Xero!$A:$A,Heron!$A$4,Xero!$E:$E,Heron!$A42)+SUMIFS(Xero!$F:$F,Xero!$B:$B,Heron!AC$9,Xero!$A:$A,Heron!$A$5,Xero!$E:$E,Heron!$A42)</f>
        <v/>
      </c>
      <c r="AD42" s="66">
        <f>SUMIFS(Xero!$F:$F,Xero!$B:$B,Heron!AD$9,Xero!$A:$A,Heron!$A$4,Xero!$E:$E,Heron!$A42)+SUMIFS(Xero!$F:$F,Xero!$B:$B,Heron!AD$9,Xero!$A:$A,Heron!$A$5,Xero!$E:$E,Heron!$A42)</f>
        <v/>
      </c>
      <c r="AE42" s="66">
        <f>SUMIFS(Xero!$F:$F,Xero!$B:$B,Heron!AE$9,Xero!$A:$A,Heron!$A$4,Xero!$E:$E,Heron!$A42)+SUMIFS(Xero!$F:$F,Xero!$B:$B,Heron!AE$9,Xero!$A:$A,Heron!$A$5,Xero!$E:$E,Heron!$A42)</f>
        <v/>
      </c>
      <c r="AF42" s="66">
        <f>SUMIFS(Xero!$F:$F,Xero!$B:$B,Heron!AF$9,Xero!$A:$A,Heron!$A$4,Xero!$E:$E,Heron!$A42)+SUMIFS(Xero!$F:$F,Xero!$B:$B,Heron!AF$9,Xero!$A:$A,Heron!$A$5,Xero!$E:$E,Heron!$A42)</f>
        <v/>
      </c>
      <c r="AG42" s="66">
        <f>SUMIFS(Xero!$F:$F,Xero!$B:$B,Heron!AG$9,Xero!$A:$A,Heron!$A$4,Xero!$E:$E,Heron!$A42)+SUMIFS(Xero!$F:$F,Xero!$B:$B,Heron!AG$9,Xero!$A:$A,Heron!$A$5,Xero!$E:$E,Heron!$A42)</f>
        <v/>
      </c>
      <c r="AH42" s="66">
        <f>SUMIFS(Xero!$F:$F,Xero!$B:$B,Heron!AH$9,Xero!$A:$A,Heron!$A$4,Xero!$E:$E,Heron!$A42)+SUMIFS(Xero!$F:$F,Xero!$B:$B,Heron!AH$9,Xero!$A:$A,Heron!$A$5,Xero!$E:$E,Heron!$A42)</f>
        <v/>
      </c>
      <c r="AI42" s="66">
        <f>SUMIFS(Xero!$F:$F,Xero!$B:$B,Heron!AI$9,Xero!$A:$A,Heron!$A$4,Xero!$E:$E,Heron!$A42)+SUMIFS(Xero!$F:$F,Xero!$B:$B,Heron!AI$9,Xero!$A:$A,Heron!$A$5,Xero!$E:$E,Heron!$A42)</f>
        <v/>
      </c>
      <c r="AJ42" s="66">
        <f>SUMIFS(Xero!$F:$F,Xero!$B:$B,Heron!AJ$9,Xero!$A:$A,Heron!$A$4,Xero!$E:$E,Heron!$A42)+SUMIFS(Xero!$F:$F,Xero!$B:$B,Heron!AJ$9,Xero!$A:$A,Heron!$A$5,Xero!$E:$E,Heron!$A42)</f>
        <v/>
      </c>
      <c r="AK42" s="66">
        <f>SUMIFS(Xero!$F:$F,Xero!$B:$B,Heron!AK$9,Xero!$A:$A,Heron!$A$4,Xero!$E:$E,Heron!$A42)+SUMIFS(Xero!$F:$F,Xero!$B:$B,Heron!AK$9,Xero!$A:$A,Heron!$A$5,Xero!$E:$E,Heron!$A42)</f>
        <v/>
      </c>
      <c r="AL42" s="66">
        <f>SUMIFS(Xero!$F:$F,Xero!$B:$B,Heron!AL$9,Xero!$A:$A,Heron!$A$4,Xero!$E:$E,Heron!$A42)+SUMIFS(Xero!$F:$F,Xero!$B:$B,Heron!AL$9,Xero!$A:$A,Heron!$A$5,Xero!$E:$E,Heron!$A42)</f>
        <v/>
      </c>
      <c r="AM42" s="66">
        <f>SUMIFS(Xero!$F:$F,Xero!$B:$B,Heron!AM$9,Xero!$A:$A,Heron!$A$4,Xero!$E:$E,Heron!$A42)+SUMIFS(Xero!$F:$F,Xero!$B:$B,Heron!AM$9,Xero!$A:$A,Heron!$A$5,Xero!$E:$E,Heron!$A42)</f>
        <v/>
      </c>
      <c r="AN42" s="66">
        <f>SUMIFS(Xero!$F:$F,Xero!$B:$B,Heron!AN$9,Xero!$A:$A,Heron!$A$4,Xero!$E:$E,Heron!$A42)+SUMIFS(Xero!$F:$F,Xero!$B:$B,Heron!AN$9,Xero!$A:$A,Heron!$A$5,Xero!$E:$E,Heron!$A42)</f>
        <v/>
      </c>
      <c r="AO42" s="66">
        <f>SUMIFS(Xero!$F:$F,Xero!$B:$B,Heron!AO$9,Xero!$A:$A,Heron!$A$4,Xero!$E:$E,Heron!$A42)+SUMIFS(Xero!$F:$F,Xero!$B:$B,Heron!AO$9,Xero!$A:$A,Heron!$A$5,Xero!$E:$E,Heron!$A42)</f>
        <v/>
      </c>
      <c r="AP42" s="66">
        <f>SUMIFS(Xero!$F:$F,Xero!$B:$B,Heron!AP$9,Xero!$A:$A,Heron!$A$4,Xero!$E:$E,Heron!$A42)+SUMIFS(Xero!$F:$F,Xero!$B:$B,Heron!AP$9,Xero!$A:$A,Heron!$A$5,Xero!$E:$E,Heron!$A42)</f>
        <v/>
      </c>
      <c r="AQ42" s="66">
        <f>SUMIFS(Xero!$F:$F,Xero!$B:$B,Heron!AQ$9,Xero!$A:$A,Heron!$A$4,Xero!$E:$E,Heron!$A42)+SUMIFS(Xero!$F:$F,Xero!$B:$B,Heron!AQ$9,Xero!$A:$A,Heron!$A$5,Xero!$E:$E,Heron!$A42)</f>
        <v/>
      </c>
      <c r="AR42" s="66">
        <f>SUMIFS(Xero!$F:$F,Xero!$B:$B,Heron!AR$9,Xero!$A:$A,Heron!$A$4,Xero!$E:$E,Heron!$A42)+SUMIFS(Xero!$F:$F,Xero!$B:$B,Heron!AR$9,Xero!$A:$A,Heron!$A$5,Xero!$E:$E,Heron!$A42)</f>
        <v/>
      </c>
      <c r="AS42" s="66">
        <f>SUMIFS(Xero!$F:$F,Xero!$B:$B,Heron!AS$9,Xero!$A:$A,Heron!$A$4,Xero!$E:$E,Heron!$A42)+SUMIFS(Xero!$F:$F,Xero!$B:$B,Heron!AS$9,Xero!$A:$A,Heron!$A$5,Xero!$E:$E,Heron!$A42)</f>
        <v/>
      </c>
      <c r="AT42" s="66">
        <f>SUMIFS(Xero!$F:$F,Xero!$B:$B,Heron!AT$9,Xero!$A:$A,Heron!$A$4,Xero!$E:$E,Heron!$A42)+SUMIFS(Xero!$F:$F,Xero!$B:$B,Heron!AT$9,Xero!$A:$A,Heron!$A$5,Xero!$E:$E,Heron!$A42)</f>
        <v/>
      </c>
      <c r="AU42" s="66">
        <f>SUMIFS(Xero!$F:$F,Xero!$B:$B,Heron!AU$9,Xero!$A:$A,Heron!$A$4,Xero!$E:$E,Heron!$A42)+SUMIFS(Xero!$F:$F,Xero!$B:$B,Heron!AU$9,Xero!$A:$A,Heron!$A$5,Xero!$E:$E,Heron!$A42)</f>
        <v/>
      </c>
      <c r="AV42" s="66">
        <f>SUMIFS(Xero!$F:$F,Xero!$B:$B,Heron!AV$9,Xero!$A:$A,Heron!$A$4,Xero!$E:$E,Heron!$A42)+SUMIFS(Xero!$F:$F,Xero!$B:$B,Heron!AV$9,Xero!$A:$A,Heron!$A$5,Xero!$E:$E,Heron!$A42)</f>
        <v/>
      </c>
      <c r="AW42" s="66">
        <f>SUMIFS(Xero!$F:$F,Xero!$B:$B,Heron!AW$9,Xero!$A:$A,Heron!$A$4,Xero!$E:$E,Heron!$A42)+SUMIFS(Xero!$F:$F,Xero!$B:$B,Heron!AW$9,Xero!$A:$A,Heron!$A$5,Xero!$E:$E,Heron!$A42)</f>
        <v/>
      </c>
      <c r="AX42" s="66">
        <f>SUMIFS(Xero!$F:$F,Xero!$B:$B,Heron!AX$9,Xero!$A:$A,Heron!$A$4,Xero!$E:$E,Heron!$A42)+SUMIFS(Xero!$F:$F,Xero!$B:$B,Heron!AX$9,Xero!$A:$A,Heron!$A$5,Xero!$E:$E,Heron!$A42)</f>
        <v/>
      </c>
      <c r="AY42" s="66">
        <f>SUMIFS(Xero!$F:$F,Xero!$B:$B,Heron!AY$9,Xero!$A:$A,Heron!$A$4,Xero!$E:$E,Heron!$A42)+SUMIFS(Xero!$F:$F,Xero!$B:$B,Heron!AY$9,Xero!$A:$A,Heron!$A$5,Xero!$E:$E,Heron!$A42)</f>
        <v/>
      </c>
      <c r="AZ42" s="66">
        <f>SUMIFS(Xero!$F:$F,Xero!$B:$B,Heron!AZ$9,Xero!$A:$A,Heron!$A$4,Xero!$E:$E,Heron!$A42)+SUMIFS(Xero!$F:$F,Xero!$B:$B,Heron!AZ$9,Xero!$A:$A,Heron!$A$5,Xero!$E:$E,Heron!$A42)</f>
        <v/>
      </c>
      <c r="BA42" s="66">
        <f>SUMIFS(Xero!$F:$F,Xero!$B:$B,Heron!BA$9,Xero!$A:$A,Heron!$A$4,Xero!$E:$E,Heron!$A42)+SUMIFS(Xero!$F:$F,Xero!$B:$B,Heron!BA$9,Xero!$A:$A,Heron!$A$5,Xero!$E:$E,Heron!$A42)</f>
        <v/>
      </c>
      <c r="BB42" s="66">
        <f>SUMIFS(Xero!$F:$F,Xero!$B:$B,Heron!BB$9,Xero!$A:$A,Heron!$A$4,Xero!$E:$E,Heron!$A42)+SUMIFS(Xero!$F:$F,Xero!$B:$B,Heron!BB$9,Xero!$A:$A,Heron!$A$5,Xero!$E:$E,Heron!$A42)</f>
        <v/>
      </c>
      <c r="BC42" s="66">
        <f>SUMIFS(Xero!$F:$F,Xero!$B:$B,Heron!BC$9,Xero!$A:$A,Heron!$A$4,Xero!$E:$E,Heron!$A42)+SUMIFS(Xero!$F:$F,Xero!$B:$B,Heron!BC$9,Xero!$A:$A,Heron!$A$5,Xero!$E:$E,Heron!$A42)</f>
        <v/>
      </c>
      <c r="BD42" s="66">
        <f>SUMIFS(Xero!$F:$F,Xero!$B:$B,Heron!BD$9,Xero!$A:$A,Heron!$A$4,Xero!$E:$E,Heron!$A42)+SUMIFS(Xero!$F:$F,Xero!$B:$B,Heron!BD$9,Xero!$A:$A,Heron!$A$5,Xero!$E:$E,Heron!$A42)</f>
        <v/>
      </c>
      <c r="BE42" s="66">
        <f>SUMIFS(Xero!$F:$F,Xero!$B:$B,Heron!BE$9,Xero!$A:$A,Heron!$A$4,Xero!$E:$E,Heron!$A42)+SUMIFS(Xero!$F:$F,Xero!$B:$B,Heron!BE$9,Xero!$A:$A,Heron!$A$5,Xero!$E:$E,Heron!$A42)</f>
        <v/>
      </c>
      <c r="BF42" s="66">
        <f>SUMIFS(Xero!$F:$F,Xero!$B:$B,Heron!BF$9,Xero!$A:$A,Heron!$A$4,Xero!$E:$E,Heron!$A42)+SUMIFS(Xero!$F:$F,Xero!$B:$B,Heron!BF$9,Xero!$A:$A,Heron!$A$5,Xero!$E:$E,Heron!$A42)</f>
        <v/>
      </c>
      <c r="BG42" s="66">
        <f>SUMIFS(Xero!$F:$F,Xero!$B:$B,Heron!BG$9,Xero!$A:$A,Heron!$A$4,Xero!$E:$E,Heron!$A42)+SUMIFS(Xero!$F:$F,Xero!$B:$B,Heron!BG$9,Xero!$A:$A,Heron!$A$5,Xero!$E:$E,Heron!$A42)</f>
        <v/>
      </c>
      <c r="BH42" s="66">
        <f>sum(D42:BG42)</f>
        <v/>
      </c>
    </row>
    <row r="43">
      <c r="A43" s="65" t="inlineStr">
        <is>
          <t>COS - Construction</t>
        </is>
      </c>
      <c r="D43" s="66">
        <f>SUMIFS(Xero!$F:$F,Xero!$B:$B,Heron!D$9,Xero!$A:$A,Heron!$A$4,Xero!$E:$E,Heron!$A43)+SUMIFS(Xero!$F:$F,Xero!$B:$B,Heron!D$9,Xero!$A:$A,Heron!$A$5,Xero!$E:$E,Heron!$A43)</f>
        <v/>
      </c>
      <c r="E43" s="66">
        <f>SUMIFS(Xero!$F:$F,Xero!$B:$B,Heron!E$9,Xero!$A:$A,Heron!$A$4,Xero!$E:$E,Heron!$A43)+SUMIFS(Xero!$F:$F,Xero!$B:$B,Heron!E$9,Xero!$A:$A,Heron!$A$5,Xero!$E:$E,Heron!$A43)</f>
        <v/>
      </c>
      <c r="F43" s="66">
        <f>SUMIFS(Xero!$F:$F,Xero!$B:$B,Heron!F$9,Xero!$A:$A,Heron!$A$4,Xero!$E:$E,Heron!$A43)+SUMIFS(Xero!$F:$F,Xero!$B:$B,Heron!F$9,Xero!$A:$A,Heron!$A$5,Xero!$E:$E,Heron!$A43)</f>
        <v/>
      </c>
      <c r="G43" s="66">
        <f>SUMIFS(Xero!$F:$F,Xero!$B:$B,Heron!G$9,Xero!$A:$A,Heron!$A$4,Xero!$E:$E,Heron!$A43)+SUMIFS(Xero!$F:$F,Xero!$B:$B,Heron!G$9,Xero!$A:$A,Heron!$A$5,Xero!$E:$E,Heron!$A43)</f>
        <v/>
      </c>
      <c r="H43" s="66">
        <f>SUMIFS(Xero!$F:$F,Xero!$B:$B,Heron!H$9,Xero!$A:$A,Heron!$A$4,Xero!$E:$E,Heron!$A43)+SUMIFS(Xero!$F:$F,Xero!$B:$B,Heron!H$9,Xero!$A:$A,Heron!$A$5,Xero!$E:$E,Heron!$A43)</f>
        <v/>
      </c>
      <c r="I43" s="66">
        <f>SUMIFS(Xero!$F:$F,Xero!$B:$B,Heron!I$9,Xero!$A:$A,Heron!$A$4,Xero!$E:$E,Heron!$A43)+SUMIFS(Xero!$F:$F,Xero!$B:$B,Heron!I$9,Xero!$A:$A,Heron!$A$5,Xero!$E:$E,Heron!$A43)</f>
        <v/>
      </c>
      <c r="J43" s="66">
        <f>SUMIFS(Xero!$F:$F,Xero!$B:$B,Heron!J$9,Xero!$A:$A,Heron!$A$4,Xero!$E:$E,Heron!$A43)+SUMIFS(Xero!$F:$F,Xero!$B:$B,Heron!J$9,Xero!$A:$A,Heron!$A$5,Xero!$E:$E,Heron!$A43)</f>
        <v/>
      </c>
      <c r="K43" s="66">
        <f>SUMIFS(Xero!$F:$F,Xero!$B:$B,Heron!K$9,Xero!$A:$A,Heron!$A$4,Xero!$E:$E,Heron!$A43)+SUMIFS(Xero!$F:$F,Xero!$B:$B,Heron!K$9,Xero!$A:$A,Heron!$A$5,Xero!$E:$E,Heron!$A43)</f>
        <v/>
      </c>
      <c r="L43" s="66">
        <f>SUMIFS(Xero!$F:$F,Xero!$B:$B,Heron!L$9,Xero!$A:$A,Heron!$A$4,Xero!$E:$E,Heron!$A43)+SUMIFS(Xero!$F:$F,Xero!$B:$B,Heron!L$9,Xero!$A:$A,Heron!$A$5,Xero!$E:$E,Heron!$A43)</f>
        <v/>
      </c>
      <c r="M43" s="66">
        <f>SUMIFS(Xero!$F:$F,Xero!$B:$B,Heron!M$9,Xero!$A:$A,Heron!$A$4,Xero!$E:$E,Heron!$A43)+SUMIFS(Xero!$F:$F,Xero!$B:$B,Heron!M$9,Xero!$A:$A,Heron!$A$5,Xero!$E:$E,Heron!$A43)</f>
        <v/>
      </c>
      <c r="N43" s="66">
        <f>SUMIFS(Xero!$F:$F,Xero!$B:$B,Heron!N$9,Xero!$A:$A,Heron!$A$4,Xero!$E:$E,Heron!$A43)+SUMIFS(Xero!$F:$F,Xero!$B:$B,Heron!N$9,Xero!$A:$A,Heron!$A$5,Xero!$E:$E,Heron!$A43)</f>
        <v/>
      </c>
      <c r="O43" s="66">
        <f>SUMIFS(Xero!$F:$F,Xero!$B:$B,Heron!O$9,Xero!$A:$A,Heron!$A$4,Xero!$E:$E,Heron!$A43)+SUMIFS(Xero!$F:$F,Xero!$B:$B,Heron!O$9,Xero!$A:$A,Heron!$A$5,Xero!$E:$E,Heron!$A43)</f>
        <v/>
      </c>
      <c r="P43" s="66">
        <f>SUMIFS(Xero!$F:$F,Xero!$B:$B,Heron!P$9,Xero!$A:$A,Heron!$A$4,Xero!$E:$E,Heron!$A43)+SUMIFS(Xero!$F:$F,Xero!$B:$B,Heron!P$9,Xero!$A:$A,Heron!$A$5,Xero!$E:$E,Heron!$A43)</f>
        <v/>
      </c>
      <c r="Q43" s="66">
        <f>SUMIFS(Xero!$F:$F,Xero!$B:$B,Heron!Q$9,Xero!$A:$A,Heron!$A$4,Xero!$E:$E,Heron!$A43)+SUMIFS(Xero!$F:$F,Xero!$B:$B,Heron!Q$9,Xero!$A:$A,Heron!$A$5,Xero!$E:$E,Heron!$A43)</f>
        <v/>
      </c>
      <c r="R43" s="66">
        <f>SUMIFS(Xero!$F:$F,Xero!$B:$B,Heron!R$9,Xero!$A:$A,Heron!$A$4,Xero!$E:$E,Heron!$A43)+SUMIFS(Xero!$F:$F,Xero!$B:$B,Heron!R$9,Xero!$A:$A,Heron!$A$5,Xero!$E:$E,Heron!$A43)</f>
        <v/>
      </c>
      <c r="S43" s="66">
        <f>SUMIFS(Xero!$F:$F,Xero!$B:$B,Heron!S$9,Xero!$A:$A,Heron!$A$4,Xero!$E:$E,Heron!$A43)+SUMIFS(Xero!$F:$F,Xero!$B:$B,Heron!S$9,Xero!$A:$A,Heron!$A$5,Xero!$E:$E,Heron!$A43)</f>
        <v/>
      </c>
      <c r="T43" s="66">
        <f>SUMIFS(Xero!$F:$F,Xero!$B:$B,Heron!T$9,Xero!$A:$A,Heron!$A$4,Xero!$E:$E,Heron!$A43)+SUMIFS(Xero!$F:$F,Xero!$B:$B,Heron!T$9,Xero!$A:$A,Heron!$A$5,Xero!$E:$E,Heron!$A43)</f>
        <v/>
      </c>
      <c r="U43" s="66">
        <f>SUMIFS(Xero!$F:$F,Xero!$B:$B,Heron!U$9,Xero!$A:$A,Heron!$A$4,Xero!$E:$E,Heron!$A43)+SUMIFS(Xero!$F:$F,Xero!$B:$B,Heron!U$9,Xero!$A:$A,Heron!$A$5,Xero!$E:$E,Heron!$A43)</f>
        <v/>
      </c>
      <c r="V43" s="66">
        <f>SUMIFS(Xero!$F:$F,Xero!$B:$B,Heron!V$9,Xero!$A:$A,Heron!$A$4,Xero!$E:$E,Heron!$A43)+SUMIFS(Xero!$F:$F,Xero!$B:$B,Heron!V$9,Xero!$A:$A,Heron!$A$5,Xero!$E:$E,Heron!$A43)</f>
        <v/>
      </c>
      <c r="W43" s="66">
        <f>SUMIFS(Xero!$F:$F,Xero!$B:$B,Heron!W$9,Xero!$A:$A,Heron!$A$4,Xero!$E:$E,Heron!$A43)+SUMIFS(Xero!$F:$F,Xero!$B:$B,Heron!W$9,Xero!$A:$A,Heron!$A$5,Xero!$E:$E,Heron!$A43)</f>
        <v/>
      </c>
      <c r="X43" s="66">
        <f>SUMIFS(Xero!$F:$F,Xero!$B:$B,Heron!X$9,Xero!$A:$A,Heron!$A$4,Xero!$E:$E,Heron!$A43)+SUMIFS(Xero!$F:$F,Xero!$B:$B,Heron!X$9,Xero!$A:$A,Heron!$A$5,Xero!$E:$E,Heron!$A43)</f>
        <v/>
      </c>
      <c r="Y43" s="66">
        <f>SUMIFS(Xero!$F:$F,Xero!$B:$B,Heron!Y$9,Xero!$A:$A,Heron!$A$4,Xero!$E:$E,Heron!$A43)+SUMIFS(Xero!$F:$F,Xero!$B:$B,Heron!Y$9,Xero!$A:$A,Heron!$A$5,Xero!$E:$E,Heron!$A43)</f>
        <v/>
      </c>
      <c r="Z43" s="66">
        <f>SUMIFS(Xero!$F:$F,Xero!$B:$B,Heron!Z$9,Xero!$A:$A,Heron!$A$4,Xero!$E:$E,Heron!$A43)+SUMIFS(Xero!$F:$F,Xero!$B:$B,Heron!Z$9,Xero!$A:$A,Heron!$A$5,Xero!$E:$E,Heron!$A43)</f>
        <v/>
      </c>
      <c r="AA43" s="66">
        <f>SUMIFS(Xero!$F:$F,Xero!$B:$B,Heron!AA$9,Xero!$A:$A,Heron!$A$4,Xero!$E:$E,Heron!$A43)+SUMIFS(Xero!$F:$F,Xero!$B:$B,Heron!AA$9,Xero!$A:$A,Heron!$A$5,Xero!$E:$E,Heron!$A43)</f>
        <v/>
      </c>
      <c r="AB43" s="66">
        <f>SUMIFS(Xero!$F:$F,Xero!$B:$B,Heron!AB$9,Xero!$A:$A,Heron!$A$4,Xero!$E:$E,Heron!$A43)+SUMIFS(Xero!$F:$F,Xero!$B:$B,Heron!AB$9,Xero!$A:$A,Heron!$A$5,Xero!$E:$E,Heron!$A43)</f>
        <v/>
      </c>
      <c r="AC43" s="66">
        <f>SUMIFS(Xero!$F:$F,Xero!$B:$B,Heron!AC$9,Xero!$A:$A,Heron!$A$4,Xero!$E:$E,Heron!$A43)+SUMIFS(Xero!$F:$F,Xero!$B:$B,Heron!AC$9,Xero!$A:$A,Heron!$A$5,Xero!$E:$E,Heron!$A43)</f>
        <v/>
      </c>
      <c r="AD43" s="66">
        <f>SUMIFS(Xero!$F:$F,Xero!$B:$B,Heron!AD$9,Xero!$A:$A,Heron!$A$4,Xero!$E:$E,Heron!$A43)+SUMIFS(Xero!$F:$F,Xero!$B:$B,Heron!AD$9,Xero!$A:$A,Heron!$A$5,Xero!$E:$E,Heron!$A43)</f>
        <v/>
      </c>
      <c r="AE43" s="66">
        <f>SUMIFS(Xero!$F:$F,Xero!$B:$B,Heron!AE$9,Xero!$A:$A,Heron!$A$4,Xero!$E:$E,Heron!$A43)+SUMIFS(Xero!$F:$F,Xero!$B:$B,Heron!AE$9,Xero!$A:$A,Heron!$A$5,Xero!$E:$E,Heron!$A43)</f>
        <v/>
      </c>
      <c r="AF43" s="66">
        <f>SUMIFS(Xero!$F:$F,Xero!$B:$B,Heron!AF$9,Xero!$A:$A,Heron!$A$4,Xero!$E:$E,Heron!$A43)+SUMIFS(Xero!$F:$F,Xero!$B:$B,Heron!AF$9,Xero!$A:$A,Heron!$A$5,Xero!$E:$E,Heron!$A43)</f>
        <v/>
      </c>
      <c r="AG43" s="66">
        <f>SUMIFS(Xero!$F:$F,Xero!$B:$B,Heron!AG$9,Xero!$A:$A,Heron!$A$4,Xero!$E:$E,Heron!$A43)+SUMIFS(Xero!$F:$F,Xero!$B:$B,Heron!AG$9,Xero!$A:$A,Heron!$A$5,Xero!$E:$E,Heron!$A43)</f>
        <v/>
      </c>
      <c r="AH43" s="66">
        <f>SUMIFS(Xero!$F:$F,Xero!$B:$B,Heron!AH$9,Xero!$A:$A,Heron!$A$4,Xero!$E:$E,Heron!$A43)+SUMIFS(Xero!$F:$F,Xero!$B:$B,Heron!AH$9,Xero!$A:$A,Heron!$A$5,Xero!$E:$E,Heron!$A43)</f>
        <v/>
      </c>
      <c r="AI43" s="66">
        <f>SUMIFS(Xero!$F:$F,Xero!$B:$B,Heron!AI$9,Xero!$A:$A,Heron!$A$4,Xero!$E:$E,Heron!$A43)+SUMIFS(Xero!$F:$F,Xero!$B:$B,Heron!AI$9,Xero!$A:$A,Heron!$A$5,Xero!$E:$E,Heron!$A43)</f>
        <v/>
      </c>
      <c r="AJ43" s="66">
        <f>SUMIFS(Xero!$F:$F,Xero!$B:$B,Heron!AJ$9,Xero!$A:$A,Heron!$A$4,Xero!$E:$E,Heron!$A43)+SUMIFS(Xero!$F:$F,Xero!$B:$B,Heron!AJ$9,Xero!$A:$A,Heron!$A$5,Xero!$E:$E,Heron!$A43)</f>
        <v/>
      </c>
      <c r="AK43" s="66">
        <f>SUMIFS(Xero!$F:$F,Xero!$B:$B,Heron!AK$9,Xero!$A:$A,Heron!$A$4,Xero!$E:$E,Heron!$A43)+SUMIFS(Xero!$F:$F,Xero!$B:$B,Heron!AK$9,Xero!$A:$A,Heron!$A$5,Xero!$E:$E,Heron!$A43)</f>
        <v/>
      </c>
      <c r="AL43" s="66">
        <f>SUMIFS(Xero!$F:$F,Xero!$B:$B,Heron!AL$9,Xero!$A:$A,Heron!$A$4,Xero!$E:$E,Heron!$A43)+SUMIFS(Xero!$F:$F,Xero!$B:$B,Heron!AL$9,Xero!$A:$A,Heron!$A$5,Xero!$E:$E,Heron!$A43)</f>
        <v/>
      </c>
      <c r="AM43" s="66">
        <f>SUMIFS(Xero!$F:$F,Xero!$B:$B,Heron!AM$9,Xero!$A:$A,Heron!$A$4,Xero!$E:$E,Heron!$A43)+SUMIFS(Xero!$F:$F,Xero!$B:$B,Heron!AM$9,Xero!$A:$A,Heron!$A$5,Xero!$E:$E,Heron!$A43)</f>
        <v/>
      </c>
      <c r="AN43" s="66">
        <f>SUMIFS(Xero!$F:$F,Xero!$B:$B,Heron!AN$9,Xero!$A:$A,Heron!$A$4,Xero!$E:$E,Heron!$A43)+SUMIFS(Xero!$F:$F,Xero!$B:$B,Heron!AN$9,Xero!$A:$A,Heron!$A$5,Xero!$E:$E,Heron!$A43)</f>
        <v/>
      </c>
      <c r="AO43" s="66">
        <f>SUMIFS(Xero!$F:$F,Xero!$B:$B,Heron!AO$9,Xero!$A:$A,Heron!$A$4,Xero!$E:$E,Heron!$A43)+SUMIFS(Xero!$F:$F,Xero!$B:$B,Heron!AO$9,Xero!$A:$A,Heron!$A$5,Xero!$E:$E,Heron!$A43)</f>
        <v/>
      </c>
      <c r="AP43" s="66">
        <f>SUMIFS(Xero!$F:$F,Xero!$B:$B,Heron!AP$9,Xero!$A:$A,Heron!$A$4,Xero!$E:$E,Heron!$A43)+SUMIFS(Xero!$F:$F,Xero!$B:$B,Heron!AP$9,Xero!$A:$A,Heron!$A$5,Xero!$E:$E,Heron!$A43)</f>
        <v/>
      </c>
      <c r="AQ43" s="66">
        <f>SUMIFS(Xero!$F:$F,Xero!$B:$B,Heron!AQ$9,Xero!$A:$A,Heron!$A$4,Xero!$E:$E,Heron!$A43)+SUMIFS(Xero!$F:$F,Xero!$B:$B,Heron!AQ$9,Xero!$A:$A,Heron!$A$5,Xero!$E:$E,Heron!$A43)</f>
        <v/>
      </c>
      <c r="AR43" s="66">
        <f>SUMIFS(Xero!$F:$F,Xero!$B:$B,Heron!AR$9,Xero!$A:$A,Heron!$A$4,Xero!$E:$E,Heron!$A43)+SUMIFS(Xero!$F:$F,Xero!$B:$B,Heron!AR$9,Xero!$A:$A,Heron!$A$5,Xero!$E:$E,Heron!$A43)</f>
        <v/>
      </c>
      <c r="AS43" s="66">
        <f>SUMIFS(Xero!$F:$F,Xero!$B:$B,Heron!AS$9,Xero!$A:$A,Heron!$A$4,Xero!$E:$E,Heron!$A43)+SUMIFS(Xero!$F:$F,Xero!$B:$B,Heron!AS$9,Xero!$A:$A,Heron!$A$5,Xero!$E:$E,Heron!$A43)</f>
        <v/>
      </c>
      <c r="AT43" s="66">
        <f>SUMIFS(Xero!$F:$F,Xero!$B:$B,Heron!AT$9,Xero!$A:$A,Heron!$A$4,Xero!$E:$E,Heron!$A43)+SUMIFS(Xero!$F:$F,Xero!$B:$B,Heron!AT$9,Xero!$A:$A,Heron!$A$5,Xero!$E:$E,Heron!$A43)</f>
        <v/>
      </c>
      <c r="AU43" s="66">
        <f>SUMIFS(Xero!$F:$F,Xero!$B:$B,Heron!AU$9,Xero!$A:$A,Heron!$A$4,Xero!$E:$E,Heron!$A43)+SUMIFS(Xero!$F:$F,Xero!$B:$B,Heron!AU$9,Xero!$A:$A,Heron!$A$5,Xero!$E:$E,Heron!$A43)</f>
        <v/>
      </c>
      <c r="AV43" s="66">
        <f>SUMIFS(Xero!$F:$F,Xero!$B:$B,Heron!AV$9,Xero!$A:$A,Heron!$A$4,Xero!$E:$E,Heron!$A43)+SUMIFS(Xero!$F:$F,Xero!$B:$B,Heron!AV$9,Xero!$A:$A,Heron!$A$5,Xero!$E:$E,Heron!$A43)</f>
        <v/>
      </c>
      <c r="AW43" s="66">
        <f>SUMIFS(Xero!$F:$F,Xero!$B:$B,Heron!AW$9,Xero!$A:$A,Heron!$A$4,Xero!$E:$E,Heron!$A43)+SUMIFS(Xero!$F:$F,Xero!$B:$B,Heron!AW$9,Xero!$A:$A,Heron!$A$5,Xero!$E:$E,Heron!$A43)</f>
        <v/>
      </c>
      <c r="AX43" s="66">
        <f>SUMIFS(Xero!$F:$F,Xero!$B:$B,Heron!AX$9,Xero!$A:$A,Heron!$A$4,Xero!$E:$E,Heron!$A43)+SUMIFS(Xero!$F:$F,Xero!$B:$B,Heron!AX$9,Xero!$A:$A,Heron!$A$5,Xero!$E:$E,Heron!$A43)</f>
        <v/>
      </c>
      <c r="AY43" s="66">
        <f>SUMIFS(Xero!$F:$F,Xero!$B:$B,Heron!AY$9,Xero!$A:$A,Heron!$A$4,Xero!$E:$E,Heron!$A43)+SUMIFS(Xero!$F:$F,Xero!$B:$B,Heron!AY$9,Xero!$A:$A,Heron!$A$5,Xero!$E:$E,Heron!$A43)</f>
        <v/>
      </c>
      <c r="AZ43" s="66">
        <f>SUMIFS(Xero!$F:$F,Xero!$B:$B,Heron!AZ$9,Xero!$A:$A,Heron!$A$4,Xero!$E:$E,Heron!$A43)+SUMIFS(Xero!$F:$F,Xero!$B:$B,Heron!AZ$9,Xero!$A:$A,Heron!$A$5,Xero!$E:$E,Heron!$A43)</f>
        <v/>
      </c>
      <c r="BA43" s="66">
        <f>SUMIFS(Xero!$F:$F,Xero!$B:$B,Heron!BA$9,Xero!$A:$A,Heron!$A$4,Xero!$E:$E,Heron!$A43)+SUMIFS(Xero!$F:$F,Xero!$B:$B,Heron!BA$9,Xero!$A:$A,Heron!$A$5,Xero!$E:$E,Heron!$A43)</f>
        <v/>
      </c>
      <c r="BB43" s="66">
        <f>SUMIFS(Xero!$F:$F,Xero!$B:$B,Heron!BB$9,Xero!$A:$A,Heron!$A$4,Xero!$E:$E,Heron!$A43)+SUMIFS(Xero!$F:$F,Xero!$B:$B,Heron!BB$9,Xero!$A:$A,Heron!$A$5,Xero!$E:$E,Heron!$A43)</f>
        <v/>
      </c>
      <c r="BC43" s="66">
        <f>SUMIFS(Xero!$F:$F,Xero!$B:$B,Heron!BC$9,Xero!$A:$A,Heron!$A$4,Xero!$E:$E,Heron!$A43)+SUMIFS(Xero!$F:$F,Xero!$B:$B,Heron!BC$9,Xero!$A:$A,Heron!$A$5,Xero!$E:$E,Heron!$A43)</f>
        <v/>
      </c>
      <c r="BD43" s="66">
        <f>SUMIFS(Xero!$F:$F,Xero!$B:$B,Heron!BD$9,Xero!$A:$A,Heron!$A$4,Xero!$E:$E,Heron!$A43)+SUMIFS(Xero!$F:$F,Xero!$B:$B,Heron!BD$9,Xero!$A:$A,Heron!$A$5,Xero!$E:$E,Heron!$A43)</f>
        <v/>
      </c>
      <c r="BE43" s="66">
        <f>SUMIFS(Xero!$F:$F,Xero!$B:$B,Heron!BE$9,Xero!$A:$A,Heron!$A$4,Xero!$E:$E,Heron!$A43)+SUMIFS(Xero!$F:$F,Xero!$B:$B,Heron!BE$9,Xero!$A:$A,Heron!$A$5,Xero!$E:$E,Heron!$A43)</f>
        <v/>
      </c>
      <c r="BF43" s="66">
        <f>SUMIFS(Xero!$F:$F,Xero!$B:$B,Heron!BF$9,Xero!$A:$A,Heron!$A$4,Xero!$E:$E,Heron!$A43)+SUMIFS(Xero!$F:$F,Xero!$B:$B,Heron!BF$9,Xero!$A:$A,Heron!$A$5,Xero!$E:$E,Heron!$A43)</f>
        <v/>
      </c>
      <c r="BG43" s="66">
        <f>SUMIFS(Xero!$F:$F,Xero!$B:$B,Heron!BG$9,Xero!$A:$A,Heron!$A$4,Xero!$E:$E,Heron!$A43)+SUMIFS(Xero!$F:$F,Xero!$B:$B,Heron!BG$9,Xero!$A:$A,Heron!$A$5,Xero!$E:$E,Heron!$A43)</f>
        <v/>
      </c>
      <c r="BH43" s="66">
        <f>sum(D43:BG43)</f>
        <v/>
      </c>
    </row>
    <row r="44">
      <c r="A44" s="65" t="inlineStr">
        <is>
          <t>COS - Electricity</t>
        </is>
      </c>
      <c r="D44" s="66">
        <f>SUMIFS(Xero!$F:$F,Xero!$B:$B,Heron!D$9,Xero!$A:$A,Heron!$A$4,Xero!$E:$E,Heron!$A44)+SUMIFS(Xero!$F:$F,Xero!$B:$B,Heron!D$9,Xero!$A:$A,Heron!$A$5,Xero!$E:$E,Heron!$A44)</f>
        <v/>
      </c>
      <c r="E44" s="66">
        <f>SUMIFS(Xero!$F:$F,Xero!$B:$B,Heron!E$9,Xero!$A:$A,Heron!$A$4,Xero!$E:$E,Heron!$A44)+SUMIFS(Xero!$F:$F,Xero!$B:$B,Heron!E$9,Xero!$A:$A,Heron!$A$5,Xero!$E:$E,Heron!$A44)</f>
        <v/>
      </c>
      <c r="F44" s="66">
        <f>SUMIFS(Xero!$F:$F,Xero!$B:$B,Heron!F$9,Xero!$A:$A,Heron!$A$4,Xero!$E:$E,Heron!$A44)+SUMIFS(Xero!$F:$F,Xero!$B:$B,Heron!F$9,Xero!$A:$A,Heron!$A$5,Xero!$E:$E,Heron!$A44)</f>
        <v/>
      </c>
      <c r="G44" s="66">
        <f>SUMIFS(Xero!$F:$F,Xero!$B:$B,Heron!G$9,Xero!$A:$A,Heron!$A$4,Xero!$E:$E,Heron!$A44)+SUMIFS(Xero!$F:$F,Xero!$B:$B,Heron!G$9,Xero!$A:$A,Heron!$A$5,Xero!$E:$E,Heron!$A44)</f>
        <v/>
      </c>
      <c r="H44" s="66">
        <f>SUMIFS(Xero!$F:$F,Xero!$B:$B,Heron!H$9,Xero!$A:$A,Heron!$A$4,Xero!$E:$E,Heron!$A44)+SUMIFS(Xero!$F:$F,Xero!$B:$B,Heron!H$9,Xero!$A:$A,Heron!$A$5,Xero!$E:$E,Heron!$A44)</f>
        <v/>
      </c>
      <c r="I44" s="66">
        <f>SUMIFS(Xero!$F:$F,Xero!$B:$B,Heron!I$9,Xero!$A:$A,Heron!$A$4,Xero!$E:$E,Heron!$A44)+SUMIFS(Xero!$F:$F,Xero!$B:$B,Heron!I$9,Xero!$A:$A,Heron!$A$5,Xero!$E:$E,Heron!$A44)</f>
        <v/>
      </c>
      <c r="J44" s="66">
        <f>SUMIFS(Xero!$F:$F,Xero!$B:$B,Heron!J$9,Xero!$A:$A,Heron!$A$4,Xero!$E:$E,Heron!$A44)+SUMIFS(Xero!$F:$F,Xero!$B:$B,Heron!J$9,Xero!$A:$A,Heron!$A$5,Xero!$E:$E,Heron!$A44)</f>
        <v/>
      </c>
      <c r="K44" s="66">
        <f>SUMIFS(Xero!$F:$F,Xero!$B:$B,Heron!K$9,Xero!$A:$A,Heron!$A$4,Xero!$E:$E,Heron!$A44)+SUMIFS(Xero!$F:$F,Xero!$B:$B,Heron!K$9,Xero!$A:$A,Heron!$A$5,Xero!$E:$E,Heron!$A44)</f>
        <v/>
      </c>
      <c r="L44" s="66">
        <f>SUMIFS(Xero!$F:$F,Xero!$B:$B,Heron!L$9,Xero!$A:$A,Heron!$A$4,Xero!$E:$E,Heron!$A44)+SUMIFS(Xero!$F:$F,Xero!$B:$B,Heron!L$9,Xero!$A:$A,Heron!$A$5,Xero!$E:$E,Heron!$A44)</f>
        <v/>
      </c>
      <c r="M44" s="66">
        <f>SUMIFS(Xero!$F:$F,Xero!$B:$B,Heron!M$9,Xero!$A:$A,Heron!$A$4,Xero!$E:$E,Heron!$A44)+SUMIFS(Xero!$F:$F,Xero!$B:$B,Heron!M$9,Xero!$A:$A,Heron!$A$5,Xero!$E:$E,Heron!$A44)</f>
        <v/>
      </c>
      <c r="N44" s="66">
        <f>SUMIFS(Xero!$F:$F,Xero!$B:$B,Heron!N$9,Xero!$A:$A,Heron!$A$4,Xero!$E:$E,Heron!$A44)+SUMIFS(Xero!$F:$F,Xero!$B:$B,Heron!N$9,Xero!$A:$A,Heron!$A$5,Xero!$E:$E,Heron!$A44)</f>
        <v/>
      </c>
      <c r="O44" s="66">
        <f>SUMIFS(Xero!$F:$F,Xero!$B:$B,Heron!O$9,Xero!$A:$A,Heron!$A$4,Xero!$E:$E,Heron!$A44)+SUMIFS(Xero!$F:$F,Xero!$B:$B,Heron!O$9,Xero!$A:$A,Heron!$A$5,Xero!$E:$E,Heron!$A44)</f>
        <v/>
      </c>
      <c r="P44" s="66">
        <f>SUMIFS(Xero!$F:$F,Xero!$B:$B,Heron!P$9,Xero!$A:$A,Heron!$A$4,Xero!$E:$E,Heron!$A44)+SUMIFS(Xero!$F:$F,Xero!$B:$B,Heron!P$9,Xero!$A:$A,Heron!$A$5,Xero!$E:$E,Heron!$A44)</f>
        <v/>
      </c>
      <c r="Q44" s="66">
        <f>SUMIFS(Xero!$F:$F,Xero!$B:$B,Heron!Q$9,Xero!$A:$A,Heron!$A$4,Xero!$E:$E,Heron!$A44)+SUMIFS(Xero!$F:$F,Xero!$B:$B,Heron!Q$9,Xero!$A:$A,Heron!$A$5,Xero!$E:$E,Heron!$A44)</f>
        <v/>
      </c>
      <c r="R44" s="66">
        <f>SUMIFS(Xero!$F:$F,Xero!$B:$B,Heron!R$9,Xero!$A:$A,Heron!$A$4,Xero!$E:$E,Heron!$A44)+SUMIFS(Xero!$F:$F,Xero!$B:$B,Heron!R$9,Xero!$A:$A,Heron!$A$5,Xero!$E:$E,Heron!$A44)</f>
        <v/>
      </c>
      <c r="S44" s="66">
        <f>SUMIFS(Xero!$F:$F,Xero!$B:$B,Heron!S$9,Xero!$A:$A,Heron!$A$4,Xero!$E:$E,Heron!$A44)+SUMIFS(Xero!$F:$F,Xero!$B:$B,Heron!S$9,Xero!$A:$A,Heron!$A$5,Xero!$E:$E,Heron!$A44)</f>
        <v/>
      </c>
      <c r="T44" s="66">
        <f>SUMIFS(Xero!$F:$F,Xero!$B:$B,Heron!T$9,Xero!$A:$A,Heron!$A$4,Xero!$E:$E,Heron!$A44)+SUMIFS(Xero!$F:$F,Xero!$B:$B,Heron!T$9,Xero!$A:$A,Heron!$A$5,Xero!$E:$E,Heron!$A44)</f>
        <v/>
      </c>
      <c r="U44" s="66">
        <f>SUMIFS(Xero!$F:$F,Xero!$B:$B,Heron!U$9,Xero!$A:$A,Heron!$A$4,Xero!$E:$E,Heron!$A44)+SUMIFS(Xero!$F:$F,Xero!$B:$B,Heron!U$9,Xero!$A:$A,Heron!$A$5,Xero!$E:$E,Heron!$A44)</f>
        <v/>
      </c>
      <c r="V44" s="66">
        <f>SUMIFS(Xero!$F:$F,Xero!$B:$B,Heron!V$9,Xero!$A:$A,Heron!$A$4,Xero!$E:$E,Heron!$A44)+SUMIFS(Xero!$F:$F,Xero!$B:$B,Heron!V$9,Xero!$A:$A,Heron!$A$5,Xero!$E:$E,Heron!$A44)</f>
        <v/>
      </c>
      <c r="W44" s="66">
        <f>SUMIFS(Xero!$F:$F,Xero!$B:$B,Heron!W$9,Xero!$A:$A,Heron!$A$4,Xero!$E:$E,Heron!$A44)+SUMIFS(Xero!$F:$F,Xero!$B:$B,Heron!W$9,Xero!$A:$A,Heron!$A$5,Xero!$E:$E,Heron!$A44)</f>
        <v/>
      </c>
      <c r="X44" s="66">
        <f>SUMIFS(Xero!$F:$F,Xero!$B:$B,Heron!X$9,Xero!$A:$A,Heron!$A$4,Xero!$E:$E,Heron!$A44)+SUMIFS(Xero!$F:$F,Xero!$B:$B,Heron!X$9,Xero!$A:$A,Heron!$A$5,Xero!$E:$E,Heron!$A44)</f>
        <v/>
      </c>
      <c r="Y44" s="66">
        <f>SUMIFS(Xero!$F:$F,Xero!$B:$B,Heron!Y$9,Xero!$A:$A,Heron!$A$4,Xero!$E:$E,Heron!$A44)+SUMIFS(Xero!$F:$F,Xero!$B:$B,Heron!Y$9,Xero!$A:$A,Heron!$A$5,Xero!$E:$E,Heron!$A44)</f>
        <v/>
      </c>
      <c r="Z44" s="66">
        <f>SUMIFS(Xero!$F:$F,Xero!$B:$B,Heron!Z$9,Xero!$A:$A,Heron!$A$4,Xero!$E:$E,Heron!$A44)+SUMIFS(Xero!$F:$F,Xero!$B:$B,Heron!Z$9,Xero!$A:$A,Heron!$A$5,Xero!$E:$E,Heron!$A44)</f>
        <v/>
      </c>
      <c r="AA44" s="66">
        <f>SUMIFS(Xero!$F:$F,Xero!$B:$B,Heron!AA$9,Xero!$A:$A,Heron!$A$4,Xero!$E:$E,Heron!$A44)+SUMIFS(Xero!$F:$F,Xero!$B:$B,Heron!AA$9,Xero!$A:$A,Heron!$A$5,Xero!$E:$E,Heron!$A44)</f>
        <v/>
      </c>
      <c r="AB44" s="66">
        <f>SUMIFS(Xero!$F:$F,Xero!$B:$B,Heron!AB$9,Xero!$A:$A,Heron!$A$4,Xero!$E:$E,Heron!$A44)+SUMIFS(Xero!$F:$F,Xero!$B:$B,Heron!AB$9,Xero!$A:$A,Heron!$A$5,Xero!$E:$E,Heron!$A44)</f>
        <v/>
      </c>
      <c r="AC44" s="66">
        <f>SUMIFS(Xero!$F:$F,Xero!$B:$B,Heron!AC$9,Xero!$A:$A,Heron!$A$4,Xero!$E:$E,Heron!$A44)+SUMIFS(Xero!$F:$F,Xero!$B:$B,Heron!AC$9,Xero!$A:$A,Heron!$A$5,Xero!$E:$E,Heron!$A44)</f>
        <v/>
      </c>
      <c r="AD44" s="66">
        <f>SUMIFS(Xero!$F:$F,Xero!$B:$B,Heron!AD$9,Xero!$A:$A,Heron!$A$4,Xero!$E:$E,Heron!$A44)+SUMIFS(Xero!$F:$F,Xero!$B:$B,Heron!AD$9,Xero!$A:$A,Heron!$A$5,Xero!$E:$E,Heron!$A44)</f>
        <v/>
      </c>
      <c r="AE44" s="66">
        <f>SUMIFS(Xero!$F:$F,Xero!$B:$B,Heron!AE$9,Xero!$A:$A,Heron!$A$4,Xero!$E:$E,Heron!$A44)+SUMIFS(Xero!$F:$F,Xero!$B:$B,Heron!AE$9,Xero!$A:$A,Heron!$A$5,Xero!$E:$E,Heron!$A44)</f>
        <v/>
      </c>
      <c r="AF44" s="66">
        <f>SUMIFS(Xero!$F:$F,Xero!$B:$B,Heron!AF$9,Xero!$A:$A,Heron!$A$4,Xero!$E:$E,Heron!$A44)+SUMIFS(Xero!$F:$F,Xero!$B:$B,Heron!AF$9,Xero!$A:$A,Heron!$A$5,Xero!$E:$E,Heron!$A44)</f>
        <v/>
      </c>
      <c r="AG44" s="66">
        <f>SUMIFS(Xero!$F:$F,Xero!$B:$B,Heron!AG$9,Xero!$A:$A,Heron!$A$4,Xero!$E:$E,Heron!$A44)+SUMIFS(Xero!$F:$F,Xero!$B:$B,Heron!AG$9,Xero!$A:$A,Heron!$A$5,Xero!$E:$E,Heron!$A44)</f>
        <v/>
      </c>
      <c r="AH44" s="66">
        <f>SUMIFS(Xero!$F:$F,Xero!$B:$B,Heron!AH$9,Xero!$A:$A,Heron!$A$4,Xero!$E:$E,Heron!$A44)+SUMIFS(Xero!$F:$F,Xero!$B:$B,Heron!AH$9,Xero!$A:$A,Heron!$A$5,Xero!$E:$E,Heron!$A44)</f>
        <v/>
      </c>
      <c r="AI44" s="66">
        <f>SUMIFS(Xero!$F:$F,Xero!$B:$B,Heron!AI$9,Xero!$A:$A,Heron!$A$4,Xero!$E:$E,Heron!$A44)+SUMIFS(Xero!$F:$F,Xero!$B:$B,Heron!AI$9,Xero!$A:$A,Heron!$A$5,Xero!$E:$E,Heron!$A44)</f>
        <v/>
      </c>
      <c r="AJ44" s="66">
        <f>SUMIFS(Xero!$F:$F,Xero!$B:$B,Heron!AJ$9,Xero!$A:$A,Heron!$A$4,Xero!$E:$E,Heron!$A44)+SUMIFS(Xero!$F:$F,Xero!$B:$B,Heron!AJ$9,Xero!$A:$A,Heron!$A$5,Xero!$E:$E,Heron!$A44)</f>
        <v/>
      </c>
      <c r="AK44" s="66">
        <f>SUMIFS(Xero!$F:$F,Xero!$B:$B,Heron!AK$9,Xero!$A:$A,Heron!$A$4,Xero!$E:$E,Heron!$A44)+SUMIFS(Xero!$F:$F,Xero!$B:$B,Heron!AK$9,Xero!$A:$A,Heron!$A$5,Xero!$E:$E,Heron!$A44)</f>
        <v/>
      </c>
      <c r="AL44" s="66">
        <f>SUMIFS(Xero!$F:$F,Xero!$B:$B,Heron!AL$9,Xero!$A:$A,Heron!$A$4,Xero!$E:$E,Heron!$A44)+SUMIFS(Xero!$F:$F,Xero!$B:$B,Heron!AL$9,Xero!$A:$A,Heron!$A$5,Xero!$E:$E,Heron!$A44)</f>
        <v/>
      </c>
      <c r="AM44" s="66">
        <f>SUMIFS(Xero!$F:$F,Xero!$B:$B,Heron!AM$9,Xero!$A:$A,Heron!$A$4,Xero!$E:$E,Heron!$A44)+SUMIFS(Xero!$F:$F,Xero!$B:$B,Heron!AM$9,Xero!$A:$A,Heron!$A$5,Xero!$E:$E,Heron!$A44)</f>
        <v/>
      </c>
      <c r="AN44" s="66">
        <f>SUMIFS(Xero!$F:$F,Xero!$B:$B,Heron!AN$9,Xero!$A:$A,Heron!$A$4,Xero!$E:$E,Heron!$A44)+SUMIFS(Xero!$F:$F,Xero!$B:$B,Heron!AN$9,Xero!$A:$A,Heron!$A$5,Xero!$E:$E,Heron!$A44)</f>
        <v/>
      </c>
      <c r="AO44" s="66">
        <f>SUMIFS(Xero!$F:$F,Xero!$B:$B,Heron!AO$9,Xero!$A:$A,Heron!$A$4,Xero!$E:$E,Heron!$A44)+SUMIFS(Xero!$F:$F,Xero!$B:$B,Heron!AO$9,Xero!$A:$A,Heron!$A$5,Xero!$E:$E,Heron!$A44)</f>
        <v/>
      </c>
      <c r="AP44" s="66">
        <f>SUMIFS(Xero!$F:$F,Xero!$B:$B,Heron!AP$9,Xero!$A:$A,Heron!$A$4,Xero!$E:$E,Heron!$A44)+SUMIFS(Xero!$F:$F,Xero!$B:$B,Heron!AP$9,Xero!$A:$A,Heron!$A$5,Xero!$E:$E,Heron!$A44)</f>
        <v/>
      </c>
      <c r="AQ44" s="66">
        <f>SUMIFS(Xero!$F:$F,Xero!$B:$B,Heron!AQ$9,Xero!$A:$A,Heron!$A$4,Xero!$E:$E,Heron!$A44)+SUMIFS(Xero!$F:$F,Xero!$B:$B,Heron!AQ$9,Xero!$A:$A,Heron!$A$5,Xero!$E:$E,Heron!$A44)</f>
        <v/>
      </c>
      <c r="AR44" s="66">
        <f>SUMIFS(Xero!$F:$F,Xero!$B:$B,Heron!AR$9,Xero!$A:$A,Heron!$A$4,Xero!$E:$E,Heron!$A44)+SUMIFS(Xero!$F:$F,Xero!$B:$B,Heron!AR$9,Xero!$A:$A,Heron!$A$5,Xero!$E:$E,Heron!$A44)</f>
        <v/>
      </c>
      <c r="AS44" s="66">
        <f>SUMIFS(Xero!$F:$F,Xero!$B:$B,Heron!AS$9,Xero!$A:$A,Heron!$A$4,Xero!$E:$E,Heron!$A44)+SUMIFS(Xero!$F:$F,Xero!$B:$B,Heron!AS$9,Xero!$A:$A,Heron!$A$5,Xero!$E:$E,Heron!$A44)</f>
        <v/>
      </c>
      <c r="AT44" s="66">
        <f>SUMIFS(Xero!$F:$F,Xero!$B:$B,Heron!AT$9,Xero!$A:$A,Heron!$A$4,Xero!$E:$E,Heron!$A44)+SUMIFS(Xero!$F:$F,Xero!$B:$B,Heron!AT$9,Xero!$A:$A,Heron!$A$5,Xero!$E:$E,Heron!$A44)</f>
        <v/>
      </c>
      <c r="AU44" s="66">
        <f>SUMIFS(Xero!$F:$F,Xero!$B:$B,Heron!AU$9,Xero!$A:$A,Heron!$A$4,Xero!$E:$E,Heron!$A44)+SUMIFS(Xero!$F:$F,Xero!$B:$B,Heron!AU$9,Xero!$A:$A,Heron!$A$5,Xero!$E:$E,Heron!$A44)</f>
        <v/>
      </c>
      <c r="AV44" s="66">
        <f>SUMIFS(Xero!$F:$F,Xero!$B:$B,Heron!AV$9,Xero!$A:$A,Heron!$A$4,Xero!$E:$E,Heron!$A44)+SUMIFS(Xero!$F:$F,Xero!$B:$B,Heron!AV$9,Xero!$A:$A,Heron!$A$5,Xero!$E:$E,Heron!$A44)</f>
        <v/>
      </c>
      <c r="AW44" s="66">
        <f>SUMIFS(Xero!$F:$F,Xero!$B:$B,Heron!AW$9,Xero!$A:$A,Heron!$A$4,Xero!$E:$E,Heron!$A44)+SUMIFS(Xero!$F:$F,Xero!$B:$B,Heron!AW$9,Xero!$A:$A,Heron!$A$5,Xero!$E:$E,Heron!$A44)</f>
        <v/>
      </c>
      <c r="AX44" s="66">
        <f>SUMIFS(Xero!$F:$F,Xero!$B:$B,Heron!AX$9,Xero!$A:$A,Heron!$A$4,Xero!$E:$E,Heron!$A44)+SUMIFS(Xero!$F:$F,Xero!$B:$B,Heron!AX$9,Xero!$A:$A,Heron!$A$5,Xero!$E:$E,Heron!$A44)</f>
        <v/>
      </c>
      <c r="AY44" s="66">
        <f>SUMIFS(Xero!$F:$F,Xero!$B:$B,Heron!AY$9,Xero!$A:$A,Heron!$A$4,Xero!$E:$E,Heron!$A44)+SUMIFS(Xero!$F:$F,Xero!$B:$B,Heron!AY$9,Xero!$A:$A,Heron!$A$5,Xero!$E:$E,Heron!$A44)</f>
        <v/>
      </c>
      <c r="AZ44" s="66">
        <f>SUMIFS(Xero!$F:$F,Xero!$B:$B,Heron!AZ$9,Xero!$A:$A,Heron!$A$4,Xero!$E:$E,Heron!$A44)+SUMIFS(Xero!$F:$F,Xero!$B:$B,Heron!AZ$9,Xero!$A:$A,Heron!$A$5,Xero!$E:$E,Heron!$A44)</f>
        <v/>
      </c>
      <c r="BA44" s="66">
        <f>SUMIFS(Xero!$F:$F,Xero!$B:$B,Heron!BA$9,Xero!$A:$A,Heron!$A$4,Xero!$E:$E,Heron!$A44)+SUMIFS(Xero!$F:$F,Xero!$B:$B,Heron!BA$9,Xero!$A:$A,Heron!$A$5,Xero!$E:$E,Heron!$A44)</f>
        <v/>
      </c>
      <c r="BB44" s="66">
        <f>SUMIFS(Xero!$F:$F,Xero!$B:$B,Heron!BB$9,Xero!$A:$A,Heron!$A$4,Xero!$E:$E,Heron!$A44)+SUMIFS(Xero!$F:$F,Xero!$B:$B,Heron!BB$9,Xero!$A:$A,Heron!$A$5,Xero!$E:$E,Heron!$A44)</f>
        <v/>
      </c>
      <c r="BC44" s="66">
        <f>SUMIFS(Xero!$F:$F,Xero!$B:$B,Heron!BC$9,Xero!$A:$A,Heron!$A$4,Xero!$E:$E,Heron!$A44)+SUMIFS(Xero!$F:$F,Xero!$B:$B,Heron!BC$9,Xero!$A:$A,Heron!$A$5,Xero!$E:$E,Heron!$A44)</f>
        <v/>
      </c>
      <c r="BD44" s="66">
        <f>SUMIFS(Xero!$F:$F,Xero!$B:$B,Heron!BD$9,Xero!$A:$A,Heron!$A$4,Xero!$E:$E,Heron!$A44)+SUMIFS(Xero!$F:$F,Xero!$B:$B,Heron!BD$9,Xero!$A:$A,Heron!$A$5,Xero!$E:$E,Heron!$A44)</f>
        <v/>
      </c>
      <c r="BE44" s="66">
        <f>SUMIFS(Xero!$F:$F,Xero!$B:$B,Heron!BE$9,Xero!$A:$A,Heron!$A$4,Xero!$E:$E,Heron!$A44)+SUMIFS(Xero!$F:$F,Xero!$B:$B,Heron!BE$9,Xero!$A:$A,Heron!$A$5,Xero!$E:$E,Heron!$A44)</f>
        <v/>
      </c>
      <c r="BF44" s="66">
        <f>SUMIFS(Xero!$F:$F,Xero!$B:$B,Heron!BF$9,Xero!$A:$A,Heron!$A$4,Xero!$E:$E,Heron!$A44)+SUMIFS(Xero!$F:$F,Xero!$B:$B,Heron!BF$9,Xero!$A:$A,Heron!$A$5,Xero!$E:$E,Heron!$A44)</f>
        <v/>
      </c>
      <c r="BG44" s="66">
        <f>SUMIFS(Xero!$F:$F,Xero!$B:$B,Heron!BG$9,Xero!$A:$A,Heron!$A$4,Xero!$E:$E,Heron!$A44)+SUMIFS(Xero!$F:$F,Xero!$B:$B,Heron!BG$9,Xero!$A:$A,Heron!$A$5,Xero!$E:$E,Heron!$A44)</f>
        <v/>
      </c>
      <c r="BH44" s="66">
        <f>sum(D44:BG44)</f>
        <v/>
      </c>
    </row>
    <row r="45">
      <c r="A45" s="65" t="inlineStr">
        <is>
          <t>COS - HV COCT Rates clearance</t>
        </is>
      </c>
      <c r="D45" s="66">
        <f>SUMIFS(Xero!$F:$F,Xero!$B:$B,Heron!D$9,Xero!$A:$A,Heron!$A$4,Xero!$E:$E,Heron!$A45)+SUMIFS(Xero!$F:$F,Xero!$B:$B,Heron!D$9,Xero!$A:$A,Heron!$A$5,Xero!$E:$E,Heron!$A45)</f>
        <v/>
      </c>
      <c r="E45" s="66">
        <f>SUMIFS(Xero!$F:$F,Xero!$B:$B,Heron!E$9,Xero!$A:$A,Heron!$A$4,Xero!$E:$E,Heron!$A45)+SUMIFS(Xero!$F:$F,Xero!$B:$B,Heron!E$9,Xero!$A:$A,Heron!$A$5,Xero!$E:$E,Heron!$A45)</f>
        <v/>
      </c>
      <c r="F45" s="66">
        <f>SUMIFS(Xero!$F:$F,Xero!$B:$B,Heron!F$9,Xero!$A:$A,Heron!$A$4,Xero!$E:$E,Heron!$A45)+SUMIFS(Xero!$F:$F,Xero!$B:$B,Heron!F$9,Xero!$A:$A,Heron!$A$5,Xero!$E:$E,Heron!$A45)</f>
        <v/>
      </c>
      <c r="G45" s="66">
        <f>SUMIFS(Xero!$F:$F,Xero!$B:$B,Heron!G$9,Xero!$A:$A,Heron!$A$4,Xero!$E:$E,Heron!$A45)+SUMIFS(Xero!$F:$F,Xero!$B:$B,Heron!G$9,Xero!$A:$A,Heron!$A$5,Xero!$E:$E,Heron!$A45)</f>
        <v/>
      </c>
      <c r="H45" s="66">
        <f>SUMIFS(Xero!$F:$F,Xero!$B:$B,Heron!H$9,Xero!$A:$A,Heron!$A$4,Xero!$E:$E,Heron!$A45)+SUMIFS(Xero!$F:$F,Xero!$B:$B,Heron!H$9,Xero!$A:$A,Heron!$A$5,Xero!$E:$E,Heron!$A45)</f>
        <v/>
      </c>
      <c r="I45" s="66">
        <f>SUMIFS(Xero!$F:$F,Xero!$B:$B,Heron!I$9,Xero!$A:$A,Heron!$A$4,Xero!$E:$E,Heron!$A45)+SUMIFS(Xero!$F:$F,Xero!$B:$B,Heron!I$9,Xero!$A:$A,Heron!$A$5,Xero!$E:$E,Heron!$A45)</f>
        <v/>
      </c>
      <c r="J45" s="66">
        <f>SUMIFS(Xero!$F:$F,Xero!$B:$B,Heron!J$9,Xero!$A:$A,Heron!$A$4,Xero!$E:$E,Heron!$A45)+SUMIFS(Xero!$F:$F,Xero!$B:$B,Heron!J$9,Xero!$A:$A,Heron!$A$5,Xero!$E:$E,Heron!$A45)</f>
        <v/>
      </c>
      <c r="K45" s="66">
        <f>SUMIFS(Xero!$F:$F,Xero!$B:$B,Heron!K$9,Xero!$A:$A,Heron!$A$4,Xero!$E:$E,Heron!$A45)+SUMIFS(Xero!$F:$F,Xero!$B:$B,Heron!K$9,Xero!$A:$A,Heron!$A$5,Xero!$E:$E,Heron!$A45)</f>
        <v/>
      </c>
      <c r="L45" s="66">
        <f>SUMIFS(Xero!$F:$F,Xero!$B:$B,Heron!L$9,Xero!$A:$A,Heron!$A$4,Xero!$E:$E,Heron!$A45)+SUMIFS(Xero!$F:$F,Xero!$B:$B,Heron!L$9,Xero!$A:$A,Heron!$A$5,Xero!$E:$E,Heron!$A45)</f>
        <v/>
      </c>
      <c r="M45" s="66">
        <f>SUMIFS(Xero!$F:$F,Xero!$B:$B,Heron!M$9,Xero!$A:$A,Heron!$A$4,Xero!$E:$E,Heron!$A45)+SUMIFS(Xero!$F:$F,Xero!$B:$B,Heron!M$9,Xero!$A:$A,Heron!$A$5,Xero!$E:$E,Heron!$A45)</f>
        <v/>
      </c>
      <c r="N45" s="66">
        <f>SUMIFS(Xero!$F:$F,Xero!$B:$B,Heron!N$9,Xero!$A:$A,Heron!$A$4,Xero!$E:$E,Heron!$A45)+SUMIFS(Xero!$F:$F,Xero!$B:$B,Heron!N$9,Xero!$A:$A,Heron!$A$5,Xero!$E:$E,Heron!$A45)</f>
        <v/>
      </c>
      <c r="O45" s="66">
        <f>SUMIFS(Xero!$F:$F,Xero!$B:$B,Heron!O$9,Xero!$A:$A,Heron!$A$4,Xero!$E:$E,Heron!$A45)+SUMIFS(Xero!$F:$F,Xero!$B:$B,Heron!O$9,Xero!$A:$A,Heron!$A$5,Xero!$E:$E,Heron!$A45)</f>
        <v/>
      </c>
      <c r="P45" s="66">
        <f>SUMIFS(Xero!$F:$F,Xero!$B:$B,Heron!P$9,Xero!$A:$A,Heron!$A$4,Xero!$E:$E,Heron!$A45)+SUMIFS(Xero!$F:$F,Xero!$B:$B,Heron!P$9,Xero!$A:$A,Heron!$A$5,Xero!$E:$E,Heron!$A45)</f>
        <v/>
      </c>
      <c r="Q45" s="66">
        <f>SUMIFS(Xero!$F:$F,Xero!$B:$B,Heron!Q$9,Xero!$A:$A,Heron!$A$4,Xero!$E:$E,Heron!$A45)+SUMIFS(Xero!$F:$F,Xero!$B:$B,Heron!Q$9,Xero!$A:$A,Heron!$A$5,Xero!$E:$E,Heron!$A45)</f>
        <v/>
      </c>
      <c r="R45" s="66">
        <f>SUMIFS(Xero!$F:$F,Xero!$B:$B,Heron!R$9,Xero!$A:$A,Heron!$A$4,Xero!$E:$E,Heron!$A45)+SUMIFS(Xero!$F:$F,Xero!$B:$B,Heron!R$9,Xero!$A:$A,Heron!$A$5,Xero!$E:$E,Heron!$A45)</f>
        <v/>
      </c>
      <c r="S45" s="66">
        <f>SUMIFS(Xero!$F:$F,Xero!$B:$B,Heron!S$9,Xero!$A:$A,Heron!$A$4,Xero!$E:$E,Heron!$A45)+SUMIFS(Xero!$F:$F,Xero!$B:$B,Heron!S$9,Xero!$A:$A,Heron!$A$5,Xero!$E:$E,Heron!$A45)</f>
        <v/>
      </c>
      <c r="T45" s="66">
        <f>SUMIFS(Xero!$F:$F,Xero!$B:$B,Heron!T$9,Xero!$A:$A,Heron!$A$4,Xero!$E:$E,Heron!$A45)+SUMIFS(Xero!$F:$F,Xero!$B:$B,Heron!T$9,Xero!$A:$A,Heron!$A$5,Xero!$E:$E,Heron!$A45)</f>
        <v/>
      </c>
      <c r="U45" s="66">
        <f>SUMIFS(Xero!$F:$F,Xero!$B:$B,Heron!U$9,Xero!$A:$A,Heron!$A$4,Xero!$E:$E,Heron!$A45)+SUMIFS(Xero!$F:$F,Xero!$B:$B,Heron!U$9,Xero!$A:$A,Heron!$A$5,Xero!$E:$E,Heron!$A45)</f>
        <v/>
      </c>
      <c r="V45" s="66">
        <f>SUMIFS(Xero!$F:$F,Xero!$B:$B,Heron!V$9,Xero!$A:$A,Heron!$A$4,Xero!$E:$E,Heron!$A45)+SUMIFS(Xero!$F:$F,Xero!$B:$B,Heron!V$9,Xero!$A:$A,Heron!$A$5,Xero!$E:$E,Heron!$A45)</f>
        <v/>
      </c>
      <c r="W45" s="66">
        <f>SUMIFS(Xero!$F:$F,Xero!$B:$B,Heron!W$9,Xero!$A:$A,Heron!$A$4,Xero!$E:$E,Heron!$A45)+SUMIFS(Xero!$F:$F,Xero!$B:$B,Heron!W$9,Xero!$A:$A,Heron!$A$5,Xero!$E:$E,Heron!$A45)</f>
        <v/>
      </c>
      <c r="X45" s="66">
        <f>SUMIFS(Xero!$F:$F,Xero!$B:$B,Heron!X$9,Xero!$A:$A,Heron!$A$4,Xero!$E:$E,Heron!$A45)+SUMIFS(Xero!$F:$F,Xero!$B:$B,Heron!X$9,Xero!$A:$A,Heron!$A$5,Xero!$E:$E,Heron!$A45)</f>
        <v/>
      </c>
      <c r="Y45" s="66">
        <f>SUMIFS(Xero!$F:$F,Xero!$B:$B,Heron!Y$9,Xero!$A:$A,Heron!$A$4,Xero!$E:$E,Heron!$A45)+SUMIFS(Xero!$F:$F,Xero!$B:$B,Heron!Y$9,Xero!$A:$A,Heron!$A$5,Xero!$E:$E,Heron!$A45)</f>
        <v/>
      </c>
      <c r="Z45" s="66">
        <f>SUMIFS(Xero!$F:$F,Xero!$B:$B,Heron!Z$9,Xero!$A:$A,Heron!$A$4,Xero!$E:$E,Heron!$A45)+SUMIFS(Xero!$F:$F,Xero!$B:$B,Heron!Z$9,Xero!$A:$A,Heron!$A$5,Xero!$E:$E,Heron!$A45)</f>
        <v/>
      </c>
      <c r="AA45" s="66">
        <f>SUMIFS(Xero!$F:$F,Xero!$B:$B,Heron!AA$9,Xero!$A:$A,Heron!$A$4,Xero!$E:$E,Heron!$A45)+SUMIFS(Xero!$F:$F,Xero!$B:$B,Heron!AA$9,Xero!$A:$A,Heron!$A$5,Xero!$E:$E,Heron!$A45)</f>
        <v/>
      </c>
      <c r="AB45" s="66">
        <f>SUMIFS(Xero!$F:$F,Xero!$B:$B,Heron!AB$9,Xero!$A:$A,Heron!$A$4,Xero!$E:$E,Heron!$A45)+SUMIFS(Xero!$F:$F,Xero!$B:$B,Heron!AB$9,Xero!$A:$A,Heron!$A$5,Xero!$E:$E,Heron!$A45)</f>
        <v/>
      </c>
      <c r="AC45" s="66">
        <f>SUMIFS(Xero!$F:$F,Xero!$B:$B,Heron!AC$9,Xero!$A:$A,Heron!$A$4,Xero!$E:$E,Heron!$A45)+SUMIFS(Xero!$F:$F,Xero!$B:$B,Heron!AC$9,Xero!$A:$A,Heron!$A$5,Xero!$E:$E,Heron!$A45)</f>
        <v/>
      </c>
      <c r="AD45" s="66">
        <f>SUMIFS(Xero!$F:$F,Xero!$B:$B,Heron!AD$9,Xero!$A:$A,Heron!$A$4,Xero!$E:$E,Heron!$A45)+SUMIFS(Xero!$F:$F,Xero!$B:$B,Heron!AD$9,Xero!$A:$A,Heron!$A$5,Xero!$E:$E,Heron!$A45)</f>
        <v/>
      </c>
      <c r="AE45" s="66">
        <f>SUMIFS(Xero!$F:$F,Xero!$B:$B,Heron!AE$9,Xero!$A:$A,Heron!$A$4,Xero!$E:$E,Heron!$A45)+SUMIFS(Xero!$F:$F,Xero!$B:$B,Heron!AE$9,Xero!$A:$A,Heron!$A$5,Xero!$E:$E,Heron!$A45)</f>
        <v/>
      </c>
      <c r="AF45" s="66">
        <f>SUMIFS(Xero!$F:$F,Xero!$B:$B,Heron!AF$9,Xero!$A:$A,Heron!$A$4,Xero!$E:$E,Heron!$A45)+SUMIFS(Xero!$F:$F,Xero!$B:$B,Heron!AF$9,Xero!$A:$A,Heron!$A$5,Xero!$E:$E,Heron!$A45)</f>
        <v/>
      </c>
      <c r="AG45" s="66">
        <f>SUMIFS(Xero!$F:$F,Xero!$B:$B,Heron!AG$9,Xero!$A:$A,Heron!$A$4,Xero!$E:$E,Heron!$A45)+SUMIFS(Xero!$F:$F,Xero!$B:$B,Heron!AG$9,Xero!$A:$A,Heron!$A$5,Xero!$E:$E,Heron!$A45)</f>
        <v/>
      </c>
      <c r="AH45" s="66">
        <f>SUMIFS(Xero!$F:$F,Xero!$B:$B,Heron!AH$9,Xero!$A:$A,Heron!$A$4,Xero!$E:$E,Heron!$A45)+SUMIFS(Xero!$F:$F,Xero!$B:$B,Heron!AH$9,Xero!$A:$A,Heron!$A$5,Xero!$E:$E,Heron!$A45)</f>
        <v/>
      </c>
      <c r="AI45" s="66">
        <f>SUMIFS(Xero!$F:$F,Xero!$B:$B,Heron!AI$9,Xero!$A:$A,Heron!$A$4,Xero!$E:$E,Heron!$A45)+SUMIFS(Xero!$F:$F,Xero!$B:$B,Heron!AI$9,Xero!$A:$A,Heron!$A$5,Xero!$E:$E,Heron!$A45)</f>
        <v/>
      </c>
      <c r="AJ45" s="66">
        <f>SUMIFS(Xero!$F:$F,Xero!$B:$B,Heron!AJ$9,Xero!$A:$A,Heron!$A$4,Xero!$E:$E,Heron!$A45)+SUMIFS(Xero!$F:$F,Xero!$B:$B,Heron!AJ$9,Xero!$A:$A,Heron!$A$5,Xero!$E:$E,Heron!$A45)</f>
        <v/>
      </c>
      <c r="AK45" s="66">
        <f>SUMIFS(Xero!$F:$F,Xero!$B:$B,Heron!AK$9,Xero!$A:$A,Heron!$A$4,Xero!$E:$E,Heron!$A45)+SUMIFS(Xero!$F:$F,Xero!$B:$B,Heron!AK$9,Xero!$A:$A,Heron!$A$5,Xero!$E:$E,Heron!$A45)</f>
        <v/>
      </c>
      <c r="AL45" s="66">
        <f>SUMIFS(Xero!$F:$F,Xero!$B:$B,Heron!AL$9,Xero!$A:$A,Heron!$A$4,Xero!$E:$E,Heron!$A45)+SUMIFS(Xero!$F:$F,Xero!$B:$B,Heron!AL$9,Xero!$A:$A,Heron!$A$5,Xero!$E:$E,Heron!$A45)</f>
        <v/>
      </c>
      <c r="AM45" s="66">
        <f>SUMIFS(Xero!$F:$F,Xero!$B:$B,Heron!AM$9,Xero!$A:$A,Heron!$A$4,Xero!$E:$E,Heron!$A45)+SUMIFS(Xero!$F:$F,Xero!$B:$B,Heron!AM$9,Xero!$A:$A,Heron!$A$5,Xero!$E:$E,Heron!$A45)</f>
        <v/>
      </c>
      <c r="AN45" s="66">
        <f>SUMIFS(Xero!$F:$F,Xero!$B:$B,Heron!AN$9,Xero!$A:$A,Heron!$A$4,Xero!$E:$E,Heron!$A45)+SUMIFS(Xero!$F:$F,Xero!$B:$B,Heron!AN$9,Xero!$A:$A,Heron!$A$5,Xero!$E:$E,Heron!$A45)</f>
        <v/>
      </c>
      <c r="AO45" s="66">
        <f>SUMIFS(Xero!$F:$F,Xero!$B:$B,Heron!AO$9,Xero!$A:$A,Heron!$A$4,Xero!$E:$E,Heron!$A45)+SUMIFS(Xero!$F:$F,Xero!$B:$B,Heron!AO$9,Xero!$A:$A,Heron!$A$5,Xero!$E:$E,Heron!$A45)</f>
        <v/>
      </c>
      <c r="AP45" s="66">
        <f>SUMIFS(Xero!$F:$F,Xero!$B:$B,Heron!AP$9,Xero!$A:$A,Heron!$A$4,Xero!$E:$E,Heron!$A45)+SUMIFS(Xero!$F:$F,Xero!$B:$B,Heron!AP$9,Xero!$A:$A,Heron!$A$5,Xero!$E:$E,Heron!$A45)</f>
        <v/>
      </c>
      <c r="AQ45" s="66">
        <f>SUMIFS(Xero!$F:$F,Xero!$B:$B,Heron!AQ$9,Xero!$A:$A,Heron!$A$4,Xero!$E:$E,Heron!$A45)+SUMIFS(Xero!$F:$F,Xero!$B:$B,Heron!AQ$9,Xero!$A:$A,Heron!$A$5,Xero!$E:$E,Heron!$A45)</f>
        <v/>
      </c>
      <c r="AR45" s="66">
        <f>SUMIFS(Xero!$F:$F,Xero!$B:$B,Heron!AR$9,Xero!$A:$A,Heron!$A$4,Xero!$E:$E,Heron!$A45)+SUMIFS(Xero!$F:$F,Xero!$B:$B,Heron!AR$9,Xero!$A:$A,Heron!$A$5,Xero!$E:$E,Heron!$A45)</f>
        <v/>
      </c>
      <c r="AS45" s="66">
        <f>SUMIFS(Xero!$F:$F,Xero!$B:$B,Heron!AS$9,Xero!$A:$A,Heron!$A$4,Xero!$E:$E,Heron!$A45)+SUMIFS(Xero!$F:$F,Xero!$B:$B,Heron!AS$9,Xero!$A:$A,Heron!$A$5,Xero!$E:$E,Heron!$A45)</f>
        <v/>
      </c>
      <c r="AT45" s="66">
        <f>SUMIFS(Xero!$F:$F,Xero!$B:$B,Heron!AT$9,Xero!$A:$A,Heron!$A$4,Xero!$E:$E,Heron!$A45)+SUMIFS(Xero!$F:$F,Xero!$B:$B,Heron!AT$9,Xero!$A:$A,Heron!$A$5,Xero!$E:$E,Heron!$A45)</f>
        <v/>
      </c>
      <c r="AU45" s="66">
        <f>SUMIFS(Xero!$F:$F,Xero!$B:$B,Heron!AU$9,Xero!$A:$A,Heron!$A$4,Xero!$E:$E,Heron!$A45)+SUMIFS(Xero!$F:$F,Xero!$B:$B,Heron!AU$9,Xero!$A:$A,Heron!$A$5,Xero!$E:$E,Heron!$A45)</f>
        <v/>
      </c>
      <c r="AV45" s="66">
        <f>SUMIFS(Xero!$F:$F,Xero!$B:$B,Heron!AV$9,Xero!$A:$A,Heron!$A$4,Xero!$E:$E,Heron!$A45)+SUMIFS(Xero!$F:$F,Xero!$B:$B,Heron!AV$9,Xero!$A:$A,Heron!$A$5,Xero!$E:$E,Heron!$A45)</f>
        <v/>
      </c>
      <c r="AW45" s="66">
        <f>SUMIFS(Xero!$F:$F,Xero!$B:$B,Heron!AW$9,Xero!$A:$A,Heron!$A$4,Xero!$E:$E,Heron!$A45)+SUMIFS(Xero!$F:$F,Xero!$B:$B,Heron!AW$9,Xero!$A:$A,Heron!$A$5,Xero!$E:$E,Heron!$A45)</f>
        <v/>
      </c>
      <c r="AX45" s="66">
        <f>SUMIFS(Xero!$F:$F,Xero!$B:$B,Heron!AX$9,Xero!$A:$A,Heron!$A$4,Xero!$E:$E,Heron!$A45)+SUMIFS(Xero!$F:$F,Xero!$B:$B,Heron!AX$9,Xero!$A:$A,Heron!$A$5,Xero!$E:$E,Heron!$A45)</f>
        <v/>
      </c>
      <c r="AY45" s="66">
        <f>SUMIFS(Xero!$F:$F,Xero!$B:$B,Heron!AY$9,Xero!$A:$A,Heron!$A$4,Xero!$E:$E,Heron!$A45)+SUMIFS(Xero!$F:$F,Xero!$B:$B,Heron!AY$9,Xero!$A:$A,Heron!$A$5,Xero!$E:$E,Heron!$A45)</f>
        <v/>
      </c>
      <c r="AZ45" s="66">
        <f>SUMIFS(Xero!$F:$F,Xero!$B:$B,Heron!AZ$9,Xero!$A:$A,Heron!$A$4,Xero!$E:$E,Heron!$A45)+SUMIFS(Xero!$F:$F,Xero!$B:$B,Heron!AZ$9,Xero!$A:$A,Heron!$A$5,Xero!$E:$E,Heron!$A45)</f>
        <v/>
      </c>
      <c r="BA45" s="66">
        <f>SUMIFS(Xero!$F:$F,Xero!$B:$B,Heron!BA$9,Xero!$A:$A,Heron!$A$4,Xero!$E:$E,Heron!$A45)+SUMIFS(Xero!$F:$F,Xero!$B:$B,Heron!BA$9,Xero!$A:$A,Heron!$A$5,Xero!$E:$E,Heron!$A45)</f>
        <v/>
      </c>
      <c r="BB45" s="66">
        <f>SUMIFS(Xero!$F:$F,Xero!$B:$B,Heron!BB$9,Xero!$A:$A,Heron!$A$4,Xero!$E:$E,Heron!$A45)+SUMIFS(Xero!$F:$F,Xero!$B:$B,Heron!BB$9,Xero!$A:$A,Heron!$A$5,Xero!$E:$E,Heron!$A45)</f>
        <v/>
      </c>
      <c r="BC45" s="66">
        <f>SUMIFS(Xero!$F:$F,Xero!$B:$B,Heron!BC$9,Xero!$A:$A,Heron!$A$4,Xero!$E:$E,Heron!$A45)+SUMIFS(Xero!$F:$F,Xero!$B:$B,Heron!BC$9,Xero!$A:$A,Heron!$A$5,Xero!$E:$E,Heron!$A45)</f>
        <v/>
      </c>
      <c r="BD45" s="66">
        <f>SUMIFS(Xero!$F:$F,Xero!$B:$B,Heron!BD$9,Xero!$A:$A,Heron!$A$4,Xero!$E:$E,Heron!$A45)+SUMIFS(Xero!$F:$F,Xero!$B:$B,Heron!BD$9,Xero!$A:$A,Heron!$A$5,Xero!$E:$E,Heron!$A45)</f>
        <v/>
      </c>
      <c r="BE45" s="66">
        <f>SUMIFS(Xero!$F:$F,Xero!$B:$B,Heron!BE$9,Xero!$A:$A,Heron!$A$4,Xero!$E:$E,Heron!$A45)+SUMIFS(Xero!$F:$F,Xero!$B:$B,Heron!BE$9,Xero!$A:$A,Heron!$A$5,Xero!$E:$E,Heron!$A45)</f>
        <v/>
      </c>
      <c r="BF45" s="66">
        <f>SUMIFS(Xero!$F:$F,Xero!$B:$B,Heron!BF$9,Xero!$A:$A,Heron!$A$4,Xero!$E:$E,Heron!$A45)+SUMIFS(Xero!$F:$F,Xero!$B:$B,Heron!BF$9,Xero!$A:$A,Heron!$A$5,Xero!$E:$E,Heron!$A45)</f>
        <v/>
      </c>
      <c r="BG45" s="66">
        <f>SUMIFS(Xero!$F:$F,Xero!$B:$B,Heron!BG$9,Xero!$A:$A,Heron!$A$4,Xero!$E:$E,Heron!$A45)+SUMIFS(Xero!$F:$F,Xero!$B:$B,Heron!BG$9,Xero!$A:$A,Heron!$A$5,Xero!$E:$E,Heron!$A45)</f>
        <v/>
      </c>
      <c r="BH45" s="66">
        <f>sum(D45:BG45)</f>
        <v/>
      </c>
    </row>
    <row r="46">
      <c r="A46" s="65" t="inlineStr">
        <is>
          <t>COS - Heron View</t>
        </is>
      </c>
      <c r="D46" s="66">
        <f>SUMIFS(Xero!$F:$F,Xero!$B:$B,Heron!D$9,Xero!$A:$A,Heron!$A$4,Xero!$E:$E,Heron!$A46)+SUMIFS(Xero!$F:$F,Xero!$B:$B,Heron!D$9,Xero!$A:$A,Heron!$A$5,Xero!$E:$E,Heron!$A46)</f>
        <v/>
      </c>
      <c r="E46" s="66">
        <f>SUMIFS(Xero!$F:$F,Xero!$B:$B,Heron!E$9,Xero!$A:$A,Heron!$A$4,Xero!$E:$E,Heron!$A46)+SUMIFS(Xero!$F:$F,Xero!$B:$B,Heron!E$9,Xero!$A:$A,Heron!$A$5,Xero!$E:$E,Heron!$A46)</f>
        <v/>
      </c>
      <c r="F46" s="66">
        <f>SUMIFS(Xero!$F:$F,Xero!$B:$B,Heron!F$9,Xero!$A:$A,Heron!$A$4,Xero!$E:$E,Heron!$A46)+SUMIFS(Xero!$F:$F,Xero!$B:$B,Heron!F$9,Xero!$A:$A,Heron!$A$5,Xero!$E:$E,Heron!$A46)</f>
        <v/>
      </c>
      <c r="G46" s="66">
        <f>SUMIFS(Xero!$F:$F,Xero!$B:$B,Heron!G$9,Xero!$A:$A,Heron!$A$4,Xero!$E:$E,Heron!$A46)+SUMIFS(Xero!$F:$F,Xero!$B:$B,Heron!G$9,Xero!$A:$A,Heron!$A$5,Xero!$E:$E,Heron!$A46)</f>
        <v/>
      </c>
      <c r="H46" s="66">
        <f>SUMIFS(Xero!$F:$F,Xero!$B:$B,Heron!H$9,Xero!$A:$A,Heron!$A$4,Xero!$E:$E,Heron!$A46)+SUMIFS(Xero!$F:$F,Xero!$B:$B,Heron!H$9,Xero!$A:$A,Heron!$A$5,Xero!$E:$E,Heron!$A46)</f>
        <v/>
      </c>
      <c r="I46" s="66">
        <f>SUMIFS(Xero!$F:$F,Xero!$B:$B,Heron!I$9,Xero!$A:$A,Heron!$A$4,Xero!$E:$E,Heron!$A46)+SUMIFS(Xero!$F:$F,Xero!$B:$B,Heron!I$9,Xero!$A:$A,Heron!$A$5,Xero!$E:$E,Heron!$A46)</f>
        <v/>
      </c>
      <c r="J46" s="66">
        <f>SUMIFS(Xero!$F:$F,Xero!$B:$B,Heron!J$9,Xero!$A:$A,Heron!$A$4,Xero!$E:$E,Heron!$A46)+SUMIFS(Xero!$F:$F,Xero!$B:$B,Heron!J$9,Xero!$A:$A,Heron!$A$5,Xero!$E:$E,Heron!$A46)</f>
        <v/>
      </c>
      <c r="K46" s="66">
        <f>SUMIFS(Xero!$F:$F,Xero!$B:$B,Heron!K$9,Xero!$A:$A,Heron!$A$4,Xero!$E:$E,Heron!$A46)+SUMIFS(Xero!$F:$F,Xero!$B:$B,Heron!K$9,Xero!$A:$A,Heron!$A$5,Xero!$E:$E,Heron!$A46)</f>
        <v/>
      </c>
      <c r="L46" s="66">
        <f>SUMIFS(Xero!$F:$F,Xero!$B:$B,Heron!L$9,Xero!$A:$A,Heron!$A$4,Xero!$E:$E,Heron!$A46)+SUMIFS(Xero!$F:$F,Xero!$B:$B,Heron!L$9,Xero!$A:$A,Heron!$A$5,Xero!$E:$E,Heron!$A46)</f>
        <v/>
      </c>
      <c r="M46" s="66">
        <f>SUMIFS(Xero!$F:$F,Xero!$B:$B,Heron!M$9,Xero!$A:$A,Heron!$A$4,Xero!$E:$E,Heron!$A46)+SUMIFS(Xero!$F:$F,Xero!$B:$B,Heron!M$9,Xero!$A:$A,Heron!$A$5,Xero!$E:$E,Heron!$A46)</f>
        <v/>
      </c>
      <c r="N46" s="66">
        <f>SUMIFS(Xero!$F:$F,Xero!$B:$B,Heron!N$9,Xero!$A:$A,Heron!$A$4,Xero!$E:$E,Heron!$A46)+SUMIFS(Xero!$F:$F,Xero!$B:$B,Heron!N$9,Xero!$A:$A,Heron!$A$5,Xero!$E:$E,Heron!$A46)</f>
        <v/>
      </c>
      <c r="O46" s="66">
        <f>SUMIFS(Xero!$F:$F,Xero!$B:$B,Heron!O$9,Xero!$A:$A,Heron!$A$4,Xero!$E:$E,Heron!$A46)+SUMIFS(Xero!$F:$F,Xero!$B:$B,Heron!O$9,Xero!$A:$A,Heron!$A$5,Xero!$E:$E,Heron!$A46)</f>
        <v/>
      </c>
      <c r="P46" s="66">
        <f>SUMIFS(Xero!$F:$F,Xero!$B:$B,Heron!P$9,Xero!$A:$A,Heron!$A$4,Xero!$E:$E,Heron!$A46)+SUMIFS(Xero!$F:$F,Xero!$B:$B,Heron!P$9,Xero!$A:$A,Heron!$A$5,Xero!$E:$E,Heron!$A46)</f>
        <v/>
      </c>
      <c r="Q46" s="66">
        <f>SUMIFS(Xero!$F:$F,Xero!$B:$B,Heron!Q$9,Xero!$A:$A,Heron!$A$4,Xero!$E:$E,Heron!$A46)+SUMIFS(Xero!$F:$F,Xero!$B:$B,Heron!Q$9,Xero!$A:$A,Heron!$A$5,Xero!$E:$E,Heron!$A46)</f>
        <v/>
      </c>
      <c r="R46" s="66">
        <f>SUMIFS(Xero!$F:$F,Xero!$B:$B,Heron!R$9,Xero!$A:$A,Heron!$A$4,Xero!$E:$E,Heron!$A46)+SUMIFS(Xero!$F:$F,Xero!$B:$B,Heron!R$9,Xero!$A:$A,Heron!$A$5,Xero!$E:$E,Heron!$A46)</f>
        <v/>
      </c>
      <c r="S46" s="66">
        <f>SUMIFS(Xero!$F:$F,Xero!$B:$B,Heron!S$9,Xero!$A:$A,Heron!$A$4,Xero!$E:$E,Heron!$A46)+SUMIFS(Xero!$F:$F,Xero!$B:$B,Heron!S$9,Xero!$A:$A,Heron!$A$5,Xero!$E:$E,Heron!$A46)</f>
        <v/>
      </c>
      <c r="T46" s="66">
        <f>SUMIFS(Xero!$F:$F,Xero!$B:$B,Heron!T$9,Xero!$A:$A,Heron!$A$4,Xero!$E:$E,Heron!$A46)+SUMIFS(Xero!$F:$F,Xero!$B:$B,Heron!T$9,Xero!$A:$A,Heron!$A$5,Xero!$E:$E,Heron!$A46)</f>
        <v/>
      </c>
      <c r="U46" s="66">
        <f>SUMIFS(Xero!$F:$F,Xero!$B:$B,Heron!U$9,Xero!$A:$A,Heron!$A$4,Xero!$E:$E,Heron!$A46)+SUMIFS(Xero!$F:$F,Xero!$B:$B,Heron!U$9,Xero!$A:$A,Heron!$A$5,Xero!$E:$E,Heron!$A46)</f>
        <v/>
      </c>
      <c r="V46" s="66">
        <f>SUMIFS(Xero!$F:$F,Xero!$B:$B,Heron!V$9,Xero!$A:$A,Heron!$A$4,Xero!$E:$E,Heron!$A46)+SUMIFS(Xero!$F:$F,Xero!$B:$B,Heron!V$9,Xero!$A:$A,Heron!$A$5,Xero!$E:$E,Heron!$A46)</f>
        <v/>
      </c>
      <c r="W46" s="66">
        <f>SUMIFS(Xero!$F:$F,Xero!$B:$B,Heron!W$9,Xero!$A:$A,Heron!$A$4,Xero!$E:$E,Heron!$A46)+SUMIFS(Xero!$F:$F,Xero!$B:$B,Heron!W$9,Xero!$A:$A,Heron!$A$5,Xero!$E:$E,Heron!$A46)</f>
        <v/>
      </c>
      <c r="X46" s="66">
        <f>SUMIFS(Xero!$F:$F,Xero!$B:$B,Heron!X$9,Xero!$A:$A,Heron!$A$4,Xero!$E:$E,Heron!$A46)+SUMIFS(Xero!$F:$F,Xero!$B:$B,Heron!X$9,Xero!$A:$A,Heron!$A$5,Xero!$E:$E,Heron!$A46)</f>
        <v/>
      </c>
      <c r="Y46" s="66">
        <f>SUMIFS(Xero!$F:$F,Xero!$B:$B,Heron!Y$9,Xero!$A:$A,Heron!$A$4,Xero!$E:$E,Heron!$A46)+SUMIFS(Xero!$F:$F,Xero!$B:$B,Heron!Y$9,Xero!$A:$A,Heron!$A$5,Xero!$E:$E,Heron!$A46)</f>
        <v/>
      </c>
      <c r="Z46" s="66">
        <f>SUMIFS(Xero!$F:$F,Xero!$B:$B,Heron!Z$9,Xero!$A:$A,Heron!$A$4,Xero!$E:$E,Heron!$A46)+SUMIFS(Xero!$F:$F,Xero!$B:$B,Heron!Z$9,Xero!$A:$A,Heron!$A$5,Xero!$E:$E,Heron!$A46)</f>
        <v/>
      </c>
      <c r="AA46" s="66">
        <f>SUMIFS(Xero!$F:$F,Xero!$B:$B,Heron!AA$9,Xero!$A:$A,Heron!$A$4,Xero!$E:$E,Heron!$A46)+SUMIFS(Xero!$F:$F,Xero!$B:$B,Heron!AA$9,Xero!$A:$A,Heron!$A$5,Xero!$E:$E,Heron!$A46)</f>
        <v/>
      </c>
      <c r="AB46" s="66">
        <f>SUMIFS(Xero!$F:$F,Xero!$B:$B,Heron!AB$9,Xero!$A:$A,Heron!$A$4,Xero!$E:$E,Heron!$A46)+SUMIFS(Xero!$F:$F,Xero!$B:$B,Heron!AB$9,Xero!$A:$A,Heron!$A$5,Xero!$E:$E,Heron!$A46)</f>
        <v/>
      </c>
      <c r="AC46" s="66">
        <f>SUMIFS(Xero!$F:$F,Xero!$B:$B,Heron!AC$9,Xero!$A:$A,Heron!$A$4,Xero!$E:$E,Heron!$A46)+SUMIFS(Xero!$F:$F,Xero!$B:$B,Heron!AC$9,Xero!$A:$A,Heron!$A$5,Xero!$E:$E,Heron!$A46)</f>
        <v/>
      </c>
      <c r="AD46" s="66">
        <f>SUMIFS(Xero!$F:$F,Xero!$B:$B,Heron!AD$9,Xero!$A:$A,Heron!$A$4,Xero!$E:$E,Heron!$A46)+SUMIFS(Xero!$F:$F,Xero!$B:$B,Heron!AD$9,Xero!$A:$A,Heron!$A$5,Xero!$E:$E,Heron!$A46)</f>
        <v/>
      </c>
      <c r="AE46" s="66">
        <f>SUMIFS(Xero!$F:$F,Xero!$B:$B,Heron!AE$9,Xero!$A:$A,Heron!$A$4,Xero!$E:$E,Heron!$A46)+SUMIFS(Xero!$F:$F,Xero!$B:$B,Heron!AE$9,Xero!$A:$A,Heron!$A$5,Xero!$E:$E,Heron!$A46)</f>
        <v/>
      </c>
      <c r="AF46" s="66">
        <f>SUMIFS(Xero!$F:$F,Xero!$B:$B,Heron!AF$9,Xero!$A:$A,Heron!$A$4,Xero!$E:$E,Heron!$A46)+SUMIFS(Xero!$F:$F,Xero!$B:$B,Heron!AF$9,Xero!$A:$A,Heron!$A$5,Xero!$E:$E,Heron!$A46)</f>
        <v/>
      </c>
      <c r="AG46" s="66">
        <f>SUMIFS(Xero!$F:$F,Xero!$B:$B,Heron!AG$9,Xero!$A:$A,Heron!$A$4,Xero!$E:$E,Heron!$A46)+SUMIFS(Xero!$F:$F,Xero!$B:$B,Heron!AG$9,Xero!$A:$A,Heron!$A$5,Xero!$E:$E,Heron!$A46)</f>
        <v/>
      </c>
      <c r="AH46" s="66">
        <f>SUMIFS(Xero!$F:$F,Xero!$B:$B,Heron!AH$9,Xero!$A:$A,Heron!$A$4,Xero!$E:$E,Heron!$A46)+SUMIFS(Xero!$F:$F,Xero!$B:$B,Heron!AH$9,Xero!$A:$A,Heron!$A$5,Xero!$E:$E,Heron!$A46)</f>
        <v/>
      </c>
      <c r="AI46" s="66">
        <f>SUMIFS(Xero!$F:$F,Xero!$B:$B,Heron!AI$9,Xero!$A:$A,Heron!$A$4,Xero!$E:$E,Heron!$A46)+SUMIFS(Xero!$F:$F,Xero!$B:$B,Heron!AI$9,Xero!$A:$A,Heron!$A$5,Xero!$E:$E,Heron!$A46)</f>
        <v/>
      </c>
      <c r="AJ46" s="66">
        <f>SUMIFS(Xero!$F:$F,Xero!$B:$B,Heron!AJ$9,Xero!$A:$A,Heron!$A$4,Xero!$E:$E,Heron!$A46)+SUMIFS(Xero!$F:$F,Xero!$B:$B,Heron!AJ$9,Xero!$A:$A,Heron!$A$5,Xero!$E:$E,Heron!$A46)</f>
        <v/>
      </c>
      <c r="AK46" s="66">
        <f>SUMIFS(Xero!$F:$F,Xero!$B:$B,Heron!AK$9,Xero!$A:$A,Heron!$A$4,Xero!$E:$E,Heron!$A46)+SUMIFS(Xero!$F:$F,Xero!$B:$B,Heron!AK$9,Xero!$A:$A,Heron!$A$5,Xero!$E:$E,Heron!$A46)</f>
        <v/>
      </c>
      <c r="AL46" s="66">
        <f>SUMIFS(Xero!$F:$F,Xero!$B:$B,Heron!AL$9,Xero!$A:$A,Heron!$A$4,Xero!$E:$E,Heron!$A46)+SUMIFS(Xero!$F:$F,Xero!$B:$B,Heron!AL$9,Xero!$A:$A,Heron!$A$5,Xero!$E:$E,Heron!$A46)</f>
        <v/>
      </c>
      <c r="AM46" s="66">
        <f>SUMIFS(Xero!$F:$F,Xero!$B:$B,Heron!AM$9,Xero!$A:$A,Heron!$A$4,Xero!$E:$E,Heron!$A46)+SUMIFS(Xero!$F:$F,Xero!$B:$B,Heron!AM$9,Xero!$A:$A,Heron!$A$5,Xero!$E:$E,Heron!$A46)</f>
        <v/>
      </c>
      <c r="AN46" s="66">
        <f>SUMIFS(Xero!$F:$F,Xero!$B:$B,Heron!AN$9,Xero!$A:$A,Heron!$A$4,Xero!$E:$E,Heron!$A46)+SUMIFS(Xero!$F:$F,Xero!$B:$B,Heron!AN$9,Xero!$A:$A,Heron!$A$5,Xero!$E:$E,Heron!$A46)</f>
        <v/>
      </c>
      <c r="AO46" s="66">
        <f>SUMIFS(Xero!$F:$F,Xero!$B:$B,Heron!AO$9,Xero!$A:$A,Heron!$A$4,Xero!$E:$E,Heron!$A46)+SUMIFS(Xero!$F:$F,Xero!$B:$B,Heron!AO$9,Xero!$A:$A,Heron!$A$5,Xero!$E:$E,Heron!$A46)</f>
        <v/>
      </c>
      <c r="AP46" s="66">
        <f>SUMIFS(Xero!$F:$F,Xero!$B:$B,Heron!AP$9,Xero!$A:$A,Heron!$A$4,Xero!$E:$E,Heron!$A46)+SUMIFS(Xero!$F:$F,Xero!$B:$B,Heron!AP$9,Xero!$A:$A,Heron!$A$5,Xero!$E:$E,Heron!$A46)</f>
        <v/>
      </c>
      <c r="AQ46" s="66">
        <f>SUMIFS(Xero!$F:$F,Xero!$B:$B,Heron!AQ$9,Xero!$A:$A,Heron!$A$4,Xero!$E:$E,Heron!$A46)+SUMIFS(Xero!$F:$F,Xero!$B:$B,Heron!AQ$9,Xero!$A:$A,Heron!$A$5,Xero!$E:$E,Heron!$A46)</f>
        <v/>
      </c>
      <c r="AR46" s="66">
        <f>SUMIFS(Xero!$F:$F,Xero!$B:$B,Heron!AR$9,Xero!$A:$A,Heron!$A$4,Xero!$E:$E,Heron!$A46)+SUMIFS(Xero!$F:$F,Xero!$B:$B,Heron!AR$9,Xero!$A:$A,Heron!$A$5,Xero!$E:$E,Heron!$A46)</f>
        <v/>
      </c>
      <c r="AS46" s="66">
        <f>SUMIFS(Xero!$F:$F,Xero!$B:$B,Heron!AS$9,Xero!$A:$A,Heron!$A$4,Xero!$E:$E,Heron!$A46)+SUMIFS(Xero!$F:$F,Xero!$B:$B,Heron!AS$9,Xero!$A:$A,Heron!$A$5,Xero!$E:$E,Heron!$A46)</f>
        <v/>
      </c>
      <c r="AT46" s="66">
        <f>SUMIFS(Xero!$F:$F,Xero!$B:$B,Heron!AT$9,Xero!$A:$A,Heron!$A$4,Xero!$E:$E,Heron!$A46)+SUMIFS(Xero!$F:$F,Xero!$B:$B,Heron!AT$9,Xero!$A:$A,Heron!$A$5,Xero!$E:$E,Heron!$A46)</f>
        <v/>
      </c>
      <c r="AU46" s="66">
        <f>SUMIFS(Xero!$F:$F,Xero!$B:$B,Heron!AU$9,Xero!$A:$A,Heron!$A$4,Xero!$E:$E,Heron!$A46)+SUMIFS(Xero!$F:$F,Xero!$B:$B,Heron!AU$9,Xero!$A:$A,Heron!$A$5,Xero!$E:$E,Heron!$A46)</f>
        <v/>
      </c>
      <c r="AV46" s="66">
        <f>SUMIFS(Xero!$F:$F,Xero!$B:$B,Heron!AV$9,Xero!$A:$A,Heron!$A$4,Xero!$E:$E,Heron!$A46)+SUMIFS(Xero!$F:$F,Xero!$B:$B,Heron!AV$9,Xero!$A:$A,Heron!$A$5,Xero!$E:$E,Heron!$A46)</f>
        <v/>
      </c>
      <c r="AW46" s="66">
        <f>SUMIFS(Xero!$F:$F,Xero!$B:$B,Heron!AW$9,Xero!$A:$A,Heron!$A$4,Xero!$E:$E,Heron!$A46)+SUMIFS(Xero!$F:$F,Xero!$B:$B,Heron!AW$9,Xero!$A:$A,Heron!$A$5,Xero!$E:$E,Heron!$A46)</f>
        <v/>
      </c>
      <c r="AX46" s="66">
        <f>SUMIFS(Xero!$F:$F,Xero!$B:$B,Heron!AX$9,Xero!$A:$A,Heron!$A$4,Xero!$E:$E,Heron!$A46)+SUMIFS(Xero!$F:$F,Xero!$B:$B,Heron!AX$9,Xero!$A:$A,Heron!$A$5,Xero!$E:$E,Heron!$A46)</f>
        <v/>
      </c>
      <c r="AY46" s="66">
        <f>SUMIFS(Xero!$F:$F,Xero!$B:$B,Heron!AY$9,Xero!$A:$A,Heron!$A$4,Xero!$E:$E,Heron!$A46)+SUMIFS(Xero!$F:$F,Xero!$B:$B,Heron!AY$9,Xero!$A:$A,Heron!$A$5,Xero!$E:$E,Heron!$A46)</f>
        <v/>
      </c>
      <c r="AZ46" s="66">
        <f>SUMIFS(Xero!$F:$F,Xero!$B:$B,Heron!AZ$9,Xero!$A:$A,Heron!$A$4,Xero!$E:$E,Heron!$A46)+SUMIFS(Xero!$F:$F,Xero!$B:$B,Heron!AZ$9,Xero!$A:$A,Heron!$A$5,Xero!$E:$E,Heron!$A46)</f>
        <v/>
      </c>
      <c r="BA46" s="66">
        <f>SUMIFS(Xero!$F:$F,Xero!$B:$B,Heron!BA$9,Xero!$A:$A,Heron!$A$4,Xero!$E:$E,Heron!$A46)+SUMIFS(Xero!$F:$F,Xero!$B:$B,Heron!BA$9,Xero!$A:$A,Heron!$A$5,Xero!$E:$E,Heron!$A46)</f>
        <v/>
      </c>
      <c r="BB46" s="66">
        <f>SUMIFS(Xero!$F:$F,Xero!$B:$B,Heron!BB$9,Xero!$A:$A,Heron!$A$4,Xero!$E:$E,Heron!$A46)+SUMIFS(Xero!$F:$F,Xero!$B:$B,Heron!BB$9,Xero!$A:$A,Heron!$A$5,Xero!$E:$E,Heron!$A46)</f>
        <v/>
      </c>
      <c r="BC46" s="66">
        <f>SUMIFS(Xero!$F:$F,Xero!$B:$B,Heron!BC$9,Xero!$A:$A,Heron!$A$4,Xero!$E:$E,Heron!$A46)+SUMIFS(Xero!$F:$F,Xero!$B:$B,Heron!BC$9,Xero!$A:$A,Heron!$A$5,Xero!$E:$E,Heron!$A46)</f>
        <v/>
      </c>
      <c r="BD46" s="66">
        <f>SUMIFS(Xero!$F:$F,Xero!$B:$B,Heron!BD$9,Xero!$A:$A,Heron!$A$4,Xero!$E:$E,Heron!$A46)+SUMIFS(Xero!$F:$F,Xero!$B:$B,Heron!BD$9,Xero!$A:$A,Heron!$A$5,Xero!$E:$E,Heron!$A46)</f>
        <v/>
      </c>
      <c r="BE46" s="66">
        <f>SUMIFS(Xero!$F:$F,Xero!$B:$B,Heron!BE$9,Xero!$A:$A,Heron!$A$4,Xero!$E:$E,Heron!$A46)+SUMIFS(Xero!$F:$F,Xero!$B:$B,Heron!BE$9,Xero!$A:$A,Heron!$A$5,Xero!$E:$E,Heron!$A46)</f>
        <v/>
      </c>
      <c r="BF46" s="66">
        <f>SUMIFS(Xero!$F:$F,Xero!$B:$B,Heron!BF$9,Xero!$A:$A,Heron!$A$4,Xero!$E:$E,Heron!$A46)+SUMIFS(Xero!$F:$F,Xero!$B:$B,Heron!BF$9,Xero!$A:$A,Heron!$A$5,Xero!$E:$E,Heron!$A46)</f>
        <v/>
      </c>
      <c r="BG46" s="66">
        <f>SUMIFS(Xero!$F:$F,Xero!$B:$B,Heron!BG$9,Xero!$A:$A,Heron!$A$4,Xero!$E:$E,Heron!$A46)+SUMIFS(Xero!$F:$F,Xero!$B:$B,Heron!BG$9,Xero!$A:$A,Heron!$A$5,Xero!$E:$E,Heron!$A46)</f>
        <v/>
      </c>
      <c r="BH46" s="66">
        <f>sum(D46:BG46)</f>
        <v/>
      </c>
    </row>
    <row r="47">
      <c r="A47" s="65" t="inlineStr">
        <is>
          <t>COS - Heron View Showhouse</t>
        </is>
      </c>
      <c r="D47" s="66">
        <f>SUMIFS(Xero!$F:$F,Xero!$B:$B,Heron!D$9,Xero!$A:$A,Heron!$A$4,Xero!$E:$E,Heron!$A47)+SUMIFS(Xero!$F:$F,Xero!$B:$B,Heron!D$9,Xero!$A:$A,Heron!$A$5,Xero!$E:$E,Heron!$A47)</f>
        <v/>
      </c>
      <c r="E47" s="66">
        <f>SUMIFS(Xero!$F:$F,Xero!$B:$B,Heron!E$9,Xero!$A:$A,Heron!$A$4,Xero!$E:$E,Heron!$A47)+SUMIFS(Xero!$F:$F,Xero!$B:$B,Heron!E$9,Xero!$A:$A,Heron!$A$5,Xero!$E:$E,Heron!$A47)</f>
        <v/>
      </c>
      <c r="F47" s="66">
        <f>SUMIFS(Xero!$F:$F,Xero!$B:$B,Heron!F$9,Xero!$A:$A,Heron!$A$4,Xero!$E:$E,Heron!$A47)+SUMIFS(Xero!$F:$F,Xero!$B:$B,Heron!F$9,Xero!$A:$A,Heron!$A$5,Xero!$E:$E,Heron!$A47)</f>
        <v/>
      </c>
      <c r="G47" s="66">
        <f>SUMIFS(Xero!$F:$F,Xero!$B:$B,Heron!G$9,Xero!$A:$A,Heron!$A$4,Xero!$E:$E,Heron!$A47)+SUMIFS(Xero!$F:$F,Xero!$B:$B,Heron!G$9,Xero!$A:$A,Heron!$A$5,Xero!$E:$E,Heron!$A47)</f>
        <v/>
      </c>
      <c r="H47" s="66">
        <f>SUMIFS(Xero!$F:$F,Xero!$B:$B,Heron!H$9,Xero!$A:$A,Heron!$A$4,Xero!$E:$E,Heron!$A47)+SUMIFS(Xero!$F:$F,Xero!$B:$B,Heron!H$9,Xero!$A:$A,Heron!$A$5,Xero!$E:$E,Heron!$A47)</f>
        <v/>
      </c>
      <c r="I47" s="66">
        <f>SUMIFS(Xero!$F:$F,Xero!$B:$B,Heron!I$9,Xero!$A:$A,Heron!$A$4,Xero!$E:$E,Heron!$A47)+SUMIFS(Xero!$F:$F,Xero!$B:$B,Heron!I$9,Xero!$A:$A,Heron!$A$5,Xero!$E:$E,Heron!$A47)</f>
        <v/>
      </c>
      <c r="J47" s="66">
        <f>SUMIFS(Xero!$F:$F,Xero!$B:$B,Heron!J$9,Xero!$A:$A,Heron!$A$4,Xero!$E:$E,Heron!$A47)+SUMIFS(Xero!$F:$F,Xero!$B:$B,Heron!J$9,Xero!$A:$A,Heron!$A$5,Xero!$E:$E,Heron!$A47)</f>
        <v/>
      </c>
      <c r="K47" s="66">
        <f>SUMIFS(Xero!$F:$F,Xero!$B:$B,Heron!K$9,Xero!$A:$A,Heron!$A$4,Xero!$E:$E,Heron!$A47)+SUMIFS(Xero!$F:$F,Xero!$B:$B,Heron!K$9,Xero!$A:$A,Heron!$A$5,Xero!$E:$E,Heron!$A47)</f>
        <v/>
      </c>
      <c r="L47" s="66">
        <f>SUMIFS(Xero!$F:$F,Xero!$B:$B,Heron!L$9,Xero!$A:$A,Heron!$A$4,Xero!$E:$E,Heron!$A47)+SUMIFS(Xero!$F:$F,Xero!$B:$B,Heron!L$9,Xero!$A:$A,Heron!$A$5,Xero!$E:$E,Heron!$A47)</f>
        <v/>
      </c>
      <c r="M47" s="66">
        <f>SUMIFS(Xero!$F:$F,Xero!$B:$B,Heron!M$9,Xero!$A:$A,Heron!$A$4,Xero!$E:$E,Heron!$A47)+SUMIFS(Xero!$F:$F,Xero!$B:$B,Heron!M$9,Xero!$A:$A,Heron!$A$5,Xero!$E:$E,Heron!$A47)</f>
        <v/>
      </c>
      <c r="N47" s="66">
        <f>SUMIFS(Xero!$F:$F,Xero!$B:$B,Heron!N$9,Xero!$A:$A,Heron!$A$4,Xero!$E:$E,Heron!$A47)+SUMIFS(Xero!$F:$F,Xero!$B:$B,Heron!N$9,Xero!$A:$A,Heron!$A$5,Xero!$E:$E,Heron!$A47)</f>
        <v/>
      </c>
      <c r="O47" s="66">
        <f>SUMIFS(Xero!$F:$F,Xero!$B:$B,Heron!O$9,Xero!$A:$A,Heron!$A$4,Xero!$E:$E,Heron!$A47)+SUMIFS(Xero!$F:$F,Xero!$B:$B,Heron!O$9,Xero!$A:$A,Heron!$A$5,Xero!$E:$E,Heron!$A47)</f>
        <v/>
      </c>
      <c r="P47" s="66">
        <f>SUMIFS(Xero!$F:$F,Xero!$B:$B,Heron!P$9,Xero!$A:$A,Heron!$A$4,Xero!$E:$E,Heron!$A47)+SUMIFS(Xero!$F:$F,Xero!$B:$B,Heron!P$9,Xero!$A:$A,Heron!$A$5,Xero!$E:$E,Heron!$A47)</f>
        <v/>
      </c>
      <c r="Q47" s="66">
        <f>SUMIFS(Xero!$F:$F,Xero!$B:$B,Heron!Q$9,Xero!$A:$A,Heron!$A$4,Xero!$E:$E,Heron!$A47)+SUMIFS(Xero!$F:$F,Xero!$B:$B,Heron!Q$9,Xero!$A:$A,Heron!$A$5,Xero!$E:$E,Heron!$A47)</f>
        <v/>
      </c>
      <c r="R47" s="66">
        <f>SUMIFS(Xero!$F:$F,Xero!$B:$B,Heron!R$9,Xero!$A:$A,Heron!$A$4,Xero!$E:$E,Heron!$A47)+SUMIFS(Xero!$F:$F,Xero!$B:$B,Heron!R$9,Xero!$A:$A,Heron!$A$5,Xero!$E:$E,Heron!$A47)</f>
        <v/>
      </c>
      <c r="S47" s="66">
        <f>SUMIFS(Xero!$F:$F,Xero!$B:$B,Heron!S$9,Xero!$A:$A,Heron!$A$4,Xero!$E:$E,Heron!$A47)+SUMIFS(Xero!$F:$F,Xero!$B:$B,Heron!S$9,Xero!$A:$A,Heron!$A$5,Xero!$E:$E,Heron!$A47)</f>
        <v/>
      </c>
      <c r="T47" s="66">
        <f>SUMIFS(Xero!$F:$F,Xero!$B:$B,Heron!T$9,Xero!$A:$A,Heron!$A$4,Xero!$E:$E,Heron!$A47)+SUMIFS(Xero!$F:$F,Xero!$B:$B,Heron!T$9,Xero!$A:$A,Heron!$A$5,Xero!$E:$E,Heron!$A47)</f>
        <v/>
      </c>
      <c r="U47" s="66">
        <f>SUMIFS(Xero!$F:$F,Xero!$B:$B,Heron!U$9,Xero!$A:$A,Heron!$A$4,Xero!$E:$E,Heron!$A47)+SUMIFS(Xero!$F:$F,Xero!$B:$B,Heron!U$9,Xero!$A:$A,Heron!$A$5,Xero!$E:$E,Heron!$A47)</f>
        <v/>
      </c>
      <c r="V47" s="66">
        <f>SUMIFS(Xero!$F:$F,Xero!$B:$B,Heron!V$9,Xero!$A:$A,Heron!$A$4,Xero!$E:$E,Heron!$A47)+SUMIFS(Xero!$F:$F,Xero!$B:$B,Heron!V$9,Xero!$A:$A,Heron!$A$5,Xero!$E:$E,Heron!$A47)</f>
        <v/>
      </c>
      <c r="W47" s="66">
        <f>SUMIFS(Xero!$F:$F,Xero!$B:$B,Heron!W$9,Xero!$A:$A,Heron!$A$4,Xero!$E:$E,Heron!$A47)+SUMIFS(Xero!$F:$F,Xero!$B:$B,Heron!W$9,Xero!$A:$A,Heron!$A$5,Xero!$E:$E,Heron!$A47)</f>
        <v/>
      </c>
      <c r="X47" s="66">
        <f>SUMIFS(Xero!$F:$F,Xero!$B:$B,Heron!X$9,Xero!$A:$A,Heron!$A$4,Xero!$E:$E,Heron!$A47)+SUMIFS(Xero!$F:$F,Xero!$B:$B,Heron!X$9,Xero!$A:$A,Heron!$A$5,Xero!$E:$E,Heron!$A47)</f>
        <v/>
      </c>
      <c r="Y47" s="66">
        <f>SUMIFS(Xero!$F:$F,Xero!$B:$B,Heron!Y$9,Xero!$A:$A,Heron!$A$4,Xero!$E:$E,Heron!$A47)+SUMIFS(Xero!$F:$F,Xero!$B:$B,Heron!Y$9,Xero!$A:$A,Heron!$A$5,Xero!$E:$E,Heron!$A47)</f>
        <v/>
      </c>
      <c r="Z47" s="66">
        <f>SUMIFS(Xero!$F:$F,Xero!$B:$B,Heron!Z$9,Xero!$A:$A,Heron!$A$4,Xero!$E:$E,Heron!$A47)+SUMIFS(Xero!$F:$F,Xero!$B:$B,Heron!Z$9,Xero!$A:$A,Heron!$A$5,Xero!$E:$E,Heron!$A47)</f>
        <v/>
      </c>
      <c r="AA47" s="66">
        <f>SUMIFS(Xero!$F:$F,Xero!$B:$B,Heron!AA$9,Xero!$A:$A,Heron!$A$4,Xero!$E:$E,Heron!$A47)+SUMIFS(Xero!$F:$F,Xero!$B:$B,Heron!AA$9,Xero!$A:$A,Heron!$A$5,Xero!$E:$E,Heron!$A47)</f>
        <v/>
      </c>
      <c r="AB47" s="66">
        <f>SUMIFS(Xero!$F:$F,Xero!$B:$B,Heron!AB$9,Xero!$A:$A,Heron!$A$4,Xero!$E:$E,Heron!$A47)+SUMIFS(Xero!$F:$F,Xero!$B:$B,Heron!AB$9,Xero!$A:$A,Heron!$A$5,Xero!$E:$E,Heron!$A47)</f>
        <v/>
      </c>
      <c r="AC47" s="66">
        <f>SUMIFS(Xero!$F:$F,Xero!$B:$B,Heron!AC$9,Xero!$A:$A,Heron!$A$4,Xero!$E:$E,Heron!$A47)+SUMIFS(Xero!$F:$F,Xero!$B:$B,Heron!AC$9,Xero!$A:$A,Heron!$A$5,Xero!$E:$E,Heron!$A47)</f>
        <v/>
      </c>
      <c r="AD47" s="66">
        <f>SUMIFS(Xero!$F:$F,Xero!$B:$B,Heron!AD$9,Xero!$A:$A,Heron!$A$4,Xero!$E:$E,Heron!$A47)+SUMIFS(Xero!$F:$F,Xero!$B:$B,Heron!AD$9,Xero!$A:$A,Heron!$A$5,Xero!$E:$E,Heron!$A47)</f>
        <v/>
      </c>
      <c r="AE47" s="66">
        <f>SUMIFS(Xero!$F:$F,Xero!$B:$B,Heron!AE$9,Xero!$A:$A,Heron!$A$4,Xero!$E:$E,Heron!$A47)+SUMIFS(Xero!$F:$F,Xero!$B:$B,Heron!AE$9,Xero!$A:$A,Heron!$A$5,Xero!$E:$E,Heron!$A47)</f>
        <v/>
      </c>
      <c r="AF47" s="66">
        <f>SUMIFS(Xero!$F:$F,Xero!$B:$B,Heron!AF$9,Xero!$A:$A,Heron!$A$4,Xero!$E:$E,Heron!$A47)+SUMIFS(Xero!$F:$F,Xero!$B:$B,Heron!AF$9,Xero!$A:$A,Heron!$A$5,Xero!$E:$E,Heron!$A47)</f>
        <v/>
      </c>
      <c r="AG47" s="66">
        <f>SUMIFS(Xero!$F:$F,Xero!$B:$B,Heron!AG$9,Xero!$A:$A,Heron!$A$4,Xero!$E:$E,Heron!$A47)+SUMIFS(Xero!$F:$F,Xero!$B:$B,Heron!AG$9,Xero!$A:$A,Heron!$A$5,Xero!$E:$E,Heron!$A47)</f>
        <v/>
      </c>
      <c r="AH47" s="66">
        <f>SUMIFS(Xero!$F:$F,Xero!$B:$B,Heron!AH$9,Xero!$A:$A,Heron!$A$4,Xero!$E:$E,Heron!$A47)+SUMIFS(Xero!$F:$F,Xero!$B:$B,Heron!AH$9,Xero!$A:$A,Heron!$A$5,Xero!$E:$E,Heron!$A47)</f>
        <v/>
      </c>
      <c r="AI47" s="66">
        <f>SUMIFS(Xero!$F:$F,Xero!$B:$B,Heron!AI$9,Xero!$A:$A,Heron!$A$4,Xero!$E:$E,Heron!$A47)+SUMIFS(Xero!$F:$F,Xero!$B:$B,Heron!AI$9,Xero!$A:$A,Heron!$A$5,Xero!$E:$E,Heron!$A47)</f>
        <v/>
      </c>
      <c r="AJ47" s="66">
        <f>SUMIFS(Xero!$F:$F,Xero!$B:$B,Heron!AJ$9,Xero!$A:$A,Heron!$A$4,Xero!$E:$E,Heron!$A47)+SUMIFS(Xero!$F:$F,Xero!$B:$B,Heron!AJ$9,Xero!$A:$A,Heron!$A$5,Xero!$E:$E,Heron!$A47)</f>
        <v/>
      </c>
      <c r="AK47" s="66">
        <f>SUMIFS(Xero!$F:$F,Xero!$B:$B,Heron!AK$9,Xero!$A:$A,Heron!$A$4,Xero!$E:$E,Heron!$A47)+SUMIFS(Xero!$F:$F,Xero!$B:$B,Heron!AK$9,Xero!$A:$A,Heron!$A$5,Xero!$E:$E,Heron!$A47)</f>
        <v/>
      </c>
      <c r="AL47" s="66">
        <f>SUMIFS(Xero!$F:$F,Xero!$B:$B,Heron!AL$9,Xero!$A:$A,Heron!$A$4,Xero!$E:$E,Heron!$A47)+SUMIFS(Xero!$F:$F,Xero!$B:$B,Heron!AL$9,Xero!$A:$A,Heron!$A$5,Xero!$E:$E,Heron!$A47)</f>
        <v/>
      </c>
      <c r="AM47" s="66">
        <f>SUMIFS(Xero!$F:$F,Xero!$B:$B,Heron!AM$9,Xero!$A:$A,Heron!$A$4,Xero!$E:$E,Heron!$A47)+SUMIFS(Xero!$F:$F,Xero!$B:$B,Heron!AM$9,Xero!$A:$A,Heron!$A$5,Xero!$E:$E,Heron!$A47)</f>
        <v/>
      </c>
      <c r="AN47" s="66">
        <f>SUMIFS(Xero!$F:$F,Xero!$B:$B,Heron!AN$9,Xero!$A:$A,Heron!$A$4,Xero!$E:$E,Heron!$A47)+SUMIFS(Xero!$F:$F,Xero!$B:$B,Heron!AN$9,Xero!$A:$A,Heron!$A$5,Xero!$E:$E,Heron!$A47)</f>
        <v/>
      </c>
      <c r="AO47" s="66">
        <f>SUMIFS(Xero!$F:$F,Xero!$B:$B,Heron!AO$9,Xero!$A:$A,Heron!$A$4,Xero!$E:$E,Heron!$A47)+SUMIFS(Xero!$F:$F,Xero!$B:$B,Heron!AO$9,Xero!$A:$A,Heron!$A$5,Xero!$E:$E,Heron!$A47)</f>
        <v/>
      </c>
      <c r="AP47" s="66">
        <f>SUMIFS(Xero!$F:$F,Xero!$B:$B,Heron!AP$9,Xero!$A:$A,Heron!$A$4,Xero!$E:$E,Heron!$A47)+SUMIFS(Xero!$F:$F,Xero!$B:$B,Heron!AP$9,Xero!$A:$A,Heron!$A$5,Xero!$E:$E,Heron!$A47)</f>
        <v/>
      </c>
      <c r="AQ47" s="66">
        <f>SUMIFS(Xero!$F:$F,Xero!$B:$B,Heron!AQ$9,Xero!$A:$A,Heron!$A$4,Xero!$E:$E,Heron!$A47)+SUMIFS(Xero!$F:$F,Xero!$B:$B,Heron!AQ$9,Xero!$A:$A,Heron!$A$5,Xero!$E:$E,Heron!$A47)</f>
        <v/>
      </c>
      <c r="AR47" s="66">
        <f>SUMIFS(Xero!$F:$F,Xero!$B:$B,Heron!AR$9,Xero!$A:$A,Heron!$A$4,Xero!$E:$E,Heron!$A47)+SUMIFS(Xero!$F:$F,Xero!$B:$B,Heron!AR$9,Xero!$A:$A,Heron!$A$5,Xero!$E:$E,Heron!$A47)</f>
        <v/>
      </c>
      <c r="AS47" s="66">
        <f>SUMIFS(Xero!$F:$F,Xero!$B:$B,Heron!AS$9,Xero!$A:$A,Heron!$A$4,Xero!$E:$E,Heron!$A47)+SUMIFS(Xero!$F:$F,Xero!$B:$B,Heron!AS$9,Xero!$A:$A,Heron!$A$5,Xero!$E:$E,Heron!$A47)</f>
        <v/>
      </c>
      <c r="AT47" s="66">
        <f>SUMIFS(Xero!$F:$F,Xero!$B:$B,Heron!AT$9,Xero!$A:$A,Heron!$A$4,Xero!$E:$E,Heron!$A47)+SUMIFS(Xero!$F:$F,Xero!$B:$B,Heron!AT$9,Xero!$A:$A,Heron!$A$5,Xero!$E:$E,Heron!$A47)</f>
        <v/>
      </c>
      <c r="AU47" s="66">
        <f>SUMIFS(Xero!$F:$F,Xero!$B:$B,Heron!AU$9,Xero!$A:$A,Heron!$A$4,Xero!$E:$E,Heron!$A47)+SUMIFS(Xero!$F:$F,Xero!$B:$B,Heron!AU$9,Xero!$A:$A,Heron!$A$5,Xero!$E:$E,Heron!$A47)</f>
        <v/>
      </c>
      <c r="AV47" s="66">
        <f>SUMIFS(Xero!$F:$F,Xero!$B:$B,Heron!AV$9,Xero!$A:$A,Heron!$A$4,Xero!$E:$E,Heron!$A47)+SUMIFS(Xero!$F:$F,Xero!$B:$B,Heron!AV$9,Xero!$A:$A,Heron!$A$5,Xero!$E:$E,Heron!$A47)</f>
        <v/>
      </c>
      <c r="AW47" s="66">
        <f>SUMIFS(Xero!$F:$F,Xero!$B:$B,Heron!AW$9,Xero!$A:$A,Heron!$A$4,Xero!$E:$E,Heron!$A47)+SUMIFS(Xero!$F:$F,Xero!$B:$B,Heron!AW$9,Xero!$A:$A,Heron!$A$5,Xero!$E:$E,Heron!$A47)</f>
        <v/>
      </c>
      <c r="AX47" s="66">
        <f>SUMIFS(Xero!$F:$F,Xero!$B:$B,Heron!AX$9,Xero!$A:$A,Heron!$A$4,Xero!$E:$E,Heron!$A47)+SUMIFS(Xero!$F:$F,Xero!$B:$B,Heron!AX$9,Xero!$A:$A,Heron!$A$5,Xero!$E:$E,Heron!$A47)</f>
        <v/>
      </c>
      <c r="AY47" s="66">
        <f>SUMIFS(Xero!$F:$F,Xero!$B:$B,Heron!AY$9,Xero!$A:$A,Heron!$A$4,Xero!$E:$E,Heron!$A47)+SUMIFS(Xero!$F:$F,Xero!$B:$B,Heron!AY$9,Xero!$A:$A,Heron!$A$5,Xero!$E:$E,Heron!$A47)</f>
        <v/>
      </c>
      <c r="AZ47" s="66">
        <f>SUMIFS(Xero!$F:$F,Xero!$B:$B,Heron!AZ$9,Xero!$A:$A,Heron!$A$4,Xero!$E:$E,Heron!$A47)+SUMIFS(Xero!$F:$F,Xero!$B:$B,Heron!AZ$9,Xero!$A:$A,Heron!$A$5,Xero!$E:$E,Heron!$A47)</f>
        <v/>
      </c>
      <c r="BA47" s="66">
        <f>SUMIFS(Xero!$F:$F,Xero!$B:$B,Heron!BA$9,Xero!$A:$A,Heron!$A$4,Xero!$E:$E,Heron!$A47)+SUMIFS(Xero!$F:$F,Xero!$B:$B,Heron!BA$9,Xero!$A:$A,Heron!$A$5,Xero!$E:$E,Heron!$A47)</f>
        <v/>
      </c>
      <c r="BB47" s="66">
        <f>SUMIFS(Xero!$F:$F,Xero!$B:$B,Heron!BB$9,Xero!$A:$A,Heron!$A$4,Xero!$E:$E,Heron!$A47)+SUMIFS(Xero!$F:$F,Xero!$B:$B,Heron!BB$9,Xero!$A:$A,Heron!$A$5,Xero!$E:$E,Heron!$A47)</f>
        <v/>
      </c>
      <c r="BC47" s="66">
        <f>SUMIFS(Xero!$F:$F,Xero!$B:$B,Heron!BC$9,Xero!$A:$A,Heron!$A$4,Xero!$E:$E,Heron!$A47)+SUMIFS(Xero!$F:$F,Xero!$B:$B,Heron!BC$9,Xero!$A:$A,Heron!$A$5,Xero!$E:$E,Heron!$A47)</f>
        <v/>
      </c>
      <c r="BD47" s="66">
        <f>SUMIFS(Xero!$F:$F,Xero!$B:$B,Heron!BD$9,Xero!$A:$A,Heron!$A$4,Xero!$E:$E,Heron!$A47)+SUMIFS(Xero!$F:$F,Xero!$B:$B,Heron!BD$9,Xero!$A:$A,Heron!$A$5,Xero!$E:$E,Heron!$A47)</f>
        <v/>
      </c>
      <c r="BE47" s="66">
        <f>SUMIFS(Xero!$F:$F,Xero!$B:$B,Heron!BE$9,Xero!$A:$A,Heron!$A$4,Xero!$E:$E,Heron!$A47)+SUMIFS(Xero!$F:$F,Xero!$B:$B,Heron!BE$9,Xero!$A:$A,Heron!$A$5,Xero!$E:$E,Heron!$A47)</f>
        <v/>
      </c>
      <c r="BF47" s="66">
        <f>SUMIFS(Xero!$F:$F,Xero!$B:$B,Heron!BF$9,Xero!$A:$A,Heron!$A$4,Xero!$E:$E,Heron!$A47)+SUMIFS(Xero!$F:$F,Xero!$B:$B,Heron!BF$9,Xero!$A:$A,Heron!$A$5,Xero!$E:$E,Heron!$A47)</f>
        <v/>
      </c>
      <c r="BG47" s="66">
        <f>SUMIFS(Xero!$F:$F,Xero!$B:$B,Heron!BG$9,Xero!$A:$A,Heron!$A$4,Xero!$E:$E,Heron!$A47)+SUMIFS(Xero!$F:$F,Xero!$B:$B,Heron!BG$9,Xero!$A:$A,Heron!$A$5,Xero!$E:$E,Heron!$A47)</f>
        <v/>
      </c>
      <c r="BH47" s="66">
        <f>sum(D47:BG47)</f>
        <v/>
      </c>
    </row>
    <row r="48">
      <c r="A48" s="65" t="inlineStr">
        <is>
          <t>COS - Heron sales office</t>
        </is>
      </c>
      <c r="D48" s="66">
        <f>SUMIFS(Xero!$F:$F,Xero!$B:$B,Heron!D$9,Xero!$A:$A,Heron!$A$4,Xero!$E:$E,Heron!$A48)+SUMIFS(Xero!$F:$F,Xero!$B:$B,Heron!D$9,Xero!$A:$A,Heron!$A$5,Xero!$E:$E,Heron!$A48)</f>
        <v/>
      </c>
      <c r="E48" s="66">
        <f>SUMIFS(Xero!$F:$F,Xero!$B:$B,Heron!E$9,Xero!$A:$A,Heron!$A$4,Xero!$E:$E,Heron!$A48)+SUMIFS(Xero!$F:$F,Xero!$B:$B,Heron!E$9,Xero!$A:$A,Heron!$A$5,Xero!$E:$E,Heron!$A48)</f>
        <v/>
      </c>
      <c r="F48" s="66">
        <f>SUMIFS(Xero!$F:$F,Xero!$B:$B,Heron!F$9,Xero!$A:$A,Heron!$A$4,Xero!$E:$E,Heron!$A48)+SUMIFS(Xero!$F:$F,Xero!$B:$B,Heron!F$9,Xero!$A:$A,Heron!$A$5,Xero!$E:$E,Heron!$A48)</f>
        <v/>
      </c>
      <c r="G48" s="66">
        <f>SUMIFS(Xero!$F:$F,Xero!$B:$B,Heron!G$9,Xero!$A:$A,Heron!$A$4,Xero!$E:$E,Heron!$A48)+SUMIFS(Xero!$F:$F,Xero!$B:$B,Heron!G$9,Xero!$A:$A,Heron!$A$5,Xero!$E:$E,Heron!$A48)</f>
        <v/>
      </c>
      <c r="H48" s="66">
        <f>SUMIFS(Xero!$F:$F,Xero!$B:$B,Heron!H$9,Xero!$A:$A,Heron!$A$4,Xero!$E:$E,Heron!$A48)+SUMIFS(Xero!$F:$F,Xero!$B:$B,Heron!H$9,Xero!$A:$A,Heron!$A$5,Xero!$E:$E,Heron!$A48)</f>
        <v/>
      </c>
      <c r="I48" s="66">
        <f>SUMIFS(Xero!$F:$F,Xero!$B:$B,Heron!I$9,Xero!$A:$A,Heron!$A$4,Xero!$E:$E,Heron!$A48)+SUMIFS(Xero!$F:$F,Xero!$B:$B,Heron!I$9,Xero!$A:$A,Heron!$A$5,Xero!$E:$E,Heron!$A48)</f>
        <v/>
      </c>
      <c r="J48" s="66">
        <f>SUMIFS(Xero!$F:$F,Xero!$B:$B,Heron!J$9,Xero!$A:$A,Heron!$A$4,Xero!$E:$E,Heron!$A48)+SUMIFS(Xero!$F:$F,Xero!$B:$B,Heron!J$9,Xero!$A:$A,Heron!$A$5,Xero!$E:$E,Heron!$A48)</f>
        <v/>
      </c>
      <c r="K48" s="66">
        <f>SUMIFS(Xero!$F:$F,Xero!$B:$B,Heron!K$9,Xero!$A:$A,Heron!$A$4,Xero!$E:$E,Heron!$A48)+SUMIFS(Xero!$F:$F,Xero!$B:$B,Heron!K$9,Xero!$A:$A,Heron!$A$5,Xero!$E:$E,Heron!$A48)</f>
        <v/>
      </c>
      <c r="L48" s="66">
        <f>SUMIFS(Xero!$F:$F,Xero!$B:$B,Heron!L$9,Xero!$A:$A,Heron!$A$4,Xero!$E:$E,Heron!$A48)+SUMIFS(Xero!$F:$F,Xero!$B:$B,Heron!L$9,Xero!$A:$A,Heron!$A$5,Xero!$E:$E,Heron!$A48)</f>
        <v/>
      </c>
      <c r="M48" s="66">
        <f>SUMIFS(Xero!$F:$F,Xero!$B:$B,Heron!M$9,Xero!$A:$A,Heron!$A$4,Xero!$E:$E,Heron!$A48)+SUMIFS(Xero!$F:$F,Xero!$B:$B,Heron!M$9,Xero!$A:$A,Heron!$A$5,Xero!$E:$E,Heron!$A48)</f>
        <v/>
      </c>
      <c r="N48" s="66">
        <f>SUMIFS(Xero!$F:$F,Xero!$B:$B,Heron!N$9,Xero!$A:$A,Heron!$A$4,Xero!$E:$E,Heron!$A48)+SUMIFS(Xero!$F:$F,Xero!$B:$B,Heron!N$9,Xero!$A:$A,Heron!$A$5,Xero!$E:$E,Heron!$A48)</f>
        <v/>
      </c>
      <c r="O48" s="66">
        <f>SUMIFS(Xero!$F:$F,Xero!$B:$B,Heron!O$9,Xero!$A:$A,Heron!$A$4,Xero!$E:$E,Heron!$A48)+SUMIFS(Xero!$F:$F,Xero!$B:$B,Heron!O$9,Xero!$A:$A,Heron!$A$5,Xero!$E:$E,Heron!$A48)</f>
        <v/>
      </c>
      <c r="P48" s="66">
        <f>SUMIFS(Xero!$F:$F,Xero!$B:$B,Heron!P$9,Xero!$A:$A,Heron!$A$4,Xero!$E:$E,Heron!$A48)+SUMIFS(Xero!$F:$F,Xero!$B:$B,Heron!P$9,Xero!$A:$A,Heron!$A$5,Xero!$E:$E,Heron!$A48)</f>
        <v/>
      </c>
      <c r="Q48" s="66">
        <f>SUMIFS(Xero!$F:$F,Xero!$B:$B,Heron!Q$9,Xero!$A:$A,Heron!$A$4,Xero!$E:$E,Heron!$A48)+SUMIFS(Xero!$F:$F,Xero!$B:$B,Heron!Q$9,Xero!$A:$A,Heron!$A$5,Xero!$E:$E,Heron!$A48)</f>
        <v/>
      </c>
      <c r="R48" s="66">
        <f>SUMIFS(Xero!$F:$F,Xero!$B:$B,Heron!R$9,Xero!$A:$A,Heron!$A$4,Xero!$E:$E,Heron!$A48)+SUMIFS(Xero!$F:$F,Xero!$B:$B,Heron!R$9,Xero!$A:$A,Heron!$A$5,Xero!$E:$E,Heron!$A48)</f>
        <v/>
      </c>
      <c r="S48" s="66">
        <f>SUMIFS(Xero!$F:$F,Xero!$B:$B,Heron!S$9,Xero!$A:$A,Heron!$A$4,Xero!$E:$E,Heron!$A48)+SUMIFS(Xero!$F:$F,Xero!$B:$B,Heron!S$9,Xero!$A:$A,Heron!$A$5,Xero!$E:$E,Heron!$A48)</f>
        <v/>
      </c>
      <c r="T48" s="66">
        <f>SUMIFS(Xero!$F:$F,Xero!$B:$B,Heron!T$9,Xero!$A:$A,Heron!$A$4,Xero!$E:$E,Heron!$A48)+SUMIFS(Xero!$F:$F,Xero!$B:$B,Heron!T$9,Xero!$A:$A,Heron!$A$5,Xero!$E:$E,Heron!$A48)</f>
        <v/>
      </c>
      <c r="U48" s="66">
        <f>SUMIFS(Xero!$F:$F,Xero!$B:$B,Heron!U$9,Xero!$A:$A,Heron!$A$4,Xero!$E:$E,Heron!$A48)+SUMIFS(Xero!$F:$F,Xero!$B:$B,Heron!U$9,Xero!$A:$A,Heron!$A$5,Xero!$E:$E,Heron!$A48)</f>
        <v/>
      </c>
      <c r="V48" s="66">
        <f>SUMIFS(Xero!$F:$F,Xero!$B:$B,Heron!V$9,Xero!$A:$A,Heron!$A$4,Xero!$E:$E,Heron!$A48)+SUMIFS(Xero!$F:$F,Xero!$B:$B,Heron!V$9,Xero!$A:$A,Heron!$A$5,Xero!$E:$E,Heron!$A48)</f>
        <v/>
      </c>
      <c r="W48" s="66">
        <f>SUMIFS(Xero!$F:$F,Xero!$B:$B,Heron!W$9,Xero!$A:$A,Heron!$A$4,Xero!$E:$E,Heron!$A48)+SUMIFS(Xero!$F:$F,Xero!$B:$B,Heron!W$9,Xero!$A:$A,Heron!$A$5,Xero!$E:$E,Heron!$A48)</f>
        <v/>
      </c>
      <c r="X48" s="66">
        <f>SUMIFS(Xero!$F:$F,Xero!$B:$B,Heron!X$9,Xero!$A:$A,Heron!$A$4,Xero!$E:$E,Heron!$A48)+SUMIFS(Xero!$F:$F,Xero!$B:$B,Heron!X$9,Xero!$A:$A,Heron!$A$5,Xero!$E:$E,Heron!$A48)</f>
        <v/>
      </c>
      <c r="Y48" s="66">
        <f>SUMIFS(Xero!$F:$F,Xero!$B:$B,Heron!Y$9,Xero!$A:$A,Heron!$A$4,Xero!$E:$E,Heron!$A48)+SUMIFS(Xero!$F:$F,Xero!$B:$B,Heron!Y$9,Xero!$A:$A,Heron!$A$5,Xero!$E:$E,Heron!$A48)</f>
        <v/>
      </c>
      <c r="Z48" s="66">
        <f>SUMIFS(Xero!$F:$F,Xero!$B:$B,Heron!Z$9,Xero!$A:$A,Heron!$A$4,Xero!$E:$E,Heron!$A48)+SUMIFS(Xero!$F:$F,Xero!$B:$B,Heron!Z$9,Xero!$A:$A,Heron!$A$5,Xero!$E:$E,Heron!$A48)</f>
        <v/>
      </c>
      <c r="AA48" s="66">
        <f>SUMIFS(Xero!$F:$F,Xero!$B:$B,Heron!AA$9,Xero!$A:$A,Heron!$A$4,Xero!$E:$E,Heron!$A48)+SUMIFS(Xero!$F:$F,Xero!$B:$B,Heron!AA$9,Xero!$A:$A,Heron!$A$5,Xero!$E:$E,Heron!$A48)</f>
        <v/>
      </c>
      <c r="AB48" s="66">
        <f>SUMIFS(Xero!$F:$F,Xero!$B:$B,Heron!AB$9,Xero!$A:$A,Heron!$A$4,Xero!$E:$E,Heron!$A48)+SUMIFS(Xero!$F:$F,Xero!$B:$B,Heron!AB$9,Xero!$A:$A,Heron!$A$5,Xero!$E:$E,Heron!$A48)</f>
        <v/>
      </c>
      <c r="AC48" s="66">
        <f>SUMIFS(Xero!$F:$F,Xero!$B:$B,Heron!AC$9,Xero!$A:$A,Heron!$A$4,Xero!$E:$E,Heron!$A48)+SUMIFS(Xero!$F:$F,Xero!$B:$B,Heron!AC$9,Xero!$A:$A,Heron!$A$5,Xero!$E:$E,Heron!$A48)</f>
        <v/>
      </c>
      <c r="AD48" s="66">
        <f>SUMIFS(Xero!$F:$F,Xero!$B:$B,Heron!AD$9,Xero!$A:$A,Heron!$A$4,Xero!$E:$E,Heron!$A48)+SUMIFS(Xero!$F:$F,Xero!$B:$B,Heron!AD$9,Xero!$A:$A,Heron!$A$5,Xero!$E:$E,Heron!$A48)</f>
        <v/>
      </c>
      <c r="AE48" s="66">
        <f>SUMIFS(Xero!$F:$F,Xero!$B:$B,Heron!AE$9,Xero!$A:$A,Heron!$A$4,Xero!$E:$E,Heron!$A48)+SUMIFS(Xero!$F:$F,Xero!$B:$B,Heron!AE$9,Xero!$A:$A,Heron!$A$5,Xero!$E:$E,Heron!$A48)</f>
        <v/>
      </c>
      <c r="AF48" s="66">
        <f>SUMIFS(Xero!$F:$F,Xero!$B:$B,Heron!AF$9,Xero!$A:$A,Heron!$A$4,Xero!$E:$E,Heron!$A48)+SUMIFS(Xero!$F:$F,Xero!$B:$B,Heron!AF$9,Xero!$A:$A,Heron!$A$5,Xero!$E:$E,Heron!$A48)</f>
        <v/>
      </c>
      <c r="AG48" s="66">
        <f>SUMIFS(Xero!$F:$F,Xero!$B:$B,Heron!AG$9,Xero!$A:$A,Heron!$A$4,Xero!$E:$E,Heron!$A48)+SUMIFS(Xero!$F:$F,Xero!$B:$B,Heron!AG$9,Xero!$A:$A,Heron!$A$5,Xero!$E:$E,Heron!$A48)</f>
        <v/>
      </c>
      <c r="AH48" s="66">
        <f>SUMIFS(Xero!$F:$F,Xero!$B:$B,Heron!AH$9,Xero!$A:$A,Heron!$A$4,Xero!$E:$E,Heron!$A48)+SUMIFS(Xero!$F:$F,Xero!$B:$B,Heron!AH$9,Xero!$A:$A,Heron!$A$5,Xero!$E:$E,Heron!$A48)</f>
        <v/>
      </c>
      <c r="AI48" s="66">
        <f>SUMIFS(Xero!$F:$F,Xero!$B:$B,Heron!AI$9,Xero!$A:$A,Heron!$A$4,Xero!$E:$E,Heron!$A48)+SUMIFS(Xero!$F:$F,Xero!$B:$B,Heron!AI$9,Xero!$A:$A,Heron!$A$5,Xero!$E:$E,Heron!$A48)</f>
        <v/>
      </c>
      <c r="AJ48" s="66">
        <f>SUMIFS(Xero!$F:$F,Xero!$B:$B,Heron!AJ$9,Xero!$A:$A,Heron!$A$4,Xero!$E:$E,Heron!$A48)+SUMIFS(Xero!$F:$F,Xero!$B:$B,Heron!AJ$9,Xero!$A:$A,Heron!$A$5,Xero!$E:$E,Heron!$A48)</f>
        <v/>
      </c>
      <c r="AK48" s="66">
        <f>SUMIFS(Xero!$F:$F,Xero!$B:$B,Heron!AK$9,Xero!$A:$A,Heron!$A$4,Xero!$E:$E,Heron!$A48)+SUMIFS(Xero!$F:$F,Xero!$B:$B,Heron!AK$9,Xero!$A:$A,Heron!$A$5,Xero!$E:$E,Heron!$A48)</f>
        <v/>
      </c>
      <c r="AL48" s="66">
        <f>SUMIFS(Xero!$F:$F,Xero!$B:$B,Heron!AL$9,Xero!$A:$A,Heron!$A$4,Xero!$E:$E,Heron!$A48)+SUMIFS(Xero!$F:$F,Xero!$B:$B,Heron!AL$9,Xero!$A:$A,Heron!$A$5,Xero!$E:$E,Heron!$A48)</f>
        <v/>
      </c>
      <c r="AM48" s="66">
        <f>SUMIFS(Xero!$F:$F,Xero!$B:$B,Heron!AM$9,Xero!$A:$A,Heron!$A$4,Xero!$E:$E,Heron!$A48)+SUMIFS(Xero!$F:$F,Xero!$B:$B,Heron!AM$9,Xero!$A:$A,Heron!$A$5,Xero!$E:$E,Heron!$A48)</f>
        <v/>
      </c>
      <c r="AN48" s="66">
        <f>SUMIFS(Xero!$F:$F,Xero!$B:$B,Heron!AN$9,Xero!$A:$A,Heron!$A$4,Xero!$E:$E,Heron!$A48)+SUMIFS(Xero!$F:$F,Xero!$B:$B,Heron!AN$9,Xero!$A:$A,Heron!$A$5,Xero!$E:$E,Heron!$A48)</f>
        <v/>
      </c>
      <c r="AO48" s="66">
        <f>SUMIFS(Xero!$F:$F,Xero!$B:$B,Heron!AO$9,Xero!$A:$A,Heron!$A$4,Xero!$E:$E,Heron!$A48)+SUMIFS(Xero!$F:$F,Xero!$B:$B,Heron!AO$9,Xero!$A:$A,Heron!$A$5,Xero!$E:$E,Heron!$A48)</f>
        <v/>
      </c>
      <c r="AP48" s="66">
        <f>SUMIFS(Xero!$F:$F,Xero!$B:$B,Heron!AP$9,Xero!$A:$A,Heron!$A$4,Xero!$E:$E,Heron!$A48)+SUMIFS(Xero!$F:$F,Xero!$B:$B,Heron!AP$9,Xero!$A:$A,Heron!$A$5,Xero!$E:$E,Heron!$A48)</f>
        <v/>
      </c>
      <c r="AQ48" s="66">
        <f>SUMIFS(Xero!$F:$F,Xero!$B:$B,Heron!AQ$9,Xero!$A:$A,Heron!$A$4,Xero!$E:$E,Heron!$A48)+SUMIFS(Xero!$F:$F,Xero!$B:$B,Heron!AQ$9,Xero!$A:$A,Heron!$A$5,Xero!$E:$E,Heron!$A48)</f>
        <v/>
      </c>
      <c r="AR48" s="66">
        <f>SUMIFS(Xero!$F:$F,Xero!$B:$B,Heron!AR$9,Xero!$A:$A,Heron!$A$4,Xero!$E:$E,Heron!$A48)+SUMIFS(Xero!$F:$F,Xero!$B:$B,Heron!AR$9,Xero!$A:$A,Heron!$A$5,Xero!$E:$E,Heron!$A48)</f>
        <v/>
      </c>
      <c r="AS48" s="66">
        <f>SUMIFS(Xero!$F:$F,Xero!$B:$B,Heron!AS$9,Xero!$A:$A,Heron!$A$4,Xero!$E:$E,Heron!$A48)+SUMIFS(Xero!$F:$F,Xero!$B:$B,Heron!AS$9,Xero!$A:$A,Heron!$A$5,Xero!$E:$E,Heron!$A48)</f>
        <v/>
      </c>
      <c r="AT48" s="66">
        <f>SUMIFS(Xero!$F:$F,Xero!$B:$B,Heron!AT$9,Xero!$A:$A,Heron!$A$4,Xero!$E:$E,Heron!$A48)+SUMIFS(Xero!$F:$F,Xero!$B:$B,Heron!AT$9,Xero!$A:$A,Heron!$A$5,Xero!$E:$E,Heron!$A48)</f>
        <v/>
      </c>
      <c r="AU48" s="66">
        <f>SUMIFS(Xero!$F:$F,Xero!$B:$B,Heron!AU$9,Xero!$A:$A,Heron!$A$4,Xero!$E:$E,Heron!$A48)+SUMIFS(Xero!$F:$F,Xero!$B:$B,Heron!AU$9,Xero!$A:$A,Heron!$A$5,Xero!$E:$E,Heron!$A48)</f>
        <v/>
      </c>
      <c r="AV48" s="66">
        <f>SUMIFS(Xero!$F:$F,Xero!$B:$B,Heron!AV$9,Xero!$A:$A,Heron!$A$4,Xero!$E:$E,Heron!$A48)+SUMIFS(Xero!$F:$F,Xero!$B:$B,Heron!AV$9,Xero!$A:$A,Heron!$A$5,Xero!$E:$E,Heron!$A48)</f>
        <v/>
      </c>
      <c r="AW48" s="66">
        <f>SUMIFS(Xero!$F:$F,Xero!$B:$B,Heron!AW$9,Xero!$A:$A,Heron!$A$4,Xero!$E:$E,Heron!$A48)+SUMIFS(Xero!$F:$F,Xero!$B:$B,Heron!AW$9,Xero!$A:$A,Heron!$A$5,Xero!$E:$E,Heron!$A48)</f>
        <v/>
      </c>
      <c r="AX48" s="66">
        <f>SUMIFS(Xero!$F:$F,Xero!$B:$B,Heron!AX$9,Xero!$A:$A,Heron!$A$4,Xero!$E:$E,Heron!$A48)+SUMIFS(Xero!$F:$F,Xero!$B:$B,Heron!AX$9,Xero!$A:$A,Heron!$A$5,Xero!$E:$E,Heron!$A48)</f>
        <v/>
      </c>
      <c r="AY48" s="66">
        <f>SUMIFS(Xero!$F:$F,Xero!$B:$B,Heron!AY$9,Xero!$A:$A,Heron!$A$4,Xero!$E:$E,Heron!$A48)+SUMIFS(Xero!$F:$F,Xero!$B:$B,Heron!AY$9,Xero!$A:$A,Heron!$A$5,Xero!$E:$E,Heron!$A48)</f>
        <v/>
      </c>
      <c r="AZ48" s="66">
        <f>SUMIFS(Xero!$F:$F,Xero!$B:$B,Heron!AZ$9,Xero!$A:$A,Heron!$A$4,Xero!$E:$E,Heron!$A48)+SUMIFS(Xero!$F:$F,Xero!$B:$B,Heron!AZ$9,Xero!$A:$A,Heron!$A$5,Xero!$E:$E,Heron!$A48)</f>
        <v/>
      </c>
      <c r="BA48" s="66">
        <f>SUMIFS(Xero!$F:$F,Xero!$B:$B,Heron!BA$9,Xero!$A:$A,Heron!$A$4,Xero!$E:$E,Heron!$A48)+SUMIFS(Xero!$F:$F,Xero!$B:$B,Heron!BA$9,Xero!$A:$A,Heron!$A$5,Xero!$E:$E,Heron!$A48)</f>
        <v/>
      </c>
      <c r="BB48" s="66">
        <f>SUMIFS(Xero!$F:$F,Xero!$B:$B,Heron!BB$9,Xero!$A:$A,Heron!$A$4,Xero!$E:$E,Heron!$A48)+SUMIFS(Xero!$F:$F,Xero!$B:$B,Heron!BB$9,Xero!$A:$A,Heron!$A$5,Xero!$E:$E,Heron!$A48)</f>
        <v/>
      </c>
      <c r="BC48" s="66">
        <f>SUMIFS(Xero!$F:$F,Xero!$B:$B,Heron!BC$9,Xero!$A:$A,Heron!$A$4,Xero!$E:$E,Heron!$A48)+SUMIFS(Xero!$F:$F,Xero!$B:$B,Heron!BC$9,Xero!$A:$A,Heron!$A$5,Xero!$E:$E,Heron!$A48)</f>
        <v/>
      </c>
      <c r="BD48" s="66">
        <f>SUMIFS(Xero!$F:$F,Xero!$B:$B,Heron!BD$9,Xero!$A:$A,Heron!$A$4,Xero!$E:$E,Heron!$A48)+SUMIFS(Xero!$F:$F,Xero!$B:$B,Heron!BD$9,Xero!$A:$A,Heron!$A$5,Xero!$E:$E,Heron!$A48)</f>
        <v/>
      </c>
      <c r="BE48" s="66">
        <f>SUMIFS(Xero!$F:$F,Xero!$B:$B,Heron!BE$9,Xero!$A:$A,Heron!$A$4,Xero!$E:$E,Heron!$A48)+SUMIFS(Xero!$F:$F,Xero!$B:$B,Heron!BE$9,Xero!$A:$A,Heron!$A$5,Xero!$E:$E,Heron!$A48)</f>
        <v/>
      </c>
      <c r="BF48" s="66">
        <f>SUMIFS(Xero!$F:$F,Xero!$B:$B,Heron!BF$9,Xero!$A:$A,Heron!$A$4,Xero!$E:$E,Heron!$A48)+SUMIFS(Xero!$F:$F,Xero!$B:$B,Heron!BF$9,Xero!$A:$A,Heron!$A$5,Xero!$E:$E,Heron!$A48)</f>
        <v/>
      </c>
      <c r="BG48" s="66">
        <f>SUMIFS(Xero!$F:$F,Xero!$B:$B,Heron!BG$9,Xero!$A:$A,Heron!$A$4,Xero!$E:$E,Heron!$A48)+SUMIFS(Xero!$F:$F,Xero!$B:$B,Heron!BG$9,Xero!$A:$A,Heron!$A$5,Xero!$E:$E,Heron!$A48)</f>
        <v/>
      </c>
      <c r="BH48" s="66">
        <f>sum(D48:BG48)</f>
        <v/>
      </c>
    </row>
    <row r="49">
      <c r="A49" s="65" t="inlineStr">
        <is>
          <t>COS - Inverters</t>
        </is>
      </c>
      <c r="D49" s="66">
        <f>SUMIFS(Xero!$F:$F,Xero!$B:$B,Heron!D$9,Xero!$A:$A,Heron!$A$4,Xero!$E:$E,Heron!$A49)+SUMIFS(Xero!$F:$F,Xero!$B:$B,Heron!D$9,Xero!$A:$A,Heron!$A$5,Xero!$E:$E,Heron!$A49)</f>
        <v/>
      </c>
      <c r="E49" s="66">
        <f>SUMIFS(Xero!$F:$F,Xero!$B:$B,Heron!E$9,Xero!$A:$A,Heron!$A$4,Xero!$E:$E,Heron!$A49)+SUMIFS(Xero!$F:$F,Xero!$B:$B,Heron!E$9,Xero!$A:$A,Heron!$A$5,Xero!$E:$E,Heron!$A49)</f>
        <v/>
      </c>
      <c r="F49" s="66">
        <f>SUMIFS(Xero!$F:$F,Xero!$B:$B,Heron!F$9,Xero!$A:$A,Heron!$A$4,Xero!$E:$E,Heron!$A49)+SUMIFS(Xero!$F:$F,Xero!$B:$B,Heron!F$9,Xero!$A:$A,Heron!$A$5,Xero!$E:$E,Heron!$A49)</f>
        <v/>
      </c>
      <c r="G49" s="66">
        <f>SUMIFS(Xero!$F:$F,Xero!$B:$B,Heron!G$9,Xero!$A:$A,Heron!$A$4,Xero!$E:$E,Heron!$A49)+SUMIFS(Xero!$F:$F,Xero!$B:$B,Heron!G$9,Xero!$A:$A,Heron!$A$5,Xero!$E:$E,Heron!$A49)</f>
        <v/>
      </c>
      <c r="H49" s="66">
        <f>SUMIFS(Xero!$F:$F,Xero!$B:$B,Heron!H$9,Xero!$A:$A,Heron!$A$4,Xero!$E:$E,Heron!$A49)+SUMIFS(Xero!$F:$F,Xero!$B:$B,Heron!H$9,Xero!$A:$A,Heron!$A$5,Xero!$E:$E,Heron!$A49)</f>
        <v/>
      </c>
      <c r="I49" s="66">
        <f>SUMIFS(Xero!$F:$F,Xero!$B:$B,Heron!I$9,Xero!$A:$A,Heron!$A$4,Xero!$E:$E,Heron!$A49)+SUMIFS(Xero!$F:$F,Xero!$B:$B,Heron!I$9,Xero!$A:$A,Heron!$A$5,Xero!$E:$E,Heron!$A49)</f>
        <v/>
      </c>
      <c r="J49" s="66">
        <f>SUMIFS(Xero!$F:$F,Xero!$B:$B,Heron!J$9,Xero!$A:$A,Heron!$A$4,Xero!$E:$E,Heron!$A49)+SUMIFS(Xero!$F:$F,Xero!$B:$B,Heron!J$9,Xero!$A:$A,Heron!$A$5,Xero!$E:$E,Heron!$A49)</f>
        <v/>
      </c>
      <c r="K49" s="66">
        <f>SUMIFS(Xero!$F:$F,Xero!$B:$B,Heron!K$9,Xero!$A:$A,Heron!$A$4,Xero!$E:$E,Heron!$A49)+SUMIFS(Xero!$F:$F,Xero!$B:$B,Heron!K$9,Xero!$A:$A,Heron!$A$5,Xero!$E:$E,Heron!$A49)</f>
        <v/>
      </c>
      <c r="L49" s="66">
        <f>SUMIFS(Xero!$F:$F,Xero!$B:$B,Heron!L$9,Xero!$A:$A,Heron!$A$4,Xero!$E:$E,Heron!$A49)+SUMIFS(Xero!$F:$F,Xero!$B:$B,Heron!L$9,Xero!$A:$A,Heron!$A$5,Xero!$E:$E,Heron!$A49)</f>
        <v/>
      </c>
      <c r="M49" s="66">
        <f>SUMIFS(Xero!$F:$F,Xero!$B:$B,Heron!M$9,Xero!$A:$A,Heron!$A$4,Xero!$E:$E,Heron!$A49)+SUMIFS(Xero!$F:$F,Xero!$B:$B,Heron!M$9,Xero!$A:$A,Heron!$A$5,Xero!$E:$E,Heron!$A49)</f>
        <v/>
      </c>
      <c r="N49" s="66">
        <f>SUMIFS(Xero!$F:$F,Xero!$B:$B,Heron!N$9,Xero!$A:$A,Heron!$A$4,Xero!$E:$E,Heron!$A49)+SUMIFS(Xero!$F:$F,Xero!$B:$B,Heron!N$9,Xero!$A:$A,Heron!$A$5,Xero!$E:$E,Heron!$A49)</f>
        <v/>
      </c>
      <c r="O49" s="66">
        <f>SUMIFS(Xero!$F:$F,Xero!$B:$B,Heron!O$9,Xero!$A:$A,Heron!$A$4,Xero!$E:$E,Heron!$A49)+SUMIFS(Xero!$F:$F,Xero!$B:$B,Heron!O$9,Xero!$A:$A,Heron!$A$5,Xero!$E:$E,Heron!$A49)</f>
        <v/>
      </c>
      <c r="P49" s="66">
        <f>SUMIFS(Xero!$F:$F,Xero!$B:$B,Heron!P$9,Xero!$A:$A,Heron!$A$4,Xero!$E:$E,Heron!$A49)+SUMIFS(Xero!$F:$F,Xero!$B:$B,Heron!P$9,Xero!$A:$A,Heron!$A$5,Xero!$E:$E,Heron!$A49)</f>
        <v/>
      </c>
      <c r="Q49" s="66">
        <f>SUMIFS(Xero!$F:$F,Xero!$B:$B,Heron!Q$9,Xero!$A:$A,Heron!$A$4,Xero!$E:$E,Heron!$A49)+SUMIFS(Xero!$F:$F,Xero!$B:$B,Heron!Q$9,Xero!$A:$A,Heron!$A$5,Xero!$E:$E,Heron!$A49)</f>
        <v/>
      </c>
      <c r="R49" s="66">
        <f>SUMIFS(Xero!$F:$F,Xero!$B:$B,Heron!R$9,Xero!$A:$A,Heron!$A$4,Xero!$E:$E,Heron!$A49)+SUMIFS(Xero!$F:$F,Xero!$B:$B,Heron!R$9,Xero!$A:$A,Heron!$A$5,Xero!$E:$E,Heron!$A49)</f>
        <v/>
      </c>
      <c r="S49" s="66">
        <f>SUMIFS(Xero!$F:$F,Xero!$B:$B,Heron!S$9,Xero!$A:$A,Heron!$A$4,Xero!$E:$E,Heron!$A49)+SUMIFS(Xero!$F:$F,Xero!$B:$B,Heron!S$9,Xero!$A:$A,Heron!$A$5,Xero!$E:$E,Heron!$A49)</f>
        <v/>
      </c>
      <c r="T49" s="66">
        <f>SUMIFS(Xero!$F:$F,Xero!$B:$B,Heron!T$9,Xero!$A:$A,Heron!$A$4,Xero!$E:$E,Heron!$A49)+SUMIFS(Xero!$F:$F,Xero!$B:$B,Heron!T$9,Xero!$A:$A,Heron!$A$5,Xero!$E:$E,Heron!$A49)</f>
        <v/>
      </c>
      <c r="U49" s="66">
        <f>SUMIFS(Xero!$F:$F,Xero!$B:$B,Heron!U$9,Xero!$A:$A,Heron!$A$4,Xero!$E:$E,Heron!$A49)+SUMIFS(Xero!$F:$F,Xero!$B:$B,Heron!U$9,Xero!$A:$A,Heron!$A$5,Xero!$E:$E,Heron!$A49)</f>
        <v/>
      </c>
      <c r="V49" s="66">
        <f>SUMIFS(Xero!$F:$F,Xero!$B:$B,Heron!V$9,Xero!$A:$A,Heron!$A$4,Xero!$E:$E,Heron!$A49)+SUMIFS(Xero!$F:$F,Xero!$B:$B,Heron!V$9,Xero!$A:$A,Heron!$A$5,Xero!$E:$E,Heron!$A49)</f>
        <v/>
      </c>
      <c r="W49" s="66">
        <f>SUMIFS(Xero!$F:$F,Xero!$B:$B,Heron!W$9,Xero!$A:$A,Heron!$A$4,Xero!$E:$E,Heron!$A49)+SUMIFS(Xero!$F:$F,Xero!$B:$B,Heron!W$9,Xero!$A:$A,Heron!$A$5,Xero!$E:$E,Heron!$A49)</f>
        <v/>
      </c>
      <c r="X49" s="66">
        <f>SUMIFS(Xero!$F:$F,Xero!$B:$B,Heron!X$9,Xero!$A:$A,Heron!$A$4,Xero!$E:$E,Heron!$A49)+SUMIFS(Xero!$F:$F,Xero!$B:$B,Heron!X$9,Xero!$A:$A,Heron!$A$5,Xero!$E:$E,Heron!$A49)</f>
        <v/>
      </c>
      <c r="Y49" s="66">
        <f>SUMIFS(Xero!$F:$F,Xero!$B:$B,Heron!Y$9,Xero!$A:$A,Heron!$A$4,Xero!$E:$E,Heron!$A49)+SUMIFS(Xero!$F:$F,Xero!$B:$B,Heron!Y$9,Xero!$A:$A,Heron!$A$5,Xero!$E:$E,Heron!$A49)</f>
        <v/>
      </c>
      <c r="Z49" s="66">
        <f>SUMIFS(Xero!$F:$F,Xero!$B:$B,Heron!Z$9,Xero!$A:$A,Heron!$A$4,Xero!$E:$E,Heron!$A49)+SUMIFS(Xero!$F:$F,Xero!$B:$B,Heron!Z$9,Xero!$A:$A,Heron!$A$5,Xero!$E:$E,Heron!$A49)</f>
        <v/>
      </c>
      <c r="AA49" s="66">
        <f>SUMIFS(Xero!$F:$F,Xero!$B:$B,Heron!AA$9,Xero!$A:$A,Heron!$A$4,Xero!$E:$E,Heron!$A49)+SUMIFS(Xero!$F:$F,Xero!$B:$B,Heron!AA$9,Xero!$A:$A,Heron!$A$5,Xero!$E:$E,Heron!$A49)</f>
        <v/>
      </c>
      <c r="AB49" s="66">
        <f>SUMIFS(Xero!$F:$F,Xero!$B:$B,Heron!AB$9,Xero!$A:$A,Heron!$A$4,Xero!$E:$E,Heron!$A49)+SUMIFS(Xero!$F:$F,Xero!$B:$B,Heron!AB$9,Xero!$A:$A,Heron!$A$5,Xero!$E:$E,Heron!$A49)</f>
        <v/>
      </c>
      <c r="AC49" s="66">
        <f>SUMIFS(Xero!$F:$F,Xero!$B:$B,Heron!AC$9,Xero!$A:$A,Heron!$A$4,Xero!$E:$E,Heron!$A49)+SUMIFS(Xero!$F:$F,Xero!$B:$B,Heron!AC$9,Xero!$A:$A,Heron!$A$5,Xero!$E:$E,Heron!$A49)</f>
        <v/>
      </c>
      <c r="AD49" s="66">
        <f>SUMIFS(Xero!$F:$F,Xero!$B:$B,Heron!AD$9,Xero!$A:$A,Heron!$A$4,Xero!$E:$E,Heron!$A49)+SUMIFS(Xero!$F:$F,Xero!$B:$B,Heron!AD$9,Xero!$A:$A,Heron!$A$5,Xero!$E:$E,Heron!$A49)</f>
        <v/>
      </c>
      <c r="AE49" s="66">
        <f>SUMIFS(Xero!$F:$F,Xero!$B:$B,Heron!AE$9,Xero!$A:$A,Heron!$A$4,Xero!$E:$E,Heron!$A49)+SUMIFS(Xero!$F:$F,Xero!$B:$B,Heron!AE$9,Xero!$A:$A,Heron!$A$5,Xero!$E:$E,Heron!$A49)</f>
        <v/>
      </c>
      <c r="AF49" s="66">
        <f>SUMIFS(Xero!$F:$F,Xero!$B:$B,Heron!AF$9,Xero!$A:$A,Heron!$A$4,Xero!$E:$E,Heron!$A49)+SUMIFS(Xero!$F:$F,Xero!$B:$B,Heron!AF$9,Xero!$A:$A,Heron!$A$5,Xero!$E:$E,Heron!$A49)</f>
        <v/>
      </c>
      <c r="AG49" s="66">
        <f>SUMIFS(Xero!$F:$F,Xero!$B:$B,Heron!AG$9,Xero!$A:$A,Heron!$A$4,Xero!$E:$E,Heron!$A49)+SUMIFS(Xero!$F:$F,Xero!$B:$B,Heron!AG$9,Xero!$A:$A,Heron!$A$5,Xero!$E:$E,Heron!$A49)</f>
        <v/>
      </c>
      <c r="AH49" s="66">
        <f>SUMIFS(Xero!$F:$F,Xero!$B:$B,Heron!AH$9,Xero!$A:$A,Heron!$A$4,Xero!$E:$E,Heron!$A49)+SUMIFS(Xero!$F:$F,Xero!$B:$B,Heron!AH$9,Xero!$A:$A,Heron!$A$5,Xero!$E:$E,Heron!$A49)</f>
        <v/>
      </c>
      <c r="AI49" s="66">
        <f>SUMIFS(Xero!$F:$F,Xero!$B:$B,Heron!AI$9,Xero!$A:$A,Heron!$A$4,Xero!$E:$E,Heron!$A49)+SUMIFS(Xero!$F:$F,Xero!$B:$B,Heron!AI$9,Xero!$A:$A,Heron!$A$5,Xero!$E:$E,Heron!$A49)</f>
        <v/>
      </c>
      <c r="AJ49" s="66">
        <f>SUMIFS(Xero!$F:$F,Xero!$B:$B,Heron!AJ$9,Xero!$A:$A,Heron!$A$4,Xero!$E:$E,Heron!$A49)+SUMIFS(Xero!$F:$F,Xero!$B:$B,Heron!AJ$9,Xero!$A:$A,Heron!$A$5,Xero!$E:$E,Heron!$A49)</f>
        <v/>
      </c>
      <c r="AK49" s="66">
        <f>SUMIFS(Xero!$F:$F,Xero!$B:$B,Heron!AK$9,Xero!$A:$A,Heron!$A$4,Xero!$E:$E,Heron!$A49)+SUMIFS(Xero!$F:$F,Xero!$B:$B,Heron!AK$9,Xero!$A:$A,Heron!$A$5,Xero!$E:$E,Heron!$A49)</f>
        <v/>
      </c>
      <c r="AL49" s="66">
        <f>SUMIFS(Xero!$F:$F,Xero!$B:$B,Heron!AL$9,Xero!$A:$A,Heron!$A$4,Xero!$E:$E,Heron!$A49)+SUMIFS(Xero!$F:$F,Xero!$B:$B,Heron!AL$9,Xero!$A:$A,Heron!$A$5,Xero!$E:$E,Heron!$A49)</f>
        <v/>
      </c>
      <c r="AM49" s="66">
        <f>SUMIFS(Xero!$F:$F,Xero!$B:$B,Heron!AM$9,Xero!$A:$A,Heron!$A$4,Xero!$E:$E,Heron!$A49)+SUMIFS(Xero!$F:$F,Xero!$B:$B,Heron!AM$9,Xero!$A:$A,Heron!$A$5,Xero!$E:$E,Heron!$A49)</f>
        <v/>
      </c>
      <c r="AN49" s="66">
        <f>SUMIFS(Xero!$F:$F,Xero!$B:$B,Heron!AN$9,Xero!$A:$A,Heron!$A$4,Xero!$E:$E,Heron!$A49)+SUMIFS(Xero!$F:$F,Xero!$B:$B,Heron!AN$9,Xero!$A:$A,Heron!$A$5,Xero!$E:$E,Heron!$A49)</f>
        <v/>
      </c>
      <c r="AO49" s="66">
        <f>SUMIFS(Xero!$F:$F,Xero!$B:$B,Heron!AO$9,Xero!$A:$A,Heron!$A$4,Xero!$E:$E,Heron!$A49)+SUMIFS(Xero!$F:$F,Xero!$B:$B,Heron!AO$9,Xero!$A:$A,Heron!$A$5,Xero!$E:$E,Heron!$A49)</f>
        <v/>
      </c>
      <c r="AP49" s="66">
        <f>SUMIFS(Xero!$F:$F,Xero!$B:$B,Heron!AP$9,Xero!$A:$A,Heron!$A$4,Xero!$E:$E,Heron!$A49)+SUMIFS(Xero!$F:$F,Xero!$B:$B,Heron!AP$9,Xero!$A:$A,Heron!$A$5,Xero!$E:$E,Heron!$A49)</f>
        <v/>
      </c>
      <c r="AQ49" s="66">
        <f>SUMIFS(Xero!$F:$F,Xero!$B:$B,Heron!AQ$9,Xero!$A:$A,Heron!$A$4,Xero!$E:$E,Heron!$A49)+SUMIFS(Xero!$F:$F,Xero!$B:$B,Heron!AQ$9,Xero!$A:$A,Heron!$A$5,Xero!$E:$E,Heron!$A49)</f>
        <v/>
      </c>
      <c r="AR49" s="66">
        <f>SUMIFS(Xero!$F:$F,Xero!$B:$B,Heron!AR$9,Xero!$A:$A,Heron!$A$4,Xero!$E:$E,Heron!$A49)+SUMIFS(Xero!$F:$F,Xero!$B:$B,Heron!AR$9,Xero!$A:$A,Heron!$A$5,Xero!$E:$E,Heron!$A49)</f>
        <v/>
      </c>
      <c r="AS49" s="66">
        <f>SUMIFS(Xero!$F:$F,Xero!$B:$B,Heron!AS$9,Xero!$A:$A,Heron!$A$4,Xero!$E:$E,Heron!$A49)+SUMIFS(Xero!$F:$F,Xero!$B:$B,Heron!AS$9,Xero!$A:$A,Heron!$A$5,Xero!$E:$E,Heron!$A49)</f>
        <v/>
      </c>
      <c r="AT49" s="66">
        <f>SUMIFS(Xero!$F:$F,Xero!$B:$B,Heron!AT$9,Xero!$A:$A,Heron!$A$4,Xero!$E:$E,Heron!$A49)+SUMIFS(Xero!$F:$F,Xero!$B:$B,Heron!AT$9,Xero!$A:$A,Heron!$A$5,Xero!$E:$E,Heron!$A49)</f>
        <v/>
      </c>
      <c r="AU49" s="66">
        <f>SUMIFS(Xero!$F:$F,Xero!$B:$B,Heron!AU$9,Xero!$A:$A,Heron!$A$4,Xero!$E:$E,Heron!$A49)+SUMIFS(Xero!$F:$F,Xero!$B:$B,Heron!AU$9,Xero!$A:$A,Heron!$A$5,Xero!$E:$E,Heron!$A49)</f>
        <v/>
      </c>
      <c r="AV49" s="66">
        <f>SUMIFS(Xero!$F:$F,Xero!$B:$B,Heron!AV$9,Xero!$A:$A,Heron!$A$4,Xero!$E:$E,Heron!$A49)+SUMIFS(Xero!$F:$F,Xero!$B:$B,Heron!AV$9,Xero!$A:$A,Heron!$A$5,Xero!$E:$E,Heron!$A49)</f>
        <v/>
      </c>
      <c r="AW49" s="66">
        <f>SUMIFS(Xero!$F:$F,Xero!$B:$B,Heron!AW$9,Xero!$A:$A,Heron!$A$4,Xero!$E:$E,Heron!$A49)+SUMIFS(Xero!$F:$F,Xero!$B:$B,Heron!AW$9,Xero!$A:$A,Heron!$A$5,Xero!$E:$E,Heron!$A49)</f>
        <v/>
      </c>
      <c r="AX49" s="66">
        <f>SUMIFS(Xero!$F:$F,Xero!$B:$B,Heron!AX$9,Xero!$A:$A,Heron!$A$4,Xero!$E:$E,Heron!$A49)+SUMIFS(Xero!$F:$F,Xero!$B:$B,Heron!AX$9,Xero!$A:$A,Heron!$A$5,Xero!$E:$E,Heron!$A49)</f>
        <v/>
      </c>
      <c r="AY49" s="66">
        <f>SUMIFS(Xero!$F:$F,Xero!$B:$B,Heron!AY$9,Xero!$A:$A,Heron!$A$4,Xero!$E:$E,Heron!$A49)+SUMIFS(Xero!$F:$F,Xero!$B:$B,Heron!AY$9,Xero!$A:$A,Heron!$A$5,Xero!$E:$E,Heron!$A49)</f>
        <v/>
      </c>
      <c r="AZ49" s="66">
        <f>SUMIFS(Xero!$F:$F,Xero!$B:$B,Heron!AZ$9,Xero!$A:$A,Heron!$A$4,Xero!$E:$E,Heron!$A49)+SUMIFS(Xero!$F:$F,Xero!$B:$B,Heron!AZ$9,Xero!$A:$A,Heron!$A$5,Xero!$E:$E,Heron!$A49)</f>
        <v/>
      </c>
      <c r="BA49" s="66">
        <f>SUMIFS(Xero!$F:$F,Xero!$B:$B,Heron!BA$9,Xero!$A:$A,Heron!$A$4,Xero!$E:$E,Heron!$A49)+SUMIFS(Xero!$F:$F,Xero!$B:$B,Heron!BA$9,Xero!$A:$A,Heron!$A$5,Xero!$E:$E,Heron!$A49)</f>
        <v/>
      </c>
      <c r="BB49" s="66">
        <f>SUMIFS(Xero!$F:$F,Xero!$B:$B,Heron!BB$9,Xero!$A:$A,Heron!$A$4,Xero!$E:$E,Heron!$A49)+SUMIFS(Xero!$F:$F,Xero!$B:$B,Heron!BB$9,Xero!$A:$A,Heron!$A$5,Xero!$E:$E,Heron!$A49)</f>
        <v/>
      </c>
      <c r="BC49" s="66">
        <f>SUMIFS(Xero!$F:$F,Xero!$B:$B,Heron!BC$9,Xero!$A:$A,Heron!$A$4,Xero!$E:$E,Heron!$A49)+SUMIFS(Xero!$F:$F,Xero!$B:$B,Heron!BC$9,Xero!$A:$A,Heron!$A$5,Xero!$E:$E,Heron!$A49)</f>
        <v/>
      </c>
      <c r="BD49" s="66">
        <f>SUMIFS(Xero!$F:$F,Xero!$B:$B,Heron!BD$9,Xero!$A:$A,Heron!$A$4,Xero!$E:$E,Heron!$A49)+SUMIFS(Xero!$F:$F,Xero!$B:$B,Heron!BD$9,Xero!$A:$A,Heron!$A$5,Xero!$E:$E,Heron!$A49)</f>
        <v/>
      </c>
      <c r="BE49" s="66">
        <f>SUMIFS(Xero!$F:$F,Xero!$B:$B,Heron!BE$9,Xero!$A:$A,Heron!$A$4,Xero!$E:$E,Heron!$A49)+SUMIFS(Xero!$F:$F,Xero!$B:$B,Heron!BE$9,Xero!$A:$A,Heron!$A$5,Xero!$E:$E,Heron!$A49)</f>
        <v/>
      </c>
      <c r="BF49" s="66">
        <f>SUMIFS(Xero!$F:$F,Xero!$B:$B,Heron!BF$9,Xero!$A:$A,Heron!$A$4,Xero!$E:$E,Heron!$A49)+SUMIFS(Xero!$F:$F,Xero!$B:$B,Heron!BF$9,Xero!$A:$A,Heron!$A$5,Xero!$E:$E,Heron!$A49)</f>
        <v/>
      </c>
      <c r="BG49" s="66">
        <f>SUMIFS(Xero!$F:$F,Xero!$B:$B,Heron!BG$9,Xero!$A:$A,Heron!$A$4,Xero!$E:$E,Heron!$A49)+SUMIFS(Xero!$F:$F,Xero!$B:$B,Heron!BG$9,Xero!$A:$A,Heron!$A$5,Xero!$E:$E,Heron!$A49)</f>
        <v/>
      </c>
      <c r="BH49" s="66">
        <f>sum(D49:BG49)</f>
        <v/>
      </c>
    </row>
    <row r="50">
      <c r="A50" s="65" t="inlineStr">
        <is>
          <t>COS - Legal Fees</t>
        </is>
      </c>
      <c r="D50" s="66">
        <f>SUMIFS(Xero!$F:$F,Xero!$B:$B,Heron!D$9,Xero!$A:$A,Heron!$A$4,Xero!$E:$E,Heron!$A50)+SUMIFS(Xero!$F:$F,Xero!$B:$B,Heron!D$9,Xero!$A:$A,Heron!$A$5,Xero!$E:$E,Heron!$A50)+SUMIFS(Sales!$L:$L,Sales!$E:$E,FALSE,Sales!$A:$A,"&lt;&gt;"&amp;"Endulini",Sales!$H:$H,"&lt;="&amp;Heron!D$9,Sales!$H:$H,"&gt;"&amp;Heron!C$9,Sales!$F:$F,1)+SUMIFS(Sales!$M:$M,Sales!$E:$E,FALSE,Sales!$A:$A,"&lt;&gt;"&amp;"Endulini",Sales!$H:$H,"&lt;="&amp;Heron!D$9,Sales!$H:$H,"&gt;"&amp;Heron!C$9,Sales!$F:$F,1)+SUMIFS(Sales!$N:$N,Sales!$E:$E,FALSE,Sales!$A:$A,"&lt;&gt;"&amp;"Endulini",Sales!$H:$H,"&lt;="&amp;Heron!D$9,Sales!$H:$H,"&gt;"&amp;Heron!C$9,Sales!$F:$F,1)+SUMIFS(Sales!$P:$P,Sales!$E:$E,FALSE,Sales!$A:$A,"&lt;&gt;"&amp;"Endulini",Sales!$H:$H,"&lt;="&amp;Heron!D$9,Sales!$H:$H,"&gt;"&amp;Heron!C$9,Sales!$F:$F,1)</f>
        <v/>
      </c>
      <c r="E50" s="66">
        <f>SUMIFS(Xero!$F:$F,Xero!$B:$B,Heron!E$9,Xero!$A:$A,Heron!$A$4,Xero!$E:$E,Heron!$A50)+SUMIFS(Xero!$F:$F,Xero!$B:$B,Heron!E$9,Xero!$A:$A,Heron!$A$5,Xero!$E:$E,Heron!$A50)+SUMIFS(Sales!$L:$L,Sales!$E:$E,FALSE,Sales!$A:$A,"&lt;&gt;"&amp;"Endulini",Sales!$H:$H,"&lt;="&amp;Heron!E$9,Sales!$H:$H,"&gt;"&amp;Heron!D$9,Sales!$F:$F,1)+SUMIFS(Sales!$M:$M,Sales!$E:$E,FALSE,Sales!$A:$A,"&lt;&gt;"&amp;"Endulini",Sales!$H:$H,"&lt;="&amp;Heron!E$9,Sales!$H:$H,"&gt;"&amp;Heron!D$9,Sales!$F:$F,1)+SUMIFS(Sales!$N:$N,Sales!$E:$E,FALSE,Sales!$A:$A,"&lt;&gt;"&amp;"Endulini",Sales!$H:$H,"&lt;="&amp;Heron!E$9,Sales!$H:$H,"&gt;"&amp;Heron!D$9,Sales!$F:$F,1)+SUMIFS(Sales!$P:$P,Sales!$E:$E,FALSE,Sales!$A:$A,"&lt;&gt;"&amp;"Endulini",Sales!$H:$H,"&lt;="&amp;Heron!E$9,Sales!$H:$H,"&gt;"&amp;Heron!D$9,Sales!$F:$F,1)</f>
        <v/>
      </c>
      <c r="F50" s="66">
        <f>SUMIFS(Xero!$F:$F,Xero!$B:$B,Heron!F$9,Xero!$A:$A,Heron!$A$4,Xero!$E:$E,Heron!$A50)+SUMIFS(Xero!$F:$F,Xero!$B:$B,Heron!F$9,Xero!$A:$A,Heron!$A$5,Xero!$E:$E,Heron!$A50)+SUMIFS(Sales!$L:$L,Sales!$E:$E,FALSE,Sales!$A:$A,"&lt;&gt;"&amp;"Endulini",Sales!$H:$H,"&lt;="&amp;Heron!F$9,Sales!$H:$H,"&gt;"&amp;Heron!E$9,Sales!$F:$F,1)+SUMIFS(Sales!$M:$M,Sales!$E:$E,FALSE,Sales!$A:$A,"&lt;&gt;"&amp;"Endulini",Sales!$H:$H,"&lt;="&amp;Heron!F$9,Sales!$H:$H,"&gt;"&amp;Heron!E$9,Sales!$F:$F,1)+SUMIFS(Sales!$N:$N,Sales!$E:$E,FALSE,Sales!$A:$A,"&lt;&gt;"&amp;"Endulini",Sales!$H:$H,"&lt;="&amp;Heron!F$9,Sales!$H:$H,"&gt;"&amp;Heron!E$9,Sales!$F:$F,1)+SUMIFS(Sales!$P:$P,Sales!$E:$E,FALSE,Sales!$A:$A,"&lt;&gt;"&amp;"Endulini",Sales!$H:$H,"&lt;="&amp;Heron!F$9,Sales!$H:$H,"&gt;"&amp;Heron!E$9,Sales!$F:$F,1)</f>
        <v/>
      </c>
      <c r="G50" s="66">
        <f>SUMIFS(Xero!$F:$F,Xero!$B:$B,Heron!G$9,Xero!$A:$A,Heron!$A$4,Xero!$E:$E,Heron!$A50)+SUMIFS(Xero!$F:$F,Xero!$B:$B,Heron!G$9,Xero!$A:$A,Heron!$A$5,Xero!$E:$E,Heron!$A50)+SUMIFS(Sales!$L:$L,Sales!$E:$E,FALSE,Sales!$A:$A,"&lt;&gt;"&amp;"Endulini",Sales!$H:$H,"&lt;="&amp;Heron!G$9,Sales!$H:$H,"&gt;"&amp;Heron!F$9,Sales!$F:$F,1)+SUMIFS(Sales!$M:$M,Sales!$E:$E,FALSE,Sales!$A:$A,"&lt;&gt;"&amp;"Endulini",Sales!$H:$H,"&lt;="&amp;Heron!G$9,Sales!$H:$H,"&gt;"&amp;Heron!F$9,Sales!$F:$F,1)+SUMIFS(Sales!$N:$N,Sales!$E:$E,FALSE,Sales!$A:$A,"&lt;&gt;"&amp;"Endulini",Sales!$H:$H,"&lt;="&amp;Heron!G$9,Sales!$H:$H,"&gt;"&amp;Heron!F$9,Sales!$F:$F,1)+SUMIFS(Sales!$P:$P,Sales!$E:$E,FALSE,Sales!$A:$A,"&lt;&gt;"&amp;"Endulini",Sales!$H:$H,"&lt;="&amp;Heron!G$9,Sales!$H:$H,"&gt;"&amp;Heron!F$9,Sales!$F:$F,1)</f>
        <v/>
      </c>
      <c r="H50" s="66">
        <f>SUMIFS(Xero!$F:$F,Xero!$B:$B,Heron!H$9,Xero!$A:$A,Heron!$A$4,Xero!$E:$E,Heron!$A50)+SUMIFS(Xero!$F:$F,Xero!$B:$B,Heron!H$9,Xero!$A:$A,Heron!$A$5,Xero!$E:$E,Heron!$A50)+SUMIFS(Sales!$L:$L,Sales!$E:$E,FALSE,Sales!$A:$A,"&lt;&gt;"&amp;"Endulini",Sales!$H:$H,"&lt;="&amp;Heron!H$9,Sales!$H:$H,"&gt;"&amp;Heron!G$9,Sales!$F:$F,1)+SUMIFS(Sales!$M:$M,Sales!$E:$E,FALSE,Sales!$A:$A,"&lt;&gt;"&amp;"Endulini",Sales!$H:$H,"&lt;="&amp;Heron!H$9,Sales!$H:$H,"&gt;"&amp;Heron!G$9,Sales!$F:$F,1)+SUMIFS(Sales!$N:$N,Sales!$E:$E,FALSE,Sales!$A:$A,"&lt;&gt;"&amp;"Endulini",Sales!$H:$H,"&lt;="&amp;Heron!H$9,Sales!$H:$H,"&gt;"&amp;Heron!G$9,Sales!$F:$F,1)+SUMIFS(Sales!$P:$P,Sales!$E:$E,FALSE,Sales!$A:$A,"&lt;&gt;"&amp;"Endulini",Sales!$H:$H,"&lt;="&amp;Heron!H$9,Sales!$H:$H,"&gt;"&amp;Heron!G$9,Sales!$F:$F,1)</f>
        <v/>
      </c>
      <c r="I50" s="66">
        <f>SUMIFS(Xero!$F:$F,Xero!$B:$B,Heron!I$9,Xero!$A:$A,Heron!$A$4,Xero!$E:$E,Heron!$A50)+SUMIFS(Xero!$F:$F,Xero!$B:$B,Heron!I$9,Xero!$A:$A,Heron!$A$5,Xero!$E:$E,Heron!$A50)+SUMIFS(Sales!$L:$L,Sales!$E:$E,FALSE,Sales!$A:$A,"&lt;&gt;"&amp;"Endulini",Sales!$H:$H,"&lt;="&amp;Heron!I$9,Sales!$H:$H,"&gt;"&amp;Heron!H$9,Sales!$F:$F,1)+SUMIFS(Sales!$M:$M,Sales!$E:$E,FALSE,Sales!$A:$A,"&lt;&gt;"&amp;"Endulini",Sales!$H:$H,"&lt;="&amp;Heron!I$9,Sales!$H:$H,"&gt;"&amp;Heron!H$9,Sales!$F:$F,1)+SUMIFS(Sales!$N:$N,Sales!$E:$E,FALSE,Sales!$A:$A,"&lt;&gt;"&amp;"Endulini",Sales!$H:$H,"&lt;="&amp;Heron!I$9,Sales!$H:$H,"&gt;"&amp;Heron!H$9,Sales!$F:$F,1)+SUMIFS(Sales!$P:$P,Sales!$E:$E,FALSE,Sales!$A:$A,"&lt;&gt;"&amp;"Endulini",Sales!$H:$H,"&lt;="&amp;Heron!I$9,Sales!$H:$H,"&gt;"&amp;Heron!H$9,Sales!$F:$F,1)</f>
        <v/>
      </c>
      <c r="J50" s="66">
        <f>SUMIFS(Xero!$F:$F,Xero!$B:$B,Heron!J$9,Xero!$A:$A,Heron!$A$4,Xero!$E:$E,Heron!$A50)+SUMIFS(Xero!$F:$F,Xero!$B:$B,Heron!J$9,Xero!$A:$A,Heron!$A$5,Xero!$E:$E,Heron!$A50)+SUMIFS(Sales!$L:$L,Sales!$E:$E,FALSE,Sales!$A:$A,"&lt;&gt;"&amp;"Endulini",Sales!$H:$H,"&lt;="&amp;Heron!J$9,Sales!$H:$H,"&gt;"&amp;Heron!I$9,Sales!$F:$F,1)+SUMIFS(Sales!$M:$M,Sales!$E:$E,FALSE,Sales!$A:$A,"&lt;&gt;"&amp;"Endulini",Sales!$H:$H,"&lt;="&amp;Heron!J$9,Sales!$H:$H,"&gt;"&amp;Heron!I$9,Sales!$F:$F,1)+SUMIFS(Sales!$N:$N,Sales!$E:$E,FALSE,Sales!$A:$A,"&lt;&gt;"&amp;"Endulini",Sales!$H:$H,"&lt;="&amp;Heron!J$9,Sales!$H:$H,"&gt;"&amp;Heron!I$9,Sales!$F:$F,1)+SUMIFS(Sales!$P:$P,Sales!$E:$E,FALSE,Sales!$A:$A,"&lt;&gt;"&amp;"Endulini",Sales!$H:$H,"&lt;="&amp;Heron!J$9,Sales!$H:$H,"&gt;"&amp;Heron!I$9,Sales!$F:$F,1)</f>
        <v/>
      </c>
      <c r="K50" s="66">
        <f>SUMIFS(Xero!$F:$F,Xero!$B:$B,Heron!K$9,Xero!$A:$A,Heron!$A$4,Xero!$E:$E,Heron!$A50)+SUMIFS(Xero!$F:$F,Xero!$B:$B,Heron!K$9,Xero!$A:$A,Heron!$A$5,Xero!$E:$E,Heron!$A50)+SUMIFS(Sales!$L:$L,Sales!$E:$E,FALSE,Sales!$A:$A,"&lt;&gt;"&amp;"Endulini",Sales!$H:$H,"&lt;="&amp;Heron!K$9,Sales!$H:$H,"&gt;"&amp;Heron!J$9,Sales!$F:$F,1)+SUMIFS(Sales!$M:$M,Sales!$E:$E,FALSE,Sales!$A:$A,"&lt;&gt;"&amp;"Endulini",Sales!$H:$H,"&lt;="&amp;Heron!K$9,Sales!$H:$H,"&gt;"&amp;Heron!J$9,Sales!$F:$F,1)+SUMIFS(Sales!$N:$N,Sales!$E:$E,FALSE,Sales!$A:$A,"&lt;&gt;"&amp;"Endulini",Sales!$H:$H,"&lt;="&amp;Heron!K$9,Sales!$H:$H,"&gt;"&amp;Heron!J$9,Sales!$F:$F,1)+SUMIFS(Sales!$P:$P,Sales!$E:$E,FALSE,Sales!$A:$A,"&lt;&gt;"&amp;"Endulini",Sales!$H:$H,"&lt;="&amp;Heron!K$9,Sales!$H:$H,"&gt;"&amp;Heron!J$9,Sales!$F:$F,1)</f>
        <v/>
      </c>
      <c r="L50" s="66">
        <f>SUMIFS(Xero!$F:$F,Xero!$B:$B,Heron!L$9,Xero!$A:$A,Heron!$A$4,Xero!$E:$E,Heron!$A50)+SUMIFS(Xero!$F:$F,Xero!$B:$B,Heron!L$9,Xero!$A:$A,Heron!$A$5,Xero!$E:$E,Heron!$A50)+SUMIFS(Sales!$L:$L,Sales!$E:$E,FALSE,Sales!$A:$A,"&lt;&gt;"&amp;"Endulini",Sales!$H:$H,"&lt;="&amp;Heron!L$9,Sales!$H:$H,"&gt;"&amp;Heron!K$9,Sales!$F:$F,1)+SUMIFS(Sales!$M:$M,Sales!$E:$E,FALSE,Sales!$A:$A,"&lt;&gt;"&amp;"Endulini",Sales!$H:$H,"&lt;="&amp;Heron!L$9,Sales!$H:$H,"&gt;"&amp;Heron!K$9,Sales!$F:$F,1)+SUMIFS(Sales!$N:$N,Sales!$E:$E,FALSE,Sales!$A:$A,"&lt;&gt;"&amp;"Endulini",Sales!$H:$H,"&lt;="&amp;Heron!L$9,Sales!$H:$H,"&gt;"&amp;Heron!K$9,Sales!$F:$F,1)+SUMIFS(Sales!$P:$P,Sales!$E:$E,FALSE,Sales!$A:$A,"&lt;&gt;"&amp;"Endulini",Sales!$H:$H,"&lt;="&amp;Heron!L$9,Sales!$H:$H,"&gt;"&amp;Heron!K$9,Sales!$F:$F,1)</f>
        <v/>
      </c>
      <c r="M50" s="66">
        <f>SUMIFS(Xero!$F:$F,Xero!$B:$B,Heron!M$9,Xero!$A:$A,Heron!$A$4,Xero!$E:$E,Heron!$A50)+SUMIFS(Xero!$F:$F,Xero!$B:$B,Heron!M$9,Xero!$A:$A,Heron!$A$5,Xero!$E:$E,Heron!$A50)+SUMIFS(Sales!$L:$L,Sales!$E:$E,FALSE,Sales!$A:$A,"&lt;&gt;"&amp;"Endulini",Sales!$H:$H,"&lt;="&amp;Heron!M$9,Sales!$H:$H,"&gt;"&amp;Heron!L$9,Sales!$F:$F,1)+SUMIFS(Sales!$M:$M,Sales!$E:$E,FALSE,Sales!$A:$A,"&lt;&gt;"&amp;"Endulini",Sales!$H:$H,"&lt;="&amp;Heron!M$9,Sales!$H:$H,"&gt;"&amp;Heron!L$9,Sales!$F:$F,1)+SUMIFS(Sales!$N:$N,Sales!$E:$E,FALSE,Sales!$A:$A,"&lt;&gt;"&amp;"Endulini",Sales!$H:$H,"&lt;="&amp;Heron!M$9,Sales!$H:$H,"&gt;"&amp;Heron!L$9,Sales!$F:$F,1)+SUMIFS(Sales!$P:$P,Sales!$E:$E,FALSE,Sales!$A:$A,"&lt;&gt;"&amp;"Endulini",Sales!$H:$H,"&lt;="&amp;Heron!M$9,Sales!$H:$H,"&gt;"&amp;Heron!L$9,Sales!$F:$F,1)</f>
        <v/>
      </c>
      <c r="N50" s="66">
        <f>SUMIFS(Xero!$F:$F,Xero!$B:$B,Heron!N$9,Xero!$A:$A,Heron!$A$4,Xero!$E:$E,Heron!$A50)+SUMIFS(Xero!$F:$F,Xero!$B:$B,Heron!N$9,Xero!$A:$A,Heron!$A$5,Xero!$E:$E,Heron!$A50)+SUMIFS(Sales!$L:$L,Sales!$E:$E,FALSE,Sales!$A:$A,"&lt;&gt;"&amp;"Endulini",Sales!$H:$H,"&lt;="&amp;Heron!N$9,Sales!$H:$H,"&gt;"&amp;Heron!M$9,Sales!$F:$F,1)+SUMIFS(Sales!$M:$M,Sales!$E:$E,FALSE,Sales!$A:$A,"&lt;&gt;"&amp;"Endulini",Sales!$H:$H,"&lt;="&amp;Heron!N$9,Sales!$H:$H,"&gt;"&amp;Heron!M$9,Sales!$F:$F,1)+SUMIFS(Sales!$N:$N,Sales!$E:$E,FALSE,Sales!$A:$A,"&lt;&gt;"&amp;"Endulini",Sales!$H:$H,"&lt;="&amp;Heron!N$9,Sales!$H:$H,"&gt;"&amp;Heron!M$9,Sales!$F:$F,1)+SUMIFS(Sales!$P:$P,Sales!$E:$E,FALSE,Sales!$A:$A,"&lt;&gt;"&amp;"Endulini",Sales!$H:$H,"&lt;="&amp;Heron!N$9,Sales!$H:$H,"&gt;"&amp;Heron!M$9,Sales!$F:$F,1)</f>
        <v/>
      </c>
      <c r="O50" s="66">
        <f>SUMIFS(Xero!$F:$F,Xero!$B:$B,Heron!O$9,Xero!$A:$A,Heron!$A$4,Xero!$E:$E,Heron!$A50)+SUMIFS(Xero!$F:$F,Xero!$B:$B,Heron!O$9,Xero!$A:$A,Heron!$A$5,Xero!$E:$E,Heron!$A50)+SUMIFS(Sales!$L:$L,Sales!$E:$E,FALSE,Sales!$A:$A,"&lt;&gt;"&amp;"Endulini",Sales!$H:$H,"&lt;="&amp;Heron!O$9,Sales!$H:$H,"&gt;"&amp;Heron!N$9,Sales!$F:$F,1)+SUMIFS(Sales!$M:$M,Sales!$E:$E,FALSE,Sales!$A:$A,"&lt;&gt;"&amp;"Endulini",Sales!$H:$H,"&lt;="&amp;Heron!O$9,Sales!$H:$H,"&gt;"&amp;Heron!N$9,Sales!$F:$F,1)+SUMIFS(Sales!$N:$N,Sales!$E:$E,FALSE,Sales!$A:$A,"&lt;&gt;"&amp;"Endulini",Sales!$H:$H,"&lt;="&amp;Heron!O$9,Sales!$H:$H,"&gt;"&amp;Heron!N$9,Sales!$F:$F,1)+SUMIFS(Sales!$P:$P,Sales!$E:$E,FALSE,Sales!$A:$A,"&lt;&gt;"&amp;"Endulini",Sales!$H:$H,"&lt;="&amp;Heron!O$9,Sales!$H:$H,"&gt;"&amp;Heron!N$9,Sales!$F:$F,1)</f>
        <v/>
      </c>
      <c r="P50" s="66">
        <f>SUMIFS(Xero!$F:$F,Xero!$B:$B,Heron!P$9,Xero!$A:$A,Heron!$A$4,Xero!$E:$E,Heron!$A50)+SUMIFS(Xero!$F:$F,Xero!$B:$B,Heron!P$9,Xero!$A:$A,Heron!$A$5,Xero!$E:$E,Heron!$A50)+SUMIFS(Sales!$L:$L,Sales!$E:$E,FALSE,Sales!$A:$A,"&lt;&gt;"&amp;"Endulini",Sales!$H:$H,"&lt;="&amp;Heron!P$9,Sales!$H:$H,"&gt;"&amp;Heron!O$9,Sales!$F:$F,1)+SUMIFS(Sales!$M:$M,Sales!$E:$E,FALSE,Sales!$A:$A,"&lt;&gt;"&amp;"Endulini",Sales!$H:$H,"&lt;="&amp;Heron!P$9,Sales!$H:$H,"&gt;"&amp;Heron!O$9,Sales!$F:$F,1)+SUMIFS(Sales!$N:$N,Sales!$E:$E,FALSE,Sales!$A:$A,"&lt;&gt;"&amp;"Endulini",Sales!$H:$H,"&lt;="&amp;Heron!P$9,Sales!$H:$H,"&gt;"&amp;Heron!O$9,Sales!$F:$F,1)+SUMIFS(Sales!$P:$P,Sales!$E:$E,FALSE,Sales!$A:$A,"&lt;&gt;"&amp;"Endulini",Sales!$H:$H,"&lt;="&amp;Heron!P$9,Sales!$H:$H,"&gt;"&amp;Heron!O$9,Sales!$F:$F,1)</f>
        <v/>
      </c>
      <c r="Q50" s="66">
        <f>SUMIFS(Xero!$F:$F,Xero!$B:$B,Heron!Q$9,Xero!$A:$A,Heron!$A$4,Xero!$E:$E,Heron!$A50)+SUMIFS(Xero!$F:$F,Xero!$B:$B,Heron!Q$9,Xero!$A:$A,Heron!$A$5,Xero!$E:$E,Heron!$A50)+SUMIFS(Sales!$L:$L,Sales!$E:$E,FALSE,Sales!$A:$A,"&lt;&gt;"&amp;"Endulini",Sales!$H:$H,"&lt;="&amp;Heron!Q$9,Sales!$H:$H,"&gt;"&amp;Heron!P$9,Sales!$F:$F,1)+SUMIFS(Sales!$M:$M,Sales!$E:$E,FALSE,Sales!$A:$A,"&lt;&gt;"&amp;"Endulini",Sales!$H:$H,"&lt;="&amp;Heron!Q$9,Sales!$H:$H,"&gt;"&amp;Heron!P$9,Sales!$F:$F,1)+SUMIFS(Sales!$N:$N,Sales!$E:$E,FALSE,Sales!$A:$A,"&lt;&gt;"&amp;"Endulini",Sales!$H:$H,"&lt;="&amp;Heron!Q$9,Sales!$H:$H,"&gt;"&amp;Heron!P$9,Sales!$F:$F,1)+SUMIFS(Sales!$P:$P,Sales!$E:$E,FALSE,Sales!$A:$A,"&lt;&gt;"&amp;"Endulini",Sales!$H:$H,"&lt;="&amp;Heron!Q$9,Sales!$H:$H,"&gt;"&amp;Heron!P$9,Sales!$F:$F,1)</f>
        <v/>
      </c>
      <c r="R50" s="66">
        <f>SUMIFS(Xero!$F:$F,Xero!$B:$B,Heron!R$9,Xero!$A:$A,Heron!$A$4,Xero!$E:$E,Heron!$A50)+SUMIFS(Xero!$F:$F,Xero!$B:$B,Heron!R$9,Xero!$A:$A,Heron!$A$5,Xero!$E:$E,Heron!$A50)+SUMIFS(Sales!$L:$L,Sales!$E:$E,FALSE,Sales!$A:$A,"&lt;&gt;"&amp;"Endulini",Sales!$H:$H,"&lt;="&amp;Heron!R$9,Sales!$H:$H,"&gt;"&amp;Heron!Q$9,Sales!$F:$F,1)+SUMIFS(Sales!$M:$M,Sales!$E:$E,FALSE,Sales!$A:$A,"&lt;&gt;"&amp;"Endulini",Sales!$H:$H,"&lt;="&amp;Heron!R$9,Sales!$H:$H,"&gt;"&amp;Heron!Q$9,Sales!$F:$F,1)+SUMIFS(Sales!$N:$N,Sales!$E:$E,FALSE,Sales!$A:$A,"&lt;&gt;"&amp;"Endulini",Sales!$H:$H,"&lt;="&amp;Heron!R$9,Sales!$H:$H,"&gt;"&amp;Heron!Q$9,Sales!$F:$F,1)+SUMIFS(Sales!$P:$P,Sales!$E:$E,FALSE,Sales!$A:$A,"&lt;&gt;"&amp;"Endulini",Sales!$H:$H,"&lt;="&amp;Heron!R$9,Sales!$H:$H,"&gt;"&amp;Heron!Q$9,Sales!$F:$F,1)</f>
        <v/>
      </c>
      <c r="S50" s="66">
        <f>SUMIFS(Xero!$F:$F,Xero!$B:$B,Heron!S$9,Xero!$A:$A,Heron!$A$4,Xero!$E:$E,Heron!$A50)+SUMIFS(Xero!$F:$F,Xero!$B:$B,Heron!S$9,Xero!$A:$A,Heron!$A$5,Xero!$E:$E,Heron!$A50)+SUMIFS(Sales!$L:$L,Sales!$E:$E,FALSE,Sales!$A:$A,"&lt;&gt;"&amp;"Endulini",Sales!$H:$H,"&lt;="&amp;Heron!S$9,Sales!$H:$H,"&gt;"&amp;Heron!R$9,Sales!$F:$F,1)+SUMIFS(Sales!$M:$M,Sales!$E:$E,FALSE,Sales!$A:$A,"&lt;&gt;"&amp;"Endulini",Sales!$H:$H,"&lt;="&amp;Heron!S$9,Sales!$H:$H,"&gt;"&amp;Heron!R$9,Sales!$F:$F,1)+SUMIFS(Sales!$N:$N,Sales!$E:$E,FALSE,Sales!$A:$A,"&lt;&gt;"&amp;"Endulini",Sales!$H:$H,"&lt;="&amp;Heron!S$9,Sales!$H:$H,"&gt;"&amp;Heron!R$9,Sales!$F:$F,1)+SUMIFS(Sales!$P:$P,Sales!$E:$E,FALSE,Sales!$A:$A,"&lt;&gt;"&amp;"Endulini",Sales!$H:$H,"&lt;="&amp;Heron!S$9,Sales!$H:$H,"&gt;"&amp;Heron!R$9,Sales!$F:$F,1)</f>
        <v/>
      </c>
      <c r="T50" s="66">
        <f>SUMIFS(Xero!$F:$F,Xero!$B:$B,Heron!T$9,Xero!$A:$A,Heron!$A$4,Xero!$E:$E,Heron!$A50)+SUMIFS(Xero!$F:$F,Xero!$B:$B,Heron!T$9,Xero!$A:$A,Heron!$A$5,Xero!$E:$E,Heron!$A50)+SUMIFS(Sales!$L:$L,Sales!$E:$E,FALSE,Sales!$A:$A,"&lt;&gt;"&amp;"Endulini",Sales!$H:$H,"&lt;="&amp;Heron!T$9,Sales!$H:$H,"&gt;"&amp;Heron!S$9,Sales!$F:$F,1)+SUMIFS(Sales!$M:$M,Sales!$E:$E,FALSE,Sales!$A:$A,"&lt;&gt;"&amp;"Endulini",Sales!$H:$H,"&lt;="&amp;Heron!T$9,Sales!$H:$H,"&gt;"&amp;Heron!S$9,Sales!$F:$F,1)+SUMIFS(Sales!$N:$N,Sales!$E:$E,FALSE,Sales!$A:$A,"&lt;&gt;"&amp;"Endulini",Sales!$H:$H,"&lt;="&amp;Heron!T$9,Sales!$H:$H,"&gt;"&amp;Heron!S$9,Sales!$F:$F,1)+SUMIFS(Sales!$P:$P,Sales!$E:$E,FALSE,Sales!$A:$A,"&lt;&gt;"&amp;"Endulini",Sales!$H:$H,"&lt;="&amp;Heron!T$9,Sales!$H:$H,"&gt;"&amp;Heron!S$9,Sales!$F:$F,1)</f>
        <v/>
      </c>
      <c r="U50" s="66">
        <f>SUMIFS(Xero!$F:$F,Xero!$B:$B,Heron!U$9,Xero!$A:$A,Heron!$A$4,Xero!$E:$E,Heron!$A50)+SUMIFS(Xero!$F:$F,Xero!$B:$B,Heron!U$9,Xero!$A:$A,Heron!$A$5,Xero!$E:$E,Heron!$A50)+SUMIFS(Sales!$L:$L,Sales!$E:$E,FALSE,Sales!$A:$A,"&lt;&gt;"&amp;"Endulini",Sales!$H:$H,"&lt;="&amp;Heron!U$9,Sales!$H:$H,"&gt;"&amp;Heron!T$9,Sales!$F:$F,1)+SUMIFS(Sales!$M:$M,Sales!$E:$E,FALSE,Sales!$A:$A,"&lt;&gt;"&amp;"Endulini",Sales!$H:$H,"&lt;="&amp;Heron!U$9,Sales!$H:$H,"&gt;"&amp;Heron!T$9,Sales!$F:$F,1)+SUMIFS(Sales!$N:$N,Sales!$E:$E,FALSE,Sales!$A:$A,"&lt;&gt;"&amp;"Endulini",Sales!$H:$H,"&lt;="&amp;Heron!U$9,Sales!$H:$H,"&gt;"&amp;Heron!T$9,Sales!$F:$F,1)+SUMIFS(Sales!$P:$P,Sales!$E:$E,FALSE,Sales!$A:$A,"&lt;&gt;"&amp;"Endulini",Sales!$H:$H,"&lt;="&amp;Heron!U$9,Sales!$H:$H,"&gt;"&amp;Heron!T$9,Sales!$F:$F,1)</f>
        <v/>
      </c>
      <c r="V50" s="66">
        <f>SUMIFS(Xero!$F:$F,Xero!$B:$B,Heron!V$9,Xero!$A:$A,Heron!$A$4,Xero!$E:$E,Heron!$A50)+SUMIFS(Xero!$F:$F,Xero!$B:$B,Heron!V$9,Xero!$A:$A,Heron!$A$5,Xero!$E:$E,Heron!$A50)+SUMIFS(Sales!$L:$L,Sales!$E:$E,FALSE,Sales!$A:$A,"&lt;&gt;"&amp;"Endulini",Sales!$H:$H,"&lt;="&amp;Heron!V$9,Sales!$H:$H,"&gt;"&amp;Heron!U$9,Sales!$F:$F,1)+SUMIFS(Sales!$M:$M,Sales!$E:$E,FALSE,Sales!$A:$A,"&lt;&gt;"&amp;"Endulini",Sales!$H:$H,"&lt;="&amp;Heron!V$9,Sales!$H:$H,"&gt;"&amp;Heron!U$9,Sales!$F:$F,1)+SUMIFS(Sales!$N:$N,Sales!$E:$E,FALSE,Sales!$A:$A,"&lt;&gt;"&amp;"Endulini",Sales!$H:$H,"&lt;="&amp;Heron!V$9,Sales!$H:$H,"&gt;"&amp;Heron!U$9,Sales!$F:$F,1)+SUMIFS(Sales!$P:$P,Sales!$E:$E,FALSE,Sales!$A:$A,"&lt;&gt;"&amp;"Endulini",Sales!$H:$H,"&lt;="&amp;Heron!V$9,Sales!$H:$H,"&gt;"&amp;Heron!U$9,Sales!$F:$F,1)</f>
        <v/>
      </c>
      <c r="W50" s="66">
        <f>SUMIFS(Xero!$F:$F,Xero!$B:$B,Heron!W$9,Xero!$A:$A,Heron!$A$4,Xero!$E:$E,Heron!$A50)+SUMIFS(Xero!$F:$F,Xero!$B:$B,Heron!W$9,Xero!$A:$A,Heron!$A$5,Xero!$E:$E,Heron!$A50)+SUMIFS(Sales!$L:$L,Sales!$E:$E,FALSE,Sales!$A:$A,"&lt;&gt;"&amp;"Endulini",Sales!$H:$H,"&lt;="&amp;Heron!W$9,Sales!$H:$H,"&gt;"&amp;Heron!V$9,Sales!$F:$F,1)+SUMIFS(Sales!$M:$M,Sales!$E:$E,FALSE,Sales!$A:$A,"&lt;&gt;"&amp;"Endulini",Sales!$H:$H,"&lt;="&amp;Heron!W$9,Sales!$H:$H,"&gt;"&amp;Heron!V$9,Sales!$F:$F,1)+SUMIFS(Sales!$N:$N,Sales!$E:$E,FALSE,Sales!$A:$A,"&lt;&gt;"&amp;"Endulini",Sales!$H:$H,"&lt;="&amp;Heron!W$9,Sales!$H:$H,"&gt;"&amp;Heron!V$9,Sales!$F:$F,1)+SUMIFS(Sales!$P:$P,Sales!$E:$E,FALSE,Sales!$A:$A,"&lt;&gt;"&amp;"Endulini",Sales!$H:$H,"&lt;="&amp;Heron!W$9,Sales!$H:$H,"&gt;"&amp;Heron!V$9,Sales!$F:$F,1)</f>
        <v/>
      </c>
      <c r="X50" s="66">
        <f>SUMIFS(Xero!$F:$F,Xero!$B:$B,Heron!X$9,Xero!$A:$A,Heron!$A$4,Xero!$E:$E,Heron!$A50)+SUMIFS(Xero!$F:$F,Xero!$B:$B,Heron!X$9,Xero!$A:$A,Heron!$A$5,Xero!$E:$E,Heron!$A50)+SUMIFS(Sales!$L:$L,Sales!$E:$E,FALSE,Sales!$A:$A,"&lt;&gt;"&amp;"Endulini",Sales!$H:$H,"&lt;="&amp;Heron!X$9,Sales!$H:$H,"&gt;"&amp;Heron!W$9,Sales!$F:$F,1)+SUMIFS(Sales!$M:$M,Sales!$E:$E,FALSE,Sales!$A:$A,"&lt;&gt;"&amp;"Endulini",Sales!$H:$H,"&lt;="&amp;Heron!X$9,Sales!$H:$H,"&gt;"&amp;Heron!W$9,Sales!$F:$F,1)+SUMIFS(Sales!$N:$N,Sales!$E:$E,FALSE,Sales!$A:$A,"&lt;&gt;"&amp;"Endulini",Sales!$H:$H,"&lt;="&amp;Heron!X$9,Sales!$H:$H,"&gt;"&amp;Heron!W$9,Sales!$F:$F,1)+SUMIFS(Sales!$P:$P,Sales!$E:$E,FALSE,Sales!$A:$A,"&lt;&gt;"&amp;"Endulini",Sales!$H:$H,"&lt;="&amp;Heron!X$9,Sales!$H:$H,"&gt;"&amp;Heron!W$9,Sales!$F:$F,1)</f>
        <v/>
      </c>
      <c r="Y50" s="66">
        <f>SUMIFS(Xero!$F:$F,Xero!$B:$B,Heron!Y$9,Xero!$A:$A,Heron!$A$4,Xero!$E:$E,Heron!$A50)+SUMIFS(Xero!$F:$F,Xero!$B:$B,Heron!Y$9,Xero!$A:$A,Heron!$A$5,Xero!$E:$E,Heron!$A50)+SUMIFS(Sales!$L:$L,Sales!$E:$E,FALSE,Sales!$A:$A,"&lt;&gt;"&amp;"Endulini",Sales!$H:$H,"&lt;="&amp;Heron!Y$9,Sales!$H:$H,"&gt;"&amp;Heron!X$9,Sales!$F:$F,1)+SUMIFS(Sales!$M:$M,Sales!$E:$E,FALSE,Sales!$A:$A,"&lt;&gt;"&amp;"Endulini",Sales!$H:$H,"&lt;="&amp;Heron!Y$9,Sales!$H:$H,"&gt;"&amp;Heron!X$9,Sales!$F:$F,1)+SUMIFS(Sales!$N:$N,Sales!$E:$E,FALSE,Sales!$A:$A,"&lt;&gt;"&amp;"Endulini",Sales!$H:$H,"&lt;="&amp;Heron!Y$9,Sales!$H:$H,"&gt;"&amp;Heron!X$9,Sales!$F:$F,1)+SUMIFS(Sales!$P:$P,Sales!$E:$E,FALSE,Sales!$A:$A,"&lt;&gt;"&amp;"Endulini",Sales!$H:$H,"&lt;="&amp;Heron!Y$9,Sales!$H:$H,"&gt;"&amp;Heron!X$9,Sales!$F:$F,1)</f>
        <v/>
      </c>
      <c r="Z50" s="66">
        <f>SUMIFS(Xero!$F:$F,Xero!$B:$B,Heron!Z$9,Xero!$A:$A,Heron!$A$4,Xero!$E:$E,Heron!$A50)+SUMIFS(Xero!$F:$F,Xero!$B:$B,Heron!Z$9,Xero!$A:$A,Heron!$A$5,Xero!$E:$E,Heron!$A50)+SUMIFS(Sales!$L:$L,Sales!$E:$E,FALSE,Sales!$A:$A,"&lt;&gt;"&amp;"Endulini",Sales!$H:$H,"&lt;="&amp;Heron!Z$9,Sales!$H:$H,"&gt;"&amp;Heron!Y$9,Sales!$F:$F,1)+SUMIFS(Sales!$M:$M,Sales!$E:$E,FALSE,Sales!$A:$A,"&lt;&gt;"&amp;"Endulini",Sales!$H:$H,"&lt;="&amp;Heron!Z$9,Sales!$H:$H,"&gt;"&amp;Heron!Y$9,Sales!$F:$F,1)+SUMIFS(Sales!$N:$N,Sales!$E:$E,FALSE,Sales!$A:$A,"&lt;&gt;"&amp;"Endulini",Sales!$H:$H,"&lt;="&amp;Heron!Z$9,Sales!$H:$H,"&gt;"&amp;Heron!Y$9,Sales!$F:$F,1)+SUMIFS(Sales!$P:$P,Sales!$E:$E,FALSE,Sales!$A:$A,"&lt;&gt;"&amp;"Endulini",Sales!$H:$H,"&lt;="&amp;Heron!Z$9,Sales!$H:$H,"&gt;"&amp;Heron!Y$9,Sales!$F:$F,1)</f>
        <v/>
      </c>
      <c r="AA50" s="66">
        <f>SUMIFS(Xero!$F:$F,Xero!$B:$B,Heron!AA$9,Xero!$A:$A,Heron!$A$4,Xero!$E:$E,Heron!$A50)+SUMIFS(Xero!$F:$F,Xero!$B:$B,Heron!AA$9,Xero!$A:$A,Heron!$A$5,Xero!$E:$E,Heron!$A50)+SUMIFS(Sales!$L:$L,Sales!$E:$E,FALSE,Sales!$A:$A,"&lt;&gt;"&amp;"Endulini",Sales!$H:$H,"&lt;="&amp;Heron!AA$9,Sales!$H:$H,"&gt;"&amp;Heron!Z$9,Sales!$F:$F,1)+SUMIFS(Sales!$M:$M,Sales!$E:$E,FALSE,Sales!$A:$A,"&lt;&gt;"&amp;"Endulini",Sales!$H:$H,"&lt;="&amp;Heron!AA$9,Sales!$H:$H,"&gt;"&amp;Heron!Z$9,Sales!$F:$F,1)+SUMIFS(Sales!$N:$N,Sales!$E:$E,FALSE,Sales!$A:$A,"&lt;&gt;"&amp;"Endulini",Sales!$H:$H,"&lt;="&amp;Heron!AA$9,Sales!$H:$H,"&gt;"&amp;Heron!Z$9,Sales!$F:$F,1)+SUMIFS(Sales!$P:$P,Sales!$E:$E,FALSE,Sales!$A:$A,"&lt;&gt;"&amp;"Endulini",Sales!$H:$H,"&lt;="&amp;Heron!AA$9,Sales!$H:$H,"&gt;"&amp;Heron!Z$9,Sales!$F:$F,1)</f>
        <v/>
      </c>
      <c r="AB50" s="66">
        <f>SUMIFS(Xero!$F:$F,Xero!$B:$B,Heron!AB$9,Xero!$A:$A,Heron!$A$4,Xero!$E:$E,Heron!$A50)+SUMIFS(Xero!$F:$F,Xero!$B:$B,Heron!AB$9,Xero!$A:$A,Heron!$A$5,Xero!$E:$E,Heron!$A50)+SUMIFS(Sales!$L:$L,Sales!$E:$E,FALSE,Sales!$A:$A,"&lt;&gt;"&amp;"Endulini",Sales!$H:$H,"&lt;="&amp;Heron!AB$9,Sales!$H:$H,"&gt;"&amp;Heron!AA$9,Sales!$F:$F,1)+SUMIFS(Sales!$M:$M,Sales!$E:$E,FALSE,Sales!$A:$A,"&lt;&gt;"&amp;"Endulini",Sales!$H:$H,"&lt;="&amp;Heron!AB$9,Sales!$H:$H,"&gt;"&amp;Heron!AA$9,Sales!$F:$F,1)+SUMIFS(Sales!$N:$N,Sales!$E:$E,FALSE,Sales!$A:$A,"&lt;&gt;"&amp;"Endulini",Sales!$H:$H,"&lt;="&amp;Heron!AB$9,Sales!$H:$H,"&gt;"&amp;Heron!AA$9,Sales!$F:$F,1)+SUMIFS(Sales!$P:$P,Sales!$E:$E,FALSE,Sales!$A:$A,"&lt;&gt;"&amp;"Endulini",Sales!$H:$H,"&lt;="&amp;Heron!AB$9,Sales!$H:$H,"&gt;"&amp;Heron!AA$9,Sales!$F:$F,1)</f>
        <v/>
      </c>
      <c r="AC50" s="66">
        <f>SUMIFS(Xero!$F:$F,Xero!$B:$B,Heron!AC$9,Xero!$A:$A,Heron!$A$4,Xero!$E:$E,Heron!$A50)+SUMIFS(Xero!$F:$F,Xero!$B:$B,Heron!AC$9,Xero!$A:$A,Heron!$A$5,Xero!$E:$E,Heron!$A50)+SUMIFS(Sales!$L:$L,Sales!$E:$E,FALSE,Sales!$A:$A,"&lt;&gt;"&amp;"Endulini",Sales!$H:$H,"&lt;="&amp;Heron!AC$9,Sales!$H:$H,"&gt;"&amp;Heron!AB$9,Sales!$F:$F,1)+SUMIFS(Sales!$M:$M,Sales!$E:$E,FALSE,Sales!$A:$A,"&lt;&gt;"&amp;"Endulini",Sales!$H:$H,"&lt;="&amp;Heron!AC$9,Sales!$H:$H,"&gt;"&amp;Heron!AB$9,Sales!$F:$F,1)+SUMIFS(Sales!$N:$N,Sales!$E:$E,FALSE,Sales!$A:$A,"&lt;&gt;"&amp;"Endulini",Sales!$H:$H,"&lt;="&amp;Heron!AC$9,Sales!$H:$H,"&gt;"&amp;Heron!AB$9,Sales!$F:$F,1)+SUMIFS(Sales!$P:$P,Sales!$E:$E,FALSE,Sales!$A:$A,"&lt;&gt;"&amp;"Endulini",Sales!$H:$H,"&lt;="&amp;Heron!AC$9,Sales!$H:$H,"&gt;"&amp;Heron!AB$9,Sales!$F:$F,1)</f>
        <v/>
      </c>
      <c r="AD50" s="66">
        <f>SUMIFS(Xero!$F:$F,Xero!$B:$B,Heron!AD$9,Xero!$A:$A,Heron!$A$4,Xero!$E:$E,Heron!$A50)+SUMIFS(Xero!$F:$F,Xero!$B:$B,Heron!AD$9,Xero!$A:$A,Heron!$A$5,Xero!$E:$E,Heron!$A50)+SUMIFS(Sales!$L:$L,Sales!$E:$E,FALSE,Sales!$A:$A,"&lt;&gt;"&amp;"Endulini",Sales!$H:$H,"&lt;="&amp;Heron!AD$9,Sales!$H:$H,"&gt;"&amp;Heron!AC$9,Sales!$F:$F,1)+SUMIFS(Sales!$M:$M,Sales!$E:$E,FALSE,Sales!$A:$A,"&lt;&gt;"&amp;"Endulini",Sales!$H:$H,"&lt;="&amp;Heron!AD$9,Sales!$H:$H,"&gt;"&amp;Heron!AC$9,Sales!$F:$F,1)+SUMIFS(Sales!$N:$N,Sales!$E:$E,FALSE,Sales!$A:$A,"&lt;&gt;"&amp;"Endulini",Sales!$H:$H,"&lt;="&amp;Heron!AD$9,Sales!$H:$H,"&gt;"&amp;Heron!AC$9,Sales!$F:$F,1)+SUMIFS(Sales!$P:$P,Sales!$E:$E,FALSE,Sales!$A:$A,"&lt;&gt;"&amp;"Endulini",Sales!$H:$H,"&lt;="&amp;Heron!AD$9,Sales!$H:$H,"&gt;"&amp;Heron!AC$9,Sales!$F:$F,1)</f>
        <v/>
      </c>
      <c r="AE50" s="66">
        <f>SUMIFS(Xero!$F:$F,Xero!$B:$B,Heron!AE$9,Xero!$A:$A,Heron!$A$4,Xero!$E:$E,Heron!$A50)+SUMIFS(Xero!$F:$F,Xero!$B:$B,Heron!AE$9,Xero!$A:$A,Heron!$A$5,Xero!$E:$E,Heron!$A50)+SUMIFS(Sales!$L:$L,Sales!$E:$E,FALSE,Sales!$A:$A,"&lt;&gt;"&amp;"Endulini",Sales!$H:$H,"&lt;="&amp;Heron!AE$9,Sales!$H:$H,"&gt;"&amp;Heron!AD$9,Sales!$F:$F,1)+SUMIFS(Sales!$M:$M,Sales!$E:$E,FALSE,Sales!$A:$A,"&lt;&gt;"&amp;"Endulini",Sales!$H:$H,"&lt;="&amp;Heron!AE$9,Sales!$H:$H,"&gt;"&amp;Heron!AD$9,Sales!$F:$F,1)+SUMIFS(Sales!$N:$N,Sales!$E:$E,FALSE,Sales!$A:$A,"&lt;&gt;"&amp;"Endulini",Sales!$H:$H,"&lt;="&amp;Heron!AE$9,Sales!$H:$H,"&gt;"&amp;Heron!AD$9,Sales!$F:$F,1)+SUMIFS(Sales!$P:$P,Sales!$E:$E,FALSE,Sales!$A:$A,"&lt;&gt;"&amp;"Endulini",Sales!$H:$H,"&lt;="&amp;Heron!AE$9,Sales!$H:$H,"&gt;"&amp;Heron!AD$9,Sales!$F:$F,1)</f>
        <v/>
      </c>
      <c r="AF50" s="66">
        <f>SUMIFS(Xero!$F:$F,Xero!$B:$B,Heron!AF$9,Xero!$A:$A,Heron!$A$4,Xero!$E:$E,Heron!$A50)+SUMIFS(Xero!$F:$F,Xero!$B:$B,Heron!AF$9,Xero!$A:$A,Heron!$A$5,Xero!$E:$E,Heron!$A50)+SUMIFS(Sales!$L:$L,Sales!$E:$E,FALSE,Sales!$A:$A,"&lt;&gt;"&amp;"Endulini",Sales!$H:$H,"&lt;="&amp;Heron!AF$9,Sales!$H:$H,"&gt;"&amp;Heron!AE$9,Sales!$F:$F,1)+SUMIFS(Sales!$M:$M,Sales!$E:$E,FALSE,Sales!$A:$A,"&lt;&gt;"&amp;"Endulini",Sales!$H:$H,"&lt;="&amp;Heron!AF$9,Sales!$H:$H,"&gt;"&amp;Heron!AE$9,Sales!$F:$F,1)+SUMIFS(Sales!$N:$N,Sales!$E:$E,FALSE,Sales!$A:$A,"&lt;&gt;"&amp;"Endulini",Sales!$H:$H,"&lt;="&amp;Heron!AF$9,Sales!$H:$H,"&gt;"&amp;Heron!AE$9,Sales!$F:$F,1)+SUMIFS(Sales!$P:$P,Sales!$E:$E,FALSE,Sales!$A:$A,"&lt;&gt;"&amp;"Endulini",Sales!$H:$H,"&lt;="&amp;Heron!AF$9,Sales!$H:$H,"&gt;"&amp;Heron!AE$9,Sales!$F:$F,1)</f>
        <v/>
      </c>
      <c r="AG50" s="66">
        <f>SUMIFS(Xero!$F:$F,Xero!$B:$B,Heron!AG$9,Xero!$A:$A,Heron!$A$4,Xero!$E:$E,Heron!$A50)+SUMIFS(Xero!$F:$F,Xero!$B:$B,Heron!AG$9,Xero!$A:$A,Heron!$A$5,Xero!$E:$E,Heron!$A50)+SUMIFS(Sales!$L:$L,Sales!$E:$E,FALSE,Sales!$A:$A,"&lt;&gt;"&amp;"Endulini",Sales!$H:$H,"&lt;="&amp;Heron!AG$9,Sales!$H:$H,"&gt;"&amp;Heron!AF$9,Sales!$F:$F,1)+SUMIFS(Sales!$M:$M,Sales!$E:$E,FALSE,Sales!$A:$A,"&lt;&gt;"&amp;"Endulini",Sales!$H:$H,"&lt;="&amp;Heron!AG$9,Sales!$H:$H,"&gt;"&amp;Heron!AF$9,Sales!$F:$F,1)+SUMIFS(Sales!$N:$N,Sales!$E:$E,FALSE,Sales!$A:$A,"&lt;&gt;"&amp;"Endulini",Sales!$H:$H,"&lt;="&amp;Heron!AG$9,Sales!$H:$H,"&gt;"&amp;Heron!AF$9,Sales!$F:$F,1)+SUMIFS(Sales!$P:$P,Sales!$E:$E,FALSE,Sales!$A:$A,"&lt;&gt;"&amp;"Endulini",Sales!$H:$H,"&lt;="&amp;Heron!AG$9,Sales!$H:$H,"&gt;"&amp;Heron!AF$9,Sales!$F:$F,1)</f>
        <v/>
      </c>
      <c r="AH50" s="66">
        <f>SUMIFS(Xero!$F:$F,Xero!$B:$B,Heron!AH$9,Xero!$A:$A,Heron!$A$4,Xero!$E:$E,Heron!$A50)+SUMIFS(Xero!$F:$F,Xero!$B:$B,Heron!AH$9,Xero!$A:$A,Heron!$A$5,Xero!$E:$E,Heron!$A50)+SUMIFS(Sales!$L:$L,Sales!$E:$E,FALSE,Sales!$A:$A,"&lt;&gt;"&amp;"Endulini",Sales!$H:$H,"&lt;="&amp;Heron!AH$9,Sales!$H:$H,"&gt;"&amp;Heron!AG$9,Sales!$F:$F,1)+SUMIFS(Sales!$M:$M,Sales!$E:$E,FALSE,Sales!$A:$A,"&lt;&gt;"&amp;"Endulini",Sales!$H:$H,"&lt;="&amp;Heron!AH$9,Sales!$H:$H,"&gt;"&amp;Heron!AG$9,Sales!$F:$F,1)+SUMIFS(Sales!$N:$N,Sales!$E:$E,FALSE,Sales!$A:$A,"&lt;&gt;"&amp;"Endulini",Sales!$H:$H,"&lt;="&amp;Heron!AH$9,Sales!$H:$H,"&gt;"&amp;Heron!AG$9,Sales!$F:$F,1)+SUMIFS(Sales!$P:$P,Sales!$E:$E,FALSE,Sales!$A:$A,"&lt;&gt;"&amp;"Endulini",Sales!$H:$H,"&lt;="&amp;Heron!AH$9,Sales!$H:$H,"&gt;"&amp;Heron!AG$9,Sales!$F:$F,1)</f>
        <v/>
      </c>
      <c r="AI50" s="66">
        <f>SUMIFS(Xero!$F:$F,Xero!$B:$B,Heron!AI$9,Xero!$A:$A,Heron!$A$4,Xero!$E:$E,Heron!$A50)+SUMIFS(Xero!$F:$F,Xero!$B:$B,Heron!AI$9,Xero!$A:$A,Heron!$A$5,Xero!$E:$E,Heron!$A50)+SUMIFS(Sales!$L:$L,Sales!$E:$E,FALSE,Sales!$A:$A,"&lt;&gt;"&amp;"Endulini",Sales!$H:$H,"&lt;="&amp;Heron!AI$9,Sales!$H:$H,"&gt;"&amp;Heron!AH$9,Sales!$F:$F,1)+SUMIFS(Sales!$M:$M,Sales!$E:$E,FALSE,Sales!$A:$A,"&lt;&gt;"&amp;"Endulini",Sales!$H:$H,"&lt;="&amp;Heron!AI$9,Sales!$H:$H,"&gt;"&amp;Heron!AH$9,Sales!$F:$F,1)+SUMIFS(Sales!$N:$N,Sales!$E:$E,FALSE,Sales!$A:$A,"&lt;&gt;"&amp;"Endulini",Sales!$H:$H,"&lt;="&amp;Heron!AI$9,Sales!$H:$H,"&gt;"&amp;Heron!AH$9,Sales!$F:$F,1)+SUMIFS(Sales!$P:$P,Sales!$E:$E,FALSE,Sales!$A:$A,"&lt;&gt;"&amp;"Endulini",Sales!$H:$H,"&lt;="&amp;Heron!AI$9,Sales!$H:$H,"&gt;"&amp;Heron!AH$9,Sales!$F:$F,1)</f>
        <v/>
      </c>
      <c r="AJ50" s="66">
        <f>SUMIFS(Xero!$F:$F,Xero!$B:$B,Heron!AJ$9,Xero!$A:$A,Heron!$A$4,Xero!$E:$E,Heron!$A50)+SUMIFS(Xero!$F:$F,Xero!$B:$B,Heron!AJ$9,Xero!$A:$A,Heron!$A$5,Xero!$E:$E,Heron!$A50)+SUMIFS(Sales!$L:$L,Sales!$E:$E,FALSE,Sales!$A:$A,"&lt;&gt;"&amp;"Endulini",Sales!$H:$H,"&lt;="&amp;Heron!AJ$9,Sales!$H:$H,"&gt;"&amp;Heron!AI$9,Sales!$F:$F,1)+SUMIFS(Sales!$M:$M,Sales!$E:$E,FALSE,Sales!$A:$A,"&lt;&gt;"&amp;"Endulini",Sales!$H:$H,"&lt;="&amp;Heron!AJ$9,Sales!$H:$H,"&gt;"&amp;Heron!AI$9,Sales!$F:$F,1)+SUMIFS(Sales!$N:$N,Sales!$E:$E,FALSE,Sales!$A:$A,"&lt;&gt;"&amp;"Endulini",Sales!$H:$H,"&lt;="&amp;Heron!AJ$9,Sales!$H:$H,"&gt;"&amp;Heron!AI$9,Sales!$F:$F,1)+SUMIFS(Sales!$P:$P,Sales!$E:$E,FALSE,Sales!$A:$A,"&lt;&gt;"&amp;"Endulini",Sales!$H:$H,"&lt;="&amp;Heron!AJ$9,Sales!$H:$H,"&gt;"&amp;Heron!AI$9,Sales!$F:$F,1)</f>
        <v/>
      </c>
      <c r="AK50" s="66">
        <f>SUMIFS(Xero!$F:$F,Xero!$B:$B,Heron!AK$9,Xero!$A:$A,Heron!$A$4,Xero!$E:$E,Heron!$A50)+SUMIFS(Xero!$F:$F,Xero!$B:$B,Heron!AK$9,Xero!$A:$A,Heron!$A$5,Xero!$E:$E,Heron!$A50)+SUMIFS(Sales!$L:$L,Sales!$E:$E,FALSE,Sales!$A:$A,"&lt;&gt;"&amp;"Endulini",Sales!$H:$H,"&lt;="&amp;Heron!AK$9,Sales!$H:$H,"&gt;"&amp;Heron!AJ$9,Sales!$F:$F,1)+SUMIFS(Sales!$M:$M,Sales!$E:$E,FALSE,Sales!$A:$A,"&lt;&gt;"&amp;"Endulini",Sales!$H:$H,"&lt;="&amp;Heron!AK$9,Sales!$H:$H,"&gt;"&amp;Heron!AJ$9,Sales!$F:$F,1)+SUMIFS(Sales!$N:$N,Sales!$E:$E,FALSE,Sales!$A:$A,"&lt;&gt;"&amp;"Endulini",Sales!$H:$H,"&lt;="&amp;Heron!AK$9,Sales!$H:$H,"&gt;"&amp;Heron!AJ$9,Sales!$F:$F,1)+SUMIFS(Sales!$P:$P,Sales!$E:$E,FALSE,Sales!$A:$A,"&lt;&gt;"&amp;"Endulini",Sales!$H:$H,"&lt;="&amp;Heron!AK$9,Sales!$H:$H,"&gt;"&amp;Heron!AJ$9,Sales!$F:$F,1)</f>
        <v/>
      </c>
      <c r="AL50" s="66">
        <f>SUMIFS(Xero!$F:$F,Xero!$B:$B,Heron!AL$9,Xero!$A:$A,Heron!$A$4,Xero!$E:$E,Heron!$A50)+SUMIFS(Xero!$F:$F,Xero!$B:$B,Heron!AL$9,Xero!$A:$A,Heron!$A$5,Xero!$E:$E,Heron!$A50)+SUMIFS(Sales!$L:$L,Sales!$E:$E,FALSE,Sales!$A:$A,"&lt;&gt;"&amp;"Endulini",Sales!$H:$H,"&lt;="&amp;Heron!AL$9,Sales!$H:$H,"&gt;"&amp;Heron!AK$9,Sales!$F:$F,1)+SUMIFS(Sales!$M:$M,Sales!$E:$E,FALSE,Sales!$A:$A,"&lt;&gt;"&amp;"Endulini",Sales!$H:$H,"&lt;="&amp;Heron!AL$9,Sales!$H:$H,"&gt;"&amp;Heron!AK$9,Sales!$F:$F,1)+SUMIFS(Sales!$N:$N,Sales!$E:$E,FALSE,Sales!$A:$A,"&lt;&gt;"&amp;"Endulini",Sales!$H:$H,"&lt;="&amp;Heron!AL$9,Sales!$H:$H,"&gt;"&amp;Heron!AK$9,Sales!$F:$F,1)+SUMIFS(Sales!$P:$P,Sales!$E:$E,FALSE,Sales!$A:$A,"&lt;&gt;"&amp;"Endulini",Sales!$H:$H,"&lt;="&amp;Heron!AL$9,Sales!$H:$H,"&gt;"&amp;Heron!AK$9,Sales!$F:$F,1)</f>
        <v/>
      </c>
      <c r="AM50" s="66">
        <f>SUMIFS(Xero!$F:$F,Xero!$B:$B,Heron!AM$9,Xero!$A:$A,Heron!$A$4,Xero!$E:$E,Heron!$A50)+SUMIFS(Xero!$F:$F,Xero!$B:$B,Heron!AM$9,Xero!$A:$A,Heron!$A$5,Xero!$E:$E,Heron!$A50)+SUMIFS(Sales!$L:$L,Sales!$E:$E,FALSE,Sales!$A:$A,"&lt;&gt;"&amp;"Endulini",Sales!$H:$H,"&lt;="&amp;Heron!AM$9,Sales!$H:$H,"&gt;"&amp;Heron!AL$9,Sales!$F:$F,1)+SUMIFS(Sales!$M:$M,Sales!$E:$E,FALSE,Sales!$A:$A,"&lt;&gt;"&amp;"Endulini",Sales!$H:$H,"&lt;="&amp;Heron!AM$9,Sales!$H:$H,"&gt;"&amp;Heron!AL$9,Sales!$F:$F,1)+SUMIFS(Sales!$N:$N,Sales!$E:$E,FALSE,Sales!$A:$A,"&lt;&gt;"&amp;"Endulini",Sales!$H:$H,"&lt;="&amp;Heron!AM$9,Sales!$H:$H,"&gt;"&amp;Heron!AL$9,Sales!$F:$F,1)+SUMIFS(Sales!$P:$P,Sales!$E:$E,FALSE,Sales!$A:$A,"&lt;&gt;"&amp;"Endulini",Sales!$H:$H,"&lt;="&amp;Heron!AM$9,Sales!$H:$H,"&gt;"&amp;Heron!AL$9,Sales!$F:$F,1)</f>
        <v/>
      </c>
      <c r="AN50" s="66">
        <f>SUMIFS(Xero!$F:$F,Xero!$B:$B,Heron!AN$9,Xero!$A:$A,Heron!$A$4,Xero!$E:$E,Heron!$A50)+SUMIFS(Xero!$F:$F,Xero!$B:$B,Heron!AN$9,Xero!$A:$A,Heron!$A$5,Xero!$E:$E,Heron!$A50)+SUMIFS(Sales!$L:$L,Sales!$E:$E,FALSE,Sales!$A:$A,"&lt;&gt;"&amp;"Endulini",Sales!$H:$H,"&lt;="&amp;Heron!AN$9,Sales!$H:$H,"&gt;"&amp;Heron!AM$9,Sales!$F:$F,1)+SUMIFS(Sales!$M:$M,Sales!$E:$E,FALSE,Sales!$A:$A,"&lt;&gt;"&amp;"Endulini",Sales!$H:$H,"&lt;="&amp;Heron!AN$9,Sales!$H:$H,"&gt;"&amp;Heron!AM$9,Sales!$F:$F,1)+SUMIFS(Sales!$N:$N,Sales!$E:$E,FALSE,Sales!$A:$A,"&lt;&gt;"&amp;"Endulini",Sales!$H:$H,"&lt;="&amp;Heron!AN$9,Sales!$H:$H,"&gt;"&amp;Heron!AM$9,Sales!$F:$F,1)+SUMIFS(Sales!$P:$P,Sales!$E:$E,FALSE,Sales!$A:$A,"&lt;&gt;"&amp;"Endulini",Sales!$H:$H,"&lt;="&amp;Heron!AN$9,Sales!$H:$H,"&gt;"&amp;Heron!AM$9,Sales!$F:$F,1)</f>
        <v/>
      </c>
      <c r="AO50" s="66">
        <f>SUMIFS(Xero!$F:$F,Xero!$B:$B,Heron!AO$9,Xero!$A:$A,Heron!$A$4,Xero!$E:$E,Heron!$A50)+SUMIFS(Xero!$F:$F,Xero!$B:$B,Heron!AO$9,Xero!$A:$A,Heron!$A$5,Xero!$E:$E,Heron!$A50)+SUMIFS(Sales!$L:$L,Sales!$E:$E,FALSE,Sales!$A:$A,"&lt;&gt;"&amp;"Endulini",Sales!$H:$H,"&lt;="&amp;Heron!AO$9,Sales!$H:$H,"&gt;"&amp;Heron!AN$9,Sales!$F:$F,1)+SUMIFS(Sales!$M:$M,Sales!$E:$E,FALSE,Sales!$A:$A,"&lt;&gt;"&amp;"Endulini",Sales!$H:$H,"&lt;="&amp;Heron!AO$9,Sales!$H:$H,"&gt;"&amp;Heron!AN$9,Sales!$F:$F,1)+SUMIFS(Sales!$N:$N,Sales!$E:$E,FALSE,Sales!$A:$A,"&lt;&gt;"&amp;"Endulini",Sales!$H:$H,"&lt;="&amp;Heron!AO$9,Sales!$H:$H,"&gt;"&amp;Heron!AN$9,Sales!$F:$F,1)+SUMIFS(Sales!$P:$P,Sales!$E:$E,FALSE,Sales!$A:$A,"&lt;&gt;"&amp;"Endulini",Sales!$H:$H,"&lt;="&amp;Heron!AO$9,Sales!$H:$H,"&gt;"&amp;Heron!AN$9,Sales!$F:$F,1)</f>
        <v/>
      </c>
      <c r="AP50" s="66">
        <f>SUMIFS(Xero!$F:$F,Xero!$B:$B,Heron!AP$9,Xero!$A:$A,Heron!$A$4,Xero!$E:$E,Heron!$A50)+SUMIFS(Xero!$F:$F,Xero!$B:$B,Heron!AP$9,Xero!$A:$A,Heron!$A$5,Xero!$E:$E,Heron!$A50)+SUMIFS(Sales!$L:$L,Sales!$E:$E,FALSE,Sales!$A:$A,"&lt;&gt;"&amp;"Endulini",Sales!$H:$H,"&lt;="&amp;Heron!AP$9,Sales!$H:$H,"&gt;"&amp;Heron!AO$9,Sales!$F:$F,1)+SUMIFS(Sales!$M:$M,Sales!$E:$E,FALSE,Sales!$A:$A,"&lt;&gt;"&amp;"Endulini",Sales!$H:$H,"&lt;="&amp;Heron!AP$9,Sales!$H:$H,"&gt;"&amp;Heron!AO$9,Sales!$F:$F,1)+SUMIFS(Sales!$N:$N,Sales!$E:$E,FALSE,Sales!$A:$A,"&lt;&gt;"&amp;"Endulini",Sales!$H:$H,"&lt;="&amp;Heron!AP$9,Sales!$H:$H,"&gt;"&amp;Heron!AO$9,Sales!$F:$F,1)+SUMIFS(Sales!$P:$P,Sales!$E:$E,FALSE,Sales!$A:$A,"&lt;&gt;"&amp;"Endulini",Sales!$H:$H,"&lt;="&amp;Heron!AP$9,Sales!$H:$H,"&gt;"&amp;Heron!AO$9,Sales!$F:$F,1)</f>
        <v/>
      </c>
      <c r="AQ50" s="66">
        <f>SUMIFS(Xero!$F:$F,Xero!$B:$B,Heron!AQ$9,Xero!$A:$A,Heron!$A$4,Xero!$E:$E,Heron!$A50)+SUMIFS(Xero!$F:$F,Xero!$B:$B,Heron!AQ$9,Xero!$A:$A,Heron!$A$5,Xero!$E:$E,Heron!$A50)+SUMIFS(Sales!$L:$L,Sales!$E:$E,FALSE,Sales!$A:$A,"&lt;&gt;"&amp;"Endulini",Sales!$H:$H,"&lt;="&amp;Heron!AQ$9,Sales!$H:$H,"&gt;"&amp;Heron!AP$9,Sales!$F:$F,1)+SUMIFS(Sales!$M:$M,Sales!$E:$E,FALSE,Sales!$A:$A,"&lt;&gt;"&amp;"Endulini",Sales!$H:$H,"&lt;="&amp;Heron!AQ$9,Sales!$H:$H,"&gt;"&amp;Heron!AP$9,Sales!$F:$F,1)+SUMIFS(Sales!$N:$N,Sales!$E:$E,FALSE,Sales!$A:$A,"&lt;&gt;"&amp;"Endulini",Sales!$H:$H,"&lt;="&amp;Heron!AQ$9,Sales!$H:$H,"&gt;"&amp;Heron!AP$9,Sales!$F:$F,1)+SUMIFS(Sales!$P:$P,Sales!$E:$E,FALSE,Sales!$A:$A,"&lt;&gt;"&amp;"Endulini",Sales!$H:$H,"&lt;="&amp;Heron!AQ$9,Sales!$H:$H,"&gt;"&amp;Heron!AP$9,Sales!$F:$F,1)</f>
        <v/>
      </c>
      <c r="AR50" s="66">
        <f>SUMIFS(Xero!$F:$F,Xero!$B:$B,Heron!AR$9,Xero!$A:$A,Heron!$A$4,Xero!$E:$E,Heron!$A50)+SUMIFS(Xero!$F:$F,Xero!$B:$B,Heron!AR$9,Xero!$A:$A,Heron!$A$5,Xero!$E:$E,Heron!$A50)+SUMIFS(Sales!$L:$L,Sales!$E:$E,FALSE,Sales!$A:$A,"&lt;&gt;"&amp;"Endulini",Sales!$H:$H,"&lt;="&amp;Heron!AR$9,Sales!$H:$H,"&gt;"&amp;Heron!AQ$9,Sales!$F:$F,1)+SUMIFS(Sales!$M:$M,Sales!$E:$E,FALSE,Sales!$A:$A,"&lt;&gt;"&amp;"Endulini",Sales!$H:$H,"&lt;="&amp;Heron!AR$9,Sales!$H:$H,"&gt;"&amp;Heron!AQ$9,Sales!$F:$F,1)+SUMIFS(Sales!$N:$N,Sales!$E:$E,FALSE,Sales!$A:$A,"&lt;&gt;"&amp;"Endulini",Sales!$H:$H,"&lt;="&amp;Heron!AR$9,Sales!$H:$H,"&gt;"&amp;Heron!AQ$9,Sales!$F:$F,1)+SUMIFS(Sales!$P:$P,Sales!$E:$E,FALSE,Sales!$A:$A,"&lt;&gt;"&amp;"Endulini",Sales!$H:$H,"&lt;="&amp;Heron!AR$9,Sales!$H:$H,"&gt;"&amp;Heron!AQ$9,Sales!$F:$F,1)</f>
        <v/>
      </c>
      <c r="AS50" s="66">
        <f>SUMIFS(Xero!$F:$F,Xero!$B:$B,Heron!AS$9,Xero!$A:$A,Heron!$A$4,Xero!$E:$E,Heron!$A50)+SUMIFS(Xero!$F:$F,Xero!$B:$B,Heron!AS$9,Xero!$A:$A,Heron!$A$5,Xero!$E:$E,Heron!$A50)+SUMIFS(Sales!$L:$L,Sales!$E:$E,FALSE,Sales!$A:$A,"&lt;&gt;"&amp;"Endulini",Sales!$H:$H,"&lt;="&amp;Heron!AS$9,Sales!$H:$H,"&gt;"&amp;Heron!AR$9,Sales!$F:$F,1)+SUMIFS(Sales!$M:$M,Sales!$E:$E,FALSE,Sales!$A:$A,"&lt;&gt;"&amp;"Endulini",Sales!$H:$H,"&lt;="&amp;Heron!AS$9,Sales!$H:$H,"&gt;"&amp;Heron!AR$9,Sales!$F:$F,1)+SUMIFS(Sales!$N:$N,Sales!$E:$E,FALSE,Sales!$A:$A,"&lt;&gt;"&amp;"Endulini",Sales!$H:$H,"&lt;="&amp;Heron!AS$9,Sales!$H:$H,"&gt;"&amp;Heron!AR$9,Sales!$F:$F,1)+SUMIFS(Sales!$P:$P,Sales!$E:$E,FALSE,Sales!$A:$A,"&lt;&gt;"&amp;"Endulini",Sales!$H:$H,"&lt;="&amp;Heron!AS$9,Sales!$H:$H,"&gt;"&amp;Heron!AR$9,Sales!$F:$F,1)</f>
        <v/>
      </c>
      <c r="AT50" s="66">
        <f>SUMIFS(Xero!$F:$F,Xero!$B:$B,Heron!AT$9,Xero!$A:$A,Heron!$A$4,Xero!$E:$E,Heron!$A50)+SUMIFS(Xero!$F:$F,Xero!$B:$B,Heron!AT$9,Xero!$A:$A,Heron!$A$5,Xero!$E:$E,Heron!$A50)+SUMIFS(Sales!$L:$L,Sales!$E:$E,FALSE,Sales!$A:$A,"&lt;&gt;"&amp;"Endulini",Sales!$H:$H,"&lt;="&amp;Heron!AT$9,Sales!$H:$H,"&gt;"&amp;Heron!AS$9,Sales!$F:$F,1)+SUMIFS(Sales!$M:$M,Sales!$E:$E,FALSE,Sales!$A:$A,"&lt;&gt;"&amp;"Endulini",Sales!$H:$H,"&lt;="&amp;Heron!AT$9,Sales!$H:$H,"&gt;"&amp;Heron!AS$9,Sales!$F:$F,1)+SUMIFS(Sales!$N:$N,Sales!$E:$E,FALSE,Sales!$A:$A,"&lt;&gt;"&amp;"Endulini",Sales!$H:$H,"&lt;="&amp;Heron!AT$9,Sales!$H:$H,"&gt;"&amp;Heron!AS$9,Sales!$F:$F,1)+SUMIFS(Sales!$P:$P,Sales!$E:$E,FALSE,Sales!$A:$A,"&lt;&gt;"&amp;"Endulini",Sales!$H:$H,"&lt;="&amp;Heron!AT$9,Sales!$H:$H,"&gt;"&amp;Heron!AS$9,Sales!$F:$F,1)</f>
        <v/>
      </c>
      <c r="AU50" s="66">
        <f>SUMIFS(Xero!$F:$F,Xero!$B:$B,Heron!AU$9,Xero!$A:$A,Heron!$A$4,Xero!$E:$E,Heron!$A50)+SUMIFS(Xero!$F:$F,Xero!$B:$B,Heron!AU$9,Xero!$A:$A,Heron!$A$5,Xero!$E:$E,Heron!$A50)+SUMIFS(Sales!$L:$L,Sales!$E:$E,FALSE,Sales!$A:$A,"&lt;&gt;"&amp;"Endulini",Sales!$H:$H,"&lt;="&amp;Heron!AU$9,Sales!$H:$H,"&gt;"&amp;Heron!AT$9,Sales!$F:$F,1)+SUMIFS(Sales!$M:$M,Sales!$E:$E,FALSE,Sales!$A:$A,"&lt;&gt;"&amp;"Endulini",Sales!$H:$H,"&lt;="&amp;Heron!AU$9,Sales!$H:$H,"&gt;"&amp;Heron!AT$9,Sales!$F:$F,1)+SUMIFS(Sales!$N:$N,Sales!$E:$E,FALSE,Sales!$A:$A,"&lt;&gt;"&amp;"Endulini",Sales!$H:$H,"&lt;="&amp;Heron!AU$9,Sales!$H:$H,"&gt;"&amp;Heron!AT$9,Sales!$F:$F,1)+SUMIFS(Sales!$P:$P,Sales!$E:$E,FALSE,Sales!$A:$A,"&lt;&gt;"&amp;"Endulini",Sales!$H:$H,"&lt;="&amp;Heron!AU$9,Sales!$H:$H,"&gt;"&amp;Heron!AT$9,Sales!$F:$F,1)</f>
        <v/>
      </c>
      <c r="AV50" s="66">
        <f>SUMIFS(Xero!$F:$F,Xero!$B:$B,Heron!AV$9,Xero!$A:$A,Heron!$A$4,Xero!$E:$E,Heron!$A50)+SUMIFS(Xero!$F:$F,Xero!$B:$B,Heron!AV$9,Xero!$A:$A,Heron!$A$5,Xero!$E:$E,Heron!$A50)+SUMIFS(Sales!$L:$L,Sales!$E:$E,FALSE,Sales!$A:$A,"&lt;&gt;"&amp;"Endulini",Sales!$H:$H,"&lt;="&amp;Heron!AV$9,Sales!$H:$H,"&gt;"&amp;Heron!AU$9,Sales!$F:$F,1)+SUMIFS(Sales!$M:$M,Sales!$E:$E,FALSE,Sales!$A:$A,"&lt;&gt;"&amp;"Endulini",Sales!$H:$H,"&lt;="&amp;Heron!AV$9,Sales!$H:$H,"&gt;"&amp;Heron!AU$9,Sales!$F:$F,1)+SUMIFS(Sales!$N:$N,Sales!$E:$E,FALSE,Sales!$A:$A,"&lt;&gt;"&amp;"Endulini",Sales!$H:$H,"&lt;="&amp;Heron!AV$9,Sales!$H:$H,"&gt;"&amp;Heron!AU$9,Sales!$F:$F,1)+SUMIFS(Sales!$P:$P,Sales!$E:$E,FALSE,Sales!$A:$A,"&lt;&gt;"&amp;"Endulini",Sales!$H:$H,"&lt;="&amp;Heron!AV$9,Sales!$H:$H,"&gt;"&amp;Heron!AU$9,Sales!$F:$F,1)</f>
        <v/>
      </c>
      <c r="AW50" s="66">
        <f>SUMIFS(Xero!$F:$F,Xero!$B:$B,Heron!AW$9,Xero!$A:$A,Heron!$A$4,Xero!$E:$E,Heron!$A50)+SUMIFS(Xero!$F:$F,Xero!$B:$B,Heron!AW$9,Xero!$A:$A,Heron!$A$5,Xero!$E:$E,Heron!$A50)+SUMIFS(Sales!$L:$L,Sales!$E:$E,FALSE,Sales!$A:$A,"&lt;&gt;"&amp;"Endulini",Sales!$H:$H,"&lt;="&amp;Heron!AW$9,Sales!$H:$H,"&gt;"&amp;Heron!AV$9,Sales!$F:$F,1)+SUMIFS(Sales!$M:$M,Sales!$E:$E,FALSE,Sales!$A:$A,"&lt;&gt;"&amp;"Endulini",Sales!$H:$H,"&lt;="&amp;Heron!AW$9,Sales!$H:$H,"&gt;"&amp;Heron!AV$9,Sales!$F:$F,1)+SUMIFS(Sales!$N:$N,Sales!$E:$E,FALSE,Sales!$A:$A,"&lt;&gt;"&amp;"Endulini",Sales!$H:$H,"&lt;="&amp;Heron!AW$9,Sales!$H:$H,"&gt;"&amp;Heron!AV$9,Sales!$F:$F,1)+SUMIFS(Sales!$P:$P,Sales!$E:$E,FALSE,Sales!$A:$A,"&lt;&gt;"&amp;"Endulini",Sales!$H:$H,"&lt;="&amp;Heron!AW$9,Sales!$H:$H,"&gt;"&amp;Heron!AV$9,Sales!$F:$F,1)</f>
        <v/>
      </c>
      <c r="AX50" s="66">
        <f>SUMIFS(Xero!$F:$F,Xero!$B:$B,Heron!AX$9,Xero!$A:$A,Heron!$A$4,Xero!$E:$E,Heron!$A50)+SUMIFS(Xero!$F:$F,Xero!$B:$B,Heron!AX$9,Xero!$A:$A,Heron!$A$5,Xero!$E:$E,Heron!$A50)+SUMIFS(Sales!$L:$L,Sales!$E:$E,FALSE,Sales!$A:$A,"&lt;&gt;"&amp;"Endulini",Sales!$H:$H,"&lt;="&amp;Heron!AX$9,Sales!$H:$H,"&gt;"&amp;Heron!AW$9,Sales!$F:$F,1)+SUMIFS(Sales!$M:$M,Sales!$E:$E,FALSE,Sales!$A:$A,"&lt;&gt;"&amp;"Endulini",Sales!$H:$H,"&lt;="&amp;Heron!AX$9,Sales!$H:$H,"&gt;"&amp;Heron!AW$9,Sales!$F:$F,1)+SUMIFS(Sales!$N:$N,Sales!$E:$E,FALSE,Sales!$A:$A,"&lt;&gt;"&amp;"Endulini",Sales!$H:$H,"&lt;="&amp;Heron!AX$9,Sales!$H:$H,"&gt;"&amp;Heron!AW$9,Sales!$F:$F,1)+SUMIFS(Sales!$P:$P,Sales!$E:$E,FALSE,Sales!$A:$A,"&lt;&gt;"&amp;"Endulini",Sales!$H:$H,"&lt;="&amp;Heron!AX$9,Sales!$H:$H,"&gt;"&amp;Heron!AW$9,Sales!$F:$F,1)</f>
        <v/>
      </c>
      <c r="AY50" s="66">
        <f>SUMIFS(Xero!$F:$F,Xero!$B:$B,Heron!AY$9,Xero!$A:$A,Heron!$A$4,Xero!$E:$E,Heron!$A50)+SUMIFS(Xero!$F:$F,Xero!$B:$B,Heron!AY$9,Xero!$A:$A,Heron!$A$5,Xero!$E:$E,Heron!$A50)+SUMIFS(Sales!$L:$L,Sales!$E:$E,FALSE,Sales!$A:$A,"&lt;&gt;"&amp;"Endulini",Sales!$H:$H,"&lt;="&amp;Heron!AY$9,Sales!$H:$H,"&gt;"&amp;Heron!AX$9,Sales!$F:$F,1)+SUMIFS(Sales!$M:$M,Sales!$E:$E,FALSE,Sales!$A:$A,"&lt;&gt;"&amp;"Endulini",Sales!$H:$H,"&lt;="&amp;Heron!AY$9,Sales!$H:$H,"&gt;"&amp;Heron!AX$9,Sales!$F:$F,1)+SUMIFS(Sales!$N:$N,Sales!$E:$E,FALSE,Sales!$A:$A,"&lt;&gt;"&amp;"Endulini",Sales!$H:$H,"&lt;="&amp;Heron!AY$9,Sales!$H:$H,"&gt;"&amp;Heron!AX$9,Sales!$F:$F,1)+SUMIFS(Sales!$P:$P,Sales!$E:$E,FALSE,Sales!$A:$A,"&lt;&gt;"&amp;"Endulini",Sales!$H:$H,"&lt;="&amp;Heron!AY$9,Sales!$H:$H,"&gt;"&amp;Heron!AX$9,Sales!$F:$F,1)</f>
        <v/>
      </c>
      <c r="AZ50" s="66">
        <f>SUMIFS(Xero!$F:$F,Xero!$B:$B,Heron!AZ$9,Xero!$A:$A,Heron!$A$4,Xero!$E:$E,Heron!$A50)+SUMIFS(Xero!$F:$F,Xero!$B:$B,Heron!AZ$9,Xero!$A:$A,Heron!$A$5,Xero!$E:$E,Heron!$A50)+SUMIFS(Sales!$L:$L,Sales!$E:$E,FALSE,Sales!$A:$A,"&lt;&gt;"&amp;"Endulini",Sales!$H:$H,"&lt;="&amp;Heron!AZ$9,Sales!$H:$H,"&gt;"&amp;Heron!AY$9,Sales!$F:$F,1)+SUMIFS(Sales!$M:$M,Sales!$E:$E,FALSE,Sales!$A:$A,"&lt;&gt;"&amp;"Endulini",Sales!$H:$H,"&lt;="&amp;Heron!AZ$9,Sales!$H:$H,"&gt;"&amp;Heron!AY$9,Sales!$F:$F,1)+SUMIFS(Sales!$N:$N,Sales!$E:$E,FALSE,Sales!$A:$A,"&lt;&gt;"&amp;"Endulini",Sales!$H:$H,"&lt;="&amp;Heron!AZ$9,Sales!$H:$H,"&gt;"&amp;Heron!AY$9,Sales!$F:$F,1)+SUMIFS(Sales!$P:$P,Sales!$E:$E,FALSE,Sales!$A:$A,"&lt;&gt;"&amp;"Endulini",Sales!$H:$H,"&lt;="&amp;Heron!AZ$9,Sales!$H:$H,"&gt;"&amp;Heron!AY$9,Sales!$F:$F,1)</f>
        <v/>
      </c>
      <c r="BA50" s="66">
        <f>SUMIFS(Xero!$F:$F,Xero!$B:$B,Heron!BA$9,Xero!$A:$A,Heron!$A$4,Xero!$E:$E,Heron!$A50)+SUMIFS(Xero!$F:$F,Xero!$B:$B,Heron!BA$9,Xero!$A:$A,Heron!$A$5,Xero!$E:$E,Heron!$A50)+SUMIFS(Sales!$L:$L,Sales!$E:$E,FALSE,Sales!$A:$A,"&lt;&gt;"&amp;"Endulini",Sales!$H:$H,"&lt;="&amp;Heron!BA$9,Sales!$H:$H,"&gt;"&amp;Heron!AZ$9,Sales!$F:$F,1)+SUMIFS(Sales!$M:$M,Sales!$E:$E,FALSE,Sales!$A:$A,"&lt;&gt;"&amp;"Endulini",Sales!$H:$H,"&lt;="&amp;Heron!BA$9,Sales!$H:$H,"&gt;"&amp;Heron!AZ$9,Sales!$F:$F,1)+SUMIFS(Sales!$N:$N,Sales!$E:$E,FALSE,Sales!$A:$A,"&lt;&gt;"&amp;"Endulini",Sales!$H:$H,"&lt;="&amp;Heron!BA$9,Sales!$H:$H,"&gt;"&amp;Heron!AZ$9,Sales!$F:$F,1)+SUMIFS(Sales!$P:$P,Sales!$E:$E,FALSE,Sales!$A:$A,"&lt;&gt;"&amp;"Endulini",Sales!$H:$H,"&lt;="&amp;Heron!BA$9,Sales!$H:$H,"&gt;"&amp;Heron!AZ$9,Sales!$F:$F,1)</f>
        <v/>
      </c>
      <c r="BB50" s="66">
        <f>SUMIFS(Xero!$F:$F,Xero!$B:$B,Heron!BB$9,Xero!$A:$A,Heron!$A$4,Xero!$E:$E,Heron!$A50)+SUMIFS(Xero!$F:$F,Xero!$B:$B,Heron!BB$9,Xero!$A:$A,Heron!$A$5,Xero!$E:$E,Heron!$A50)+SUMIFS(Sales!$L:$L,Sales!$E:$E,FALSE,Sales!$A:$A,"&lt;&gt;"&amp;"Endulini",Sales!$H:$H,"&lt;="&amp;Heron!BB$9,Sales!$H:$H,"&gt;"&amp;Heron!BA$9,Sales!$F:$F,1)+SUMIFS(Sales!$M:$M,Sales!$E:$E,FALSE,Sales!$A:$A,"&lt;&gt;"&amp;"Endulini",Sales!$H:$H,"&lt;="&amp;Heron!BB$9,Sales!$H:$H,"&gt;"&amp;Heron!BA$9,Sales!$F:$F,1)+SUMIFS(Sales!$N:$N,Sales!$E:$E,FALSE,Sales!$A:$A,"&lt;&gt;"&amp;"Endulini",Sales!$H:$H,"&lt;="&amp;Heron!BB$9,Sales!$H:$H,"&gt;"&amp;Heron!BA$9,Sales!$F:$F,1)+SUMIFS(Sales!$P:$P,Sales!$E:$E,FALSE,Sales!$A:$A,"&lt;&gt;"&amp;"Endulini",Sales!$H:$H,"&lt;="&amp;Heron!BB$9,Sales!$H:$H,"&gt;"&amp;Heron!BA$9,Sales!$F:$F,1)</f>
        <v/>
      </c>
      <c r="BC50" s="66">
        <f>SUMIFS(Xero!$F:$F,Xero!$B:$B,Heron!BC$9,Xero!$A:$A,Heron!$A$4,Xero!$E:$E,Heron!$A50)+SUMIFS(Xero!$F:$F,Xero!$B:$B,Heron!BC$9,Xero!$A:$A,Heron!$A$5,Xero!$E:$E,Heron!$A50)+SUMIFS(Sales!$L:$L,Sales!$E:$E,FALSE,Sales!$A:$A,"&lt;&gt;"&amp;"Endulini",Sales!$H:$H,"&lt;="&amp;Heron!BC$9,Sales!$H:$H,"&gt;"&amp;Heron!BB$9,Sales!$F:$F,1)+SUMIFS(Sales!$M:$M,Sales!$E:$E,FALSE,Sales!$A:$A,"&lt;&gt;"&amp;"Endulini",Sales!$H:$H,"&lt;="&amp;Heron!BC$9,Sales!$H:$H,"&gt;"&amp;Heron!BB$9,Sales!$F:$F,1)+SUMIFS(Sales!$N:$N,Sales!$E:$E,FALSE,Sales!$A:$A,"&lt;&gt;"&amp;"Endulini",Sales!$H:$H,"&lt;="&amp;Heron!BC$9,Sales!$H:$H,"&gt;"&amp;Heron!BB$9,Sales!$F:$F,1)+SUMIFS(Sales!$P:$P,Sales!$E:$E,FALSE,Sales!$A:$A,"&lt;&gt;"&amp;"Endulini",Sales!$H:$H,"&lt;="&amp;Heron!BC$9,Sales!$H:$H,"&gt;"&amp;Heron!BB$9,Sales!$F:$F,1)</f>
        <v/>
      </c>
      <c r="BD50" s="66">
        <f>SUMIFS(Xero!$F:$F,Xero!$B:$B,Heron!BD$9,Xero!$A:$A,Heron!$A$4,Xero!$E:$E,Heron!$A50)+SUMIFS(Xero!$F:$F,Xero!$B:$B,Heron!BD$9,Xero!$A:$A,Heron!$A$5,Xero!$E:$E,Heron!$A50)+SUMIFS(Sales!$L:$L,Sales!$E:$E,FALSE,Sales!$A:$A,"&lt;&gt;"&amp;"Endulini",Sales!$H:$H,"&lt;="&amp;Heron!BD$9,Sales!$H:$H,"&gt;"&amp;Heron!BC$9,Sales!$F:$F,1)+SUMIFS(Sales!$M:$M,Sales!$E:$E,FALSE,Sales!$A:$A,"&lt;&gt;"&amp;"Endulini",Sales!$H:$H,"&lt;="&amp;Heron!BD$9,Sales!$H:$H,"&gt;"&amp;Heron!BC$9,Sales!$F:$F,1)+SUMIFS(Sales!$N:$N,Sales!$E:$E,FALSE,Sales!$A:$A,"&lt;&gt;"&amp;"Endulini",Sales!$H:$H,"&lt;="&amp;Heron!BD$9,Sales!$H:$H,"&gt;"&amp;Heron!BC$9,Sales!$F:$F,1)+SUMIFS(Sales!$P:$P,Sales!$E:$E,FALSE,Sales!$A:$A,"&lt;&gt;"&amp;"Endulini",Sales!$H:$H,"&lt;="&amp;Heron!BD$9,Sales!$H:$H,"&gt;"&amp;Heron!BC$9,Sales!$F:$F,1)</f>
        <v/>
      </c>
      <c r="BE50" s="66">
        <f>SUMIFS(Xero!$F:$F,Xero!$B:$B,Heron!BE$9,Xero!$A:$A,Heron!$A$4,Xero!$E:$E,Heron!$A50)+SUMIFS(Xero!$F:$F,Xero!$B:$B,Heron!BE$9,Xero!$A:$A,Heron!$A$5,Xero!$E:$E,Heron!$A50)+SUMIFS(Sales!$L:$L,Sales!$E:$E,FALSE,Sales!$A:$A,"&lt;&gt;"&amp;"Endulini",Sales!$H:$H,"&lt;="&amp;Heron!BE$9,Sales!$H:$H,"&gt;"&amp;Heron!BD$9,Sales!$F:$F,1)+SUMIFS(Sales!$M:$M,Sales!$E:$E,FALSE,Sales!$A:$A,"&lt;&gt;"&amp;"Endulini",Sales!$H:$H,"&lt;="&amp;Heron!BE$9,Sales!$H:$H,"&gt;"&amp;Heron!BD$9,Sales!$F:$F,1)+SUMIFS(Sales!$N:$N,Sales!$E:$E,FALSE,Sales!$A:$A,"&lt;&gt;"&amp;"Endulini",Sales!$H:$H,"&lt;="&amp;Heron!BE$9,Sales!$H:$H,"&gt;"&amp;Heron!BD$9,Sales!$F:$F,1)+SUMIFS(Sales!$P:$P,Sales!$E:$E,FALSE,Sales!$A:$A,"&lt;&gt;"&amp;"Endulini",Sales!$H:$H,"&lt;="&amp;Heron!BE$9,Sales!$H:$H,"&gt;"&amp;Heron!BD$9,Sales!$F:$F,1)</f>
        <v/>
      </c>
      <c r="BF50" s="66">
        <f>SUMIFS(Xero!$F:$F,Xero!$B:$B,Heron!BF$9,Xero!$A:$A,Heron!$A$4,Xero!$E:$E,Heron!$A50)+SUMIFS(Xero!$F:$F,Xero!$B:$B,Heron!BF$9,Xero!$A:$A,Heron!$A$5,Xero!$E:$E,Heron!$A50)+SUMIFS(Sales!$L:$L,Sales!$E:$E,FALSE,Sales!$A:$A,"&lt;&gt;"&amp;"Endulini",Sales!$H:$H,"&lt;="&amp;Heron!BF$9,Sales!$H:$H,"&gt;"&amp;Heron!BE$9,Sales!$F:$F,1)+SUMIFS(Sales!$M:$M,Sales!$E:$E,FALSE,Sales!$A:$A,"&lt;&gt;"&amp;"Endulini",Sales!$H:$H,"&lt;="&amp;Heron!BF$9,Sales!$H:$H,"&gt;"&amp;Heron!BE$9,Sales!$F:$F,1)+SUMIFS(Sales!$N:$N,Sales!$E:$E,FALSE,Sales!$A:$A,"&lt;&gt;"&amp;"Endulini",Sales!$H:$H,"&lt;="&amp;Heron!BF$9,Sales!$H:$H,"&gt;"&amp;Heron!BE$9,Sales!$F:$F,1)+SUMIFS(Sales!$P:$P,Sales!$E:$E,FALSE,Sales!$A:$A,"&lt;&gt;"&amp;"Endulini",Sales!$H:$H,"&lt;="&amp;Heron!BF$9,Sales!$H:$H,"&gt;"&amp;Heron!BE$9,Sales!$F:$F,1)</f>
        <v/>
      </c>
      <c r="BG50" s="66">
        <f>SUMIFS(Xero!$F:$F,Xero!$B:$B,Heron!BG$9,Xero!$A:$A,Heron!$A$4,Xero!$E:$E,Heron!$A50)+SUMIFS(Xero!$F:$F,Xero!$B:$B,Heron!BG$9,Xero!$A:$A,Heron!$A$5,Xero!$E:$E,Heron!$A50)+SUMIFS(Sales!$L:$L,Sales!$E:$E,FALSE,Sales!$A:$A,"&lt;&gt;"&amp;"Endulini",Sales!$H:$H,"&lt;="&amp;Heron!BG$9,Sales!$H:$H,"&gt;"&amp;Heron!BF$9,Sales!$F:$F,1)+SUMIFS(Sales!$M:$M,Sales!$E:$E,FALSE,Sales!$A:$A,"&lt;&gt;"&amp;"Endulini",Sales!$H:$H,"&lt;="&amp;Heron!BG$9,Sales!$H:$H,"&gt;"&amp;Heron!BF$9,Sales!$F:$F,1)+SUMIFS(Sales!$N:$N,Sales!$E:$E,FALSE,Sales!$A:$A,"&lt;&gt;"&amp;"Endulini",Sales!$H:$H,"&lt;="&amp;Heron!BG$9,Sales!$H:$H,"&gt;"&amp;Heron!BF$9,Sales!$F:$F,1)+SUMIFS(Sales!$P:$P,Sales!$E:$E,FALSE,Sales!$A:$A,"&lt;&gt;"&amp;"Endulini",Sales!$H:$H,"&lt;="&amp;Heron!BG$9,Sales!$H:$H,"&gt;"&amp;Heron!BF$9,Sales!$F:$F,1)</f>
        <v/>
      </c>
      <c r="BH50" s="66">
        <f>sum(D50:BG50)</f>
        <v/>
      </c>
    </row>
    <row r="51">
      <c r="A51" s="65" t="inlineStr">
        <is>
          <t>COS - Legal Fees Opening of Sec Title Fees</t>
        </is>
      </c>
      <c r="D51" s="66">
        <f>SUMIFS(Xero!$F:$F,Xero!$B:$B,Heron!D$9,Xero!$A:$A,Heron!$A$4,Xero!$E:$E,Heron!$A51)+SUMIFS(Xero!$F:$F,Xero!$B:$B,Heron!D$9,Xero!$A:$A,Heron!$A$5,Xero!$E:$E,Heron!$A51)</f>
        <v/>
      </c>
      <c r="E51" s="66">
        <f>SUMIFS(Xero!$F:$F,Xero!$B:$B,Heron!E$9,Xero!$A:$A,Heron!$A$4,Xero!$E:$E,Heron!$A51)+SUMIFS(Xero!$F:$F,Xero!$B:$B,Heron!E$9,Xero!$A:$A,Heron!$A$5,Xero!$E:$E,Heron!$A51)</f>
        <v/>
      </c>
      <c r="F51" s="66">
        <f>SUMIFS(Xero!$F:$F,Xero!$B:$B,Heron!F$9,Xero!$A:$A,Heron!$A$4,Xero!$E:$E,Heron!$A51)+SUMIFS(Xero!$F:$F,Xero!$B:$B,Heron!F$9,Xero!$A:$A,Heron!$A$5,Xero!$E:$E,Heron!$A51)</f>
        <v/>
      </c>
      <c r="G51" s="66">
        <f>SUMIFS(Xero!$F:$F,Xero!$B:$B,Heron!G$9,Xero!$A:$A,Heron!$A$4,Xero!$E:$E,Heron!$A51)+SUMIFS(Xero!$F:$F,Xero!$B:$B,Heron!G$9,Xero!$A:$A,Heron!$A$5,Xero!$E:$E,Heron!$A51)</f>
        <v/>
      </c>
      <c r="H51" s="66">
        <f>SUMIFS(Xero!$F:$F,Xero!$B:$B,Heron!H$9,Xero!$A:$A,Heron!$A$4,Xero!$E:$E,Heron!$A51)+SUMIFS(Xero!$F:$F,Xero!$B:$B,Heron!H$9,Xero!$A:$A,Heron!$A$5,Xero!$E:$E,Heron!$A51)</f>
        <v/>
      </c>
      <c r="I51" s="66">
        <f>SUMIFS(Xero!$F:$F,Xero!$B:$B,Heron!I$9,Xero!$A:$A,Heron!$A$4,Xero!$E:$E,Heron!$A51)+SUMIFS(Xero!$F:$F,Xero!$B:$B,Heron!I$9,Xero!$A:$A,Heron!$A$5,Xero!$E:$E,Heron!$A51)</f>
        <v/>
      </c>
      <c r="J51" s="66">
        <f>SUMIFS(Xero!$F:$F,Xero!$B:$B,Heron!J$9,Xero!$A:$A,Heron!$A$4,Xero!$E:$E,Heron!$A51)+SUMIFS(Xero!$F:$F,Xero!$B:$B,Heron!J$9,Xero!$A:$A,Heron!$A$5,Xero!$E:$E,Heron!$A51)</f>
        <v/>
      </c>
      <c r="K51" s="66">
        <f>SUMIFS(Xero!$F:$F,Xero!$B:$B,Heron!K$9,Xero!$A:$A,Heron!$A$4,Xero!$E:$E,Heron!$A51)+SUMIFS(Xero!$F:$F,Xero!$B:$B,Heron!K$9,Xero!$A:$A,Heron!$A$5,Xero!$E:$E,Heron!$A51)</f>
        <v/>
      </c>
      <c r="L51" s="66">
        <f>SUMIFS(Xero!$F:$F,Xero!$B:$B,Heron!L$9,Xero!$A:$A,Heron!$A$4,Xero!$E:$E,Heron!$A51)+SUMIFS(Xero!$F:$F,Xero!$B:$B,Heron!L$9,Xero!$A:$A,Heron!$A$5,Xero!$E:$E,Heron!$A51)</f>
        <v/>
      </c>
      <c r="M51" s="66">
        <f>SUMIFS(Xero!$F:$F,Xero!$B:$B,Heron!M$9,Xero!$A:$A,Heron!$A$4,Xero!$E:$E,Heron!$A51)+SUMIFS(Xero!$F:$F,Xero!$B:$B,Heron!M$9,Xero!$A:$A,Heron!$A$5,Xero!$E:$E,Heron!$A51)</f>
        <v/>
      </c>
      <c r="N51" s="66">
        <f>SUMIFS(Xero!$F:$F,Xero!$B:$B,Heron!N$9,Xero!$A:$A,Heron!$A$4,Xero!$E:$E,Heron!$A51)+SUMIFS(Xero!$F:$F,Xero!$B:$B,Heron!N$9,Xero!$A:$A,Heron!$A$5,Xero!$E:$E,Heron!$A51)</f>
        <v/>
      </c>
      <c r="O51" s="66">
        <f>SUMIFS(Xero!$F:$F,Xero!$B:$B,Heron!O$9,Xero!$A:$A,Heron!$A$4,Xero!$E:$E,Heron!$A51)+SUMIFS(Xero!$F:$F,Xero!$B:$B,Heron!O$9,Xero!$A:$A,Heron!$A$5,Xero!$E:$E,Heron!$A51)</f>
        <v/>
      </c>
      <c r="P51" s="66">
        <f>SUMIFS(Xero!$F:$F,Xero!$B:$B,Heron!P$9,Xero!$A:$A,Heron!$A$4,Xero!$E:$E,Heron!$A51)+SUMIFS(Xero!$F:$F,Xero!$B:$B,Heron!P$9,Xero!$A:$A,Heron!$A$5,Xero!$E:$E,Heron!$A51)</f>
        <v/>
      </c>
      <c r="Q51" s="66">
        <f>SUMIFS(Xero!$F:$F,Xero!$B:$B,Heron!Q$9,Xero!$A:$A,Heron!$A$4,Xero!$E:$E,Heron!$A51)+SUMIFS(Xero!$F:$F,Xero!$B:$B,Heron!Q$9,Xero!$A:$A,Heron!$A$5,Xero!$E:$E,Heron!$A51)</f>
        <v/>
      </c>
      <c r="R51" s="66">
        <f>SUMIFS(Xero!$F:$F,Xero!$B:$B,Heron!R$9,Xero!$A:$A,Heron!$A$4,Xero!$E:$E,Heron!$A51)+SUMIFS(Xero!$F:$F,Xero!$B:$B,Heron!R$9,Xero!$A:$A,Heron!$A$5,Xero!$E:$E,Heron!$A51)</f>
        <v/>
      </c>
      <c r="S51" s="66">
        <f>SUMIFS(Xero!$F:$F,Xero!$B:$B,Heron!S$9,Xero!$A:$A,Heron!$A$4,Xero!$E:$E,Heron!$A51)+SUMIFS(Xero!$F:$F,Xero!$B:$B,Heron!S$9,Xero!$A:$A,Heron!$A$5,Xero!$E:$E,Heron!$A51)</f>
        <v/>
      </c>
      <c r="T51" s="66">
        <f>SUMIFS(Xero!$F:$F,Xero!$B:$B,Heron!T$9,Xero!$A:$A,Heron!$A$4,Xero!$E:$E,Heron!$A51)+SUMIFS(Xero!$F:$F,Xero!$B:$B,Heron!T$9,Xero!$A:$A,Heron!$A$5,Xero!$E:$E,Heron!$A51)</f>
        <v/>
      </c>
      <c r="U51" s="66">
        <f>SUMIFS(Xero!$F:$F,Xero!$B:$B,Heron!U$9,Xero!$A:$A,Heron!$A$4,Xero!$E:$E,Heron!$A51)+SUMIFS(Xero!$F:$F,Xero!$B:$B,Heron!U$9,Xero!$A:$A,Heron!$A$5,Xero!$E:$E,Heron!$A51)</f>
        <v/>
      </c>
      <c r="V51" s="66">
        <f>SUMIFS(Xero!$F:$F,Xero!$B:$B,Heron!V$9,Xero!$A:$A,Heron!$A$4,Xero!$E:$E,Heron!$A51)+SUMIFS(Xero!$F:$F,Xero!$B:$B,Heron!V$9,Xero!$A:$A,Heron!$A$5,Xero!$E:$E,Heron!$A51)</f>
        <v/>
      </c>
      <c r="W51" s="66">
        <f>SUMIFS(Xero!$F:$F,Xero!$B:$B,Heron!W$9,Xero!$A:$A,Heron!$A$4,Xero!$E:$E,Heron!$A51)+SUMIFS(Xero!$F:$F,Xero!$B:$B,Heron!W$9,Xero!$A:$A,Heron!$A$5,Xero!$E:$E,Heron!$A51)</f>
        <v/>
      </c>
      <c r="X51" s="66">
        <f>SUMIFS(Xero!$F:$F,Xero!$B:$B,Heron!X$9,Xero!$A:$A,Heron!$A$4,Xero!$E:$E,Heron!$A51)+SUMIFS(Xero!$F:$F,Xero!$B:$B,Heron!X$9,Xero!$A:$A,Heron!$A$5,Xero!$E:$E,Heron!$A51)</f>
        <v/>
      </c>
      <c r="Y51" s="66">
        <f>SUMIFS(Xero!$F:$F,Xero!$B:$B,Heron!Y$9,Xero!$A:$A,Heron!$A$4,Xero!$E:$E,Heron!$A51)+SUMIFS(Xero!$F:$F,Xero!$B:$B,Heron!Y$9,Xero!$A:$A,Heron!$A$5,Xero!$E:$E,Heron!$A51)</f>
        <v/>
      </c>
      <c r="Z51" s="66">
        <f>SUMIFS(Xero!$F:$F,Xero!$B:$B,Heron!Z$9,Xero!$A:$A,Heron!$A$4,Xero!$E:$E,Heron!$A51)+SUMIFS(Xero!$F:$F,Xero!$B:$B,Heron!Z$9,Xero!$A:$A,Heron!$A$5,Xero!$E:$E,Heron!$A51)</f>
        <v/>
      </c>
      <c r="AA51" s="66">
        <f>SUMIFS(Xero!$F:$F,Xero!$B:$B,Heron!AA$9,Xero!$A:$A,Heron!$A$4,Xero!$E:$E,Heron!$A51)+SUMIFS(Xero!$F:$F,Xero!$B:$B,Heron!AA$9,Xero!$A:$A,Heron!$A$5,Xero!$E:$E,Heron!$A51)</f>
        <v/>
      </c>
      <c r="AB51" s="66">
        <f>SUMIFS(Xero!$F:$F,Xero!$B:$B,Heron!AB$9,Xero!$A:$A,Heron!$A$4,Xero!$E:$E,Heron!$A51)+SUMIFS(Xero!$F:$F,Xero!$B:$B,Heron!AB$9,Xero!$A:$A,Heron!$A$5,Xero!$E:$E,Heron!$A51)</f>
        <v/>
      </c>
      <c r="AC51" s="66">
        <f>SUMIFS(Xero!$F:$F,Xero!$B:$B,Heron!AC$9,Xero!$A:$A,Heron!$A$4,Xero!$E:$E,Heron!$A51)+SUMIFS(Xero!$F:$F,Xero!$B:$B,Heron!AC$9,Xero!$A:$A,Heron!$A$5,Xero!$E:$E,Heron!$A51)</f>
        <v/>
      </c>
      <c r="AD51" s="66">
        <f>SUMIFS(Xero!$F:$F,Xero!$B:$B,Heron!AD$9,Xero!$A:$A,Heron!$A$4,Xero!$E:$E,Heron!$A51)+SUMIFS(Xero!$F:$F,Xero!$B:$B,Heron!AD$9,Xero!$A:$A,Heron!$A$5,Xero!$E:$E,Heron!$A51)</f>
        <v/>
      </c>
      <c r="AE51" s="66">
        <f>SUMIFS(Xero!$F:$F,Xero!$B:$B,Heron!AE$9,Xero!$A:$A,Heron!$A$4,Xero!$E:$E,Heron!$A51)+SUMIFS(Xero!$F:$F,Xero!$B:$B,Heron!AE$9,Xero!$A:$A,Heron!$A$5,Xero!$E:$E,Heron!$A51)</f>
        <v/>
      </c>
      <c r="AF51" s="66">
        <f>SUMIFS(Xero!$F:$F,Xero!$B:$B,Heron!AF$9,Xero!$A:$A,Heron!$A$4,Xero!$E:$E,Heron!$A51)+SUMIFS(Xero!$F:$F,Xero!$B:$B,Heron!AF$9,Xero!$A:$A,Heron!$A$5,Xero!$E:$E,Heron!$A51)</f>
        <v/>
      </c>
      <c r="AG51" s="66">
        <f>SUMIFS(Xero!$F:$F,Xero!$B:$B,Heron!AG$9,Xero!$A:$A,Heron!$A$4,Xero!$E:$E,Heron!$A51)+SUMIFS(Xero!$F:$F,Xero!$B:$B,Heron!AG$9,Xero!$A:$A,Heron!$A$5,Xero!$E:$E,Heron!$A51)</f>
        <v/>
      </c>
      <c r="AH51" s="66">
        <f>SUMIFS(Xero!$F:$F,Xero!$B:$B,Heron!AH$9,Xero!$A:$A,Heron!$A$4,Xero!$E:$E,Heron!$A51)+SUMIFS(Xero!$F:$F,Xero!$B:$B,Heron!AH$9,Xero!$A:$A,Heron!$A$5,Xero!$E:$E,Heron!$A51)</f>
        <v/>
      </c>
      <c r="AI51" s="66">
        <f>SUMIFS(Xero!$F:$F,Xero!$B:$B,Heron!AI$9,Xero!$A:$A,Heron!$A$4,Xero!$E:$E,Heron!$A51)+SUMIFS(Xero!$F:$F,Xero!$B:$B,Heron!AI$9,Xero!$A:$A,Heron!$A$5,Xero!$E:$E,Heron!$A51)</f>
        <v/>
      </c>
      <c r="AJ51" s="66">
        <f>SUMIFS(Xero!$F:$F,Xero!$B:$B,Heron!AJ$9,Xero!$A:$A,Heron!$A$4,Xero!$E:$E,Heron!$A51)+SUMIFS(Xero!$F:$F,Xero!$B:$B,Heron!AJ$9,Xero!$A:$A,Heron!$A$5,Xero!$E:$E,Heron!$A51)</f>
        <v/>
      </c>
      <c r="AK51" s="66">
        <f>SUMIFS(Xero!$F:$F,Xero!$B:$B,Heron!AK$9,Xero!$A:$A,Heron!$A$4,Xero!$E:$E,Heron!$A51)+SUMIFS(Xero!$F:$F,Xero!$B:$B,Heron!AK$9,Xero!$A:$A,Heron!$A$5,Xero!$E:$E,Heron!$A51)</f>
        <v/>
      </c>
      <c r="AL51" s="66">
        <f>SUMIFS(Xero!$F:$F,Xero!$B:$B,Heron!AL$9,Xero!$A:$A,Heron!$A$4,Xero!$E:$E,Heron!$A51)+SUMIFS(Xero!$F:$F,Xero!$B:$B,Heron!AL$9,Xero!$A:$A,Heron!$A$5,Xero!$E:$E,Heron!$A51)</f>
        <v/>
      </c>
      <c r="AM51" s="66">
        <f>SUMIFS(Xero!$F:$F,Xero!$B:$B,Heron!AM$9,Xero!$A:$A,Heron!$A$4,Xero!$E:$E,Heron!$A51)+SUMIFS(Xero!$F:$F,Xero!$B:$B,Heron!AM$9,Xero!$A:$A,Heron!$A$5,Xero!$E:$E,Heron!$A51)</f>
        <v/>
      </c>
      <c r="AN51" s="66">
        <f>SUMIFS(Xero!$F:$F,Xero!$B:$B,Heron!AN$9,Xero!$A:$A,Heron!$A$4,Xero!$E:$E,Heron!$A51)+SUMIFS(Xero!$F:$F,Xero!$B:$B,Heron!AN$9,Xero!$A:$A,Heron!$A$5,Xero!$E:$E,Heron!$A51)</f>
        <v/>
      </c>
      <c r="AO51" s="66">
        <f>SUMIFS(Xero!$F:$F,Xero!$B:$B,Heron!AO$9,Xero!$A:$A,Heron!$A$4,Xero!$E:$E,Heron!$A51)+SUMIFS(Xero!$F:$F,Xero!$B:$B,Heron!AO$9,Xero!$A:$A,Heron!$A$5,Xero!$E:$E,Heron!$A51)</f>
        <v/>
      </c>
      <c r="AP51" s="66">
        <f>SUMIFS(Xero!$F:$F,Xero!$B:$B,Heron!AP$9,Xero!$A:$A,Heron!$A$4,Xero!$E:$E,Heron!$A51)+SUMIFS(Xero!$F:$F,Xero!$B:$B,Heron!AP$9,Xero!$A:$A,Heron!$A$5,Xero!$E:$E,Heron!$A51)</f>
        <v/>
      </c>
      <c r="AQ51" s="66">
        <f>SUMIFS(Xero!$F:$F,Xero!$B:$B,Heron!AQ$9,Xero!$A:$A,Heron!$A$4,Xero!$E:$E,Heron!$A51)+SUMIFS(Xero!$F:$F,Xero!$B:$B,Heron!AQ$9,Xero!$A:$A,Heron!$A$5,Xero!$E:$E,Heron!$A51)</f>
        <v/>
      </c>
      <c r="AR51" s="66">
        <f>SUMIFS(Xero!$F:$F,Xero!$B:$B,Heron!AR$9,Xero!$A:$A,Heron!$A$4,Xero!$E:$E,Heron!$A51)+SUMIFS(Xero!$F:$F,Xero!$B:$B,Heron!AR$9,Xero!$A:$A,Heron!$A$5,Xero!$E:$E,Heron!$A51)</f>
        <v/>
      </c>
      <c r="AS51" s="66">
        <f>SUMIFS(Xero!$F:$F,Xero!$B:$B,Heron!AS$9,Xero!$A:$A,Heron!$A$4,Xero!$E:$E,Heron!$A51)+SUMIFS(Xero!$F:$F,Xero!$B:$B,Heron!AS$9,Xero!$A:$A,Heron!$A$5,Xero!$E:$E,Heron!$A51)</f>
        <v/>
      </c>
      <c r="AT51" s="66">
        <f>SUMIFS(Xero!$F:$F,Xero!$B:$B,Heron!AT$9,Xero!$A:$A,Heron!$A$4,Xero!$E:$E,Heron!$A51)+SUMIFS(Xero!$F:$F,Xero!$B:$B,Heron!AT$9,Xero!$A:$A,Heron!$A$5,Xero!$E:$E,Heron!$A51)</f>
        <v/>
      </c>
      <c r="AU51" s="66">
        <f>SUMIFS(Xero!$F:$F,Xero!$B:$B,Heron!AU$9,Xero!$A:$A,Heron!$A$4,Xero!$E:$E,Heron!$A51)+SUMIFS(Xero!$F:$F,Xero!$B:$B,Heron!AU$9,Xero!$A:$A,Heron!$A$5,Xero!$E:$E,Heron!$A51)</f>
        <v/>
      </c>
      <c r="AV51" s="66">
        <f>SUMIFS(Xero!$F:$F,Xero!$B:$B,Heron!AV$9,Xero!$A:$A,Heron!$A$4,Xero!$E:$E,Heron!$A51)+SUMIFS(Xero!$F:$F,Xero!$B:$B,Heron!AV$9,Xero!$A:$A,Heron!$A$5,Xero!$E:$E,Heron!$A51)</f>
        <v/>
      </c>
      <c r="AW51" s="66">
        <f>SUMIFS(Xero!$F:$F,Xero!$B:$B,Heron!AW$9,Xero!$A:$A,Heron!$A$4,Xero!$E:$E,Heron!$A51)+SUMIFS(Xero!$F:$F,Xero!$B:$B,Heron!AW$9,Xero!$A:$A,Heron!$A$5,Xero!$E:$E,Heron!$A51)</f>
        <v/>
      </c>
      <c r="AX51" s="66">
        <f>SUMIFS(Xero!$F:$F,Xero!$B:$B,Heron!AX$9,Xero!$A:$A,Heron!$A$4,Xero!$E:$E,Heron!$A51)+SUMIFS(Xero!$F:$F,Xero!$B:$B,Heron!AX$9,Xero!$A:$A,Heron!$A$5,Xero!$E:$E,Heron!$A51)</f>
        <v/>
      </c>
      <c r="AY51" s="66">
        <f>SUMIFS(Xero!$F:$F,Xero!$B:$B,Heron!AY$9,Xero!$A:$A,Heron!$A$4,Xero!$E:$E,Heron!$A51)+SUMIFS(Xero!$F:$F,Xero!$B:$B,Heron!AY$9,Xero!$A:$A,Heron!$A$5,Xero!$E:$E,Heron!$A51)</f>
        <v/>
      </c>
      <c r="AZ51" s="66">
        <f>SUMIFS(Xero!$F:$F,Xero!$B:$B,Heron!AZ$9,Xero!$A:$A,Heron!$A$4,Xero!$E:$E,Heron!$A51)+SUMIFS(Xero!$F:$F,Xero!$B:$B,Heron!AZ$9,Xero!$A:$A,Heron!$A$5,Xero!$E:$E,Heron!$A51)</f>
        <v/>
      </c>
      <c r="BA51" s="66">
        <f>SUMIFS(Xero!$F:$F,Xero!$B:$B,Heron!BA$9,Xero!$A:$A,Heron!$A$4,Xero!$E:$E,Heron!$A51)+SUMIFS(Xero!$F:$F,Xero!$B:$B,Heron!BA$9,Xero!$A:$A,Heron!$A$5,Xero!$E:$E,Heron!$A51)</f>
        <v/>
      </c>
      <c r="BB51" s="66">
        <f>SUMIFS(Xero!$F:$F,Xero!$B:$B,Heron!BB$9,Xero!$A:$A,Heron!$A$4,Xero!$E:$E,Heron!$A51)+SUMIFS(Xero!$F:$F,Xero!$B:$B,Heron!BB$9,Xero!$A:$A,Heron!$A$5,Xero!$E:$E,Heron!$A51)</f>
        <v/>
      </c>
      <c r="BC51" s="66">
        <f>SUMIFS(Xero!$F:$F,Xero!$B:$B,Heron!BC$9,Xero!$A:$A,Heron!$A$4,Xero!$E:$E,Heron!$A51)+SUMIFS(Xero!$F:$F,Xero!$B:$B,Heron!BC$9,Xero!$A:$A,Heron!$A$5,Xero!$E:$E,Heron!$A51)</f>
        <v/>
      </c>
      <c r="BD51" s="66">
        <f>SUMIFS(Xero!$F:$F,Xero!$B:$B,Heron!BD$9,Xero!$A:$A,Heron!$A$4,Xero!$E:$E,Heron!$A51)+SUMIFS(Xero!$F:$F,Xero!$B:$B,Heron!BD$9,Xero!$A:$A,Heron!$A$5,Xero!$E:$E,Heron!$A51)</f>
        <v/>
      </c>
      <c r="BE51" s="66">
        <f>SUMIFS(Xero!$F:$F,Xero!$B:$B,Heron!BE$9,Xero!$A:$A,Heron!$A$4,Xero!$E:$E,Heron!$A51)+SUMIFS(Xero!$F:$F,Xero!$B:$B,Heron!BE$9,Xero!$A:$A,Heron!$A$5,Xero!$E:$E,Heron!$A51)</f>
        <v/>
      </c>
      <c r="BF51" s="66">
        <f>SUMIFS(Xero!$F:$F,Xero!$B:$B,Heron!BF$9,Xero!$A:$A,Heron!$A$4,Xero!$E:$E,Heron!$A51)+SUMIFS(Xero!$F:$F,Xero!$B:$B,Heron!BF$9,Xero!$A:$A,Heron!$A$5,Xero!$E:$E,Heron!$A51)</f>
        <v/>
      </c>
      <c r="BG51" s="66">
        <f>SUMIFS(Xero!$F:$F,Xero!$B:$B,Heron!BG$9,Xero!$A:$A,Heron!$A$4,Xero!$E:$E,Heron!$A51)+SUMIFS(Xero!$F:$F,Xero!$B:$B,Heron!BG$9,Xero!$A:$A,Heron!$A$5,Xero!$E:$E,Heron!$A51)</f>
        <v/>
      </c>
      <c r="BH51" s="66">
        <f>sum(D51:BG51)</f>
        <v/>
      </c>
    </row>
    <row r="52">
      <c r="A52" s="65" t="inlineStr">
        <is>
          <t>COS - Legal Fees Opening of Sec Title Scheme</t>
        </is>
      </c>
      <c r="D52" s="66">
        <f>SUMIFS(Xero!$F:$F,Xero!$B:$B,Heron!D$9,Xero!$A:$A,Heron!$A$4,Xero!$E:$E,Heron!$A52)+SUMIFS(Xero!$F:$F,Xero!$B:$B,Heron!D$9,Xero!$A:$A,Heron!$A$5,Xero!$E:$E,Heron!$A52)</f>
        <v/>
      </c>
      <c r="E52" s="66">
        <f>SUMIFS(Xero!$F:$F,Xero!$B:$B,Heron!E$9,Xero!$A:$A,Heron!$A$4,Xero!$E:$E,Heron!$A52)+SUMIFS(Xero!$F:$F,Xero!$B:$B,Heron!E$9,Xero!$A:$A,Heron!$A$5,Xero!$E:$E,Heron!$A52)</f>
        <v/>
      </c>
      <c r="F52" s="66">
        <f>SUMIFS(Xero!$F:$F,Xero!$B:$B,Heron!F$9,Xero!$A:$A,Heron!$A$4,Xero!$E:$E,Heron!$A52)+SUMIFS(Xero!$F:$F,Xero!$B:$B,Heron!F$9,Xero!$A:$A,Heron!$A$5,Xero!$E:$E,Heron!$A52)</f>
        <v/>
      </c>
      <c r="G52" s="66">
        <f>SUMIFS(Xero!$F:$F,Xero!$B:$B,Heron!G$9,Xero!$A:$A,Heron!$A$4,Xero!$E:$E,Heron!$A52)+SUMIFS(Xero!$F:$F,Xero!$B:$B,Heron!G$9,Xero!$A:$A,Heron!$A$5,Xero!$E:$E,Heron!$A52)</f>
        <v/>
      </c>
      <c r="H52" s="66">
        <f>SUMIFS(Xero!$F:$F,Xero!$B:$B,Heron!H$9,Xero!$A:$A,Heron!$A$4,Xero!$E:$E,Heron!$A52)+SUMIFS(Xero!$F:$F,Xero!$B:$B,Heron!H$9,Xero!$A:$A,Heron!$A$5,Xero!$E:$E,Heron!$A52)</f>
        <v/>
      </c>
      <c r="I52" s="66">
        <f>SUMIFS(Xero!$F:$F,Xero!$B:$B,Heron!I$9,Xero!$A:$A,Heron!$A$4,Xero!$E:$E,Heron!$A52)+SUMIFS(Xero!$F:$F,Xero!$B:$B,Heron!I$9,Xero!$A:$A,Heron!$A$5,Xero!$E:$E,Heron!$A52)</f>
        <v/>
      </c>
      <c r="J52" s="66">
        <f>SUMIFS(Xero!$F:$F,Xero!$B:$B,Heron!J$9,Xero!$A:$A,Heron!$A$4,Xero!$E:$E,Heron!$A52)+SUMIFS(Xero!$F:$F,Xero!$B:$B,Heron!J$9,Xero!$A:$A,Heron!$A$5,Xero!$E:$E,Heron!$A52)</f>
        <v/>
      </c>
      <c r="K52" s="66">
        <f>SUMIFS(Xero!$F:$F,Xero!$B:$B,Heron!K$9,Xero!$A:$A,Heron!$A$4,Xero!$E:$E,Heron!$A52)+SUMIFS(Xero!$F:$F,Xero!$B:$B,Heron!K$9,Xero!$A:$A,Heron!$A$5,Xero!$E:$E,Heron!$A52)</f>
        <v/>
      </c>
      <c r="L52" s="66">
        <f>SUMIFS(Xero!$F:$F,Xero!$B:$B,Heron!L$9,Xero!$A:$A,Heron!$A$4,Xero!$E:$E,Heron!$A52)+SUMIFS(Xero!$F:$F,Xero!$B:$B,Heron!L$9,Xero!$A:$A,Heron!$A$5,Xero!$E:$E,Heron!$A52)</f>
        <v/>
      </c>
      <c r="M52" s="66">
        <f>SUMIFS(Xero!$F:$F,Xero!$B:$B,Heron!M$9,Xero!$A:$A,Heron!$A$4,Xero!$E:$E,Heron!$A52)+SUMIFS(Xero!$F:$F,Xero!$B:$B,Heron!M$9,Xero!$A:$A,Heron!$A$5,Xero!$E:$E,Heron!$A52)</f>
        <v/>
      </c>
      <c r="N52" s="66">
        <f>SUMIFS(Xero!$F:$F,Xero!$B:$B,Heron!N$9,Xero!$A:$A,Heron!$A$4,Xero!$E:$E,Heron!$A52)+SUMIFS(Xero!$F:$F,Xero!$B:$B,Heron!N$9,Xero!$A:$A,Heron!$A$5,Xero!$E:$E,Heron!$A52)</f>
        <v/>
      </c>
      <c r="O52" s="66">
        <f>SUMIFS(Xero!$F:$F,Xero!$B:$B,Heron!O$9,Xero!$A:$A,Heron!$A$4,Xero!$E:$E,Heron!$A52)+SUMIFS(Xero!$F:$F,Xero!$B:$B,Heron!O$9,Xero!$A:$A,Heron!$A$5,Xero!$E:$E,Heron!$A52)</f>
        <v/>
      </c>
      <c r="P52" s="66">
        <f>SUMIFS(Xero!$F:$F,Xero!$B:$B,Heron!P$9,Xero!$A:$A,Heron!$A$4,Xero!$E:$E,Heron!$A52)+SUMIFS(Xero!$F:$F,Xero!$B:$B,Heron!P$9,Xero!$A:$A,Heron!$A$5,Xero!$E:$E,Heron!$A52)</f>
        <v/>
      </c>
      <c r="Q52" s="66">
        <f>SUMIFS(Xero!$F:$F,Xero!$B:$B,Heron!Q$9,Xero!$A:$A,Heron!$A$4,Xero!$E:$E,Heron!$A52)+SUMIFS(Xero!$F:$F,Xero!$B:$B,Heron!Q$9,Xero!$A:$A,Heron!$A$5,Xero!$E:$E,Heron!$A52)</f>
        <v/>
      </c>
      <c r="R52" s="66">
        <f>SUMIFS(Xero!$F:$F,Xero!$B:$B,Heron!R$9,Xero!$A:$A,Heron!$A$4,Xero!$E:$E,Heron!$A52)+SUMIFS(Xero!$F:$F,Xero!$B:$B,Heron!R$9,Xero!$A:$A,Heron!$A$5,Xero!$E:$E,Heron!$A52)</f>
        <v/>
      </c>
      <c r="S52" s="66">
        <f>SUMIFS(Xero!$F:$F,Xero!$B:$B,Heron!S$9,Xero!$A:$A,Heron!$A$4,Xero!$E:$E,Heron!$A52)+SUMIFS(Xero!$F:$F,Xero!$B:$B,Heron!S$9,Xero!$A:$A,Heron!$A$5,Xero!$E:$E,Heron!$A52)</f>
        <v/>
      </c>
      <c r="T52" s="66">
        <f>SUMIFS(Xero!$F:$F,Xero!$B:$B,Heron!T$9,Xero!$A:$A,Heron!$A$4,Xero!$E:$E,Heron!$A52)+SUMIFS(Xero!$F:$F,Xero!$B:$B,Heron!T$9,Xero!$A:$A,Heron!$A$5,Xero!$E:$E,Heron!$A52)</f>
        <v/>
      </c>
      <c r="U52" s="66">
        <f>SUMIFS(Xero!$F:$F,Xero!$B:$B,Heron!U$9,Xero!$A:$A,Heron!$A$4,Xero!$E:$E,Heron!$A52)+SUMIFS(Xero!$F:$F,Xero!$B:$B,Heron!U$9,Xero!$A:$A,Heron!$A$5,Xero!$E:$E,Heron!$A52)</f>
        <v/>
      </c>
      <c r="V52" s="66">
        <f>SUMIFS(Xero!$F:$F,Xero!$B:$B,Heron!V$9,Xero!$A:$A,Heron!$A$4,Xero!$E:$E,Heron!$A52)+SUMIFS(Xero!$F:$F,Xero!$B:$B,Heron!V$9,Xero!$A:$A,Heron!$A$5,Xero!$E:$E,Heron!$A52)</f>
        <v/>
      </c>
      <c r="W52" s="66">
        <f>SUMIFS(Xero!$F:$F,Xero!$B:$B,Heron!W$9,Xero!$A:$A,Heron!$A$4,Xero!$E:$E,Heron!$A52)+SUMIFS(Xero!$F:$F,Xero!$B:$B,Heron!W$9,Xero!$A:$A,Heron!$A$5,Xero!$E:$E,Heron!$A52)</f>
        <v/>
      </c>
      <c r="X52" s="66">
        <f>SUMIFS(Xero!$F:$F,Xero!$B:$B,Heron!X$9,Xero!$A:$A,Heron!$A$4,Xero!$E:$E,Heron!$A52)+SUMIFS(Xero!$F:$F,Xero!$B:$B,Heron!X$9,Xero!$A:$A,Heron!$A$5,Xero!$E:$E,Heron!$A52)</f>
        <v/>
      </c>
      <c r="Y52" s="66">
        <f>SUMIFS(Xero!$F:$F,Xero!$B:$B,Heron!Y$9,Xero!$A:$A,Heron!$A$4,Xero!$E:$E,Heron!$A52)+SUMIFS(Xero!$F:$F,Xero!$B:$B,Heron!Y$9,Xero!$A:$A,Heron!$A$5,Xero!$E:$E,Heron!$A52)</f>
        <v/>
      </c>
      <c r="Z52" s="66">
        <f>SUMIFS(Xero!$F:$F,Xero!$B:$B,Heron!Z$9,Xero!$A:$A,Heron!$A$4,Xero!$E:$E,Heron!$A52)+SUMIFS(Xero!$F:$F,Xero!$B:$B,Heron!Z$9,Xero!$A:$A,Heron!$A$5,Xero!$E:$E,Heron!$A52)</f>
        <v/>
      </c>
      <c r="AA52" s="66">
        <f>SUMIFS(Xero!$F:$F,Xero!$B:$B,Heron!AA$9,Xero!$A:$A,Heron!$A$4,Xero!$E:$E,Heron!$A52)+SUMIFS(Xero!$F:$F,Xero!$B:$B,Heron!AA$9,Xero!$A:$A,Heron!$A$5,Xero!$E:$E,Heron!$A52)</f>
        <v/>
      </c>
      <c r="AB52" s="66">
        <f>SUMIFS(Xero!$F:$F,Xero!$B:$B,Heron!AB$9,Xero!$A:$A,Heron!$A$4,Xero!$E:$E,Heron!$A52)+SUMIFS(Xero!$F:$F,Xero!$B:$B,Heron!AB$9,Xero!$A:$A,Heron!$A$5,Xero!$E:$E,Heron!$A52)</f>
        <v/>
      </c>
      <c r="AC52" s="66">
        <f>SUMIFS(Xero!$F:$F,Xero!$B:$B,Heron!AC$9,Xero!$A:$A,Heron!$A$4,Xero!$E:$E,Heron!$A52)+SUMIFS(Xero!$F:$F,Xero!$B:$B,Heron!AC$9,Xero!$A:$A,Heron!$A$5,Xero!$E:$E,Heron!$A52)</f>
        <v/>
      </c>
      <c r="AD52" s="66">
        <f>SUMIFS(Xero!$F:$F,Xero!$B:$B,Heron!AD$9,Xero!$A:$A,Heron!$A$4,Xero!$E:$E,Heron!$A52)+SUMIFS(Xero!$F:$F,Xero!$B:$B,Heron!AD$9,Xero!$A:$A,Heron!$A$5,Xero!$E:$E,Heron!$A52)</f>
        <v/>
      </c>
      <c r="AE52" s="66">
        <f>SUMIFS(Xero!$F:$F,Xero!$B:$B,Heron!AE$9,Xero!$A:$A,Heron!$A$4,Xero!$E:$E,Heron!$A52)+SUMIFS(Xero!$F:$F,Xero!$B:$B,Heron!AE$9,Xero!$A:$A,Heron!$A$5,Xero!$E:$E,Heron!$A52)</f>
        <v/>
      </c>
      <c r="AF52" s="66">
        <f>SUMIFS(Xero!$F:$F,Xero!$B:$B,Heron!AF$9,Xero!$A:$A,Heron!$A$4,Xero!$E:$E,Heron!$A52)+SUMIFS(Xero!$F:$F,Xero!$B:$B,Heron!AF$9,Xero!$A:$A,Heron!$A$5,Xero!$E:$E,Heron!$A52)</f>
        <v/>
      </c>
      <c r="AG52" s="66">
        <f>SUMIFS(Xero!$F:$F,Xero!$B:$B,Heron!AG$9,Xero!$A:$A,Heron!$A$4,Xero!$E:$E,Heron!$A52)+SUMIFS(Xero!$F:$F,Xero!$B:$B,Heron!AG$9,Xero!$A:$A,Heron!$A$5,Xero!$E:$E,Heron!$A52)</f>
        <v/>
      </c>
      <c r="AH52" s="66">
        <f>SUMIFS(Xero!$F:$F,Xero!$B:$B,Heron!AH$9,Xero!$A:$A,Heron!$A$4,Xero!$E:$E,Heron!$A52)+SUMIFS(Xero!$F:$F,Xero!$B:$B,Heron!AH$9,Xero!$A:$A,Heron!$A$5,Xero!$E:$E,Heron!$A52)</f>
        <v/>
      </c>
      <c r="AI52" s="66">
        <f>SUMIFS(Xero!$F:$F,Xero!$B:$B,Heron!AI$9,Xero!$A:$A,Heron!$A$4,Xero!$E:$E,Heron!$A52)+SUMIFS(Xero!$F:$F,Xero!$B:$B,Heron!AI$9,Xero!$A:$A,Heron!$A$5,Xero!$E:$E,Heron!$A52)</f>
        <v/>
      </c>
      <c r="AJ52" s="66">
        <f>SUMIFS(Xero!$F:$F,Xero!$B:$B,Heron!AJ$9,Xero!$A:$A,Heron!$A$4,Xero!$E:$E,Heron!$A52)+SUMIFS(Xero!$F:$F,Xero!$B:$B,Heron!AJ$9,Xero!$A:$A,Heron!$A$5,Xero!$E:$E,Heron!$A52)</f>
        <v/>
      </c>
      <c r="AK52" s="66">
        <f>SUMIFS(Xero!$F:$F,Xero!$B:$B,Heron!AK$9,Xero!$A:$A,Heron!$A$4,Xero!$E:$E,Heron!$A52)+SUMIFS(Xero!$F:$F,Xero!$B:$B,Heron!AK$9,Xero!$A:$A,Heron!$A$5,Xero!$E:$E,Heron!$A52)</f>
        <v/>
      </c>
      <c r="AL52" s="66">
        <f>SUMIFS(Xero!$F:$F,Xero!$B:$B,Heron!AL$9,Xero!$A:$A,Heron!$A$4,Xero!$E:$E,Heron!$A52)+SUMIFS(Xero!$F:$F,Xero!$B:$B,Heron!AL$9,Xero!$A:$A,Heron!$A$5,Xero!$E:$E,Heron!$A52)</f>
        <v/>
      </c>
      <c r="AM52" s="66">
        <f>SUMIFS(Xero!$F:$F,Xero!$B:$B,Heron!AM$9,Xero!$A:$A,Heron!$A$4,Xero!$E:$E,Heron!$A52)+SUMIFS(Xero!$F:$F,Xero!$B:$B,Heron!AM$9,Xero!$A:$A,Heron!$A$5,Xero!$E:$E,Heron!$A52)</f>
        <v/>
      </c>
      <c r="AN52" s="66">
        <f>SUMIFS(Xero!$F:$F,Xero!$B:$B,Heron!AN$9,Xero!$A:$A,Heron!$A$4,Xero!$E:$E,Heron!$A52)+SUMIFS(Xero!$F:$F,Xero!$B:$B,Heron!AN$9,Xero!$A:$A,Heron!$A$5,Xero!$E:$E,Heron!$A52)</f>
        <v/>
      </c>
      <c r="AO52" s="66">
        <f>SUMIFS(Xero!$F:$F,Xero!$B:$B,Heron!AO$9,Xero!$A:$A,Heron!$A$4,Xero!$E:$E,Heron!$A52)+SUMIFS(Xero!$F:$F,Xero!$B:$B,Heron!AO$9,Xero!$A:$A,Heron!$A$5,Xero!$E:$E,Heron!$A52)</f>
        <v/>
      </c>
      <c r="AP52" s="66">
        <f>SUMIFS(Xero!$F:$F,Xero!$B:$B,Heron!AP$9,Xero!$A:$A,Heron!$A$4,Xero!$E:$E,Heron!$A52)+SUMIFS(Xero!$F:$F,Xero!$B:$B,Heron!AP$9,Xero!$A:$A,Heron!$A$5,Xero!$E:$E,Heron!$A52)</f>
        <v/>
      </c>
      <c r="AQ52" s="66">
        <f>SUMIFS(Xero!$F:$F,Xero!$B:$B,Heron!AQ$9,Xero!$A:$A,Heron!$A$4,Xero!$E:$E,Heron!$A52)+SUMIFS(Xero!$F:$F,Xero!$B:$B,Heron!AQ$9,Xero!$A:$A,Heron!$A$5,Xero!$E:$E,Heron!$A52)</f>
        <v/>
      </c>
      <c r="AR52" s="66">
        <f>SUMIFS(Xero!$F:$F,Xero!$B:$B,Heron!AR$9,Xero!$A:$A,Heron!$A$4,Xero!$E:$E,Heron!$A52)+SUMIFS(Xero!$F:$F,Xero!$B:$B,Heron!AR$9,Xero!$A:$A,Heron!$A$5,Xero!$E:$E,Heron!$A52)</f>
        <v/>
      </c>
      <c r="AS52" s="66">
        <f>SUMIFS(Xero!$F:$F,Xero!$B:$B,Heron!AS$9,Xero!$A:$A,Heron!$A$4,Xero!$E:$E,Heron!$A52)+SUMIFS(Xero!$F:$F,Xero!$B:$B,Heron!AS$9,Xero!$A:$A,Heron!$A$5,Xero!$E:$E,Heron!$A52)</f>
        <v/>
      </c>
      <c r="AT52" s="66">
        <f>SUMIFS(Xero!$F:$F,Xero!$B:$B,Heron!AT$9,Xero!$A:$A,Heron!$A$4,Xero!$E:$E,Heron!$A52)+SUMIFS(Xero!$F:$F,Xero!$B:$B,Heron!AT$9,Xero!$A:$A,Heron!$A$5,Xero!$E:$E,Heron!$A52)</f>
        <v/>
      </c>
      <c r="AU52" s="66">
        <f>SUMIFS(Xero!$F:$F,Xero!$B:$B,Heron!AU$9,Xero!$A:$A,Heron!$A$4,Xero!$E:$E,Heron!$A52)+SUMIFS(Xero!$F:$F,Xero!$B:$B,Heron!AU$9,Xero!$A:$A,Heron!$A$5,Xero!$E:$E,Heron!$A52)</f>
        <v/>
      </c>
      <c r="AV52" s="66">
        <f>SUMIFS(Xero!$F:$F,Xero!$B:$B,Heron!AV$9,Xero!$A:$A,Heron!$A$4,Xero!$E:$E,Heron!$A52)+SUMIFS(Xero!$F:$F,Xero!$B:$B,Heron!AV$9,Xero!$A:$A,Heron!$A$5,Xero!$E:$E,Heron!$A52)</f>
        <v/>
      </c>
      <c r="AW52" s="66">
        <f>SUMIFS(Xero!$F:$F,Xero!$B:$B,Heron!AW$9,Xero!$A:$A,Heron!$A$4,Xero!$E:$E,Heron!$A52)+SUMIFS(Xero!$F:$F,Xero!$B:$B,Heron!AW$9,Xero!$A:$A,Heron!$A$5,Xero!$E:$E,Heron!$A52)</f>
        <v/>
      </c>
      <c r="AX52" s="66">
        <f>SUMIFS(Xero!$F:$F,Xero!$B:$B,Heron!AX$9,Xero!$A:$A,Heron!$A$4,Xero!$E:$E,Heron!$A52)+SUMIFS(Xero!$F:$F,Xero!$B:$B,Heron!AX$9,Xero!$A:$A,Heron!$A$5,Xero!$E:$E,Heron!$A52)</f>
        <v/>
      </c>
      <c r="AY52" s="66">
        <f>SUMIFS(Xero!$F:$F,Xero!$B:$B,Heron!AY$9,Xero!$A:$A,Heron!$A$4,Xero!$E:$E,Heron!$A52)+SUMIFS(Xero!$F:$F,Xero!$B:$B,Heron!AY$9,Xero!$A:$A,Heron!$A$5,Xero!$E:$E,Heron!$A52)</f>
        <v/>
      </c>
      <c r="AZ52" s="66">
        <f>SUMIFS(Xero!$F:$F,Xero!$B:$B,Heron!AZ$9,Xero!$A:$A,Heron!$A$4,Xero!$E:$E,Heron!$A52)+SUMIFS(Xero!$F:$F,Xero!$B:$B,Heron!AZ$9,Xero!$A:$A,Heron!$A$5,Xero!$E:$E,Heron!$A52)</f>
        <v/>
      </c>
      <c r="BA52" s="66">
        <f>SUMIFS(Xero!$F:$F,Xero!$B:$B,Heron!BA$9,Xero!$A:$A,Heron!$A$4,Xero!$E:$E,Heron!$A52)+SUMIFS(Xero!$F:$F,Xero!$B:$B,Heron!BA$9,Xero!$A:$A,Heron!$A$5,Xero!$E:$E,Heron!$A52)</f>
        <v/>
      </c>
      <c r="BB52" s="66">
        <f>SUMIFS(Xero!$F:$F,Xero!$B:$B,Heron!BB$9,Xero!$A:$A,Heron!$A$4,Xero!$E:$E,Heron!$A52)+SUMIFS(Xero!$F:$F,Xero!$B:$B,Heron!BB$9,Xero!$A:$A,Heron!$A$5,Xero!$E:$E,Heron!$A52)</f>
        <v/>
      </c>
      <c r="BC52" s="66">
        <f>SUMIFS(Xero!$F:$F,Xero!$B:$B,Heron!BC$9,Xero!$A:$A,Heron!$A$4,Xero!$E:$E,Heron!$A52)+SUMIFS(Xero!$F:$F,Xero!$B:$B,Heron!BC$9,Xero!$A:$A,Heron!$A$5,Xero!$E:$E,Heron!$A52)</f>
        <v/>
      </c>
      <c r="BD52" s="66">
        <f>SUMIFS(Xero!$F:$F,Xero!$B:$B,Heron!BD$9,Xero!$A:$A,Heron!$A$4,Xero!$E:$E,Heron!$A52)+SUMIFS(Xero!$F:$F,Xero!$B:$B,Heron!BD$9,Xero!$A:$A,Heron!$A$5,Xero!$E:$E,Heron!$A52)</f>
        <v/>
      </c>
      <c r="BE52" s="66">
        <f>SUMIFS(Xero!$F:$F,Xero!$B:$B,Heron!BE$9,Xero!$A:$A,Heron!$A$4,Xero!$E:$E,Heron!$A52)+SUMIFS(Xero!$F:$F,Xero!$B:$B,Heron!BE$9,Xero!$A:$A,Heron!$A$5,Xero!$E:$E,Heron!$A52)</f>
        <v/>
      </c>
      <c r="BF52" s="66">
        <f>SUMIFS(Xero!$F:$F,Xero!$B:$B,Heron!BF$9,Xero!$A:$A,Heron!$A$4,Xero!$E:$E,Heron!$A52)+SUMIFS(Xero!$F:$F,Xero!$B:$B,Heron!BF$9,Xero!$A:$A,Heron!$A$5,Xero!$E:$E,Heron!$A52)</f>
        <v/>
      </c>
      <c r="BG52" s="66">
        <f>SUMIFS(Xero!$F:$F,Xero!$B:$B,Heron!BG$9,Xero!$A:$A,Heron!$A$4,Xero!$E:$E,Heron!$A52)+SUMIFS(Xero!$F:$F,Xero!$B:$B,Heron!BG$9,Xero!$A:$A,Heron!$A$5,Xero!$E:$E,Heron!$A52)</f>
        <v/>
      </c>
      <c r="BH52" s="66">
        <f>sum(D52:BG52)</f>
        <v/>
      </c>
    </row>
    <row r="53">
      <c r="A53" s="65" t="inlineStr">
        <is>
          <t>COS - Levies</t>
        </is>
      </c>
      <c r="D53" s="66">
        <f>SUMIFS(Xero!$F:$F,Xero!$B:$B,Heron!D$9,Xero!$A:$A,Heron!$A$4,Xero!$E:$E,Heron!$A53)+SUMIFS(Xero!$F:$F,Xero!$B:$B,Heron!D$9,Xero!$A:$A,Heron!$A$5,Xero!$E:$E,Heron!$A53)</f>
        <v/>
      </c>
      <c r="E53" s="66">
        <f>SUMIFS(Xero!$F:$F,Xero!$B:$B,Heron!E$9,Xero!$A:$A,Heron!$A$4,Xero!$E:$E,Heron!$A53)+SUMIFS(Xero!$F:$F,Xero!$B:$B,Heron!E$9,Xero!$A:$A,Heron!$A$5,Xero!$E:$E,Heron!$A53)</f>
        <v/>
      </c>
      <c r="F53" s="66">
        <f>SUMIFS(Xero!$F:$F,Xero!$B:$B,Heron!F$9,Xero!$A:$A,Heron!$A$4,Xero!$E:$E,Heron!$A53)+SUMIFS(Xero!$F:$F,Xero!$B:$B,Heron!F$9,Xero!$A:$A,Heron!$A$5,Xero!$E:$E,Heron!$A53)</f>
        <v/>
      </c>
      <c r="G53" s="66">
        <f>SUMIFS(Xero!$F:$F,Xero!$B:$B,Heron!G$9,Xero!$A:$A,Heron!$A$4,Xero!$E:$E,Heron!$A53)+SUMIFS(Xero!$F:$F,Xero!$B:$B,Heron!G$9,Xero!$A:$A,Heron!$A$5,Xero!$E:$E,Heron!$A53)</f>
        <v/>
      </c>
      <c r="H53" s="66">
        <f>SUMIFS(Xero!$F:$F,Xero!$B:$B,Heron!H$9,Xero!$A:$A,Heron!$A$4,Xero!$E:$E,Heron!$A53)+SUMIFS(Xero!$F:$F,Xero!$B:$B,Heron!H$9,Xero!$A:$A,Heron!$A$5,Xero!$E:$E,Heron!$A53)</f>
        <v/>
      </c>
      <c r="I53" s="66">
        <f>SUMIFS(Xero!$F:$F,Xero!$B:$B,Heron!I$9,Xero!$A:$A,Heron!$A$4,Xero!$E:$E,Heron!$A53)+SUMIFS(Xero!$F:$F,Xero!$B:$B,Heron!I$9,Xero!$A:$A,Heron!$A$5,Xero!$E:$E,Heron!$A53)</f>
        <v/>
      </c>
      <c r="J53" s="66">
        <f>SUMIFS(Xero!$F:$F,Xero!$B:$B,Heron!J$9,Xero!$A:$A,Heron!$A$4,Xero!$E:$E,Heron!$A53)+SUMIFS(Xero!$F:$F,Xero!$B:$B,Heron!J$9,Xero!$A:$A,Heron!$A$5,Xero!$E:$E,Heron!$A53)</f>
        <v/>
      </c>
      <c r="K53" s="66">
        <f>SUMIFS(Xero!$F:$F,Xero!$B:$B,Heron!K$9,Xero!$A:$A,Heron!$A$4,Xero!$E:$E,Heron!$A53)+SUMIFS(Xero!$F:$F,Xero!$B:$B,Heron!K$9,Xero!$A:$A,Heron!$A$5,Xero!$E:$E,Heron!$A53)</f>
        <v/>
      </c>
      <c r="L53" s="66">
        <f>SUMIFS(Xero!$F:$F,Xero!$B:$B,Heron!L$9,Xero!$A:$A,Heron!$A$4,Xero!$E:$E,Heron!$A53)+SUMIFS(Xero!$F:$F,Xero!$B:$B,Heron!L$9,Xero!$A:$A,Heron!$A$5,Xero!$E:$E,Heron!$A53)</f>
        <v/>
      </c>
      <c r="M53" s="66">
        <f>SUMIFS(Xero!$F:$F,Xero!$B:$B,Heron!M$9,Xero!$A:$A,Heron!$A$4,Xero!$E:$E,Heron!$A53)+SUMIFS(Xero!$F:$F,Xero!$B:$B,Heron!M$9,Xero!$A:$A,Heron!$A$5,Xero!$E:$E,Heron!$A53)</f>
        <v/>
      </c>
      <c r="N53" s="66">
        <f>SUMIFS(Xero!$F:$F,Xero!$B:$B,Heron!N$9,Xero!$A:$A,Heron!$A$4,Xero!$E:$E,Heron!$A53)+SUMIFS(Xero!$F:$F,Xero!$B:$B,Heron!N$9,Xero!$A:$A,Heron!$A$5,Xero!$E:$E,Heron!$A53)</f>
        <v/>
      </c>
      <c r="O53" s="66">
        <f>SUMIFS(Xero!$F:$F,Xero!$B:$B,Heron!O$9,Xero!$A:$A,Heron!$A$4,Xero!$E:$E,Heron!$A53)+SUMIFS(Xero!$F:$F,Xero!$B:$B,Heron!O$9,Xero!$A:$A,Heron!$A$5,Xero!$E:$E,Heron!$A53)</f>
        <v/>
      </c>
      <c r="P53" s="66">
        <f>SUMIFS(Xero!$F:$F,Xero!$B:$B,Heron!P$9,Xero!$A:$A,Heron!$A$4,Xero!$E:$E,Heron!$A53)+SUMIFS(Xero!$F:$F,Xero!$B:$B,Heron!P$9,Xero!$A:$A,Heron!$A$5,Xero!$E:$E,Heron!$A53)</f>
        <v/>
      </c>
      <c r="Q53" s="66">
        <f>SUMIFS(Xero!$F:$F,Xero!$B:$B,Heron!Q$9,Xero!$A:$A,Heron!$A$4,Xero!$E:$E,Heron!$A53)+SUMIFS(Xero!$F:$F,Xero!$B:$B,Heron!Q$9,Xero!$A:$A,Heron!$A$5,Xero!$E:$E,Heron!$A53)</f>
        <v/>
      </c>
      <c r="R53" s="66">
        <f>SUMIFS(Xero!$F:$F,Xero!$B:$B,Heron!R$9,Xero!$A:$A,Heron!$A$4,Xero!$E:$E,Heron!$A53)+SUMIFS(Xero!$F:$F,Xero!$B:$B,Heron!R$9,Xero!$A:$A,Heron!$A$5,Xero!$E:$E,Heron!$A53)</f>
        <v/>
      </c>
      <c r="S53" s="66">
        <f>SUMIFS(Xero!$F:$F,Xero!$B:$B,Heron!S$9,Xero!$A:$A,Heron!$A$4,Xero!$E:$E,Heron!$A53)+SUMIFS(Xero!$F:$F,Xero!$B:$B,Heron!S$9,Xero!$A:$A,Heron!$A$5,Xero!$E:$E,Heron!$A53)</f>
        <v/>
      </c>
      <c r="T53" s="66">
        <f>SUMIFS(Xero!$F:$F,Xero!$B:$B,Heron!T$9,Xero!$A:$A,Heron!$A$4,Xero!$E:$E,Heron!$A53)+SUMIFS(Xero!$F:$F,Xero!$B:$B,Heron!T$9,Xero!$A:$A,Heron!$A$5,Xero!$E:$E,Heron!$A53)</f>
        <v/>
      </c>
      <c r="U53" s="66">
        <f>SUMIFS(Xero!$F:$F,Xero!$B:$B,Heron!U$9,Xero!$A:$A,Heron!$A$4,Xero!$E:$E,Heron!$A53)+SUMIFS(Xero!$F:$F,Xero!$B:$B,Heron!U$9,Xero!$A:$A,Heron!$A$5,Xero!$E:$E,Heron!$A53)</f>
        <v/>
      </c>
      <c r="V53" s="66">
        <f>SUMIFS(Xero!$F:$F,Xero!$B:$B,Heron!V$9,Xero!$A:$A,Heron!$A$4,Xero!$E:$E,Heron!$A53)+SUMIFS(Xero!$F:$F,Xero!$B:$B,Heron!V$9,Xero!$A:$A,Heron!$A$5,Xero!$E:$E,Heron!$A53)</f>
        <v/>
      </c>
      <c r="W53" s="66">
        <f>SUMIFS(Xero!$F:$F,Xero!$B:$B,Heron!W$9,Xero!$A:$A,Heron!$A$4,Xero!$E:$E,Heron!$A53)+SUMIFS(Xero!$F:$F,Xero!$B:$B,Heron!W$9,Xero!$A:$A,Heron!$A$5,Xero!$E:$E,Heron!$A53)</f>
        <v/>
      </c>
      <c r="X53" s="66">
        <f>SUMIFS(Xero!$F:$F,Xero!$B:$B,Heron!X$9,Xero!$A:$A,Heron!$A$4,Xero!$E:$E,Heron!$A53)+SUMIFS(Xero!$F:$F,Xero!$B:$B,Heron!X$9,Xero!$A:$A,Heron!$A$5,Xero!$E:$E,Heron!$A53)</f>
        <v/>
      </c>
      <c r="Y53" s="66">
        <f>SUMIFS(Xero!$F:$F,Xero!$B:$B,Heron!Y$9,Xero!$A:$A,Heron!$A$4,Xero!$E:$E,Heron!$A53)+SUMIFS(Xero!$F:$F,Xero!$B:$B,Heron!Y$9,Xero!$A:$A,Heron!$A$5,Xero!$E:$E,Heron!$A53)</f>
        <v/>
      </c>
      <c r="Z53" s="66">
        <f>SUMIFS(Xero!$F:$F,Xero!$B:$B,Heron!Z$9,Xero!$A:$A,Heron!$A$4,Xero!$E:$E,Heron!$A53)+SUMIFS(Xero!$F:$F,Xero!$B:$B,Heron!Z$9,Xero!$A:$A,Heron!$A$5,Xero!$E:$E,Heron!$A53)</f>
        <v/>
      </c>
      <c r="AA53" s="66">
        <f>SUMIFS(Xero!$F:$F,Xero!$B:$B,Heron!AA$9,Xero!$A:$A,Heron!$A$4,Xero!$E:$E,Heron!$A53)+SUMIFS(Xero!$F:$F,Xero!$B:$B,Heron!AA$9,Xero!$A:$A,Heron!$A$5,Xero!$E:$E,Heron!$A53)</f>
        <v/>
      </c>
      <c r="AB53" s="66">
        <f>SUMIFS(Xero!$F:$F,Xero!$B:$B,Heron!AB$9,Xero!$A:$A,Heron!$A$4,Xero!$E:$E,Heron!$A53)+SUMIFS(Xero!$F:$F,Xero!$B:$B,Heron!AB$9,Xero!$A:$A,Heron!$A$5,Xero!$E:$E,Heron!$A53)</f>
        <v/>
      </c>
      <c r="AC53" s="66">
        <f>SUMIFS(Xero!$F:$F,Xero!$B:$B,Heron!AC$9,Xero!$A:$A,Heron!$A$4,Xero!$E:$E,Heron!$A53)+SUMIFS(Xero!$F:$F,Xero!$B:$B,Heron!AC$9,Xero!$A:$A,Heron!$A$5,Xero!$E:$E,Heron!$A53)</f>
        <v/>
      </c>
      <c r="AD53" s="66">
        <f>SUMIFS(Xero!$F:$F,Xero!$B:$B,Heron!AD$9,Xero!$A:$A,Heron!$A$4,Xero!$E:$E,Heron!$A53)+SUMIFS(Xero!$F:$F,Xero!$B:$B,Heron!AD$9,Xero!$A:$A,Heron!$A$5,Xero!$E:$E,Heron!$A53)</f>
        <v/>
      </c>
      <c r="AE53" s="66">
        <f>SUMIFS(Xero!$F:$F,Xero!$B:$B,Heron!AE$9,Xero!$A:$A,Heron!$A$4,Xero!$E:$E,Heron!$A53)+SUMIFS(Xero!$F:$F,Xero!$B:$B,Heron!AE$9,Xero!$A:$A,Heron!$A$5,Xero!$E:$E,Heron!$A53)</f>
        <v/>
      </c>
      <c r="AF53" s="66">
        <f>SUMIFS(Xero!$F:$F,Xero!$B:$B,Heron!AF$9,Xero!$A:$A,Heron!$A$4,Xero!$E:$E,Heron!$A53)+SUMIFS(Xero!$F:$F,Xero!$B:$B,Heron!AF$9,Xero!$A:$A,Heron!$A$5,Xero!$E:$E,Heron!$A53)</f>
        <v/>
      </c>
      <c r="AG53" s="66">
        <f>SUMIFS(Xero!$F:$F,Xero!$B:$B,Heron!AG$9,Xero!$A:$A,Heron!$A$4,Xero!$E:$E,Heron!$A53)+SUMIFS(Xero!$F:$F,Xero!$B:$B,Heron!AG$9,Xero!$A:$A,Heron!$A$5,Xero!$E:$E,Heron!$A53)</f>
        <v/>
      </c>
      <c r="AH53" s="66">
        <f>SUMIFS(Xero!$F:$F,Xero!$B:$B,Heron!AH$9,Xero!$A:$A,Heron!$A$4,Xero!$E:$E,Heron!$A53)+SUMIFS(Xero!$F:$F,Xero!$B:$B,Heron!AH$9,Xero!$A:$A,Heron!$A$5,Xero!$E:$E,Heron!$A53)</f>
        <v/>
      </c>
      <c r="AI53" s="66">
        <f>SUMIFS(Xero!$F:$F,Xero!$B:$B,Heron!AI$9,Xero!$A:$A,Heron!$A$4,Xero!$E:$E,Heron!$A53)+SUMIFS(Xero!$F:$F,Xero!$B:$B,Heron!AI$9,Xero!$A:$A,Heron!$A$5,Xero!$E:$E,Heron!$A53)</f>
        <v/>
      </c>
      <c r="AJ53" s="66">
        <f>SUMIFS(Xero!$F:$F,Xero!$B:$B,Heron!AJ$9,Xero!$A:$A,Heron!$A$4,Xero!$E:$E,Heron!$A53)+SUMIFS(Xero!$F:$F,Xero!$B:$B,Heron!AJ$9,Xero!$A:$A,Heron!$A$5,Xero!$E:$E,Heron!$A53)</f>
        <v/>
      </c>
      <c r="AK53" s="66">
        <f>SUMIFS(Xero!$F:$F,Xero!$B:$B,Heron!AK$9,Xero!$A:$A,Heron!$A$4,Xero!$E:$E,Heron!$A53)+SUMIFS(Xero!$F:$F,Xero!$B:$B,Heron!AK$9,Xero!$A:$A,Heron!$A$5,Xero!$E:$E,Heron!$A53)</f>
        <v/>
      </c>
      <c r="AL53" s="66">
        <f>SUMIFS(Xero!$F:$F,Xero!$B:$B,Heron!AL$9,Xero!$A:$A,Heron!$A$4,Xero!$E:$E,Heron!$A53)+SUMIFS(Xero!$F:$F,Xero!$B:$B,Heron!AL$9,Xero!$A:$A,Heron!$A$5,Xero!$E:$E,Heron!$A53)</f>
        <v/>
      </c>
      <c r="AM53" s="66">
        <f>SUMIFS(Xero!$F:$F,Xero!$B:$B,Heron!AM$9,Xero!$A:$A,Heron!$A$4,Xero!$E:$E,Heron!$A53)+SUMIFS(Xero!$F:$F,Xero!$B:$B,Heron!AM$9,Xero!$A:$A,Heron!$A$5,Xero!$E:$E,Heron!$A53)</f>
        <v/>
      </c>
      <c r="AN53" s="66">
        <f>SUMIFS(Xero!$F:$F,Xero!$B:$B,Heron!AN$9,Xero!$A:$A,Heron!$A$4,Xero!$E:$E,Heron!$A53)+SUMIFS(Xero!$F:$F,Xero!$B:$B,Heron!AN$9,Xero!$A:$A,Heron!$A$5,Xero!$E:$E,Heron!$A53)</f>
        <v/>
      </c>
      <c r="AO53" s="66">
        <f>SUMIFS(Xero!$F:$F,Xero!$B:$B,Heron!AO$9,Xero!$A:$A,Heron!$A$4,Xero!$E:$E,Heron!$A53)+SUMIFS(Xero!$F:$F,Xero!$B:$B,Heron!AO$9,Xero!$A:$A,Heron!$A$5,Xero!$E:$E,Heron!$A53)</f>
        <v/>
      </c>
      <c r="AP53" s="66">
        <f>SUMIFS(Xero!$F:$F,Xero!$B:$B,Heron!AP$9,Xero!$A:$A,Heron!$A$4,Xero!$E:$E,Heron!$A53)+SUMIFS(Xero!$F:$F,Xero!$B:$B,Heron!AP$9,Xero!$A:$A,Heron!$A$5,Xero!$E:$E,Heron!$A53)</f>
        <v/>
      </c>
      <c r="AQ53" s="66">
        <f>SUMIFS(Xero!$F:$F,Xero!$B:$B,Heron!AQ$9,Xero!$A:$A,Heron!$A$4,Xero!$E:$E,Heron!$A53)+SUMIFS(Xero!$F:$F,Xero!$B:$B,Heron!AQ$9,Xero!$A:$A,Heron!$A$5,Xero!$E:$E,Heron!$A53)</f>
        <v/>
      </c>
      <c r="AR53" s="66">
        <f>SUMIFS(Xero!$F:$F,Xero!$B:$B,Heron!AR$9,Xero!$A:$A,Heron!$A$4,Xero!$E:$E,Heron!$A53)+SUMIFS(Xero!$F:$F,Xero!$B:$B,Heron!AR$9,Xero!$A:$A,Heron!$A$5,Xero!$E:$E,Heron!$A53)</f>
        <v/>
      </c>
      <c r="AS53" s="66">
        <f>SUMIFS(Xero!$F:$F,Xero!$B:$B,Heron!AS$9,Xero!$A:$A,Heron!$A$4,Xero!$E:$E,Heron!$A53)+SUMIFS(Xero!$F:$F,Xero!$B:$B,Heron!AS$9,Xero!$A:$A,Heron!$A$5,Xero!$E:$E,Heron!$A53)</f>
        <v/>
      </c>
      <c r="AT53" s="66">
        <f>SUMIFS(Xero!$F:$F,Xero!$B:$B,Heron!AT$9,Xero!$A:$A,Heron!$A$4,Xero!$E:$E,Heron!$A53)+SUMIFS(Xero!$F:$F,Xero!$B:$B,Heron!AT$9,Xero!$A:$A,Heron!$A$5,Xero!$E:$E,Heron!$A53)</f>
        <v/>
      </c>
      <c r="AU53" s="66">
        <f>SUMIFS(Xero!$F:$F,Xero!$B:$B,Heron!AU$9,Xero!$A:$A,Heron!$A$4,Xero!$E:$E,Heron!$A53)+SUMIFS(Xero!$F:$F,Xero!$B:$B,Heron!AU$9,Xero!$A:$A,Heron!$A$5,Xero!$E:$E,Heron!$A53)</f>
        <v/>
      </c>
      <c r="AV53" s="66">
        <f>SUMIFS(Xero!$F:$F,Xero!$B:$B,Heron!AV$9,Xero!$A:$A,Heron!$A$4,Xero!$E:$E,Heron!$A53)+SUMIFS(Xero!$F:$F,Xero!$B:$B,Heron!AV$9,Xero!$A:$A,Heron!$A$5,Xero!$E:$E,Heron!$A53)</f>
        <v/>
      </c>
      <c r="AW53" s="66">
        <f>SUMIFS(Xero!$F:$F,Xero!$B:$B,Heron!AW$9,Xero!$A:$A,Heron!$A$4,Xero!$E:$E,Heron!$A53)+SUMIFS(Xero!$F:$F,Xero!$B:$B,Heron!AW$9,Xero!$A:$A,Heron!$A$5,Xero!$E:$E,Heron!$A53)</f>
        <v/>
      </c>
      <c r="AX53" s="66">
        <f>SUMIFS(Xero!$F:$F,Xero!$B:$B,Heron!AX$9,Xero!$A:$A,Heron!$A$4,Xero!$E:$E,Heron!$A53)+SUMIFS(Xero!$F:$F,Xero!$B:$B,Heron!AX$9,Xero!$A:$A,Heron!$A$5,Xero!$E:$E,Heron!$A53)</f>
        <v/>
      </c>
      <c r="AY53" s="66">
        <f>SUMIFS(Xero!$F:$F,Xero!$B:$B,Heron!AY$9,Xero!$A:$A,Heron!$A$4,Xero!$E:$E,Heron!$A53)+SUMIFS(Xero!$F:$F,Xero!$B:$B,Heron!AY$9,Xero!$A:$A,Heron!$A$5,Xero!$E:$E,Heron!$A53)</f>
        <v/>
      </c>
      <c r="AZ53" s="66">
        <f>SUMIFS(Xero!$F:$F,Xero!$B:$B,Heron!AZ$9,Xero!$A:$A,Heron!$A$4,Xero!$E:$E,Heron!$A53)+SUMIFS(Xero!$F:$F,Xero!$B:$B,Heron!AZ$9,Xero!$A:$A,Heron!$A$5,Xero!$E:$E,Heron!$A53)</f>
        <v/>
      </c>
      <c r="BA53" s="66">
        <f>SUMIFS(Xero!$F:$F,Xero!$B:$B,Heron!BA$9,Xero!$A:$A,Heron!$A$4,Xero!$E:$E,Heron!$A53)+SUMIFS(Xero!$F:$F,Xero!$B:$B,Heron!BA$9,Xero!$A:$A,Heron!$A$5,Xero!$E:$E,Heron!$A53)</f>
        <v/>
      </c>
      <c r="BB53" s="66">
        <f>SUMIFS(Xero!$F:$F,Xero!$B:$B,Heron!BB$9,Xero!$A:$A,Heron!$A$4,Xero!$E:$E,Heron!$A53)+SUMIFS(Xero!$F:$F,Xero!$B:$B,Heron!BB$9,Xero!$A:$A,Heron!$A$5,Xero!$E:$E,Heron!$A53)</f>
        <v/>
      </c>
      <c r="BC53" s="66">
        <f>SUMIFS(Xero!$F:$F,Xero!$B:$B,Heron!BC$9,Xero!$A:$A,Heron!$A$4,Xero!$E:$E,Heron!$A53)+SUMIFS(Xero!$F:$F,Xero!$B:$B,Heron!BC$9,Xero!$A:$A,Heron!$A$5,Xero!$E:$E,Heron!$A53)</f>
        <v/>
      </c>
      <c r="BD53" s="66">
        <f>SUMIFS(Xero!$F:$F,Xero!$B:$B,Heron!BD$9,Xero!$A:$A,Heron!$A$4,Xero!$E:$E,Heron!$A53)+SUMIFS(Xero!$F:$F,Xero!$B:$B,Heron!BD$9,Xero!$A:$A,Heron!$A$5,Xero!$E:$E,Heron!$A53)</f>
        <v/>
      </c>
      <c r="BE53" s="66">
        <f>SUMIFS(Xero!$F:$F,Xero!$B:$B,Heron!BE$9,Xero!$A:$A,Heron!$A$4,Xero!$E:$E,Heron!$A53)+SUMIFS(Xero!$F:$F,Xero!$B:$B,Heron!BE$9,Xero!$A:$A,Heron!$A$5,Xero!$E:$E,Heron!$A53)</f>
        <v/>
      </c>
      <c r="BF53" s="66">
        <f>SUMIFS(Xero!$F:$F,Xero!$B:$B,Heron!BF$9,Xero!$A:$A,Heron!$A$4,Xero!$E:$E,Heron!$A53)+SUMIFS(Xero!$F:$F,Xero!$B:$B,Heron!BF$9,Xero!$A:$A,Heron!$A$5,Xero!$E:$E,Heron!$A53)</f>
        <v/>
      </c>
      <c r="BG53" s="66">
        <f>SUMIFS(Xero!$F:$F,Xero!$B:$B,Heron!BG$9,Xero!$A:$A,Heron!$A$4,Xero!$E:$E,Heron!$A53)+SUMIFS(Xero!$F:$F,Xero!$B:$B,Heron!BG$9,Xero!$A:$A,Heron!$A$5,Xero!$E:$E,Heron!$A53)</f>
        <v/>
      </c>
      <c r="BH53" s="66">
        <f>sum(D53:BG53)</f>
        <v/>
      </c>
    </row>
    <row r="54">
      <c r="A54" s="65" t="inlineStr">
        <is>
          <t>COS - Rates clearance</t>
        </is>
      </c>
      <c r="D54" s="66">
        <f>SUMIFS(Xero!$F:$F,Xero!$B:$B,Heron!D$9,Xero!$A:$A,Heron!$A$4,Xero!$E:$E,Heron!$A54)+SUMIFS(Xero!$F:$F,Xero!$B:$B,Heron!D$9,Xero!$A:$A,Heron!$A$5,Xero!$E:$E,Heron!$A54)</f>
        <v/>
      </c>
      <c r="E54" s="66">
        <f>SUMIFS(Xero!$F:$F,Xero!$B:$B,Heron!E$9,Xero!$A:$A,Heron!$A$4,Xero!$E:$E,Heron!$A54)+SUMIFS(Xero!$F:$F,Xero!$B:$B,Heron!E$9,Xero!$A:$A,Heron!$A$5,Xero!$E:$E,Heron!$A54)</f>
        <v/>
      </c>
      <c r="F54" s="66">
        <f>SUMIFS(Xero!$F:$F,Xero!$B:$B,Heron!F$9,Xero!$A:$A,Heron!$A$4,Xero!$E:$E,Heron!$A54)+SUMIFS(Xero!$F:$F,Xero!$B:$B,Heron!F$9,Xero!$A:$A,Heron!$A$5,Xero!$E:$E,Heron!$A54)</f>
        <v/>
      </c>
      <c r="G54" s="66">
        <f>SUMIFS(Xero!$F:$F,Xero!$B:$B,Heron!G$9,Xero!$A:$A,Heron!$A$4,Xero!$E:$E,Heron!$A54)+SUMIFS(Xero!$F:$F,Xero!$B:$B,Heron!G$9,Xero!$A:$A,Heron!$A$5,Xero!$E:$E,Heron!$A54)</f>
        <v/>
      </c>
      <c r="H54" s="66">
        <f>SUMIFS(Xero!$F:$F,Xero!$B:$B,Heron!H$9,Xero!$A:$A,Heron!$A$4,Xero!$E:$E,Heron!$A54)+SUMIFS(Xero!$F:$F,Xero!$B:$B,Heron!H$9,Xero!$A:$A,Heron!$A$5,Xero!$E:$E,Heron!$A54)</f>
        <v/>
      </c>
      <c r="I54" s="66">
        <f>SUMIFS(Xero!$F:$F,Xero!$B:$B,Heron!I$9,Xero!$A:$A,Heron!$A$4,Xero!$E:$E,Heron!$A54)+SUMIFS(Xero!$F:$F,Xero!$B:$B,Heron!I$9,Xero!$A:$A,Heron!$A$5,Xero!$E:$E,Heron!$A54)</f>
        <v/>
      </c>
      <c r="J54" s="66">
        <f>SUMIFS(Xero!$F:$F,Xero!$B:$B,Heron!J$9,Xero!$A:$A,Heron!$A$4,Xero!$E:$E,Heron!$A54)+SUMIFS(Xero!$F:$F,Xero!$B:$B,Heron!J$9,Xero!$A:$A,Heron!$A$5,Xero!$E:$E,Heron!$A54)</f>
        <v/>
      </c>
      <c r="K54" s="66">
        <f>SUMIFS(Xero!$F:$F,Xero!$B:$B,Heron!K$9,Xero!$A:$A,Heron!$A$4,Xero!$E:$E,Heron!$A54)+SUMIFS(Xero!$F:$F,Xero!$B:$B,Heron!K$9,Xero!$A:$A,Heron!$A$5,Xero!$E:$E,Heron!$A54)</f>
        <v/>
      </c>
      <c r="L54" s="66">
        <f>SUMIFS(Xero!$F:$F,Xero!$B:$B,Heron!L$9,Xero!$A:$A,Heron!$A$4,Xero!$E:$E,Heron!$A54)+SUMIFS(Xero!$F:$F,Xero!$B:$B,Heron!L$9,Xero!$A:$A,Heron!$A$5,Xero!$E:$E,Heron!$A54)</f>
        <v/>
      </c>
      <c r="M54" s="66">
        <f>SUMIFS(Xero!$F:$F,Xero!$B:$B,Heron!M$9,Xero!$A:$A,Heron!$A$4,Xero!$E:$E,Heron!$A54)+SUMIFS(Xero!$F:$F,Xero!$B:$B,Heron!M$9,Xero!$A:$A,Heron!$A$5,Xero!$E:$E,Heron!$A54)</f>
        <v/>
      </c>
      <c r="N54" s="66">
        <f>SUMIFS(Xero!$F:$F,Xero!$B:$B,Heron!N$9,Xero!$A:$A,Heron!$A$4,Xero!$E:$E,Heron!$A54)+SUMIFS(Xero!$F:$F,Xero!$B:$B,Heron!N$9,Xero!$A:$A,Heron!$A$5,Xero!$E:$E,Heron!$A54)</f>
        <v/>
      </c>
      <c r="O54" s="66">
        <f>SUMIFS(Xero!$F:$F,Xero!$B:$B,Heron!O$9,Xero!$A:$A,Heron!$A$4,Xero!$E:$E,Heron!$A54)+SUMIFS(Xero!$F:$F,Xero!$B:$B,Heron!O$9,Xero!$A:$A,Heron!$A$5,Xero!$E:$E,Heron!$A54)</f>
        <v/>
      </c>
      <c r="P54" s="66">
        <f>SUMIFS(Xero!$F:$F,Xero!$B:$B,Heron!P$9,Xero!$A:$A,Heron!$A$4,Xero!$E:$E,Heron!$A54)+SUMIFS(Xero!$F:$F,Xero!$B:$B,Heron!P$9,Xero!$A:$A,Heron!$A$5,Xero!$E:$E,Heron!$A54)</f>
        <v/>
      </c>
      <c r="Q54" s="66">
        <f>SUMIFS(Xero!$F:$F,Xero!$B:$B,Heron!Q$9,Xero!$A:$A,Heron!$A$4,Xero!$E:$E,Heron!$A54)+SUMIFS(Xero!$F:$F,Xero!$B:$B,Heron!Q$9,Xero!$A:$A,Heron!$A$5,Xero!$E:$E,Heron!$A54)</f>
        <v/>
      </c>
      <c r="R54" s="66">
        <f>SUMIFS(Xero!$F:$F,Xero!$B:$B,Heron!R$9,Xero!$A:$A,Heron!$A$4,Xero!$E:$E,Heron!$A54)+SUMIFS(Xero!$F:$F,Xero!$B:$B,Heron!R$9,Xero!$A:$A,Heron!$A$5,Xero!$E:$E,Heron!$A54)</f>
        <v/>
      </c>
      <c r="S54" s="66">
        <f>SUMIFS(Xero!$F:$F,Xero!$B:$B,Heron!S$9,Xero!$A:$A,Heron!$A$4,Xero!$E:$E,Heron!$A54)+SUMIFS(Xero!$F:$F,Xero!$B:$B,Heron!S$9,Xero!$A:$A,Heron!$A$5,Xero!$E:$E,Heron!$A54)</f>
        <v/>
      </c>
      <c r="T54" s="66">
        <f>SUMIFS(Xero!$F:$F,Xero!$B:$B,Heron!T$9,Xero!$A:$A,Heron!$A$4,Xero!$E:$E,Heron!$A54)+SUMIFS(Xero!$F:$F,Xero!$B:$B,Heron!T$9,Xero!$A:$A,Heron!$A$5,Xero!$E:$E,Heron!$A54)</f>
        <v/>
      </c>
      <c r="U54" s="66">
        <f>SUMIFS(Xero!$F:$F,Xero!$B:$B,Heron!U$9,Xero!$A:$A,Heron!$A$4,Xero!$E:$E,Heron!$A54)+SUMIFS(Xero!$F:$F,Xero!$B:$B,Heron!U$9,Xero!$A:$A,Heron!$A$5,Xero!$E:$E,Heron!$A54)</f>
        <v/>
      </c>
      <c r="V54" s="66">
        <f>SUMIFS(Xero!$F:$F,Xero!$B:$B,Heron!V$9,Xero!$A:$A,Heron!$A$4,Xero!$E:$E,Heron!$A54)+SUMIFS(Xero!$F:$F,Xero!$B:$B,Heron!V$9,Xero!$A:$A,Heron!$A$5,Xero!$E:$E,Heron!$A54)</f>
        <v/>
      </c>
      <c r="W54" s="66">
        <f>SUMIFS(Xero!$F:$F,Xero!$B:$B,Heron!W$9,Xero!$A:$A,Heron!$A$4,Xero!$E:$E,Heron!$A54)+SUMIFS(Xero!$F:$F,Xero!$B:$B,Heron!W$9,Xero!$A:$A,Heron!$A$5,Xero!$E:$E,Heron!$A54)</f>
        <v/>
      </c>
      <c r="X54" s="66">
        <f>SUMIFS(Xero!$F:$F,Xero!$B:$B,Heron!X$9,Xero!$A:$A,Heron!$A$4,Xero!$E:$E,Heron!$A54)+SUMIFS(Xero!$F:$F,Xero!$B:$B,Heron!X$9,Xero!$A:$A,Heron!$A$5,Xero!$E:$E,Heron!$A54)</f>
        <v/>
      </c>
      <c r="Y54" s="66">
        <f>SUMIFS(Xero!$F:$F,Xero!$B:$B,Heron!Y$9,Xero!$A:$A,Heron!$A$4,Xero!$E:$E,Heron!$A54)+SUMIFS(Xero!$F:$F,Xero!$B:$B,Heron!Y$9,Xero!$A:$A,Heron!$A$5,Xero!$E:$E,Heron!$A54)</f>
        <v/>
      </c>
      <c r="Z54" s="66">
        <f>SUMIFS(Xero!$F:$F,Xero!$B:$B,Heron!Z$9,Xero!$A:$A,Heron!$A$4,Xero!$E:$E,Heron!$A54)+SUMIFS(Xero!$F:$F,Xero!$B:$B,Heron!Z$9,Xero!$A:$A,Heron!$A$5,Xero!$E:$E,Heron!$A54)</f>
        <v/>
      </c>
      <c r="AA54" s="66">
        <f>SUMIFS(Xero!$F:$F,Xero!$B:$B,Heron!AA$9,Xero!$A:$A,Heron!$A$4,Xero!$E:$E,Heron!$A54)+SUMIFS(Xero!$F:$F,Xero!$B:$B,Heron!AA$9,Xero!$A:$A,Heron!$A$5,Xero!$E:$E,Heron!$A54)</f>
        <v/>
      </c>
      <c r="AB54" s="66">
        <f>SUMIFS(Xero!$F:$F,Xero!$B:$B,Heron!AB$9,Xero!$A:$A,Heron!$A$4,Xero!$E:$E,Heron!$A54)+SUMIFS(Xero!$F:$F,Xero!$B:$B,Heron!AB$9,Xero!$A:$A,Heron!$A$5,Xero!$E:$E,Heron!$A54)</f>
        <v/>
      </c>
      <c r="AC54" s="66">
        <f>SUMIFS(Xero!$F:$F,Xero!$B:$B,Heron!AC$9,Xero!$A:$A,Heron!$A$4,Xero!$E:$E,Heron!$A54)+SUMIFS(Xero!$F:$F,Xero!$B:$B,Heron!AC$9,Xero!$A:$A,Heron!$A$5,Xero!$E:$E,Heron!$A54)</f>
        <v/>
      </c>
      <c r="AD54" s="66">
        <f>SUMIFS(Xero!$F:$F,Xero!$B:$B,Heron!AD$9,Xero!$A:$A,Heron!$A$4,Xero!$E:$E,Heron!$A54)+SUMIFS(Xero!$F:$F,Xero!$B:$B,Heron!AD$9,Xero!$A:$A,Heron!$A$5,Xero!$E:$E,Heron!$A54)</f>
        <v/>
      </c>
      <c r="AE54" s="66">
        <f>SUMIFS(Xero!$F:$F,Xero!$B:$B,Heron!AE$9,Xero!$A:$A,Heron!$A$4,Xero!$E:$E,Heron!$A54)+SUMIFS(Xero!$F:$F,Xero!$B:$B,Heron!AE$9,Xero!$A:$A,Heron!$A$5,Xero!$E:$E,Heron!$A54)</f>
        <v/>
      </c>
      <c r="AF54" s="66">
        <f>SUMIFS(Xero!$F:$F,Xero!$B:$B,Heron!AF$9,Xero!$A:$A,Heron!$A$4,Xero!$E:$E,Heron!$A54)+SUMIFS(Xero!$F:$F,Xero!$B:$B,Heron!AF$9,Xero!$A:$A,Heron!$A$5,Xero!$E:$E,Heron!$A54)</f>
        <v/>
      </c>
      <c r="AG54" s="66">
        <f>SUMIFS(Xero!$F:$F,Xero!$B:$B,Heron!AG$9,Xero!$A:$A,Heron!$A$4,Xero!$E:$E,Heron!$A54)+SUMIFS(Xero!$F:$F,Xero!$B:$B,Heron!AG$9,Xero!$A:$A,Heron!$A$5,Xero!$E:$E,Heron!$A54)</f>
        <v/>
      </c>
      <c r="AH54" s="66">
        <f>SUMIFS(Xero!$F:$F,Xero!$B:$B,Heron!AH$9,Xero!$A:$A,Heron!$A$4,Xero!$E:$E,Heron!$A54)+SUMIFS(Xero!$F:$F,Xero!$B:$B,Heron!AH$9,Xero!$A:$A,Heron!$A$5,Xero!$E:$E,Heron!$A54)</f>
        <v/>
      </c>
      <c r="AI54" s="66">
        <f>SUMIFS(Xero!$F:$F,Xero!$B:$B,Heron!AI$9,Xero!$A:$A,Heron!$A$4,Xero!$E:$E,Heron!$A54)+SUMIFS(Xero!$F:$F,Xero!$B:$B,Heron!AI$9,Xero!$A:$A,Heron!$A$5,Xero!$E:$E,Heron!$A54)</f>
        <v/>
      </c>
      <c r="AJ54" s="66">
        <f>SUMIFS(Xero!$F:$F,Xero!$B:$B,Heron!AJ$9,Xero!$A:$A,Heron!$A$4,Xero!$E:$E,Heron!$A54)+SUMIFS(Xero!$F:$F,Xero!$B:$B,Heron!AJ$9,Xero!$A:$A,Heron!$A$5,Xero!$E:$E,Heron!$A54)</f>
        <v/>
      </c>
      <c r="AK54" s="66">
        <f>SUMIFS(Xero!$F:$F,Xero!$B:$B,Heron!AK$9,Xero!$A:$A,Heron!$A$4,Xero!$E:$E,Heron!$A54)+SUMIFS(Xero!$F:$F,Xero!$B:$B,Heron!AK$9,Xero!$A:$A,Heron!$A$5,Xero!$E:$E,Heron!$A54)</f>
        <v/>
      </c>
      <c r="AL54" s="66">
        <f>SUMIFS(Xero!$F:$F,Xero!$B:$B,Heron!AL$9,Xero!$A:$A,Heron!$A$4,Xero!$E:$E,Heron!$A54)+SUMIFS(Xero!$F:$F,Xero!$B:$B,Heron!AL$9,Xero!$A:$A,Heron!$A$5,Xero!$E:$E,Heron!$A54)</f>
        <v/>
      </c>
      <c r="AM54" s="66">
        <f>SUMIFS(Xero!$F:$F,Xero!$B:$B,Heron!AM$9,Xero!$A:$A,Heron!$A$4,Xero!$E:$E,Heron!$A54)+SUMIFS(Xero!$F:$F,Xero!$B:$B,Heron!AM$9,Xero!$A:$A,Heron!$A$5,Xero!$E:$E,Heron!$A54)</f>
        <v/>
      </c>
      <c r="AN54" s="66">
        <f>SUMIFS(Xero!$F:$F,Xero!$B:$B,Heron!AN$9,Xero!$A:$A,Heron!$A$4,Xero!$E:$E,Heron!$A54)+SUMIFS(Xero!$F:$F,Xero!$B:$B,Heron!AN$9,Xero!$A:$A,Heron!$A$5,Xero!$E:$E,Heron!$A54)</f>
        <v/>
      </c>
      <c r="AO54" s="66">
        <f>SUMIFS(Xero!$F:$F,Xero!$B:$B,Heron!AO$9,Xero!$A:$A,Heron!$A$4,Xero!$E:$E,Heron!$A54)+SUMIFS(Xero!$F:$F,Xero!$B:$B,Heron!AO$9,Xero!$A:$A,Heron!$A$5,Xero!$E:$E,Heron!$A54)</f>
        <v/>
      </c>
      <c r="AP54" s="66">
        <f>SUMIFS(Xero!$F:$F,Xero!$B:$B,Heron!AP$9,Xero!$A:$A,Heron!$A$4,Xero!$E:$E,Heron!$A54)+SUMIFS(Xero!$F:$F,Xero!$B:$B,Heron!AP$9,Xero!$A:$A,Heron!$A$5,Xero!$E:$E,Heron!$A54)</f>
        <v/>
      </c>
      <c r="AQ54" s="66">
        <f>SUMIFS(Xero!$F:$F,Xero!$B:$B,Heron!AQ$9,Xero!$A:$A,Heron!$A$4,Xero!$E:$E,Heron!$A54)+SUMIFS(Xero!$F:$F,Xero!$B:$B,Heron!AQ$9,Xero!$A:$A,Heron!$A$5,Xero!$E:$E,Heron!$A54)</f>
        <v/>
      </c>
      <c r="AR54" s="66">
        <f>SUMIFS(Xero!$F:$F,Xero!$B:$B,Heron!AR$9,Xero!$A:$A,Heron!$A$4,Xero!$E:$E,Heron!$A54)+SUMIFS(Xero!$F:$F,Xero!$B:$B,Heron!AR$9,Xero!$A:$A,Heron!$A$5,Xero!$E:$E,Heron!$A54)</f>
        <v/>
      </c>
      <c r="AS54" s="66">
        <f>SUMIFS(Xero!$F:$F,Xero!$B:$B,Heron!AS$9,Xero!$A:$A,Heron!$A$4,Xero!$E:$E,Heron!$A54)+SUMIFS(Xero!$F:$F,Xero!$B:$B,Heron!AS$9,Xero!$A:$A,Heron!$A$5,Xero!$E:$E,Heron!$A54)</f>
        <v/>
      </c>
      <c r="AT54" s="66">
        <f>SUMIFS(Xero!$F:$F,Xero!$B:$B,Heron!AT$9,Xero!$A:$A,Heron!$A$4,Xero!$E:$E,Heron!$A54)+SUMIFS(Xero!$F:$F,Xero!$B:$B,Heron!AT$9,Xero!$A:$A,Heron!$A$5,Xero!$E:$E,Heron!$A54)</f>
        <v/>
      </c>
      <c r="AU54" s="66">
        <f>SUMIFS(Xero!$F:$F,Xero!$B:$B,Heron!AU$9,Xero!$A:$A,Heron!$A$4,Xero!$E:$E,Heron!$A54)+SUMIFS(Xero!$F:$F,Xero!$B:$B,Heron!AU$9,Xero!$A:$A,Heron!$A$5,Xero!$E:$E,Heron!$A54)</f>
        <v/>
      </c>
      <c r="AV54" s="66">
        <f>SUMIFS(Xero!$F:$F,Xero!$B:$B,Heron!AV$9,Xero!$A:$A,Heron!$A$4,Xero!$E:$E,Heron!$A54)+SUMIFS(Xero!$F:$F,Xero!$B:$B,Heron!AV$9,Xero!$A:$A,Heron!$A$5,Xero!$E:$E,Heron!$A54)</f>
        <v/>
      </c>
      <c r="AW54" s="66">
        <f>SUMIFS(Xero!$F:$F,Xero!$B:$B,Heron!AW$9,Xero!$A:$A,Heron!$A$4,Xero!$E:$E,Heron!$A54)+SUMIFS(Xero!$F:$F,Xero!$B:$B,Heron!AW$9,Xero!$A:$A,Heron!$A$5,Xero!$E:$E,Heron!$A54)</f>
        <v/>
      </c>
      <c r="AX54" s="66">
        <f>SUMIFS(Xero!$F:$F,Xero!$B:$B,Heron!AX$9,Xero!$A:$A,Heron!$A$4,Xero!$E:$E,Heron!$A54)+SUMIFS(Xero!$F:$F,Xero!$B:$B,Heron!AX$9,Xero!$A:$A,Heron!$A$5,Xero!$E:$E,Heron!$A54)</f>
        <v/>
      </c>
      <c r="AY54" s="66">
        <f>SUMIFS(Xero!$F:$F,Xero!$B:$B,Heron!AY$9,Xero!$A:$A,Heron!$A$4,Xero!$E:$E,Heron!$A54)+SUMIFS(Xero!$F:$F,Xero!$B:$B,Heron!AY$9,Xero!$A:$A,Heron!$A$5,Xero!$E:$E,Heron!$A54)</f>
        <v/>
      </c>
      <c r="AZ54" s="66">
        <f>SUMIFS(Xero!$F:$F,Xero!$B:$B,Heron!AZ$9,Xero!$A:$A,Heron!$A$4,Xero!$E:$E,Heron!$A54)+SUMIFS(Xero!$F:$F,Xero!$B:$B,Heron!AZ$9,Xero!$A:$A,Heron!$A$5,Xero!$E:$E,Heron!$A54)</f>
        <v/>
      </c>
      <c r="BA54" s="66">
        <f>SUMIFS(Xero!$F:$F,Xero!$B:$B,Heron!BA$9,Xero!$A:$A,Heron!$A$4,Xero!$E:$E,Heron!$A54)+SUMIFS(Xero!$F:$F,Xero!$B:$B,Heron!BA$9,Xero!$A:$A,Heron!$A$5,Xero!$E:$E,Heron!$A54)</f>
        <v/>
      </c>
      <c r="BB54" s="66">
        <f>SUMIFS(Xero!$F:$F,Xero!$B:$B,Heron!BB$9,Xero!$A:$A,Heron!$A$4,Xero!$E:$E,Heron!$A54)+SUMIFS(Xero!$F:$F,Xero!$B:$B,Heron!BB$9,Xero!$A:$A,Heron!$A$5,Xero!$E:$E,Heron!$A54)</f>
        <v/>
      </c>
      <c r="BC54" s="66">
        <f>SUMIFS(Xero!$F:$F,Xero!$B:$B,Heron!BC$9,Xero!$A:$A,Heron!$A$4,Xero!$E:$E,Heron!$A54)+SUMIFS(Xero!$F:$F,Xero!$B:$B,Heron!BC$9,Xero!$A:$A,Heron!$A$5,Xero!$E:$E,Heron!$A54)</f>
        <v/>
      </c>
      <c r="BD54" s="66">
        <f>SUMIFS(Xero!$F:$F,Xero!$B:$B,Heron!BD$9,Xero!$A:$A,Heron!$A$4,Xero!$E:$E,Heron!$A54)+SUMIFS(Xero!$F:$F,Xero!$B:$B,Heron!BD$9,Xero!$A:$A,Heron!$A$5,Xero!$E:$E,Heron!$A54)</f>
        <v/>
      </c>
      <c r="BE54" s="66">
        <f>SUMIFS(Xero!$F:$F,Xero!$B:$B,Heron!BE$9,Xero!$A:$A,Heron!$A$4,Xero!$E:$E,Heron!$A54)+SUMIFS(Xero!$F:$F,Xero!$B:$B,Heron!BE$9,Xero!$A:$A,Heron!$A$5,Xero!$E:$E,Heron!$A54)</f>
        <v/>
      </c>
      <c r="BF54" s="66">
        <f>SUMIFS(Xero!$F:$F,Xero!$B:$B,Heron!BF$9,Xero!$A:$A,Heron!$A$4,Xero!$E:$E,Heron!$A54)+SUMIFS(Xero!$F:$F,Xero!$B:$B,Heron!BF$9,Xero!$A:$A,Heron!$A$5,Xero!$E:$E,Heron!$A54)</f>
        <v/>
      </c>
      <c r="BG54" s="66">
        <f>SUMIFS(Xero!$F:$F,Xero!$B:$B,Heron!BG$9,Xero!$A:$A,Heron!$A$4,Xero!$E:$E,Heron!$A54)+SUMIFS(Xero!$F:$F,Xero!$B:$B,Heron!BG$9,Xero!$A:$A,Heron!$A$5,Xero!$E:$E,Heron!$A54)</f>
        <v/>
      </c>
      <c r="BH54" s="66">
        <f>sum(D54:BG54)</f>
        <v/>
      </c>
    </row>
    <row r="55">
      <c r="A55" s="65" t="inlineStr">
        <is>
          <t>COS - Showhouse - HF</t>
        </is>
      </c>
      <c r="D55" s="66">
        <f>SUMIFS(Xero!$F:$F,Xero!$B:$B,Heron!D$9,Xero!$A:$A,Heron!$A$4,Xero!$E:$E,Heron!$A55)+SUMIFS(Xero!$F:$F,Xero!$B:$B,Heron!D$9,Xero!$A:$A,Heron!$A$5,Xero!$E:$E,Heron!$A55)</f>
        <v/>
      </c>
      <c r="E55" s="66">
        <f>SUMIFS(Xero!$F:$F,Xero!$B:$B,Heron!E$9,Xero!$A:$A,Heron!$A$4,Xero!$E:$E,Heron!$A55)+SUMIFS(Xero!$F:$F,Xero!$B:$B,Heron!E$9,Xero!$A:$A,Heron!$A$5,Xero!$E:$E,Heron!$A55)</f>
        <v/>
      </c>
      <c r="F55" s="66">
        <f>SUMIFS(Xero!$F:$F,Xero!$B:$B,Heron!F$9,Xero!$A:$A,Heron!$A$4,Xero!$E:$E,Heron!$A55)+SUMIFS(Xero!$F:$F,Xero!$B:$B,Heron!F$9,Xero!$A:$A,Heron!$A$5,Xero!$E:$E,Heron!$A55)</f>
        <v/>
      </c>
      <c r="G55" s="66">
        <f>SUMIFS(Xero!$F:$F,Xero!$B:$B,Heron!G$9,Xero!$A:$A,Heron!$A$4,Xero!$E:$E,Heron!$A55)+SUMIFS(Xero!$F:$F,Xero!$B:$B,Heron!G$9,Xero!$A:$A,Heron!$A$5,Xero!$E:$E,Heron!$A55)</f>
        <v/>
      </c>
      <c r="H55" s="66">
        <f>SUMIFS(Xero!$F:$F,Xero!$B:$B,Heron!H$9,Xero!$A:$A,Heron!$A$4,Xero!$E:$E,Heron!$A55)+SUMIFS(Xero!$F:$F,Xero!$B:$B,Heron!H$9,Xero!$A:$A,Heron!$A$5,Xero!$E:$E,Heron!$A55)</f>
        <v/>
      </c>
      <c r="I55" s="66">
        <f>SUMIFS(Xero!$F:$F,Xero!$B:$B,Heron!I$9,Xero!$A:$A,Heron!$A$4,Xero!$E:$E,Heron!$A55)+SUMIFS(Xero!$F:$F,Xero!$B:$B,Heron!I$9,Xero!$A:$A,Heron!$A$5,Xero!$E:$E,Heron!$A55)</f>
        <v/>
      </c>
      <c r="J55" s="66">
        <f>SUMIFS(Xero!$F:$F,Xero!$B:$B,Heron!J$9,Xero!$A:$A,Heron!$A$4,Xero!$E:$E,Heron!$A55)+SUMIFS(Xero!$F:$F,Xero!$B:$B,Heron!J$9,Xero!$A:$A,Heron!$A$5,Xero!$E:$E,Heron!$A55)</f>
        <v/>
      </c>
      <c r="K55" s="66">
        <f>SUMIFS(Xero!$F:$F,Xero!$B:$B,Heron!K$9,Xero!$A:$A,Heron!$A$4,Xero!$E:$E,Heron!$A55)+SUMIFS(Xero!$F:$F,Xero!$B:$B,Heron!K$9,Xero!$A:$A,Heron!$A$5,Xero!$E:$E,Heron!$A55)</f>
        <v/>
      </c>
      <c r="L55" s="66">
        <f>SUMIFS(Xero!$F:$F,Xero!$B:$B,Heron!L$9,Xero!$A:$A,Heron!$A$4,Xero!$E:$E,Heron!$A55)+SUMIFS(Xero!$F:$F,Xero!$B:$B,Heron!L$9,Xero!$A:$A,Heron!$A$5,Xero!$E:$E,Heron!$A55)</f>
        <v/>
      </c>
      <c r="M55" s="66">
        <f>SUMIFS(Xero!$F:$F,Xero!$B:$B,Heron!M$9,Xero!$A:$A,Heron!$A$4,Xero!$E:$E,Heron!$A55)+SUMIFS(Xero!$F:$F,Xero!$B:$B,Heron!M$9,Xero!$A:$A,Heron!$A$5,Xero!$E:$E,Heron!$A55)</f>
        <v/>
      </c>
      <c r="N55" s="66">
        <f>SUMIFS(Xero!$F:$F,Xero!$B:$B,Heron!N$9,Xero!$A:$A,Heron!$A$4,Xero!$E:$E,Heron!$A55)+SUMIFS(Xero!$F:$F,Xero!$B:$B,Heron!N$9,Xero!$A:$A,Heron!$A$5,Xero!$E:$E,Heron!$A55)</f>
        <v/>
      </c>
      <c r="O55" s="66">
        <f>SUMIFS(Xero!$F:$F,Xero!$B:$B,Heron!O$9,Xero!$A:$A,Heron!$A$4,Xero!$E:$E,Heron!$A55)+SUMIFS(Xero!$F:$F,Xero!$B:$B,Heron!O$9,Xero!$A:$A,Heron!$A$5,Xero!$E:$E,Heron!$A55)</f>
        <v/>
      </c>
      <c r="P55" s="66">
        <f>SUMIFS(Xero!$F:$F,Xero!$B:$B,Heron!P$9,Xero!$A:$A,Heron!$A$4,Xero!$E:$E,Heron!$A55)+SUMIFS(Xero!$F:$F,Xero!$B:$B,Heron!P$9,Xero!$A:$A,Heron!$A$5,Xero!$E:$E,Heron!$A55)</f>
        <v/>
      </c>
      <c r="Q55" s="66">
        <f>SUMIFS(Xero!$F:$F,Xero!$B:$B,Heron!Q$9,Xero!$A:$A,Heron!$A$4,Xero!$E:$E,Heron!$A55)+SUMIFS(Xero!$F:$F,Xero!$B:$B,Heron!Q$9,Xero!$A:$A,Heron!$A$5,Xero!$E:$E,Heron!$A55)</f>
        <v/>
      </c>
      <c r="R55" s="66">
        <f>SUMIFS(Xero!$F:$F,Xero!$B:$B,Heron!R$9,Xero!$A:$A,Heron!$A$4,Xero!$E:$E,Heron!$A55)+SUMIFS(Xero!$F:$F,Xero!$B:$B,Heron!R$9,Xero!$A:$A,Heron!$A$5,Xero!$E:$E,Heron!$A55)</f>
        <v/>
      </c>
      <c r="S55" s="66">
        <f>SUMIFS(Xero!$F:$F,Xero!$B:$B,Heron!S$9,Xero!$A:$A,Heron!$A$4,Xero!$E:$E,Heron!$A55)+SUMIFS(Xero!$F:$F,Xero!$B:$B,Heron!S$9,Xero!$A:$A,Heron!$A$5,Xero!$E:$E,Heron!$A55)</f>
        <v/>
      </c>
      <c r="T55" s="66">
        <f>SUMIFS(Xero!$F:$F,Xero!$B:$B,Heron!T$9,Xero!$A:$A,Heron!$A$4,Xero!$E:$E,Heron!$A55)+SUMIFS(Xero!$F:$F,Xero!$B:$B,Heron!T$9,Xero!$A:$A,Heron!$A$5,Xero!$E:$E,Heron!$A55)</f>
        <v/>
      </c>
      <c r="U55" s="66">
        <f>SUMIFS(Xero!$F:$F,Xero!$B:$B,Heron!U$9,Xero!$A:$A,Heron!$A$4,Xero!$E:$E,Heron!$A55)+SUMIFS(Xero!$F:$F,Xero!$B:$B,Heron!U$9,Xero!$A:$A,Heron!$A$5,Xero!$E:$E,Heron!$A55)</f>
        <v/>
      </c>
      <c r="V55" s="66">
        <f>SUMIFS(Xero!$F:$F,Xero!$B:$B,Heron!V$9,Xero!$A:$A,Heron!$A$4,Xero!$E:$E,Heron!$A55)+SUMIFS(Xero!$F:$F,Xero!$B:$B,Heron!V$9,Xero!$A:$A,Heron!$A$5,Xero!$E:$E,Heron!$A55)</f>
        <v/>
      </c>
      <c r="W55" s="66">
        <f>SUMIFS(Xero!$F:$F,Xero!$B:$B,Heron!W$9,Xero!$A:$A,Heron!$A$4,Xero!$E:$E,Heron!$A55)+SUMIFS(Xero!$F:$F,Xero!$B:$B,Heron!W$9,Xero!$A:$A,Heron!$A$5,Xero!$E:$E,Heron!$A55)</f>
        <v/>
      </c>
      <c r="X55" s="66">
        <f>SUMIFS(Xero!$F:$F,Xero!$B:$B,Heron!X$9,Xero!$A:$A,Heron!$A$4,Xero!$E:$E,Heron!$A55)+SUMIFS(Xero!$F:$F,Xero!$B:$B,Heron!X$9,Xero!$A:$A,Heron!$A$5,Xero!$E:$E,Heron!$A55)</f>
        <v/>
      </c>
      <c r="Y55" s="66">
        <f>SUMIFS(Xero!$F:$F,Xero!$B:$B,Heron!Y$9,Xero!$A:$A,Heron!$A$4,Xero!$E:$E,Heron!$A55)+SUMIFS(Xero!$F:$F,Xero!$B:$B,Heron!Y$9,Xero!$A:$A,Heron!$A$5,Xero!$E:$E,Heron!$A55)</f>
        <v/>
      </c>
      <c r="Z55" s="66">
        <f>SUMIFS(Xero!$F:$F,Xero!$B:$B,Heron!Z$9,Xero!$A:$A,Heron!$A$4,Xero!$E:$E,Heron!$A55)+SUMIFS(Xero!$F:$F,Xero!$B:$B,Heron!Z$9,Xero!$A:$A,Heron!$A$5,Xero!$E:$E,Heron!$A55)</f>
        <v/>
      </c>
      <c r="AA55" s="66">
        <f>SUMIFS(Xero!$F:$F,Xero!$B:$B,Heron!AA$9,Xero!$A:$A,Heron!$A$4,Xero!$E:$E,Heron!$A55)+SUMIFS(Xero!$F:$F,Xero!$B:$B,Heron!AA$9,Xero!$A:$A,Heron!$A$5,Xero!$E:$E,Heron!$A55)</f>
        <v/>
      </c>
      <c r="AB55" s="66">
        <f>SUMIFS(Xero!$F:$F,Xero!$B:$B,Heron!AB$9,Xero!$A:$A,Heron!$A$4,Xero!$E:$E,Heron!$A55)+SUMIFS(Xero!$F:$F,Xero!$B:$B,Heron!AB$9,Xero!$A:$A,Heron!$A$5,Xero!$E:$E,Heron!$A55)</f>
        <v/>
      </c>
      <c r="AC55" s="66">
        <f>SUMIFS(Xero!$F:$F,Xero!$B:$B,Heron!AC$9,Xero!$A:$A,Heron!$A$4,Xero!$E:$E,Heron!$A55)+SUMIFS(Xero!$F:$F,Xero!$B:$B,Heron!AC$9,Xero!$A:$A,Heron!$A$5,Xero!$E:$E,Heron!$A55)</f>
        <v/>
      </c>
      <c r="AD55" s="66">
        <f>SUMIFS(Xero!$F:$F,Xero!$B:$B,Heron!AD$9,Xero!$A:$A,Heron!$A$4,Xero!$E:$E,Heron!$A55)+SUMIFS(Xero!$F:$F,Xero!$B:$B,Heron!AD$9,Xero!$A:$A,Heron!$A$5,Xero!$E:$E,Heron!$A55)</f>
        <v/>
      </c>
      <c r="AE55" s="66">
        <f>SUMIFS(Xero!$F:$F,Xero!$B:$B,Heron!AE$9,Xero!$A:$A,Heron!$A$4,Xero!$E:$E,Heron!$A55)+SUMIFS(Xero!$F:$F,Xero!$B:$B,Heron!AE$9,Xero!$A:$A,Heron!$A$5,Xero!$E:$E,Heron!$A55)</f>
        <v/>
      </c>
      <c r="AF55" s="66">
        <f>SUMIFS(Xero!$F:$F,Xero!$B:$B,Heron!AF$9,Xero!$A:$A,Heron!$A$4,Xero!$E:$E,Heron!$A55)+SUMIFS(Xero!$F:$F,Xero!$B:$B,Heron!AF$9,Xero!$A:$A,Heron!$A$5,Xero!$E:$E,Heron!$A55)</f>
        <v/>
      </c>
      <c r="AG55" s="66">
        <f>SUMIFS(Xero!$F:$F,Xero!$B:$B,Heron!AG$9,Xero!$A:$A,Heron!$A$4,Xero!$E:$E,Heron!$A55)+SUMIFS(Xero!$F:$F,Xero!$B:$B,Heron!AG$9,Xero!$A:$A,Heron!$A$5,Xero!$E:$E,Heron!$A55)</f>
        <v/>
      </c>
      <c r="AH55" s="66">
        <f>SUMIFS(Xero!$F:$F,Xero!$B:$B,Heron!AH$9,Xero!$A:$A,Heron!$A$4,Xero!$E:$E,Heron!$A55)+SUMIFS(Xero!$F:$F,Xero!$B:$B,Heron!AH$9,Xero!$A:$A,Heron!$A$5,Xero!$E:$E,Heron!$A55)</f>
        <v/>
      </c>
      <c r="AI55" s="66">
        <f>SUMIFS(Xero!$F:$F,Xero!$B:$B,Heron!AI$9,Xero!$A:$A,Heron!$A$4,Xero!$E:$E,Heron!$A55)+SUMIFS(Xero!$F:$F,Xero!$B:$B,Heron!AI$9,Xero!$A:$A,Heron!$A$5,Xero!$E:$E,Heron!$A55)</f>
        <v/>
      </c>
      <c r="AJ55" s="66">
        <f>SUMIFS(Xero!$F:$F,Xero!$B:$B,Heron!AJ$9,Xero!$A:$A,Heron!$A$4,Xero!$E:$E,Heron!$A55)+SUMIFS(Xero!$F:$F,Xero!$B:$B,Heron!AJ$9,Xero!$A:$A,Heron!$A$5,Xero!$E:$E,Heron!$A55)</f>
        <v/>
      </c>
      <c r="AK55" s="66">
        <f>SUMIFS(Xero!$F:$F,Xero!$B:$B,Heron!AK$9,Xero!$A:$A,Heron!$A$4,Xero!$E:$E,Heron!$A55)+SUMIFS(Xero!$F:$F,Xero!$B:$B,Heron!AK$9,Xero!$A:$A,Heron!$A$5,Xero!$E:$E,Heron!$A55)</f>
        <v/>
      </c>
      <c r="AL55" s="66">
        <f>SUMIFS(Xero!$F:$F,Xero!$B:$B,Heron!AL$9,Xero!$A:$A,Heron!$A$4,Xero!$E:$E,Heron!$A55)+SUMIFS(Xero!$F:$F,Xero!$B:$B,Heron!AL$9,Xero!$A:$A,Heron!$A$5,Xero!$E:$E,Heron!$A55)</f>
        <v/>
      </c>
      <c r="AM55" s="66">
        <f>SUMIFS(Xero!$F:$F,Xero!$B:$B,Heron!AM$9,Xero!$A:$A,Heron!$A$4,Xero!$E:$E,Heron!$A55)+SUMIFS(Xero!$F:$F,Xero!$B:$B,Heron!AM$9,Xero!$A:$A,Heron!$A$5,Xero!$E:$E,Heron!$A55)</f>
        <v/>
      </c>
      <c r="AN55" s="66">
        <f>SUMIFS(Xero!$F:$F,Xero!$B:$B,Heron!AN$9,Xero!$A:$A,Heron!$A$4,Xero!$E:$E,Heron!$A55)+SUMIFS(Xero!$F:$F,Xero!$B:$B,Heron!AN$9,Xero!$A:$A,Heron!$A$5,Xero!$E:$E,Heron!$A55)</f>
        <v/>
      </c>
      <c r="AO55" s="66">
        <f>SUMIFS(Xero!$F:$F,Xero!$B:$B,Heron!AO$9,Xero!$A:$A,Heron!$A$4,Xero!$E:$E,Heron!$A55)+SUMIFS(Xero!$F:$F,Xero!$B:$B,Heron!AO$9,Xero!$A:$A,Heron!$A$5,Xero!$E:$E,Heron!$A55)</f>
        <v/>
      </c>
      <c r="AP55" s="66">
        <f>SUMIFS(Xero!$F:$F,Xero!$B:$B,Heron!AP$9,Xero!$A:$A,Heron!$A$4,Xero!$E:$E,Heron!$A55)+SUMIFS(Xero!$F:$F,Xero!$B:$B,Heron!AP$9,Xero!$A:$A,Heron!$A$5,Xero!$E:$E,Heron!$A55)</f>
        <v/>
      </c>
      <c r="AQ55" s="66">
        <f>SUMIFS(Xero!$F:$F,Xero!$B:$B,Heron!AQ$9,Xero!$A:$A,Heron!$A$4,Xero!$E:$E,Heron!$A55)+SUMIFS(Xero!$F:$F,Xero!$B:$B,Heron!AQ$9,Xero!$A:$A,Heron!$A$5,Xero!$E:$E,Heron!$A55)</f>
        <v/>
      </c>
      <c r="AR55" s="66">
        <f>SUMIFS(Xero!$F:$F,Xero!$B:$B,Heron!AR$9,Xero!$A:$A,Heron!$A$4,Xero!$E:$E,Heron!$A55)+SUMIFS(Xero!$F:$F,Xero!$B:$B,Heron!AR$9,Xero!$A:$A,Heron!$A$5,Xero!$E:$E,Heron!$A55)</f>
        <v/>
      </c>
      <c r="AS55" s="66">
        <f>SUMIFS(Xero!$F:$F,Xero!$B:$B,Heron!AS$9,Xero!$A:$A,Heron!$A$4,Xero!$E:$E,Heron!$A55)+SUMIFS(Xero!$F:$F,Xero!$B:$B,Heron!AS$9,Xero!$A:$A,Heron!$A$5,Xero!$E:$E,Heron!$A55)</f>
        <v/>
      </c>
      <c r="AT55" s="66">
        <f>SUMIFS(Xero!$F:$F,Xero!$B:$B,Heron!AT$9,Xero!$A:$A,Heron!$A$4,Xero!$E:$E,Heron!$A55)+SUMIFS(Xero!$F:$F,Xero!$B:$B,Heron!AT$9,Xero!$A:$A,Heron!$A$5,Xero!$E:$E,Heron!$A55)</f>
        <v/>
      </c>
      <c r="AU55" s="66">
        <f>SUMIFS(Xero!$F:$F,Xero!$B:$B,Heron!AU$9,Xero!$A:$A,Heron!$A$4,Xero!$E:$E,Heron!$A55)+SUMIFS(Xero!$F:$F,Xero!$B:$B,Heron!AU$9,Xero!$A:$A,Heron!$A$5,Xero!$E:$E,Heron!$A55)</f>
        <v/>
      </c>
      <c r="AV55" s="66">
        <f>SUMIFS(Xero!$F:$F,Xero!$B:$B,Heron!AV$9,Xero!$A:$A,Heron!$A$4,Xero!$E:$E,Heron!$A55)+SUMIFS(Xero!$F:$F,Xero!$B:$B,Heron!AV$9,Xero!$A:$A,Heron!$A$5,Xero!$E:$E,Heron!$A55)</f>
        <v/>
      </c>
      <c r="AW55" s="66">
        <f>SUMIFS(Xero!$F:$F,Xero!$B:$B,Heron!AW$9,Xero!$A:$A,Heron!$A$4,Xero!$E:$E,Heron!$A55)+SUMIFS(Xero!$F:$F,Xero!$B:$B,Heron!AW$9,Xero!$A:$A,Heron!$A$5,Xero!$E:$E,Heron!$A55)</f>
        <v/>
      </c>
      <c r="AX55" s="66">
        <f>SUMIFS(Xero!$F:$F,Xero!$B:$B,Heron!AX$9,Xero!$A:$A,Heron!$A$4,Xero!$E:$E,Heron!$A55)+SUMIFS(Xero!$F:$F,Xero!$B:$B,Heron!AX$9,Xero!$A:$A,Heron!$A$5,Xero!$E:$E,Heron!$A55)</f>
        <v/>
      </c>
      <c r="AY55" s="66">
        <f>SUMIFS(Xero!$F:$F,Xero!$B:$B,Heron!AY$9,Xero!$A:$A,Heron!$A$4,Xero!$E:$E,Heron!$A55)+SUMIFS(Xero!$F:$F,Xero!$B:$B,Heron!AY$9,Xero!$A:$A,Heron!$A$5,Xero!$E:$E,Heron!$A55)</f>
        <v/>
      </c>
      <c r="AZ55" s="66">
        <f>SUMIFS(Xero!$F:$F,Xero!$B:$B,Heron!AZ$9,Xero!$A:$A,Heron!$A$4,Xero!$E:$E,Heron!$A55)+SUMIFS(Xero!$F:$F,Xero!$B:$B,Heron!AZ$9,Xero!$A:$A,Heron!$A$5,Xero!$E:$E,Heron!$A55)</f>
        <v/>
      </c>
      <c r="BA55" s="66">
        <f>SUMIFS(Xero!$F:$F,Xero!$B:$B,Heron!BA$9,Xero!$A:$A,Heron!$A$4,Xero!$E:$E,Heron!$A55)+SUMIFS(Xero!$F:$F,Xero!$B:$B,Heron!BA$9,Xero!$A:$A,Heron!$A$5,Xero!$E:$E,Heron!$A55)</f>
        <v/>
      </c>
      <c r="BB55" s="66">
        <f>SUMIFS(Xero!$F:$F,Xero!$B:$B,Heron!BB$9,Xero!$A:$A,Heron!$A$4,Xero!$E:$E,Heron!$A55)+SUMIFS(Xero!$F:$F,Xero!$B:$B,Heron!BB$9,Xero!$A:$A,Heron!$A$5,Xero!$E:$E,Heron!$A55)</f>
        <v/>
      </c>
      <c r="BC55" s="66">
        <f>SUMIFS(Xero!$F:$F,Xero!$B:$B,Heron!BC$9,Xero!$A:$A,Heron!$A$4,Xero!$E:$E,Heron!$A55)+SUMIFS(Xero!$F:$F,Xero!$B:$B,Heron!BC$9,Xero!$A:$A,Heron!$A$5,Xero!$E:$E,Heron!$A55)</f>
        <v/>
      </c>
      <c r="BD55" s="66">
        <f>SUMIFS(Xero!$F:$F,Xero!$B:$B,Heron!BD$9,Xero!$A:$A,Heron!$A$4,Xero!$E:$E,Heron!$A55)+SUMIFS(Xero!$F:$F,Xero!$B:$B,Heron!BD$9,Xero!$A:$A,Heron!$A$5,Xero!$E:$E,Heron!$A55)</f>
        <v/>
      </c>
      <c r="BE55" s="66">
        <f>SUMIFS(Xero!$F:$F,Xero!$B:$B,Heron!BE$9,Xero!$A:$A,Heron!$A$4,Xero!$E:$E,Heron!$A55)+SUMIFS(Xero!$F:$F,Xero!$B:$B,Heron!BE$9,Xero!$A:$A,Heron!$A$5,Xero!$E:$E,Heron!$A55)</f>
        <v/>
      </c>
      <c r="BF55" s="66">
        <f>SUMIFS(Xero!$F:$F,Xero!$B:$B,Heron!BF$9,Xero!$A:$A,Heron!$A$4,Xero!$E:$E,Heron!$A55)+SUMIFS(Xero!$F:$F,Xero!$B:$B,Heron!BF$9,Xero!$A:$A,Heron!$A$5,Xero!$E:$E,Heron!$A55)</f>
        <v/>
      </c>
      <c r="BG55" s="66">
        <f>SUMIFS(Xero!$F:$F,Xero!$B:$B,Heron!BG$9,Xero!$A:$A,Heron!$A$4,Xero!$E:$E,Heron!$A55)+SUMIFS(Xero!$F:$F,Xero!$B:$B,Heron!BG$9,Xero!$A:$A,Heron!$A$5,Xero!$E:$E,Heron!$A55)</f>
        <v/>
      </c>
      <c r="BH55" s="66">
        <f>sum(D55:BG55)</f>
        <v/>
      </c>
    </row>
    <row r="56">
      <c r="A56" s="65" t="inlineStr">
        <is>
          <t>COS - Showhouse - HV</t>
        </is>
      </c>
      <c r="D56" s="66">
        <f>SUMIFS(Xero!$F:$F,Xero!$B:$B,Heron!D$9,Xero!$A:$A,Heron!$A$4,Xero!$E:$E,Heron!$A56)+SUMIFS(Xero!$F:$F,Xero!$B:$B,Heron!D$9,Xero!$A:$A,Heron!$A$5,Xero!$E:$E,Heron!$A56)</f>
        <v/>
      </c>
      <c r="E56" s="66">
        <f>SUMIFS(Xero!$F:$F,Xero!$B:$B,Heron!E$9,Xero!$A:$A,Heron!$A$4,Xero!$E:$E,Heron!$A56)+SUMIFS(Xero!$F:$F,Xero!$B:$B,Heron!E$9,Xero!$A:$A,Heron!$A$5,Xero!$E:$E,Heron!$A56)</f>
        <v/>
      </c>
      <c r="F56" s="66">
        <f>SUMIFS(Xero!$F:$F,Xero!$B:$B,Heron!F$9,Xero!$A:$A,Heron!$A$4,Xero!$E:$E,Heron!$A56)+SUMIFS(Xero!$F:$F,Xero!$B:$B,Heron!F$9,Xero!$A:$A,Heron!$A$5,Xero!$E:$E,Heron!$A56)</f>
        <v/>
      </c>
      <c r="G56" s="66">
        <f>SUMIFS(Xero!$F:$F,Xero!$B:$B,Heron!G$9,Xero!$A:$A,Heron!$A$4,Xero!$E:$E,Heron!$A56)+SUMIFS(Xero!$F:$F,Xero!$B:$B,Heron!G$9,Xero!$A:$A,Heron!$A$5,Xero!$E:$E,Heron!$A56)</f>
        <v/>
      </c>
      <c r="H56" s="66">
        <f>SUMIFS(Xero!$F:$F,Xero!$B:$B,Heron!H$9,Xero!$A:$A,Heron!$A$4,Xero!$E:$E,Heron!$A56)+SUMIFS(Xero!$F:$F,Xero!$B:$B,Heron!H$9,Xero!$A:$A,Heron!$A$5,Xero!$E:$E,Heron!$A56)</f>
        <v/>
      </c>
      <c r="I56" s="66">
        <f>SUMIFS(Xero!$F:$F,Xero!$B:$B,Heron!I$9,Xero!$A:$A,Heron!$A$4,Xero!$E:$E,Heron!$A56)+SUMIFS(Xero!$F:$F,Xero!$B:$B,Heron!I$9,Xero!$A:$A,Heron!$A$5,Xero!$E:$E,Heron!$A56)</f>
        <v/>
      </c>
      <c r="J56" s="66">
        <f>SUMIFS(Xero!$F:$F,Xero!$B:$B,Heron!J$9,Xero!$A:$A,Heron!$A$4,Xero!$E:$E,Heron!$A56)+SUMIFS(Xero!$F:$F,Xero!$B:$B,Heron!J$9,Xero!$A:$A,Heron!$A$5,Xero!$E:$E,Heron!$A56)</f>
        <v/>
      </c>
      <c r="K56" s="66">
        <f>SUMIFS(Xero!$F:$F,Xero!$B:$B,Heron!K$9,Xero!$A:$A,Heron!$A$4,Xero!$E:$E,Heron!$A56)+SUMIFS(Xero!$F:$F,Xero!$B:$B,Heron!K$9,Xero!$A:$A,Heron!$A$5,Xero!$E:$E,Heron!$A56)</f>
        <v/>
      </c>
      <c r="L56" s="66">
        <f>SUMIFS(Xero!$F:$F,Xero!$B:$B,Heron!L$9,Xero!$A:$A,Heron!$A$4,Xero!$E:$E,Heron!$A56)+SUMIFS(Xero!$F:$F,Xero!$B:$B,Heron!L$9,Xero!$A:$A,Heron!$A$5,Xero!$E:$E,Heron!$A56)</f>
        <v/>
      </c>
      <c r="M56" s="66">
        <f>SUMIFS(Xero!$F:$F,Xero!$B:$B,Heron!M$9,Xero!$A:$A,Heron!$A$4,Xero!$E:$E,Heron!$A56)+SUMIFS(Xero!$F:$F,Xero!$B:$B,Heron!M$9,Xero!$A:$A,Heron!$A$5,Xero!$E:$E,Heron!$A56)</f>
        <v/>
      </c>
      <c r="N56" s="66">
        <f>SUMIFS(Xero!$F:$F,Xero!$B:$B,Heron!N$9,Xero!$A:$A,Heron!$A$4,Xero!$E:$E,Heron!$A56)+SUMIFS(Xero!$F:$F,Xero!$B:$B,Heron!N$9,Xero!$A:$A,Heron!$A$5,Xero!$E:$E,Heron!$A56)</f>
        <v/>
      </c>
      <c r="O56" s="66">
        <f>SUMIFS(Xero!$F:$F,Xero!$B:$B,Heron!O$9,Xero!$A:$A,Heron!$A$4,Xero!$E:$E,Heron!$A56)+SUMIFS(Xero!$F:$F,Xero!$B:$B,Heron!O$9,Xero!$A:$A,Heron!$A$5,Xero!$E:$E,Heron!$A56)</f>
        <v/>
      </c>
      <c r="P56" s="66">
        <f>SUMIFS(Xero!$F:$F,Xero!$B:$B,Heron!P$9,Xero!$A:$A,Heron!$A$4,Xero!$E:$E,Heron!$A56)+SUMIFS(Xero!$F:$F,Xero!$B:$B,Heron!P$9,Xero!$A:$A,Heron!$A$5,Xero!$E:$E,Heron!$A56)</f>
        <v/>
      </c>
      <c r="Q56" s="66">
        <f>SUMIFS(Xero!$F:$F,Xero!$B:$B,Heron!Q$9,Xero!$A:$A,Heron!$A$4,Xero!$E:$E,Heron!$A56)+SUMIFS(Xero!$F:$F,Xero!$B:$B,Heron!Q$9,Xero!$A:$A,Heron!$A$5,Xero!$E:$E,Heron!$A56)</f>
        <v/>
      </c>
      <c r="R56" s="66">
        <f>SUMIFS(Xero!$F:$F,Xero!$B:$B,Heron!R$9,Xero!$A:$A,Heron!$A$4,Xero!$E:$E,Heron!$A56)+SUMIFS(Xero!$F:$F,Xero!$B:$B,Heron!R$9,Xero!$A:$A,Heron!$A$5,Xero!$E:$E,Heron!$A56)</f>
        <v/>
      </c>
      <c r="S56" s="66">
        <f>SUMIFS(Xero!$F:$F,Xero!$B:$B,Heron!S$9,Xero!$A:$A,Heron!$A$4,Xero!$E:$E,Heron!$A56)+SUMIFS(Xero!$F:$F,Xero!$B:$B,Heron!S$9,Xero!$A:$A,Heron!$A$5,Xero!$E:$E,Heron!$A56)</f>
        <v/>
      </c>
      <c r="T56" s="66">
        <f>SUMIFS(Xero!$F:$F,Xero!$B:$B,Heron!T$9,Xero!$A:$A,Heron!$A$4,Xero!$E:$E,Heron!$A56)+SUMIFS(Xero!$F:$F,Xero!$B:$B,Heron!T$9,Xero!$A:$A,Heron!$A$5,Xero!$E:$E,Heron!$A56)</f>
        <v/>
      </c>
      <c r="U56" s="66">
        <f>SUMIFS(Xero!$F:$F,Xero!$B:$B,Heron!U$9,Xero!$A:$A,Heron!$A$4,Xero!$E:$E,Heron!$A56)+SUMIFS(Xero!$F:$F,Xero!$B:$B,Heron!U$9,Xero!$A:$A,Heron!$A$5,Xero!$E:$E,Heron!$A56)</f>
        <v/>
      </c>
      <c r="V56" s="66">
        <f>SUMIFS(Xero!$F:$F,Xero!$B:$B,Heron!V$9,Xero!$A:$A,Heron!$A$4,Xero!$E:$E,Heron!$A56)+SUMIFS(Xero!$F:$F,Xero!$B:$B,Heron!V$9,Xero!$A:$A,Heron!$A$5,Xero!$E:$E,Heron!$A56)</f>
        <v/>
      </c>
      <c r="W56" s="66">
        <f>SUMIFS(Xero!$F:$F,Xero!$B:$B,Heron!W$9,Xero!$A:$A,Heron!$A$4,Xero!$E:$E,Heron!$A56)+SUMIFS(Xero!$F:$F,Xero!$B:$B,Heron!W$9,Xero!$A:$A,Heron!$A$5,Xero!$E:$E,Heron!$A56)</f>
        <v/>
      </c>
      <c r="X56" s="66">
        <f>SUMIFS(Xero!$F:$F,Xero!$B:$B,Heron!X$9,Xero!$A:$A,Heron!$A$4,Xero!$E:$E,Heron!$A56)+SUMIFS(Xero!$F:$F,Xero!$B:$B,Heron!X$9,Xero!$A:$A,Heron!$A$5,Xero!$E:$E,Heron!$A56)</f>
        <v/>
      </c>
      <c r="Y56" s="66">
        <f>SUMIFS(Xero!$F:$F,Xero!$B:$B,Heron!Y$9,Xero!$A:$A,Heron!$A$4,Xero!$E:$E,Heron!$A56)+SUMIFS(Xero!$F:$F,Xero!$B:$B,Heron!Y$9,Xero!$A:$A,Heron!$A$5,Xero!$E:$E,Heron!$A56)</f>
        <v/>
      </c>
      <c r="Z56" s="66">
        <f>SUMIFS(Xero!$F:$F,Xero!$B:$B,Heron!Z$9,Xero!$A:$A,Heron!$A$4,Xero!$E:$E,Heron!$A56)+SUMIFS(Xero!$F:$F,Xero!$B:$B,Heron!Z$9,Xero!$A:$A,Heron!$A$5,Xero!$E:$E,Heron!$A56)</f>
        <v/>
      </c>
      <c r="AA56" s="66">
        <f>SUMIFS(Xero!$F:$F,Xero!$B:$B,Heron!AA$9,Xero!$A:$A,Heron!$A$4,Xero!$E:$E,Heron!$A56)+SUMIFS(Xero!$F:$F,Xero!$B:$B,Heron!AA$9,Xero!$A:$A,Heron!$A$5,Xero!$E:$E,Heron!$A56)</f>
        <v/>
      </c>
      <c r="AB56" s="66">
        <f>SUMIFS(Xero!$F:$F,Xero!$B:$B,Heron!AB$9,Xero!$A:$A,Heron!$A$4,Xero!$E:$E,Heron!$A56)+SUMIFS(Xero!$F:$F,Xero!$B:$B,Heron!AB$9,Xero!$A:$A,Heron!$A$5,Xero!$E:$E,Heron!$A56)</f>
        <v/>
      </c>
      <c r="AC56" s="66">
        <f>SUMIFS(Xero!$F:$F,Xero!$B:$B,Heron!AC$9,Xero!$A:$A,Heron!$A$4,Xero!$E:$E,Heron!$A56)+SUMIFS(Xero!$F:$F,Xero!$B:$B,Heron!AC$9,Xero!$A:$A,Heron!$A$5,Xero!$E:$E,Heron!$A56)</f>
        <v/>
      </c>
      <c r="AD56" s="66">
        <f>SUMIFS(Xero!$F:$F,Xero!$B:$B,Heron!AD$9,Xero!$A:$A,Heron!$A$4,Xero!$E:$E,Heron!$A56)+SUMIFS(Xero!$F:$F,Xero!$B:$B,Heron!AD$9,Xero!$A:$A,Heron!$A$5,Xero!$E:$E,Heron!$A56)</f>
        <v/>
      </c>
      <c r="AE56" s="66">
        <f>SUMIFS(Xero!$F:$F,Xero!$B:$B,Heron!AE$9,Xero!$A:$A,Heron!$A$4,Xero!$E:$E,Heron!$A56)+SUMIFS(Xero!$F:$F,Xero!$B:$B,Heron!AE$9,Xero!$A:$A,Heron!$A$5,Xero!$E:$E,Heron!$A56)</f>
        <v/>
      </c>
      <c r="AF56" s="66">
        <f>SUMIFS(Xero!$F:$F,Xero!$B:$B,Heron!AF$9,Xero!$A:$A,Heron!$A$4,Xero!$E:$E,Heron!$A56)+SUMIFS(Xero!$F:$F,Xero!$B:$B,Heron!AF$9,Xero!$A:$A,Heron!$A$5,Xero!$E:$E,Heron!$A56)</f>
        <v/>
      </c>
      <c r="AG56" s="66">
        <f>SUMIFS(Xero!$F:$F,Xero!$B:$B,Heron!AG$9,Xero!$A:$A,Heron!$A$4,Xero!$E:$E,Heron!$A56)+SUMIFS(Xero!$F:$F,Xero!$B:$B,Heron!AG$9,Xero!$A:$A,Heron!$A$5,Xero!$E:$E,Heron!$A56)</f>
        <v/>
      </c>
      <c r="AH56" s="66">
        <f>SUMIFS(Xero!$F:$F,Xero!$B:$B,Heron!AH$9,Xero!$A:$A,Heron!$A$4,Xero!$E:$E,Heron!$A56)+SUMIFS(Xero!$F:$F,Xero!$B:$B,Heron!AH$9,Xero!$A:$A,Heron!$A$5,Xero!$E:$E,Heron!$A56)</f>
        <v/>
      </c>
      <c r="AI56" s="66">
        <f>SUMIFS(Xero!$F:$F,Xero!$B:$B,Heron!AI$9,Xero!$A:$A,Heron!$A$4,Xero!$E:$E,Heron!$A56)+SUMIFS(Xero!$F:$F,Xero!$B:$B,Heron!AI$9,Xero!$A:$A,Heron!$A$5,Xero!$E:$E,Heron!$A56)</f>
        <v/>
      </c>
      <c r="AJ56" s="66">
        <f>SUMIFS(Xero!$F:$F,Xero!$B:$B,Heron!AJ$9,Xero!$A:$A,Heron!$A$4,Xero!$E:$E,Heron!$A56)+SUMIFS(Xero!$F:$F,Xero!$B:$B,Heron!AJ$9,Xero!$A:$A,Heron!$A$5,Xero!$E:$E,Heron!$A56)</f>
        <v/>
      </c>
      <c r="AK56" s="66">
        <f>SUMIFS(Xero!$F:$F,Xero!$B:$B,Heron!AK$9,Xero!$A:$A,Heron!$A$4,Xero!$E:$E,Heron!$A56)+SUMIFS(Xero!$F:$F,Xero!$B:$B,Heron!AK$9,Xero!$A:$A,Heron!$A$5,Xero!$E:$E,Heron!$A56)</f>
        <v/>
      </c>
      <c r="AL56" s="66">
        <f>SUMIFS(Xero!$F:$F,Xero!$B:$B,Heron!AL$9,Xero!$A:$A,Heron!$A$4,Xero!$E:$E,Heron!$A56)+SUMIFS(Xero!$F:$F,Xero!$B:$B,Heron!AL$9,Xero!$A:$A,Heron!$A$5,Xero!$E:$E,Heron!$A56)</f>
        <v/>
      </c>
      <c r="AM56" s="66">
        <f>SUMIFS(Xero!$F:$F,Xero!$B:$B,Heron!AM$9,Xero!$A:$A,Heron!$A$4,Xero!$E:$E,Heron!$A56)+SUMIFS(Xero!$F:$F,Xero!$B:$B,Heron!AM$9,Xero!$A:$A,Heron!$A$5,Xero!$E:$E,Heron!$A56)</f>
        <v/>
      </c>
      <c r="AN56" s="66">
        <f>SUMIFS(Xero!$F:$F,Xero!$B:$B,Heron!AN$9,Xero!$A:$A,Heron!$A$4,Xero!$E:$E,Heron!$A56)+SUMIFS(Xero!$F:$F,Xero!$B:$B,Heron!AN$9,Xero!$A:$A,Heron!$A$5,Xero!$E:$E,Heron!$A56)</f>
        <v/>
      </c>
      <c r="AO56" s="66">
        <f>SUMIFS(Xero!$F:$F,Xero!$B:$B,Heron!AO$9,Xero!$A:$A,Heron!$A$4,Xero!$E:$E,Heron!$A56)+SUMIFS(Xero!$F:$F,Xero!$B:$B,Heron!AO$9,Xero!$A:$A,Heron!$A$5,Xero!$E:$E,Heron!$A56)</f>
        <v/>
      </c>
      <c r="AP56" s="66">
        <f>SUMIFS(Xero!$F:$F,Xero!$B:$B,Heron!AP$9,Xero!$A:$A,Heron!$A$4,Xero!$E:$E,Heron!$A56)+SUMIFS(Xero!$F:$F,Xero!$B:$B,Heron!AP$9,Xero!$A:$A,Heron!$A$5,Xero!$E:$E,Heron!$A56)</f>
        <v/>
      </c>
      <c r="AQ56" s="66">
        <f>SUMIFS(Xero!$F:$F,Xero!$B:$B,Heron!AQ$9,Xero!$A:$A,Heron!$A$4,Xero!$E:$E,Heron!$A56)+SUMIFS(Xero!$F:$F,Xero!$B:$B,Heron!AQ$9,Xero!$A:$A,Heron!$A$5,Xero!$E:$E,Heron!$A56)</f>
        <v/>
      </c>
      <c r="AR56" s="66">
        <f>SUMIFS(Xero!$F:$F,Xero!$B:$B,Heron!AR$9,Xero!$A:$A,Heron!$A$4,Xero!$E:$E,Heron!$A56)+SUMIFS(Xero!$F:$F,Xero!$B:$B,Heron!AR$9,Xero!$A:$A,Heron!$A$5,Xero!$E:$E,Heron!$A56)</f>
        <v/>
      </c>
      <c r="AS56" s="66">
        <f>SUMIFS(Xero!$F:$F,Xero!$B:$B,Heron!AS$9,Xero!$A:$A,Heron!$A$4,Xero!$E:$E,Heron!$A56)+SUMIFS(Xero!$F:$F,Xero!$B:$B,Heron!AS$9,Xero!$A:$A,Heron!$A$5,Xero!$E:$E,Heron!$A56)</f>
        <v/>
      </c>
      <c r="AT56" s="66">
        <f>SUMIFS(Xero!$F:$F,Xero!$B:$B,Heron!AT$9,Xero!$A:$A,Heron!$A$4,Xero!$E:$E,Heron!$A56)+SUMIFS(Xero!$F:$F,Xero!$B:$B,Heron!AT$9,Xero!$A:$A,Heron!$A$5,Xero!$E:$E,Heron!$A56)</f>
        <v/>
      </c>
      <c r="AU56" s="66">
        <f>SUMIFS(Xero!$F:$F,Xero!$B:$B,Heron!AU$9,Xero!$A:$A,Heron!$A$4,Xero!$E:$E,Heron!$A56)+SUMIFS(Xero!$F:$F,Xero!$B:$B,Heron!AU$9,Xero!$A:$A,Heron!$A$5,Xero!$E:$E,Heron!$A56)</f>
        <v/>
      </c>
      <c r="AV56" s="66">
        <f>SUMIFS(Xero!$F:$F,Xero!$B:$B,Heron!AV$9,Xero!$A:$A,Heron!$A$4,Xero!$E:$E,Heron!$A56)+SUMIFS(Xero!$F:$F,Xero!$B:$B,Heron!AV$9,Xero!$A:$A,Heron!$A$5,Xero!$E:$E,Heron!$A56)</f>
        <v/>
      </c>
      <c r="AW56" s="66">
        <f>SUMIFS(Xero!$F:$F,Xero!$B:$B,Heron!AW$9,Xero!$A:$A,Heron!$A$4,Xero!$E:$E,Heron!$A56)+SUMIFS(Xero!$F:$F,Xero!$B:$B,Heron!AW$9,Xero!$A:$A,Heron!$A$5,Xero!$E:$E,Heron!$A56)</f>
        <v/>
      </c>
      <c r="AX56" s="66">
        <f>SUMIFS(Xero!$F:$F,Xero!$B:$B,Heron!AX$9,Xero!$A:$A,Heron!$A$4,Xero!$E:$E,Heron!$A56)+SUMIFS(Xero!$F:$F,Xero!$B:$B,Heron!AX$9,Xero!$A:$A,Heron!$A$5,Xero!$E:$E,Heron!$A56)</f>
        <v/>
      </c>
      <c r="AY56" s="66">
        <f>SUMIFS(Xero!$F:$F,Xero!$B:$B,Heron!AY$9,Xero!$A:$A,Heron!$A$4,Xero!$E:$E,Heron!$A56)+SUMIFS(Xero!$F:$F,Xero!$B:$B,Heron!AY$9,Xero!$A:$A,Heron!$A$5,Xero!$E:$E,Heron!$A56)</f>
        <v/>
      </c>
      <c r="AZ56" s="66">
        <f>SUMIFS(Xero!$F:$F,Xero!$B:$B,Heron!AZ$9,Xero!$A:$A,Heron!$A$4,Xero!$E:$E,Heron!$A56)+SUMIFS(Xero!$F:$F,Xero!$B:$B,Heron!AZ$9,Xero!$A:$A,Heron!$A$5,Xero!$E:$E,Heron!$A56)</f>
        <v/>
      </c>
      <c r="BA56" s="66">
        <f>SUMIFS(Xero!$F:$F,Xero!$B:$B,Heron!BA$9,Xero!$A:$A,Heron!$A$4,Xero!$E:$E,Heron!$A56)+SUMIFS(Xero!$F:$F,Xero!$B:$B,Heron!BA$9,Xero!$A:$A,Heron!$A$5,Xero!$E:$E,Heron!$A56)</f>
        <v/>
      </c>
      <c r="BB56" s="66">
        <f>SUMIFS(Xero!$F:$F,Xero!$B:$B,Heron!BB$9,Xero!$A:$A,Heron!$A$4,Xero!$E:$E,Heron!$A56)+SUMIFS(Xero!$F:$F,Xero!$B:$B,Heron!BB$9,Xero!$A:$A,Heron!$A$5,Xero!$E:$E,Heron!$A56)</f>
        <v/>
      </c>
      <c r="BC56" s="66">
        <f>SUMIFS(Xero!$F:$F,Xero!$B:$B,Heron!BC$9,Xero!$A:$A,Heron!$A$4,Xero!$E:$E,Heron!$A56)+SUMIFS(Xero!$F:$F,Xero!$B:$B,Heron!BC$9,Xero!$A:$A,Heron!$A$5,Xero!$E:$E,Heron!$A56)</f>
        <v/>
      </c>
      <c r="BD56" s="66">
        <f>SUMIFS(Xero!$F:$F,Xero!$B:$B,Heron!BD$9,Xero!$A:$A,Heron!$A$4,Xero!$E:$E,Heron!$A56)+SUMIFS(Xero!$F:$F,Xero!$B:$B,Heron!BD$9,Xero!$A:$A,Heron!$A$5,Xero!$E:$E,Heron!$A56)</f>
        <v/>
      </c>
      <c r="BE56" s="66">
        <f>SUMIFS(Xero!$F:$F,Xero!$B:$B,Heron!BE$9,Xero!$A:$A,Heron!$A$4,Xero!$E:$E,Heron!$A56)+SUMIFS(Xero!$F:$F,Xero!$B:$B,Heron!BE$9,Xero!$A:$A,Heron!$A$5,Xero!$E:$E,Heron!$A56)</f>
        <v/>
      </c>
      <c r="BF56" s="66">
        <f>SUMIFS(Xero!$F:$F,Xero!$B:$B,Heron!BF$9,Xero!$A:$A,Heron!$A$4,Xero!$E:$E,Heron!$A56)+SUMIFS(Xero!$F:$F,Xero!$B:$B,Heron!BF$9,Xero!$A:$A,Heron!$A$5,Xero!$E:$E,Heron!$A56)</f>
        <v/>
      </c>
      <c r="BG56" s="66">
        <f>SUMIFS(Xero!$F:$F,Xero!$B:$B,Heron!BG$9,Xero!$A:$A,Heron!$A$4,Xero!$E:$E,Heron!$A56)+SUMIFS(Xero!$F:$F,Xero!$B:$B,Heron!BG$9,Xero!$A:$A,Heron!$A$5,Xero!$E:$E,Heron!$A56)</f>
        <v/>
      </c>
      <c r="BH56" s="66">
        <f>sum(D56:BG56)</f>
        <v/>
      </c>
    </row>
    <row r="57">
      <c r="A57" s="65" t="inlineStr">
        <is>
          <t>CoCT - Electricity</t>
        </is>
      </c>
      <c r="D57" s="66">
        <f>SUMIFS(Xero!$F:$F,Xero!$B:$B,Heron!D$9,Xero!$A:$A,Heron!$A$4,Xero!$E:$E,Heron!$A57)+SUMIFS(Xero!$F:$F,Xero!$B:$B,Heron!D$9,Xero!$A:$A,Heron!$A$5,Xero!$E:$E,Heron!$A57)</f>
        <v/>
      </c>
      <c r="E57" s="66">
        <f>SUMIFS(Xero!$F:$F,Xero!$B:$B,Heron!E$9,Xero!$A:$A,Heron!$A$4,Xero!$E:$E,Heron!$A57)+SUMIFS(Xero!$F:$F,Xero!$B:$B,Heron!E$9,Xero!$A:$A,Heron!$A$5,Xero!$E:$E,Heron!$A57)</f>
        <v/>
      </c>
      <c r="F57" s="66">
        <f>SUMIFS(Xero!$F:$F,Xero!$B:$B,Heron!F$9,Xero!$A:$A,Heron!$A$4,Xero!$E:$E,Heron!$A57)+SUMIFS(Xero!$F:$F,Xero!$B:$B,Heron!F$9,Xero!$A:$A,Heron!$A$5,Xero!$E:$E,Heron!$A57)</f>
        <v/>
      </c>
      <c r="G57" s="66">
        <f>SUMIFS(Xero!$F:$F,Xero!$B:$B,Heron!G$9,Xero!$A:$A,Heron!$A$4,Xero!$E:$E,Heron!$A57)+SUMIFS(Xero!$F:$F,Xero!$B:$B,Heron!G$9,Xero!$A:$A,Heron!$A$5,Xero!$E:$E,Heron!$A57)</f>
        <v/>
      </c>
      <c r="H57" s="66">
        <f>SUMIFS(Xero!$F:$F,Xero!$B:$B,Heron!H$9,Xero!$A:$A,Heron!$A$4,Xero!$E:$E,Heron!$A57)+SUMIFS(Xero!$F:$F,Xero!$B:$B,Heron!H$9,Xero!$A:$A,Heron!$A$5,Xero!$E:$E,Heron!$A57)</f>
        <v/>
      </c>
      <c r="I57" s="66">
        <f>SUMIFS(Xero!$F:$F,Xero!$B:$B,Heron!I$9,Xero!$A:$A,Heron!$A$4,Xero!$E:$E,Heron!$A57)+SUMIFS(Xero!$F:$F,Xero!$B:$B,Heron!I$9,Xero!$A:$A,Heron!$A$5,Xero!$E:$E,Heron!$A57)</f>
        <v/>
      </c>
      <c r="J57" s="66">
        <f>SUMIFS(Xero!$F:$F,Xero!$B:$B,Heron!J$9,Xero!$A:$A,Heron!$A$4,Xero!$E:$E,Heron!$A57)+SUMIFS(Xero!$F:$F,Xero!$B:$B,Heron!J$9,Xero!$A:$A,Heron!$A$5,Xero!$E:$E,Heron!$A57)</f>
        <v/>
      </c>
      <c r="K57" s="66">
        <f>SUMIFS(Xero!$F:$F,Xero!$B:$B,Heron!K$9,Xero!$A:$A,Heron!$A$4,Xero!$E:$E,Heron!$A57)+SUMIFS(Xero!$F:$F,Xero!$B:$B,Heron!K$9,Xero!$A:$A,Heron!$A$5,Xero!$E:$E,Heron!$A57)</f>
        <v/>
      </c>
      <c r="L57" s="66">
        <f>SUMIFS(Xero!$F:$F,Xero!$B:$B,Heron!L$9,Xero!$A:$A,Heron!$A$4,Xero!$E:$E,Heron!$A57)+SUMIFS(Xero!$F:$F,Xero!$B:$B,Heron!L$9,Xero!$A:$A,Heron!$A$5,Xero!$E:$E,Heron!$A57)</f>
        <v/>
      </c>
      <c r="M57" s="66">
        <f>SUMIFS(Xero!$F:$F,Xero!$B:$B,Heron!M$9,Xero!$A:$A,Heron!$A$4,Xero!$E:$E,Heron!$A57)+SUMIFS(Xero!$F:$F,Xero!$B:$B,Heron!M$9,Xero!$A:$A,Heron!$A$5,Xero!$E:$E,Heron!$A57)</f>
        <v/>
      </c>
      <c r="N57" s="66">
        <f>SUMIFS(Xero!$F:$F,Xero!$B:$B,Heron!N$9,Xero!$A:$A,Heron!$A$4,Xero!$E:$E,Heron!$A57)+SUMIFS(Xero!$F:$F,Xero!$B:$B,Heron!N$9,Xero!$A:$A,Heron!$A$5,Xero!$E:$E,Heron!$A57)</f>
        <v/>
      </c>
      <c r="O57" s="66">
        <f>SUMIFS(Xero!$F:$F,Xero!$B:$B,Heron!O$9,Xero!$A:$A,Heron!$A$4,Xero!$E:$E,Heron!$A57)+SUMIFS(Xero!$F:$F,Xero!$B:$B,Heron!O$9,Xero!$A:$A,Heron!$A$5,Xero!$E:$E,Heron!$A57)</f>
        <v/>
      </c>
      <c r="P57" s="66">
        <f>SUMIFS(Xero!$F:$F,Xero!$B:$B,Heron!P$9,Xero!$A:$A,Heron!$A$4,Xero!$E:$E,Heron!$A57)+SUMIFS(Xero!$F:$F,Xero!$B:$B,Heron!P$9,Xero!$A:$A,Heron!$A$5,Xero!$E:$E,Heron!$A57)</f>
        <v/>
      </c>
      <c r="Q57" s="66">
        <f>SUMIFS(Xero!$F:$F,Xero!$B:$B,Heron!Q$9,Xero!$A:$A,Heron!$A$4,Xero!$E:$E,Heron!$A57)+SUMIFS(Xero!$F:$F,Xero!$B:$B,Heron!Q$9,Xero!$A:$A,Heron!$A$5,Xero!$E:$E,Heron!$A57)</f>
        <v/>
      </c>
      <c r="R57" s="66">
        <f>SUMIFS(Xero!$F:$F,Xero!$B:$B,Heron!R$9,Xero!$A:$A,Heron!$A$4,Xero!$E:$E,Heron!$A57)+SUMIFS(Xero!$F:$F,Xero!$B:$B,Heron!R$9,Xero!$A:$A,Heron!$A$5,Xero!$E:$E,Heron!$A57)</f>
        <v/>
      </c>
      <c r="S57" s="66">
        <f>SUMIFS(Xero!$F:$F,Xero!$B:$B,Heron!S$9,Xero!$A:$A,Heron!$A$4,Xero!$E:$E,Heron!$A57)+SUMIFS(Xero!$F:$F,Xero!$B:$B,Heron!S$9,Xero!$A:$A,Heron!$A$5,Xero!$E:$E,Heron!$A57)</f>
        <v/>
      </c>
      <c r="T57" s="66">
        <f>SUMIFS(Xero!$F:$F,Xero!$B:$B,Heron!T$9,Xero!$A:$A,Heron!$A$4,Xero!$E:$E,Heron!$A57)+SUMIFS(Xero!$F:$F,Xero!$B:$B,Heron!T$9,Xero!$A:$A,Heron!$A$5,Xero!$E:$E,Heron!$A57)</f>
        <v/>
      </c>
      <c r="U57" s="66">
        <f>SUMIFS(Xero!$F:$F,Xero!$B:$B,Heron!U$9,Xero!$A:$A,Heron!$A$4,Xero!$E:$E,Heron!$A57)+SUMIFS(Xero!$F:$F,Xero!$B:$B,Heron!U$9,Xero!$A:$A,Heron!$A$5,Xero!$E:$E,Heron!$A57)</f>
        <v/>
      </c>
      <c r="V57" s="66">
        <f>SUMIFS(Xero!$F:$F,Xero!$B:$B,Heron!V$9,Xero!$A:$A,Heron!$A$4,Xero!$E:$E,Heron!$A57)+SUMIFS(Xero!$F:$F,Xero!$B:$B,Heron!V$9,Xero!$A:$A,Heron!$A$5,Xero!$E:$E,Heron!$A57)</f>
        <v/>
      </c>
      <c r="W57" s="66">
        <f>SUMIFS(Xero!$F:$F,Xero!$B:$B,Heron!W$9,Xero!$A:$A,Heron!$A$4,Xero!$E:$E,Heron!$A57)+SUMIFS(Xero!$F:$F,Xero!$B:$B,Heron!W$9,Xero!$A:$A,Heron!$A$5,Xero!$E:$E,Heron!$A57)</f>
        <v/>
      </c>
      <c r="X57" s="66">
        <f>SUMIFS(Xero!$F:$F,Xero!$B:$B,Heron!X$9,Xero!$A:$A,Heron!$A$4,Xero!$E:$E,Heron!$A57)+SUMIFS(Xero!$F:$F,Xero!$B:$B,Heron!X$9,Xero!$A:$A,Heron!$A$5,Xero!$E:$E,Heron!$A57)</f>
        <v/>
      </c>
      <c r="Y57" s="66">
        <f>SUMIFS(Xero!$F:$F,Xero!$B:$B,Heron!Y$9,Xero!$A:$A,Heron!$A$4,Xero!$E:$E,Heron!$A57)+SUMIFS(Xero!$F:$F,Xero!$B:$B,Heron!Y$9,Xero!$A:$A,Heron!$A$5,Xero!$E:$E,Heron!$A57)</f>
        <v/>
      </c>
      <c r="Z57" s="66">
        <f>SUMIFS(Xero!$F:$F,Xero!$B:$B,Heron!Z$9,Xero!$A:$A,Heron!$A$4,Xero!$E:$E,Heron!$A57)+SUMIFS(Xero!$F:$F,Xero!$B:$B,Heron!Z$9,Xero!$A:$A,Heron!$A$5,Xero!$E:$E,Heron!$A57)</f>
        <v/>
      </c>
      <c r="AA57" s="66">
        <f>SUMIFS(Xero!$F:$F,Xero!$B:$B,Heron!AA$9,Xero!$A:$A,Heron!$A$4,Xero!$E:$E,Heron!$A57)+SUMIFS(Xero!$F:$F,Xero!$B:$B,Heron!AA$9,Xero!$A:$A,Heron!$A$5,Xero!$E:$E,Heron!$A57)</f>
        <v/>
      </c>
      <c r="AB57" s="66">
        <f>SUMIFS(Xero!$F:$F,Xero!$B:$B,Heron!AB$9,Xero!$A:$A,Heron!$A$4,Xero!$E:$E,Heron!$A57)+SUMIFS(Xero!$F:$F,Xero!$B:$B,Heron!AB$9,Xero!$A:$A,Heron!$A$5,Xero!$E:$E,Heron!$A57)</f>
        <v/>
      </c>
      <c r="AC57" s="66">
        <f>SUMIFS(Xero!$F:$F,Xero!$B:$B,Heron!AC$9,Xero!$A:$A,Heron!$A$4,Xero!$E:$E,Heron!$A57)+SUMIFS(Xero!$F:$F,Xero!$B:$B,Heron!AC$9,Xero!$A:$A,Heron!$A$5,Xero!$E:$E,Heron!$A57)</f>
        <v/>
      </c>
      <c r="AD57" s="66">
        <f>SUMIFS(Xero!$F:$F,Xero!$B:$B,Heron!AD$9,Xero!$A:$A,Heron!$A$4,Xero!$E:$E,Heron!$A57)+SUMIFS(Xero!$F:$F,Xero!$B:$B,Heron!AD$9,Xero!$A:$A,Heron!$A$5,Xero!$E:$E,Heron!$A57)</f>
        <v/>
      </c>
      <c r="AE57" s="66">
        <f>SUMIFS(Xero!$F:$F,Xero!$B:$B,Heron!AE$9,Xero!$A:$A,Heron!$A$4,Xero!$E:$E,Heron!$A57)+SUMIFS(Xero!$F:$F,Xero!$B:$B,Heron!AE$9,Xero!$A:$A,Heron!$A$5,Xero!$E:$E,Heron!$A57)</f>
        <v/>
      </c>
      <c r="AF57" s="66">
        <f>SUMIFS(Xero!$F:$F,Xero!$B:$B,Heron!AF$9,Xero!$A:$A,Heron!$A$4,Xero!$E:$E,Heron!$A57)+SUMIFS(Xero!$F:$F,Xero!$B:$B,Heron!AF$9,Xero!$A:$A,Heron!$A$5,Xero!$E:$E,Heron!$A57)</f>
        <v/>
      </c>
      <c r="AG57" s="66">
        <f>SUMIFS(Xero!$F:$F,Xero!$B:$B,Heron!AG$9,Xero!$A:$A,Heron!$A$4,Xero!$E:$E,Heron!$A57)+SUMIFS(Xero!$F:$F,Xero!$B:$B,Heron!AG$9,Xero!$A:$A,Heron!$A$5,Xero!$E:$E,Heron!$A57)</f>
        <v/>
      </c>
      <c r="AH57" s="66">
        <f>SUMIFS(Xero!$F:$F,Xero!$B:$B,Heron!AH$9,Xero!$A:$A,Heron!$A$4,Xero!$E:$E,Heron!$A57)+SUMIFS(Xero!$F:$F,Xero!$B:$B,Heron!AH$9,Xero!$A:$A,Heron!$A$5,Xero!$E:$E,Heron!$A57)</f>
        <v/>
      </c>
      <c r="AI57" s="66">
        <f>SUMIFS(Xero!$F:$F,Xero!$B:$B,Heron!AI$9,Xero!$A:$A,Heron!$A$4,Xero!$E:$E,Heron!$A57)+SUMIFS(Xero!$F:$F,Xero!$B:$B,Heron!AI$9,Xero!$A:$A,Heron!$A$5,Xero!$E:$E,Heron!$A57)</f>
        <v/>
      </c>
      <c r="AJ57" s="66">
        <f>SUMIFS(Xero!$F:$F,Xero!$B:$B,Heron!AJ$9,Xero!$A:$A,Heron!$A$4,Xero!$E:$E,Heron!$A57)+SUMIFS(Xero!$F:$F,Xero!$B:$B,Heron!AJ$9,Xero!$A:$A,Heron!$A$5,Xero!$E:$E,Heron!$A57)</f>
        <v/>
      </c>
      <c r="AK57" s="66">
        <f>SUMIFS(Xero!$F:$F,Xero!$B:$B,Heron!AK$9,Xero!$A:$A,Heron!$A$4,Xero!$E:$E,Heron!$A57)+SUMIFS(Xero!$F:$F,Xero!$B:$B,Heron!AK$9,Xero!$A:$A,Heron!$A$5,Xero!$E:$E,Heron!$A57)</f>
        <v/>
      </c>
      <c r="AL57" s="66">
        <f>SUMIFS(Xero!$F:$F,Xero!$B:$B,Heron!AL$9,Xero!$A:$A,Heron!$A$4,Xero!$E:$E,Heron!$A57)+SUMIFS(Xero!$F:$F,Xero!$B:$B,Heron!AL$9,Xero!$A:$A,Heron!$A$5,Xero!$E:$E,Heron!$A57)</f>
        <v/>
      </c>
      <c r="AM57" s="66">
        <f>SUMIFS(Xero!$F:$F,Xero!$B:$B,Heron!AM$9,Xero!$A:$A,Heron!$A$4,Xero!$E:$E,Heron!$A57)+SUMIFS(Xero!$F:$F,Xero!$B:$B,Heron!AM$9,Xero!$A:$A,Heron!$A$5,Xero!$E:$E,Heron!$A57)</f>
        <v/>
      </c>
      <c r="AN57" s="66">
        <f>SUMIFS(Xero!$F:$F,Xero!$B:$B,Heron!AN$9,Xero!$A:$A,Heron!$A$4,Xero!$E:$E,Heron!$A57)+SUMIFS(Xero!$F:$F,Xero!$B:$B,Heron!AN$9,Xero!$A:$A,Heron!$A$5,Xero!$E:$E,Heron!$A57)</f>
        <v/>
      </c>
      <c r="AO57" s="66">
        <f>SUMIFS(Xero!$F:$F,Xero!$B:$B,Heron!AO$9,Xero!$A:$A,Heron!$A$4,Xero!$E:$E,Heron!$A57)+SUMIFS(Xero!$F:$F,Xero!$B:$B,Heron!AO$9,Xero!$A:$A,Heron!$A$5,Xero!$E:$E,Heron!$A57)</f>
        <v/>
      </c>
      <c r="AP57" s="66">
        <f>SUMIFS(Xero!$F:$F,Xero!$B:$B,Heron!AP$9,Xero!$A:$A,Heron!$A$4,Xero!$E:$E,Heron!$A57)+SUMIFS(Xero!$F:$F,Xero!$B:$B,Heron!AP$9,Xero!$A:$A,Heron!$A$5,Xero!$E:$E,Heron!$A57)</f>
        <v/>
      </c>
      <c r="AQ57" s="66">
        <f>SUMIFS(Xero!$F:$F,Xero!$B:$B,Heron!AQ$9,Xero!$A:$A,Heron!$A$4,Xero!$E:$E,Heron!$A57)+SUMIFS(Xero!$F:$F,Xero!$B:$B,Heron!AQ$9,Xero!$A:$A,Heron!$A$5,Xero!$E:$E,Heron!$A57)</f>
        <v/>
      </c>
      <c r="AR57" s="66">
        <f>SUMIFS(Xero!$F:$F,Xero!$B:$B,Heron!AR$9,Xero!$A:$A,Heron!$A$4,Xero!$E:$E,Heron!$A57)+SUMIFS(Xero!$F:$F,Xero!$B:$B,Heron!AR$9,Xero!$A:$A,Heron!$A$5,Xero!$E:$E,Heron!$A57)</f>
        <v/>
      </c>
      <c r="AS57" s="66">
        <f>SUMIFS(Xero!$F:$F,Xero!$B:$B,Heron!AS$9,Xero!$A:$A,Heron!$A$4,Xero!$E:$E,Heron!$A57)+SUMIFS(Xero!$F:$F,Xero!$B:$B,Heron!AS$9,Xero!$A:$A,Heron!$A$5,Xero!$E:$E,Heron!$A57)</f>
        <v/>
      </c>
      <c r="AT57" s="66">
        <f>SUMIFS(Xero!$F:$F,Xero!$B:$B,Heron!AT$9,Xero!$A:$A,Heron!$A$4,Xero!$E:$E,Heron!$A57)+SUMIFS(Xero!$F:$F,Xero!$B:$B,Heron!AT$9,Xero!$A:$A,Heron!$A$5,Xero!$E:$E,Heron!$A57)</f>
        <v/>
      </c>
      <c r="AU57" s="66">
        <f>SUMIFS(Xero!$F:$F,Xero!$B:$B,Heron!AU$9,Xero!$A:$A,Heron!$A$4,Xero!$E:$E,Heron!$A57)+SUMIFS(Xero!$F:$F,Xero!$B:$B,Heron!AU$9,Xero!$A:$A,Heron!$A$5,Xero!$E:$E,Heron!$A57)</f>
        <v/>
      </c>
      <c r="AV57" s="66">
        <f>SUMIFS(Xero!$F:$F,Xero!$B:$B,Heron!AV$9,Xero!$A:$A,Heron!$A$4,Xero!$E:$E,Heron!$A57)+SUMIFS(Xero!$F:$F,Xero!$B:$B,Heron!AV$9,Xero!$A:$A,Heron!$A$5,Xero!$E:$E,Heron!$A57)</f>
        <v/>
      </c>
      <c r="AW57" s="66">
        <f>SUMIFS(Xero!$F:$F,Xero!$B:$B,Heron!AW$9,Xero!$A:$A,Heron!$A$4,Xero!$E:$E,Heron!$A57)+SUMIFS(Xero!$F:$F,Xero!$B:$B,Heron!AW$9,Xero!$A:$A,Heron!$A$5,Xero!$E:$E,Heron!$A57)</f>
        <v/>
      </c>
      <c r="AX57" s="66">
        <f>SUMIFS(Xero!$F:$F,Xero!$B:$B,Heron!AX$9,Xero!$A:$A,Heron!$A$4,Xero!$E:$E,Heron!$A57)+SUMIFS(Xero!$F:$F,Xero!$B:$B,Heron!AX$9,Xero!$A:$A,Heron!$A$5,Xero!$E:$E,Heron!$A57)</f>
        <v/>
      </c>
      <c r="AY57" s="66">
        <f>SUMIFS(Xero!$F:$F,Xero!$B:$B,Heron!AY$9,Xero!$A:$A,Heron!$A$4,Xero!$E:$E,Heron!$A57)+SUMIFS(Xero!$F:$F,Xero!$B:$B,Heron!AY$9,Xero!$A:$A,Heron!$A$5,Xero!$E:$E,Heron!$A57)</f>
        <v/>
      </c>
      <c r="AZ57" s="66">
        <f>SUMIFS(Xero!$F:$F,Xero!$B:$B,Heron!AZ$9,Xero!$A:$A,Heron!$A$4,Xero!$E:$E,Heron!$A57)+SUMIFS(Xero!$F:$F,Xero!$B:$B,Heron!AZ$9,Xero!$A:$A,Heron!$A$5,Xero!$E:$E,Heron!$A57)</f>
        <v/>
      </c>
      <c r="BA57" s="66">
        <f>SUMIFS(Xero!$F:$F,Xero!$B:$B,Heron!BA$9,Xero!$A:$A,Heron!$A$4,Xero!$E:$E,Heron!$A57)+SUMIFS(Xero!$F:$F,Xero!$B:$B,Heron!BA$9,Xero!$A:$A,Heron!$A$5,Xero!$E:$E,Heron!$A57)</f>
        <v/>
      </c>
      <c r="BB57" s="66">
        <f>SUMIFS(Xero!$F:$F,Xero!$B:$B,Heron!BB$9,Xero!$A:$A,Heron!$A$4,Xero!$E:$E,Heron!$A57)+SUMIFS(Xero!$F:$F,Xero!$B:$B,Heron!BB$9,Xero!$A:$A,Heron!$A$5,Xero!$E:$E,Heron!$A57)</f>
        <v/>
      </c>
      <c r="BC57" s="66">
        <f>SUMIFS(Xero!$F:$F,Xero!$B:$B,Heron!BC$9,Xero!$A:$A,Heron!$A$4,Xero!$E:$E,Heron!$A57)+SUMIFS(Xero!$F:$F,Xero!$B:$B,Heron!BC$9,Xero!$A:$A,Heron!$A$5,Xero!$E:$E,Heron!$A57)</f>
        <v/>
      </c>
      <c r="BD57" s="66">
        <f>SUMIFS(Xero!$F:$F,Xero!$B:$B,Heron!BD$9,Xero!$A:$A,Heron!$A$4,Xero!$E:$E,Heron!$A57)+SUMIFS(Xero!$F:$F,Xero!$B:$B,Heron!BD$9,Xero!$A:$A,Heron!$A$5,Xero!$E:$E,Heron!$A57)</f>
        <v/>
      </c>
      <c r="BE57" s="66">
        <f>SUMIFS(Xero!$F:$F,Xero!$B:$B,Heron!BE$9,Xero!$A:$A,Heron!$A$4,Xero!$E:$E,Heron!$A57)+SUMIFS(Xero!$F:$F,Xero!$B:$B,Heron!BE$9,Xero!$A:$A,Heron!$A$5,Xero!$E:$E,Heron!$A57)</f>
        <v/>
      </c>
      <c r="BF57" s="66">
        <f>SUMIFS(Xero!$F:$F,Xero!$B:$B,Heron!BF$9,Xero!$A:$A,Heron!$A$4,Xero!$E:$E,Heron!$A57)+SUMIFS(Xero!$F:$F,Xero!$B:$B,Heron!BF$9,Xero!$A:$A,Heron!$A$5,Xero!$E:$E,Heron!$A57)</f>
        <v/>
      </c>
      <c r="BG57" s="66">
        <f>SUMIFS(Xero!$F:$F,Xero!$B:$B,Heron!BG$9,Xero!$A:$A,Heron!$A$4,Xero!$E:$E,Heron!$A57)+SUMIFS(Xero!$F:$F,Xero!$B:$B,Heron!BG$9,Xero!$A:$A,Heron!$A$5,Xero!$E:$E,Heron!$A57)</f>
        <v/>
      </c>
      <c r="BH57" s="66">
        <f>sum(D57:BG57)</f>
        <v/>
      </c>
    </row>
    <row r="58">
      <c r="A58" s="65" t="inlineStr">
        <is>
          <t>CoCT - Refuse</t>
        </is>
      </c>
      <c r="D58" s="66">
        <f>SUMIFS(Xero!$F:$F,Xero!$B:$B,Heron!D$9,Xero!$A:$A,Heron!$A$4,Xero!$E:$E,Heron!$A58)+SUMIFS(Xero!$F:$F,Xero!$B:$B,Heron!D$9,Xero!$A:$A,Heron!$A$5,Xero!$E:$E,Heron!$A58)</f>
        <v/>
      </c>
      <c r="E58" s="66">
        <f>SUMIFS(Xero!$F:$F,Xero!$B:$B,Heron!E$9,Xero!$A:$A,Heron!$A$4,Xero!$E:$E,Heron!$A58)+SUMIFS(Xero!$F:$F,Xero!$B:$B,Heron!E$9,Xero!$A:$A,Heron!$A$5,Xero!$E:$E,Heron!$A58)</f>
        <v/>
      </c>
      <c r="F58" s="66">
        <f>SUMIFS(Xero!$F:$F,Xero!$B:$B,Heron!F$9,Xero!$A:$A,Heron!$A$4,Xero!$E:$E,Heron!$A58)+SUMIFS(Xero!$F:$F,Xero!$B:$B,Heron!F$9,Xero!$A:$A,Heron!$A$5,Xero!$E:$E,Heron!$A58)</f>
        <v/>
      </c>
      <c r="G58" s="66">
        <f>SUMIFS(Xero!$F:$F,Xero!$B:$B,Heron!G$9,Xero!$A:$A,Heron!$A$4,Xero!$E:$E,Heron!$A58)+SUMIFS(Xero!$F:$F,Xero!$B:$B,Heron!G$9,Xero!$A:$A,Heron!$A$5,Xero!$E:$E,Heron!$A58)</f>
        <v/>
      </c>
      <c r="H58" s="66">
        <f>SUMIFS(Xero!$F:$F,Xero!$B:$B,Heron!H$9,Xero!$A:$A,Heron!$A$4,Xero!$E:$E,Heron!$A58)+SUMIFS(Xero!$F:$F,Xero!$B:$B,Heron!H$9,Xero!$A:$A,Heron!$A$5,Xero!$E:$E,Heron!$A58)</f>
        <v/>
      </c>
      <c r="I58" s="66">
        <f>SUMIFS(Xero!$F:$F,Xero!$B:$B,Heron!I$9,Xero!$A:$A,Heron!$A$4,Xero!$E:$E,Heron!$A58)+SUMIFS(Xero!$F:$F,Xero!$B:$B,Heron!I$9,Xero!$A:$A,Heron!$A$5,Xero!$E:$E,Heron!$A58)</f>
        <v/>
      </c>
      <c r="J58" s="66">
        <f>SUMIFS(Xero!$F:$F,Xero!$B:$B,Heron!J$9,Xero!$A:$A,Heron!$A$4,Xero!$E:$E,Heron!$A58)+SUMIFS(Xero!$F:$F,Xero!$B:$B,Heron!J$9,Xero!$A:$A,Heron!$A$5,Xero!$E:$E,Heron!$A58)</f>
        <v/>
      </c>
      <c r="K58" s="66">
        <f>SUMIFS(Xero!$F:$F,Xero!$B:$B,Heron!K$9,Xero!$A:$A,Heron!$A$4,Xero!$E:$E,Heron!$A58)+SUMIFS(Xero!$F:$F,Xero!$B:$B,Heron!K$9,Xero!$A:$A,Heron!$A$5,Xero!$E:$E,Heron!$A58)</f>
        <v/>
      </c>
      <c r="L58" s="66">
        <f>SUMIFS(Xero!$F:$F,Xero!$B:$B,Heron!L$9,Xero!$A:$A,Heron!$A$4,Xero!$E:$E,Heron!$A58)+SUMIFS(Xero!$F:$F,Xero!$B:$B,Heron!L$9,Xero!$A:$A,Heron!$A$5,Xero!$E:$E,Heron!$A58)</f>
        <v/>
      </c>
      <c r="M58" s="66">
        <f>SUMIFS(Xero!$F:$F,Xero!$B:$B,Heron!M$9,Xero!$A:$A,Heron!$A$4,Xero!$E:$E,Heron!$A58)+SUMIFS(Xero!$F:$F,Xero!$B:$B,Heron!M$9,Xero!$A:$A,Heron!$A$5,Xero!$E:$E,Heron!$A58)</f>
        <v/>
      </c>
      <c r="N58" s="66">
        <f>SUMIFS(Xero!$F:$F,Xero!$B:$B,Heron!N$9,Xero!$A:$A,Heron!$A$4,Xero!$E:$E,Heron!$A58)+SUMIFS(Xero!$F:$F,Xero!$B:$B,Heron!N$9,Xero!$A:$A,Heron!$A$5,Xero!$E:$E,Heron!$A58)</f>
        <v/>
      </c>
      <c r="O58" s="66">
        <f>SUMIFS(Xero!$F:$F,Xero!$B:$B,Heron!O$9,Xero!$A:$A,Heron!$A$4,Xero!$E:$E,Heron!$A58)+SUMIFS(Xero!$F:$F,Xero!$B:$B,Heron!O$9,Xero!$A:$A,Heron!$A$5,Xero!$E:$E,Heron!$A58)</f>
        <v/>
      </c>
      <c r="P58" s="66">
        <f>SUMIFS(Xero!$F:$F,Xero!$B:$B,Heron!P$9,Xero!$A:$A,Heron!$A$4,Xero!$E:$E,Heron!$A58)+SUMIFS(Xero!$F:$F,Xero!$B:$B,Heron!P$9,Xero!$A:$A,Heron!$A$5,Xero!$E:$E,Heron!$A58)</f>
        <v/>
      </c>
      <c r="Q58" s="66">
        <f>SUMIFS(Xero!$F:$F,Xero!$B:$B,Heron!Q$9,Xero!$A:$A,Heron!$A$4,Xero!$E:$E,Heron!$A58)+SUMIFS(Xero!$F:$F,Xero!$B:$B,Heron!Q$9,Xero!$A:$A,Heron!$A$5,Xero!$E:$E,Heron!$A58)</f>
        <v/>
      </c>
      <c r="R58" s="66">
        <f>SUMIFS(Xero!$F:$F,Xero!$B:$B,Heron!R$9,Xero!$A:$A,Heron!$A$4,Xero!$E:$E,Heron!$A58)+SUMIFS(Xero!$F:$F,Xero!$B:$B,Heron!R$9,Xero!$A:$A,Heron!$A$5,Xero!$E:$E,Heron!$A58)</f>
        <v/>
      </c>
      <c r="S58" s="66">
        <f>SUMIFS(Xero!$F:$F,Xero!$B:$B,Heron!S$9,Xero!$A:$A,Heron!$A$4,Xero!$E:$E,Heron!$A58)+SUMIFS(Xero!$F:$F,Xero!$B:$B,Heron!S$9,Xero!$A:$A,Heron!$A$5,Xero!$E:$E,Heron!$A58)</f>
        <v/>
      </c>
      <c r="T58" s="66">
        <f>SUMIFS(Xero!$F:$F,Xero!$B:$B,Heron!T$9,Xero!$A:$A,Heron!$A$4,Xero!$E:$E,Heron!$A58)+SUMIFS(Xero!$F:$F,Xero!$B:$B,Heron!T$9,Xero!$A:$A,Heron!$A$5,Xero!$E:$E,Heron!$A58)</f>
        <v/>
      </c>
      <c r="U58" s="66">
        <f>SUMIFS(Xero!$F:$F,Xero!$B:$B,Heron!U$9,Xero!$A:$A,Heron!$A$4,Xero!$E:$E,Heron!$A58)+SUMIFS(Xero!$F:$F,Xero!$B:$B,Heron!U$9,Xero!$A:$A,Heron!$A$5,Xero!$E:$E,Heron!$A58)</f>
        <v/>
      </c>
      <c r="V58" s="66">
        <f>SUMIFS(Xero!$F:$F,Xero!$B:$B,Heron!V$9,Xero!$A:$A,Heron!$A$4,Xero!$E:$E,Heron!$A58)+SUMIFS(Xero!$F:$F,Xero!$B:$B,Heron!V$9,Xero!$A:$A,Heron!$A$5,Xero!$E:$E,Heron!$A58)</f>
        <v/>
      </c>
      <c r="W58" s="66">
        <f>SUMIFS(Xero!$F:$F,Xero!$B:$B,Heron!W$9,Xero!$A:$A,Heron!$A$4,Xero!$E:$E,Heron!$A58)+SUMIFS(Xero!$F:$F,Xero!$B:$B,Heron!W$9,Xero!$A:$A,Heron!$A$5,Xero!$E:$E,Heron!$A58)</f>
        <v/>
      </c>
      <c r="X58" s="66">
        <f>SUMIFS(Xero!$F:$F,Xero!$B:$B,Heron!X$9,Xero!$A:$A,Heron!$A$4,Xero!$E:$E,Heron!$A58)+SUMIFS(Xero!$F:$F,Xero!$B:$B,Heron!X$9,Xero!$A:$A,Heron!$A$5,Xero!$E:$E,Heron!$A58)</f>
        <v/>
      </c>
      <c r="Y58" s="66">
        <f>SUMIFS(Xero!$F:$F,Xero!$B:$B,Heron!Y$9,Xero!$A:$A,Heron!$A$4,Xero!$E:$E,Heron!$A58)+SUMIFS(Xero!$F:$F,Xero!$B:$B,Heron!Y$9,Xero!$A:$A,Heron!$A$5,Xero!$E:$E,Heron!$A58)</f>
        <v/>
      </c>
      <c r="Z58" s="66">
        <f>SUMIFS(Xero!$F:$F,Xero!$B:$B,Heron!Z$9,Xero!$A:$A,Heron!$A$4,Xero!$E:$E,Heron!$A58)+SUMIFS(Xero!$F:$F,Xero!$B:$B,Heron!Z$9,Xero!$A:$A,Heron!$A$5,Xero!$E:$E,Heron!$A58)</f>
        <v/>
      </c>
      <c r="AA58" s="66">
        <f>SUMIFS(Xero!$F:$F,Xero!$B:$B,Heron!AA$9,Xero!$A:$A,Heron!$A$4,Xero!$E:$E,Heron!$A58)+SUMIFS(Xero!$F:$F,Xero!$B:$B,Heron!AA$9,Xero!$A:$A,Heron!$A$5,Xero!$E:$E,Heron!$A58)</f>
        <v/>
      </c>
      <c r="AB58" s="66">
        <f>SUMIFS(Xero!$F:$F,Xero!$B:$B,Heron!AB$9,Xero!$A:$A,Heron!$A$4,Xero!$E:$E,Heron!$A58)+SUMIFS(Xero!$F:$F,Xero!$B:$B,Heron!AB$9,Xero!$A:$A,Heron!$A$5,Xero!$E:$E,Heron!$A58)</f>
        <v/>
      </c>
      <c r="AC58" s="66">
        <f>SUMIFS(Xero!$F:$F,Xero!$B:$B,Heron!AC$9,Xero!$A:$A,Heron!$A$4,Xero!$E:$E,Heron!$A58)+SUMIFS(Xero!$F:$F,Xero!$B:$B,Heron!AC$9,Xero!$A:$A,Heron!$A$5,Xero!$E:$E,Heron!$A58)</f>
        <v/>
      </c>
      <c r="AD58" s="66">
        <f>SUMIFS(Xero!$F:$F,Xero!$B:$B,Heron!AD$9,Xero!$A:$A,Heron!$A$4,Xero!$E:$E,Heron!$A58)+SUMIFS(Xero!$F:$F,Xero!$B:$B,Heron!AD$9,Xero!$A:$A,Heron!$A$5,Xero!$E:$E,Heron!$A58)</f>
        <v/>
      </c>
      <c r="AE58" s="66">
        <f>SUMIFS(Xero!$F:$F,Xero!$B:$B,Heron!AE$9,Xero!$A:$A,Heron!$A$4,Xero!$E:$E,Heron!$A58)+SUMIFS(Xero!$F:$F,Xero!$B:$B,Heron!AE$9,Xero!$A:$A,Heron!$A$5,Xero!$E:$E,Heron!$A58)</f>
        <v/>
      </c>
      <c r="AF58" s="66">
        <f>SUMIFS(Xero!$F:$F,Xero!$B:$B,Heron!AF$9,Xero!$A:$A,Heron!$A$4,Xero!$E:$E,Heron!$A58)+SUMIFS(Xero!$F:$F,Xero!$B:$B,Heron!AF$9,Xero!$A:$A,Heron!$A$5,Xero!$E:$E,Heron!$A58)</f>
        <v/>
      </c>
      <c r="AG58" s="66">
        <f>SUMIFS(Xero!$F:$F,Xero!$B:$B,Heron!AG$9,Xero!$A:$A,Heron!$A$4,Xero!$E:$E,Heron!$A58)+SUMIFS(Xero!$F:$F,Xero!$B:$B,Heron!AG$9,Xero!$A:$A,Heron!$A$5,Xero!$E:$E,Heron!$A58)</f>
        <v/>
      </c>
      <c r="AH58" s="66">
        <f>SUMIFS(Xero!$F:$F,Xero!$B:$B,Heron!AH$9,Xero!$A:$A,Heron!$A$4,Xero!$E:$E,Heron!$A58)+SUMIFS(Xero!$F:$F,Xero!$B:$B,Heron!AH$9,Xero!$A:$A,Heron!$A$5,Xero!$E:$E,Heron!$A58)</f>
        <v/>
      </c>
      <c r="AI58" s="66">
        <f>SUMIFS(Xero!$F:$F,Xero!$B:$B,Heron!AI$9,Xero!$A:$A,Heron!$A$4,Xero!$E:$E,Heron!$A58)+SUMIFS(Xero!$F:$F,Xero!$B:$B,Heron!AI$9,Xero!$A:$A,Heron!$A$5,Xero!$E:$E,Heron!$A58)</f>
        <v/>
      </c>
      <c r="AJ58" s="66">
        <f>SUMIFS(Xero!$F:$F,Xero!$B:$B,Heron!AJ$9,Xero!$A:$A,Heron!$A$4,Xero!$E:$E,Heron!$A58)+SUMIFS(Xero!$F:$F,Xero!$B:$B,Heron!AJ$9,Xero!$A:$A,Heron!$A$5,Xero!$E:$E,Heron!$A58)</f>
        <v/>
      </c>
      <c r="AK58" s="66">
        <f>SUMIFS(Xero!$F:$F,Xero!$B:$B,Heron!AK$9,Xero!$A:$A,Heron!$A$4,Xero!$E:$E,Heron!$A58)+SUMIFS(Xero!$F:$F,Xero!$B:$B,Heron!AK$9,Xero!$A:$A,Heron!$A$5,Xero!$E:$E,Heron!$A58)</f>
        <v/>
      </c>
      <c r="AL58" s="66">
        <f>SUMIFS(Xero!$F:$F,Xero!$B:$B,Heron!AL$9,Xero!$A:$A,Heron!$A$4,Xero!$E:$E,Heron!$A58)+SUMIFS(Xero!$F:$F,Xero!$B:$B,Heron!AL$9,Xero!$A:$A,Heron!$A$5,Xero!$E:$E,Heron!$A58)</f>
        <v/>
      </c>
      <c r="AM58" s="66">
        <f>SUMIFS(Xero!$F:$F,Xero!$B:$B,Heron!AM$9,Xero!$A:$A,Heron!$A$4,Xero!$E:$E,Heron!$A58)+SUMIFS(Xero!$F:$F,Xero!$B:$B,Heron!AM$9,Xero!$A:$A,Heron!$A$5,Xero!$E:$E,Heron!$A58)</f>
        <v/>
      </c>
      <c r="AN58" s="66">
        <f>SUMIFS(Xero!$F:$F,Xero!$B:$B,Heron!AN$9,Xero!$A:$A,Heron!$A$4,Xero!$E:$E,Heron!$A58)+SUMIFS(Xero!$F:$F,Xero!$B:$B,Heron!AN$9,Xero!$A:$A,Heron!$A$5,Xero!$E:$E,Heron!$A58)</f>
        <v/>
      </c>
      <c r="AO58" s="66">
        <f>SUMIFS(Xero!$F:$F,Xero!$B:$B,Heron!AO$9,Xero!$A:$A,Heron!$A$4,Xero!$E:$E,Heron!$A58)+SUMIFS(Xero!$F:$F,Xero!$B:$B,Heron!AO$9,Xero!$A:$A,Heron!$A$5,Xero!$E:$E,Heron!$A58)</f>
        <v/>
      </c>
      <c r="AP58" s="66">
        <f>SUMIFS(Xero!$F:$F,Xero!$B:$B,Heron!AP$9,Xero!$A:$A,Heron!$A$4,Xero!$E:$E,Heron!$A58)+SUMIFS(Xero!$F:$F,Xero!$B:$B,Heron!AP$9,Xero!$A:$A,Heron!$A$5,Xero!$E:$E,Heron!$A58)</f>
        <v/>
      </c>
      <c r="AQ58" s="66">
        <f>SUMIFS(Xero!$F:$F,Xero!$B:$B,Heron!AQ$9,Xero!$A:$A,Heron!$A$4,Xero!$E:$E,Heron!$A58)+SUMIFS(Xero!$F:$F,Xero!$B:$B,Heron!AQ$9,Xero!$A:$A,Heron!$A$5,Xero!$E:$E,Heron!$A58)</f>
        <v/>
      </c>
      <c r="AR58" s="66">
        <f>SUMIFS(Xero!$F:$F,Xero!$B:$B,Heron!AR$9,Xero!$A:$A,Heron!$A$4,Xero!$E:$E,Heron!$A58)+SUMIFS(Xero!$F:$F,Xero!$B:$B,Heron!AR$9,Xero!$A:$A,Heron!$A$5,Xero!$E:$E,Heron!$A58)</f>
        <v/>
      </c>
      <c r="AS58" s="66">
        <f>SUMIFS(Xero!$F:$F,Xero!$B:$B,Heron!AS$9,Xero!$A:$A,Heron!$A$4,Xero!$E:$E,Heron!$A58)+SUMIFS(Xero!$F:$F,Xero!$B:$B,Heron!AS$9,Xero!$A:$A,Heron!$A$5,Xero!$E:$E,Heron!$A58)</f>
        <v/>
      </c>
      <c r="AT58" s="66">
        <f>SUMIFS(Xero!$F:$F,Xero!$B:$B,Heron!AT$9,Xero!$A:$A,Heron!$A$4,Xero!$E:$E,Heron!$A58)+SUMIFS(Xero!$F:$F,Xero!$B:$B,Heron!AT$9,Xero!$A:$A,Heron!$A$5,Xero!$E:$E,Heron!$A58)</f>
        <v/>
      </c>
      <c r="AU58" s="66">
        <f>SUMIFS(Xero!$F:$F,Xero!$B:$B,Heron!AU$9,Xero!$A:$A,Heron!$A$4,Xero!$E:$E,Heron!$A58)+SUMIFS(Xero!$F:$F,Xero!$B:$B,Heron!AU$9,Xero!$A:$A,Heron!$A$5,Xero!$E:$E,Heron!$A58)</f>
        <v/>
      </c>
      <c r="AV58" s="66">
        <f>SUMIFS(Xero!$F:$F,Xero!$B:$B,Heron!AV$9,Xero!$A:$A,Heron!$A$4,Xero!$E:$E,Heron!$A58)+SUMIFS(Xero!$F:$F,Xero!$B:$B,Heron!AV$9,Xero!$A:$A,Heron!$A$5,Xero!$E:$E,Heron!$A58)</f>
        <v/>
      </c>
      <c r="AW58" s="66">
        <f>SUMIFS(Xero!$F:$F,Xero!$B:$B,Heron!AW$9,Xero!$A:$A,Heron!$A$4,Xero!$E:$E,Heron!$A58)+SUMIFS(Xero!$F:$F,Xero!$B:$B,Heron!AW$9,Xero!$A:$A,Heron!$A$5,Xero!$E:$E,Heron!$A58)</f>
        <v/>
      </c>
      <c r="AX58" s="66">
        <f>SUMIFS(Xero!$F:$F,Xero!$B:$B,Heron!AX$9,Xero!$A:$A,Heron!$A$4,Xero!$E:$E,Heron!$A58)+SUMIFS(Xero!$F:$F,Xero!$B:$B,Heron!AX$9,Xero!$A:$A,Heron!$A$5,Xero!$E:$E,Heron!$A58)</f>
        <v/>
      </c>
      <c r="AY58" s="66">
        <f>SUMIFS(Xero!$F:$F,Xero!$B:$B,Heron!AY$9,Xero!$A:$A,Heron!$A$4,Xero!$E:$E,Heron!$A58)+SUMIFS(Xero!$F:$F,Xero!$B:$B,Heron!AY$9,Xero!$A:$A,Heron!$A$5,Xero!$E:$E,Heron!$A58)</f>
        <v/>
      </c>
      <c r="AZ58" s="66">
        <f>SUMIFS(Xero!$F:$F,Xero!$B:$B,Heron!AZ$9,Xero!$A:$A,Heron!$A$4,Xero!$E:$E,Heron!$A58)+SUMIFS(Xero!$F:$F,Xero!$B:$B,Heron!AZ$9,Xero!$A:$A,Heron!$A$5,Xero!$E:$E,Heron!$A58)</f>
        <v/>
      </c>
      <c r="BA58" s="66">
        <f>SUMIFS(Xero!$F:$F,Xero!$B:$B,Heron!BA$9,Xero!$A:$A,Heron!$A$4,Xero!$E:$E,Heron!$A58)+SUMIFS(Xero!$F:$F,Xero!$B:$B,Heron!BA$9,Xero!$A:$A,Heron!$A$5,Xero!$E:$E,Heron!$A58)</f>
        <v/>
      </c>
      <c r="BB58" s="66">
        <f>SUMIFS(Xero!$F:$F,Xero!$B:$B,Heron!BB$9,Xero!$A:$A,Heron!$A$4,Xero!$E:$E,Heron!$A58)+SUMIFS(Xero!$F:$F,Xero!$B:$B,Heron!BB$9,Xero!$A:$A,Heron!$A$5,Xero!$E:$E,Heron!$A58)</f>
        <v/>
      </c>
      <c r="BC58" s="66">
        <f>SUMIFS(Xero!$F:$F,Xero!$B:$B,Heron!BC$9,Xero!$A:$A,Heron!$A$4,Xero!$E:$E,Heron!$A58)+SUMIFS(Xero!$F:$F,Xero!$B:$B,Heron!BC$9,Xero!$A:$A,Heron!$A$5,Xero!$E:$E,Heron!$A58)</f>
        <v/>
      </c>
      <c r="BD58" s="66">
        <f>SUMIFS(Xero!$F:$F,Xero!$B:$B,Heron!BD$9,Xero!$A:$A,Heron!$A$4,Xero!$E:$E,Heron!$A58)+SUMIFS(Xero!$F:$F,Xero!$B:$B,Heron!BD$9,Xero!$A:$A,Heron!$A$5,Xero!$E:$E,Heron!$A58)</f>
        <v/>
      </c>
      <c r="BE58" s="66">
        <f>SUMIFS(Xero!$F:$F,Xero!$B:$B,Heron!BE$9,Xero!$A:$A,Heron!$A$4,Xero!$E:$E,Heron!$A58)+SUMIFS(Xero!$F:$F,Xero!$B:$B,Heron!BE$9,Xero!$A:$A,Heron!$A$5,Xero!$E:$E,Heron!$A58)</f>
        <v/>
      </c>
      <c r="BF58" s="66">
        <f>SUMIFS(Xero!$F:$F,Xero!$B:$B,Heron!BF$9,Xero!$A:$A,Heron!$A$4,Xero!$E:$E,Heron!$A58)+SUMIFS(Xero!$F:$F,Xero!$B:$B,Heron!BF$9,Xero!$A:$A,Heron!$A$5,Xero!$E:$E,Heron!$A58)</f>
        <v/>
      </c>
      <c r="BG58" s="66">
        <f>SUMIFS(Xero!$F:$F,Xero!$B:$B,Heron!BG$9,Xero!$A:$A,Heron!$A$4,Xero!$E:$E,Heron!$A58)+SUMIFS(Xero!$F:$F,Xero!$B:$B,Heron!BG$9,Xero!$A:$A,Heron!$A$5,Xero!$E:$E,Heron!$A58)</f>
        <v/>
      </c>
      <c r="BH58" s="66">
        <f>sum(D58:BG58)</f>
        <v/>
      </c>
    </row>
    <row r="59">
      <c r="A59" s="65" t="inlineStr">
        <is>
          <t>CoCT - Water</t>
        </is>
      </c>
      <c r="D59" s="66">
        <f>SUMIFS(Xero!$F:$F,Xero!$B:$B,Heron!D$9,Xero!$A:$A,Heron!$A$4,Xero!$E:$E,Heron!$A59)+SUMIFS(Xero!$F:$F,Xero!$B:$B,Heron!D$9,Xero!$A:$A,Heron!$A$5,Xero!$E:$E,Heron!$A59)</f>
        <v/>
      </c>
      <c r="E59" s="66">
        <f>SUMIFS(Xero!$F:$F,Xero!$B:$B,Heron!E$9,Xero!$A:$A,Heron!$A$4,Xero!$E:$E,Heron!$A59)+SUMIFS(Xero!$F:$F,Xero!$B:$B,Heron!E$9,Xero!$A:$A,Heron!$A$5,Xero!$E:$E,Heron!$A59)</f>
        <v/>
      </c>
      <c r="F59" s="66">
        <f>SUMIFS(Xero!$F:$F,Xero!$B:$B,Heron!F$9,Xero!$A:$A,Heron!$A$4,Xero!$E:$E,Heron!$A59)+SUMIFS(Xero!$F:$F,Xero!$B:$B,Heron!F$9,Xero!$A:$A,Heron!$A$5,Xero!$E:$E,Heron!$A59)</f>
        <v/>
      </c>
      <c r="G59" s="66">
        <f>SUMIFS(Xero!$F:$F,Xero!$B:$B,Heron!G$9,Xero!$A:$A,Heron!$A$4,Xero!$E:$E,Heron!$A59)+SUMIFS(Xero!$F:$F,Xero!$B:$B,Heron!G$9,Xero!$A:$A,Heron!$A$5,Xero!$E:$E,Heron!$A59)</f>
        <v/>
      </c>
      <c r="H59" s="66">
        <f>SUMIFS(Xero!$F:$F,Xero!$B:$B,Heron!H$9,Xero!$A:$A,Heron!$A$4,Xero!$E:$E,Heron!$A59)+SUMIFS(Xero!$F:$F,Xero!$B:$B,Heron!H$9,Xero!$A:$A,Heron!$A$5,Xero!$E:$E,Heron!$A59)</f>
        <v/>
      </c>
      <c r="I59" s="66">
        <f>SUMIFS(Xero!$F:$F,Xero!$B:$B,Heron!I$9,Xero!$A:$A,Heron!$A$4,Xero!$E:$E,Heron!$A59)+SUMIFS(Xero!$F:$F,Xero!$B:$B,Heron!I$9,Xero!$A:$A,Heron!$A$5,Xero!$E:$E,Heron!$A59)</f>
        <v/>
      </c>
      <c r="J59" s="66">
        <f>SUMIFS(Xero!$F:$F,Xero!$B:$B,Heron!J$9,Xero!$A:$A,Heron!$A$4,Xero!$E:$E,Heron!$A59)+SUMIFS(Xero!$F:$F,Xero!$B:$B,Heron!J$9,Xero!$A:$A,Heron!$A$5,Xero!$E:$E,Heron!$A59)</f>
        <v/>
      </c>
      <c r="K59" s="66">
        <f>SUMIFS(Xero!$F:$F,Xero!$B:$B,Heron!K$9,Xero!$A:$A,Heron!$A$4,Xero!$E:$E,Heron!$A59)+SUMIFS(Xero!$F:$F,Xero!$B:$B,Heron!K$9,Xero!$A:$A,Heron!$A$5,Xero!$E:$E,Heron!$A59)</f>
        <v/>
      </c>
      <c r="L59" s="66">
        <f>SUMIFS(Xero!$F:$F,Xero!$B:$B,Heron!L$9,Xero!$A:$A,Heron!$A$4,Xero!$E:$E,Heron!$A59)+SUMIFS(Xero!$F:$F,Xero!$B:$B,Heron!L$9,Xero!$A:$A,Heron!$A$5,Xero!$E:$E,Heron!$A59)</f>
        <v/>
      </c>
      <c r="M59" s="66">
        <f>SUMIFS(Xero!$F:$F,Xero!$B:$B,Heron!M$9,Xero!$A:$A,Heron!$A$4,Xero!$E:$E,Heron!$A59)+SUMIFS(Xero!$F:$F,Xero!$B:$B,Heron!M$9,Xero!$A:$A,Heron!$A$5,Xero!$E:$E,Heron!$A59)</f>
        <v/>
      </c>
      <c r="N59" s="66">
        <f>SUMIFS(Xero!$F:$F,Xero!$B:$B,Heron!N$9,Xero!$A:$A,Heron!$A$4,Xero!$E:$E,Heron!$A59)+SUMIFS(Xero!$F:$F,Xero!$B:$B,Heron!N$9,Xero!$A:$A,Heron!$A$5,Xero!$E:$E,Heron!$A59)</f>
        <v/>
      </c>
      <c r="O59" s="66">
        <f>SUMIFS(Xero!$F:$F,Xero!$B:$B,Heron!O$9,Xero!$A:$A,Heron!$A$4,Xero!$E:$E,Heron!$A59)+SUMIFS(Xero!$F:$F,Xero!$B:$B,Heron!O$9,Xero!$A:$A,Heron!$A$5,Xero!$E:$E,Heron!$A59)</f>
        <v/>
      </c>
      <c r="P59" s="66">
        <f>SUMIFS(Xero!$F:$F,Xero!$B:$B,Heron!P$9,Xero!$A:$A,Heron!$A$4,Xero!$E:$E,Heron!$A59)+SUMIFS(Xero!$F:$F,Xero!$B:$B,Heron!P$9,Xero!$A:$A,Heron!$A$5,Xero!$E:$E,Heron!$A59)</f>
        <v/>
      </c>
      <c r="Q59" s="66">
        <f>SUMIFS(Xero!$F:$F,Xero!$B:$B,Heron!Q$9,Xero!$A:$A,Heron!$A$4,Xero!$E:$E,Heron!$A59)+SUMIFS(Xero!$F:$F,Xero!$B:$B,Heron!Q$9,Xero!$A:$A,Heron!$A$5,Xero!$E:$E,Heron!$A59)</f>
        <v/>
      </c>
      <c r="R59" s="66">
        <f>SUMIFS(Xero!$F:$F,Xero!$B:$B,Heron!R$9,Xero!$A:$A,Heron!$A$4,Xero!$E:$E,Heron!$A59)+SUMIFS(Xero!$F:$F,Xero!$B:$B,Heron!R$9,Xero!$A:$A,Heron!$A$5,Xero!$E:$E,Heron!$A59)</f>
        <v/>
      </c>
      <c r="S59" s="66">
        <f>SUMIFS(Xero!$F:$F,Xero!$B:$B,Heron!S$9,Xero!$A:$A,Heron!$A$4,Xero!$E:$E,Heron!$A59)+SUMIFS(Xero!$F:$F,Xero!$B:$B,Heron!S$9,Xero!$A:$A,Heron!$A$5,Xero!$E:$E,Heron!$A59)</f>
        <v/>
      </c>
      <c r="T59" s="66">
        <f>SUMIFS(Xero!$F:$F,Xero!$B:$B,Heron!T$9,Xero!$A:$A,Heron!$A$4,Xero!$E:$E,Heron!$A59)+SUMIFS(Xero!$F:$F,Xero!$B:$B,Heron!T$9,Xero!$A:$A,Heron!$A$5,Xero!$E:$E,Heron!$A59)</f>
        <v/>
      </c>
      <c r="U59" s="66">
        <f>SUMIFS(Xero!$F:$F,Xero!$B:$B,Heron!U$9,Xero!$A:$A,Heron!$A$4,Xero!$E:$E,Heron!$A59)+SUMIFS(Xero!$F:$F,Xero!$B:$B,Heron!U$9,Xero!$A:$A,Heron!$A$5,Xero!$E:$E,Heron!$A59)</f>
        <v/>
      </c>
      <c r="V59" s="66">
        <f>SUMIFS(Xero!$F:$F,Xero!$B:$B,Heron!V$9,Xero!$A:$A,Heron!$A$4,Xero!$E:$E,Heron!$A59)+SUMIFS(Xero!$F:$F,Xero!$B:$B,Heron!V$9,Xero!$A:$A,Heron!$A$5,Xero!$E:$E,Heron!$A59)</f>
        <v/>
      </c>
      <c r="W59" s="66">
        <f>SUMIFS(Xero!$F:$F,Xero!$B:$B,Heron!W$9,Xero!$A:$A,Heron!$A$4,Xero!$E:$E,Heron!$A59)+SUMIFS(Xero!$F:$F,Xero!$B:$B,Heron!W$9,Xero!$A:$A,Heron!$A$5,Xero!$E:$E,Heron!$A59)</f>
        <v/>
      </c>
      <c r="X59" s="66">
        <f>SUMIFS(Xero!$F:$F,Xero!$B:$B,Heron!X$9,Xero!$A:$A,Heron!$A$4,Xero!$E:$E,Heron!$A59)+SUMIFS(Xero!$F:$F,Xero!$B:$B,Heron!X$9,Xero!$A:$A,Heron!$A$5,Xero!$E:$E,Heron!$A59)</f>
        <v/>
      </c>
      <c r="Y59" s="66">
        <f>SUMIFS(Xero!$F:$F,Xero!$B:$B,Heron!Y$9,Xero!$A:$A,Heron!$A$4,Xero!$E:$E,Heron!$A59)+SUMIFS(Xero!$F:$F,Xero!$B:$B,Heron!Y$9,Xero!$A:$A,Heron!$A$5,Xero!$E:$E,Heron!$A59)</f>
        <v/>
      </c>
      <c r="Z59" s="66">
        <f>SUMIFS(Xero!$F:$F,Xero!$B:$B,Heron!Z$9,Xero!$A:$A,Heron!$A$4,Xero!$E:$E,Heron!$A59)+SUMIFS(Xero!$F:$F,Xero!$B:$B,Heron!Z$9,Xero!$A:$A,Heron!$A$5,Xero!$E:$E,Heron!$A59)</f>
        <v/>
      </c>
      <c r="AA59" s="66">
        <f>SUMIFS(Xero!$F:$F,Xero!$B:$B,Heron!AA$9,Xero!$A:$A,Heron!$A$4,Xero!$E:$E,Heron!$A59)+SUMIFS(Xero!$F:$F,Xero!$B:$B,Heron!AA$9,Xero!$A:$A,Heron!$A$5,Xero!$E:$E,Heron!$A59)</f>
        <v/>
      </c>
      <c r="AB59" s="66">
        <f>SUMIFS(Xero!$F:$F,Xero!$B:$B,Heron!AB$9,Xero!$A:$A,Heron!$A$4,Xero!$E:$E,Heron!$A59)+SUMIFS(Xero!$F:$F,Xero!$B:$B,Heron!AB$9,Xero!$A:$A,Heron!$A$5,Xero!$E:$E,Heron!$A59)</f>
        <v/>
      </c>
      <c r="AC59" s="66">
        <f>SUMIFS(Xero!$F:$F,Xero!$B:$B,Heron!AC$9,Xero!$A:$A,Heron!$A$4,Xero!$E:$E,Heron!$A59)+SUMIFS(Xero!$F:$F,Xero!$B:$B,Heron!AC$9,Xero!$A:$A,Heron!$A$5,Xero!$E:$E,Heron!$A59)</f>
        <v/>
      </c>
      <c r="AD59" s="66">
        <f>SUMIFS(Xero!$F:$F,Xero!$B:$B,Heron!AD$9,Xero!$A:$A,Heron!$A$4,Xero!$E:$E,Heron!$A59)+SUMIFS(Xero!$F:$F,Xero!$B:$B,Heron!AD$9,Xero!$A:$A,Heron!$A$5,Xero!$E:$E,Heron!$A59)</f>
        <v/>
      </c>
      <c r="AE59" s="66">
        <f>SUMIFS(Xero!$F:$F,Xero!$B:$B,Heron!AE$9,Xero!$A:$A,Heron!$A$4,Xero!$E:$E,Heron!$A59)+SUMIFS(Xero!$F:$F,Xero!$B:$B,Heron!AE$9,Xero!$A:$A,Heron!$A$5,Xero!$E:$E,Heron!$A59)</f>
        <v/>
      </c>
      <c r="AF59" s="66">
        <f>SUMIFS(Xero!$F:$F,Xero!$B:$B,Heron!AF$9,Xero!$A:$A,Heron!$A$4,Xero!$E:$E,Heron!$A59)+SUMIFS(Xero!$F:$F,Xero!$B:$B,Heron!AF$9,Xero!$A:$A,Heron!$A$5,Xero!$E:$E,Heron!$A59)</f>
        <v/>
      </c>
      <c r="AG59" s="66">
        <f>SUMIFS(Xero!$F:$F,Xero!$B:$B,Heron!AG$9,Xero!$A:$A,Heron!$A$4,Xero!$E:$E,Heron!$A59)+SUMIFS(Xero!$F:$F,Xero!$B:$B,Heron!AG$9,Xero!$A:$A,Heron!$A$5,Xero!$E:$E,Heron!$A59)</f>
        <v/>
      </c>
      <c r="AH59" s="66">
        <f>SUMIFS(Xero!$F:$F,Xero!$B:$B,Heron!AH$9,Xero!$A:$A,Heron!$A$4,Xero!$E:$E,Heron!$A59)+SUMIFS(Xero!$F:$F,Xero!$B:$B,Heron!AH$9,Xero!$A:$A,Heron!$A$5,Xero!$E:$E,Heron!$A59)</f>
        <v/>
      </c>
      <c r="AI59" s="66">
        <f>SUMIFS(Xero!$F:$F,Xero!$B:$B,Heron!AI$9,Xero!$A:$A,Heron!$A$4,Xero!$E:$E,Heron!$A59)+SUMIFS(Xero!$F:$F,Xero!$B:$B,Heron!AI$9,Xero!$A:$A,Heron!$A$5,Xero!$E:$E,Heron!$A59)</f>
        <v/>
      </c>
      <c r="AJ59" s="66">
        <f>SUMIFS(Xero!$F:$F,Xero!$B:$B,Heron!AJ$9,Xero!$A:$A,Heron!$A$4,Xero!$E:$E,Heron!$A59)+SUMIFS(Xero!$F:$F,Xero!$B:$B,Heron!AJ$9,Xero!$A:$A,Heron!$A$5,Xero!$E:$E,Heron!$A59)</f>
        <v/>
      </c>
      <c r="AK59" s="66">
        <f>SUMIFS(Xero!$F:$F,Xero!$B:$B,Heron!AK$9,Xero!$A:$A,Heron!$A$4,Xero!$E:$E,Heron!$A59)+SUMIFS(Xero!$F:$F,Xero!$B:$B,Heron!AK$9,Xero!$A:$A,Heron!$A$5,Xero!$E:$E,Heron!$A59)</f>
        <v/>
      </c>
      <c r="AL59" s="66">
        <f>SUMIFS(Xero!$F:$F,Xero!$B:$B,Heron!AL$9,Xero!$A:$A,Heron!$A$4,Xero!$E:$E,Heron!$A59)+SUMIFS(Xero!$F:$F,Xero!$B:$B,Heron!AL$9,Xero!$A:$A,Heron!$A$5,Xero!$E:$E,Heron!$A59)</f>
        <v/>
      </c>
      <c r="AM59" s="66">
        <f>SUMIFS(Xero!$F:$F,Xero!$B:$B,Heron!AM$9,Xero!$A:$A,Heron!$A$4,Xero!$E:$E,Heron!$A59)+SUMIFS(Xero!$F:$F,Xero!$B:$B,Heron!AM$9,Xero!$A:$A,Heron!$A$5,Xero!$E:$E,Heron!$A59)</f>
        <v/>
      </c>
      <c r="AN59" s="66">
        <f>SUMIFS(Xero!$F:$F,Xero!$B:$B,Heron!AN$9,Xero!$A:$A,Heron!$A$4,Xero!$E:$E,Heron!$A59)+SUMIFS(Xero!$F:$F,Xero!$B:$B,Heron!AN$9,Xero!$A:$A,Heron!$A$5,Xero!$E:$E,Heron!$A59)</f>
        <v/>
      </c>
      <c r="AO59" s="66">
        <f>SUMIFS(Xero!$F:$F,Xero!$B:$B,Heron!AO$9,Xero!$A:$A,Heron!$A$4,Xero!$E:$E,Heron!$A59)+SUMIFS(Xero!$F:$F,Xero!$B:$B,Heron!AO$9,Xero!$A:$A,Heron!$A$5,Xero!$E:$E,Heron!$A59)</f>
        <v/>
      </c>
      <c r="AP59" s="66">
        <f>SUMIFS(Xero!$F:$F,Xero!$B:$B,Heron!AP$9,Xero!$A:$A,Heron!$A$4,Xero!$E:$E,Heron!$A59)+SUMIFS(Xero!$F:$F,Xero!$B:$B,Heron!AP$9,Xero!$A:$A,Heron!$A$5,Xero!$E:$E,Heron!$A59)</f>
        <v/>
      </c>
      <c r="AQ59" s="66">
        <f>SUMIFS(Xero!$F:$F,Xero!$B:$B,Heron!AQ$9,Xero!$A:$A,Heron!$A$4,Xero!$E:$E,Heron!$A59)+SUMIFS(Xero!$F:$F,Xero!$B:$B,Heron!AQ$9,Xero!$A:$A,Heron!$A$5,Xero!$E:$E,Heron!$A59)</f>
        <v/>
      </c>
      <c r="AR59" s="66">
        <f>SUMIFS(Xero!$F:$F,Xero!$B:$B,Heron!AR$9,Xero!$A:$A,Heron!$A$4,Xero!$E:$E,Heron!$A59)+SUMIFS(Xero!$F:$F,Xero!$B:$B,Heron!AR$9,Xero!$A:$A,Heron!$A$5,Xero!$E:$E,Heron!$A59)</f>
        <v/>
      </c>
      <c r="AS59" s="66">
        <f>SUMIFS(Xero!$F:$F,Xero!$B:$B,Heron!AS$9,Xero!$A:$A,Heron!$A$4,Xero!$E:$E,Heron!$A59)+SUMIFS(Xero!$F:$F,Xero!$B:$B,Heron!AS$9,Xero!$A:$A,Heron!$A$5,Xero!$E:$E,Heron!$A59)</f>
        <v/>
      </c>
      <c r="AT59" s="66">
        <f>SUMIFS(Xero!$F:$F,Xero!$B:$B,Heron!AT$9,Xero!$A:$A,Heron!$A$4,Xero!$E:$E,Heron!$A59)+SUMIFS(Xero!$F:$F,Xero!$B:$B,Heron!AT$9,Xero!$A:$A,Heron!$A$5,Xero!$E:$E,Heron!$A59)</f>
        <v/>
      </c>
      <c r="AU59" s="66">
        <f>SUMIFS(Xero!$F:$F,Xero!$B:$B,Heron!AU$9,Xero!$A:$A,Heron!$A$4,Xero!$E:$E,Heron!$A59)+SUMIFS(Xero!$F:$F,Xero!$B:$B,Heron!AU$9,Xero!$A:$A,Heron!$A$5,Xero!$E:$E,Heron!$A59)</f>
        <v/>
      </c>
      <c r="AV59" s="66">
        <f>SUMIFS(Xero!$F:$F,Xero!$B:$B,Heron!AV$9,Xero!$A:$A,Heron!$A$4,Xero!$E:$E,Heron!$A59)+SUMIFS(Xero!$F:$F,Xero!$B:$B,Heron!AV$9,Xero!$A:$A,Heron!$A$5,Xero!$E:$E,Heron!$A59)</f>
        <v/>
      </c>
      <c r="AW59" s="66">
        <f>SUMIFS(Xero!$F:$F,Xero!$B:$B,Heron!AW$9,Xero!$A:$A,Heron!$A$4,Xero!$E:$E,Heron!$A59)+SUMIFS(Xero!$F:$F,Xero!$B:$B,Heron!AW$9,Xero!$A:$A,Heron!$A$5,Xero!$E:$E,Heron!$A59)</f>
        <v/>
      </c>
      <c r="AX59" s="66">
        <f>SUMIFS(Xero!$F:$F,Xero!$B:$B,Heron!AX$9,Xero!$A:$A,Heron!$A$4,Xero!$E:$E,Heron!$A59)+SUMIFS(Xero!$F:$F,Xero!$B:$B,Heron!AX$9,Xero!$A:$A,Heron!$A$5,Xero!$E:$E,Heron!$A59)</f>
        <v/>
      </c>
      <c r="AY59" s="66">
        <f>SUMIFS(Xero!$F:$F,Xero!$B:$B,Heron!AY$9,Xero!$A:$A,Heron!$A$4,Xero!$E:$E,Heron!$A59)+SUMIFS(Xero!$F:$F,Xero!$B:$B,Heron!AY$9,Xero!$A:$A,Heron!$A$5,Xero!$E:$E,Heron!$A59)</f>
        <v/>
      </c>
      <c r="AZ59" s="66">
        <f>SUMIFS(Xero!$F:$F,Xero!$B:$B,Heron!AZ$9,Xero!$A:$A,Heron!$A$4,Xero!$E:$E,Heron!$A59)+SUMIFS(Xero!$F:$F,Xero!$B:$B,Heron!AZ$9,Xero!$A:$A,Heron!$A$5,Xero!$E:$E,Heron!$A59)</f>
        <v/>
      </c>
      <c r="BA59" s="66">
        <f>SUMIFS(Xero!$F:$F,Xero!$B:$B,Heron!BA$9,Xero!$A:$A,Heron!$A$4,Xero!$E:$E,Heron!$A59)+SUMIFS(Xero!$F:$F,Xero!$B:$B,Heron!BA$9,Xero!$A:$A,Heron!$A$5,Xero!$E:$E,Heron!$A59)</f>
        <v/>
      </c>
      <c r="BB59" s="66">
        <f>SUMIFS(Xero!$F:$F,Xero!$B:$B,Heron!BB$9,Xero!$A:$A,Heron!$A$4,Xero!$E:$E,Heron!$A59)+SUMIFS(Xero!$F:$F,Xero!$B:$B,Heron!BB$9,Xero!$A:$A,Heron!$A$5,Xero!$E:$E,Heron!$A59)</f>
        <v/>
      </c>
      <c r="BC59" s="66">
        <f>SUMIFS(Xero!$F:$F,Xero!$B:$B,Heron!BC$9,Xero!$A:$A,Heron!$A$4,Xero!$E:$E,Heron!$A59)+SUMIFS(Xero!$F:$F,Xero!$B:$B,Heron!BC$9,Xero!$A:$A,Heron!$A$5,Xero!$E:$E,Heron!$A59)</f>
        <v/>
      </c>
      <c r="BD59" s="66">
        <f>SUMIFS(Xero!$F:$F,Xero!$B:$B,Heron!BD$9,Xero!$A:$A,Heron!$A$4,Xero!$E:$E,Heron!$A59)+SUMIFS(Xero!$F:$F,Xero!$B:$B,Heron!BD$9,Xero!$A:$A,Heron!$A$5,Xero!$E:$E,Heron!$A59)</f>
        <v/>
      </c>
      <c r="BE59" s="66">
        <f>SUMIFS(Xero!$F:$F,Xero!$B:$B,Heron!BE$9,Xero!$A:$A,Heron!$A$4,Xero!$E:$E,Heron!$A59)+SUMIFS(Xero!$F:$F,Xero!$B:$B,Heron!BE$9,Xero!$A:$A,Heron!$A$5,Xero!$E:$E,Heron!$A59)</f>
        <v/>
      </c>
      <c r="BF59" s="66">
        <f>SUMIFS(Xero!$F:$F,Xero!$B:$B,Heron!BF$9,Xero!$A:$A,Heron!$A$4,Xero!$E:$E,Heron!$A59)+SUMIFS(Xero!$F:$F,Xero!$B:$B,Heron!BF$9,Xero!$A:$A,Heron!$A$5,Xero!$E:$E,Heron!$A59)</f>
        <v/>
      </c>
      <c r="BG59" s="66">
        <f>SUMIFS(Xero!$F:$F,Xero!$B:$B,Heron!BG$9,Xero!$A:$A,Heron!$A$4,Xero!$E:$E,Heron!$A59)+SUMIFS(Xero!$F:$F,Xero!$B:$B,Heron!BG$9,Xero!$A:$A,Heron!$A$5,Xero!$E:$E,Heron!$A59)</f>
        <v/>
      </c>
      <c r="BH59" s="66">
        <f>sum(D59:BG59)</f>
        <v/>
      </c>
    </row>
    <row r="60">
      <c r="A60" s="65" t="inlineStr">
        <is>
          <t>Computer Expenses - Xero</t>
        </is>
      </c>
      <c r="D60" s="66">
        <f>SUMIFS(Xero!$F:$F,Xero!$B:$B,Heron!D$9,Xero!$A:$A,Heron!$A$4,Xero!$E:$E,Heron!$A60)+SUMIFS(Xero!$F:$F,Xero!$B:$B,Heron!D$9,Xero!$A:$A,Heron!$A$5,Xero!$E:$E,Heron!$A60)</f>
        <v/>
      </c>
      <c r="E60" s="66">
        <f>SUMIFS(Xero!$F:$F,Xero!$B:$B,Heron!E$9,Xero!$A:$A,Heron!$A$4,Xero!$E:$E,Heron!$A60)+SUMIFS(Xero!$F:$F,Xero!$B:$B,Heron!E$9,Xero!$A:$A,Heron!$A$5,Xero!$E:$E,Heron!$A60)</f>
        <v/>
      </c>
      <c r="F60" s="66">
        <f>SUMIFS(Xero!$F:$F,Xero!$B:$B,Heron!F$9,Xero!$A:$A,Heron!$A$4,Xero!$E:$E,Heron!$A60)+SUMIFS(Xero!$F:$F,Xero!$B:$B,Heron!F$9,Xero!$A:$A,Heron!$A$5,Xero!$E:$E,Heron!$A60)</f>
        <v/>
      </c>
      <c r="G60" s="66">
        <f>SUMIFS(Xero!$F:$F,Xero!$B:$B,Heron!G$9,Xero!$A:$A,Heron!$A$4,Xero!$E:$E,Heron!$A60)+SUMIFS(Xero!$F:$F,Xero!$B:$B,Heron!G$9,Xero!$A:$A,Heron!$A$5,Xero!$E:$E,Heron!$A60)</f>
        <v/>
      </c>
      <c r="H60" s="66">
        <f>SUMIFS(Xero!$F:$F,Xero!$B:$B,Heron!H$9,Xero!$A:$A,Heron!$A$4,Xero!$E:$E,Heron!$A60)+SUMIFS(Xero!$F:$F,Xero!$B:$B,Heron!H$9,Xero!$A:$A,Heron!$A$5,Xero!$E:$E,Heron!$A60)</f>
        <v/>
      </c>
      <c r="I60" s="66">
        <f>SUMIFS(Xero!$F:$F,Xero!$B:$B,Heron!I$9,Xero!$A:$A,Heron!$A$4,Xero!$E:$E,Heron!$A60)+SUMIFS(Xero!$F:$F,Xero!$B:$B,Heron!I$9,Xero!$A:$A,Heron!$A$5,Xero!$E:$E,Heron!$A60)</f>
        <v/>
      </c>
      <c r="J60" s="66">
        <f>SUMIFS(Xero!$F:$F,Xero!$B:$B,Heron!J$9,Xero!$A:$A,Heron!$A$4,Xero!$E:$E,Heron!$A60)+SUMIFS(Xero!$F:$F,Xero!$B:$B,Heron!J$9,Xero!$A:$A,Heron!$A$5,Xero!$E:$E,Heron!$A60)</f>
        <v/>
      </c>
      <c r="K60" s="66">
        <f>SUMIFS(Xero!$F:$F,Xero!$B:$B,Heron!K$9,Xero!$A:$A,Heron!$A$4,Xero!$E:$E,Heron!$A60)+SUMIFS(Xero!$F:$F,Xero!$B:$B,Heron!K$9,Xero!$A:$A,Heron!$A$5,Xero!$E:$E,Heron!$A60)</f>
        <v/>
      </c>
      <c r="L60" s="66">
        <f>SUMIFS(Xero!$F:$F,Xero!$B:$B,Heron!L$9,Xero!$A:$A,Heron!$A$4,Xero!$E:$E,Heron!$A60)+SUMIFS(Xero!$F:$F,Xero!$B:$B,Heron!L$9,Xero!$A:$A,Heron!$A$5,Xero!$E:$E,Heron!$A60)</f>
        <v/>
      </c>
      <c r="M60" s="66">
        <f>SUMIFS(Xero!$F:$F,Xero!$B:$B,Heron!M$9,Xero!$A:$A,Heron!$A$4,Xero!$E:$E,Heron!$A60)+SUMIFS(Xero!$F:$F,Xero!$B:$B,Heron!M$9,Xero!$A:$A,Heron!$A$5,Xero!$E:$E,Heron!$A60)</f>
        <v/>
      </c>
      <c r="N60" s="66">
        <f>SUMIFS(Xero!$F:$F,Xero!$B:$B,Heron!N$9,Xero!$A:$A,Heron!$A$4,Xero!$E:$E,Heron!$A60)+SUMIFS(Xero!$F:$F,Xero!$B:$B,Heron!N$9,Xero!$A:$A,Heron!$A$5,Xero!$E:$E,Heron!$A60)</f>
        <v/>
      </c>
      <c r="O60" s="66">
        <f>SUMIFS(Xero!$F:$F,Xero!$B:$B,Heron!O$9,Xero!$A:$A,Heron!$A$4,Xero!$E:$E,Heron!$A60)+SUMIFS(Xero!$F:$F,Xero!$B:$B,Heron!O$9,Xero!$A:$A,Heron!$A$5,Xero!$E:$E,Heron!$A60)</f>
        <v/>
      </c>
      <c r="P60" s="66">
        <f>SUMIFS(Xero!$F:$F,Xero!$B:$B,Heron!P$9,Xero!$A:$A,Heron!$A$4,Xero!$E:$E,Heron!$A60)+SUMIFS(Xero!$F:$F,Xero!$B:$B,Heron!P$9,Xero!$A:$A,Heron!$A$5,Xero!$E:$E,Heron!$A60)</f>
        <v/>
      </c>
      <c r="Q60" s="66">
        <f>SUMIFS(Xero!$F:$F,Xero!$B:$B,Heron!Q$9,Xero!$A:$A,Heron!$A$4,Xero!$E:$E,Heron!$A60)+SUMIFS(Xero!$F:$F,Xero!$B:$B,Heron!Q$9,Xero!$A:$A,Heron!$A$5,Xero!$E:$E,Heron!$A60)</f>
        <v/>
      </c>
      <c r="R60" s="66">
        <f>SUMIFS(Xero!$F:$F,Xero!$B:$B,Heron!R$9,Xero!$A:$A,Heron!$A$4,Xero!$E:$E,Heron!$A60)+SUMIFS(Xero!$F:$F,Xero!$B:$B,Heron!R$9,Xero!$A:$A,Heron!$A$5,Xero!$E:$E,Heron!$A60)</f>
        <v/>
      </c>
      <c r="S60" s="66">
        <f>SUMIFS(Xero!$F:$F,Xero!$B:$B,Heron!S$9,Xero!$A:$A,Heron!$A$4,Xero!$E:$E,Heron!$A60)+SUMIFS(Xero!$F:$F,Xero!$B:$B,Heron!S$9,Xero!$A:$A,Heron!$A$5,Xero!$E:$E,Heron!$A60)</f>
        <v/>
      </c>
      <c r="T60" s="66">
        <f>SUMIFS(Xero!$F:$F,Xero!$B:$B,Heron!T$9,Xero!$A:$A,Heron!$A$4,Xero!$E:$E,Heron!$A60)+SUMIFS(Xero!$F:$F,Xero!$B:$B,Heron!T$9,Xero!$A:$A,Heron!$A$5,Xero!$E:$E,Heron!$A60)</f>
        <v/>
      </c>
      <c r="U60" s="66">
        <f>SUMIFS(Xero!$F:$F,Xero!$B:$B,Heron!U$9,Xero!$A:$A,Heron!$A$4,Xero!$E:$E,Heron!$A60)+SUMIFS(Xero!$F:$F,Xero!$B:$B,Heron!U$9,Xero!$A:$A,Heron!$A$5,Xero!$E:$E,Heron!$A60)</f>
        <v/>
      </c>
      <c r="V60" s="66">
        <f>SUMIFS(Xero!$F:$F,Xero!$B:$B,Heron!V$9,Xero!$A:$A,Heron!$A$4,Xero!$E:$E,Heron!$A60)+SUMIFS(Xero!$F:$F,Xero!$B:$B,Heron!V$9,Xero!$A:$A,Heron!$A$5,Xero!$E:$E,Heron!$A60)</f>
        <v/>
      </c>
      <c r="W60" s="66">
        <f>SUMIFS(Xero!$F:$F,Xero!$B:$B,Heron!W$9,Xero!$A:$A,Heron!$A$4,Xero!$E:$E,Heron!$A60)+SUMIFS(Xero!$F:$F,Xero!$B:$B,Heron!W$9,Xero!$A:$A,Heron!$A$5,Xero!$E:$E,Heron!$A60)</f>
        <v/>
      </c>
      <c r="X60" s="66">
        <f>SUMIFS(Xero!$F:$F,Xero!$B:$B,Heron!X$9,Xero!$A:$A,Heron!$A$4,Xero!$E:$E,Heron!$A60)+SUMIFS(Xero!$F:$F,Xero!$B:$B,Heron!X$9,Xero!$A:$A,Heron!$A$5,Xero!$E:$E,Heron!$A60)</f>
        <v/>
      </c>
      <c r="Y60" s="66">
        <f>SUMIFS(Xero!$F:$F,Xero!$B:$B,Heron!Y$9,Xero!$A:$A,Heron!$A$4,Xero!$E:$E,Heron!$A60)+SUMIFS(Xero!$F:$F,Xero!$B:$B,Heron!Y$9,Xero!$A:$A,Heron!$A$5,Xero!$E:$E,Heron!$A60)</f>
        <v/>
      </c>
      <c r="Z60" s="66">
        <f>SUMIFS(Xero!$F:$F,Xero!$B:$B,Heron!Z$9,Xero!$A:$A,Heron!$A$4,Xero!$E:$E,Heron!$A60)+SUMIFS(Xero!$F:$F,Xero!$B:$B,Heron!Z$9,Xero!$A:$A,Heron!$A$5,Xero!$E:$E,Heron!$A60)</f>
        <v/>
      </c>
      <c r="AA60" s="66">
        <f>SUMIFS(Xero!$F:$F,Xero!$B:$B,Heron!AA$9,Xero!$A:$A,Heron!$A$4,Xero!$E:$E,Heron!$A60)+SUMIFS(Xero!$F:$F,Xero!$B:$B,Heron!AA$9,Xero!$A:$A,Heron!$A$5,Xero!$E:$E,Heron!$A60)</f>
        <v/>
      </c>
      <c r="AB60" s="66">
        <f>SUMIFS(Xero!$F:$F,Xero!$B:$B,Heron!AB$9,Xero!$A:$A,Heron!$A$4,Xero!$E:$E,Heron!$A60)+SUMIFS(Xero!$F:$F,Xero!$B:$B,Heron!AB$9,Xero!$A:$A,Heron!$A$5,Xero!$E:$E,Heron!$A60)</f>
        <v/>
      </c>
      <c r="AC60" s="66">
        <f>SUMIFS(Xero!$F:$F,Xero!$B:$B,Heron!AC$9,Xero!$A:$A,Heron!$A$4,Xero!$E:$E,Heron!$A60)+SUMIFS(Xero!$F:$F,Xero!$B:$B,Heron!AC$9,Xero!$A:$A,Heron!$A$5,Xero!$E:$E,Heron!$A60)</f>
        <v/>
      </c>
      <c r="AD60" s="66">
        <f>SUMIFS(Xero!$F:$F,Xero!$B:$B,Heron!AD$9,Xero!$A:$A,Heron!$A$4,Xero!$E:$E,Heron!$A60)+SUMIFS(Xero!$F:$F,Xero!$B:$B,Heron!AD$9,Xero!$A:$A,Heron!$A$5,Xero!$E:$E,Heron!$A60)</f>
        <v/>
      </c>
      <c r="AE60" s="66">
        <f>SUMIFS(Xero!$F:$F,Xero!$B:$B,Heron!AE$9,Xero!$A:$A,Heron!$A$4,Xero!$E:$E,Heron!$A60)+SUMIFS(Xero!$F:$F,Xero!$B:$B,Heron!AE$9,Xero!$A:$A,Heron!$A$5,Xero!$E:$E,Heron!$A60)</f>
        <v/>
      </c>
      <c r="AF60" s="66">
        <f>SUMIFS(Xero!$F:$F,Xero!$B:$B,Heron!AF$9,Xero!$A:$A,Heron!$A$4,Xero!$E:$E,Heron!$A60)+SUMIFS(Xero!$F:$F,Xero!$B:$B,Heron!AF$9,Xero!$A:$A,Heron!$A$5,Xero!$E:$E,Heron!$A60)</f>
        <v/>
      </c>
      <c r="AG60" s="66">
        <f>SUMIFS(Xero!$F:$F,Xero!$B:$B,Heron!AG$9,Xero!$A:$A,Heron!$A$4,Xero!$E:$E,Heron!$A60)+SUMIFS(Xero!$F:$F,Xero!$B:$B,Heron!AG$9,Xero!$A:$A,Heron!$A$5,Xero!$E:$E,Heron!$A60)</f>
        <v/>
      </c>
      <c r="AH60" s="66">
        <f>SUMIFS(Xero!$F:$F,Xero!$B:$B,Heron!AH$9,Xero!$A:$A,Heron!$A$4,Xero!$E:$E,Heron!$A60)+SUMIFS(Xero!$F:$F,Xero!$B:$B,Heron!AH$9,Xero!$A:$A,Heron!$A$5,Xero!$E:$E,Heron!$A60)</f>
        <v/>
      </c>
      <c r="AI60" s="66">
        <f>SUMIFS(Xero!$F:$F,Xero!$B:$B,Heron!AI$9,Xero!$A:$A,Heron!$A$4,Xero!$E:$E,Heron!$A60)+SUMIFS(Xero!$F:$F,Xero!$B:$B,Heron!AI$9,Xero!$A:$A,Heron!$A$5,Xero!$E:$E,Heron!$A60)</f>
        <v/>
      </c>
      <c r="AJ60" s="66">
        <f>SUMIFS(Xero!$F:$F,Xero!$B:$B,Heron!AJ$9,Xero!$A:$A,Heron!$A$4,Xero!$E:$E,Heron!$A60)+SUMIFS(Xero!$F:$F,Xero!$B:$B,Heron!AJ$9,Xero!$A:$A,Heron!$A$5,Xero!$E:$E,Heron!$A60)</f>
        <v/>
      </c>
      <c r="AK60" s="66">
        <f>SUMIFS(Xero!$F:$F,Xero!$B:$B,Heron!AK$9,Xero!$A:$A,Heron!$A$4,Xero!$E:$E,Heron!$A60)+SUMIFS(Xero!$F:$F,Xero!$B:$B,Heron!AK$9,Xero!$A:$A,Heron!$A$5,Xero!$E:$E,Heron!$A60)</f>
        <v/>
      </c>
      <c r="AL60" s="66">
        <f>SUMIFS(Xero!$F:$F,Xero!$B:$B,Heron!AL$9,Xero!$A:$A,Heron!$A$4,Xero!$E:$E,Heron!$A60)+SUMIFS(Xero!$F:$F,Xero!$B:$B,Heron!AL$9,Xero!$A:$A,Heron!$A$5,Xero!$E:$E,Heron!$A60)</f>
        <v/>
      </c>
      <c r="AM60" s="66">
        <f>SUMIFS(Xero!$F:$F,Xero!$B:$B,Heron!AM$9,Xero!$A:$A,Heron!$A$4,Xero!$E:$E,Heron!$A60)+SUMIFS(Xero!$F:$F,Xero!$B:$B,Heron!AM$9,Xero!$A:$A,Heron!$A$5,Xero!$E:$E,Heron!$A60)</f>
        <v/>
      </c>
      <c r="AN60" s="66">
        <f>SUMIFS(Xero!$F:$F,Xero!$B:$B,Heron!AN$9,Xero!$A:$A,Heron!$A$4,Xero!$E:$E,Heron!$A60)+SUMIFS(Xero!$F:$F,Xero!$B:$B,Heron!AN$9,Xero!$A:$A,Heron!$A$5,Xero!$E:$E,Heron!$A60)</f>
        <v/>
      </c>
      <c r="AO60" s="66">
        <f>SUMIFS(Xero!$F:$F,Xero!$B:$B,Heron!AO$9,Xero!$A:$A,Heron!$A$4,Xero!$E:$E,Heron!$A60)+SUMIFS(Xero!$F:$F,Xero!$B:$B,Heron!AO$9,Xero!$A:$A,Heron!$A$5,Xero!$E:$E,Heron!$A60)</f>
        <v/>
      </c>
      <c r="AP60" s="66">
        <f>SUMIFS(Xero!$F:$F,Xero!$B:$B,Heron!AP$9,Xero!$A:$A,Heron!$A$4,Xero!$E:$E,Heron!$A60)+SUMIFS(Xero!$F:$F,Xero!$B:$B,Heron!AP$9,Xero!$A:$A,Heron!$A$5,Xero!$E:$E,Heron!$A60)</f>
        <v/>
      </c>
      <c r="AQ60" s="66">
        <f>SUMIFS(Xero!$F:$F,Xero!$B:$B,Heron!AQ$9,Xero!$A:$A,Heron!$A$4,Xero!$E:$E,Heron!$A60)+SUMIFS(Xero!$F:$F,Xero!$B:$B,Heron!AQ$9,Xero!$A:$A,Heron!$A$5,Xero!$E:$E,Heron!$A60)</f>
        <v/>
      </c>
      <c r="AR60" s="66">
        <f>SUMIFS(Xero!$F:$F,Xero!$B:$B,Heron!AR$9,Xero!$A:$A,Heron!$A$4,Xero!$E:$E,Heron!$A60)+SUMIFS(Xero!$F:$F,Xero!$B:$B,Heron!AR$9,Xero!$A:$A,Heron!$A$5,Xero!$E:$E,Heron!$A60)</f>
        <v/>
      </c>
      <c r="AS60" s="66">
        <f>SUMIFS(Xero!$F:$F,Xero!$B:$B,Heron!AS$9,Xero!$A:$A,Heron!$A$4,Xero!$E:$E,Heron!$A60)+SUMIFS(Xero!$F:$F,Xero!$B:$B,Heron!AS$9,Xero!$A:$A,Heron!$A$5,Xero!$E:$E,Heron!$A60)</f>
        <v/>
      </c>
      <c r="AT60" s="66">
        <f>SUMIFS(Xero!$F:$F,Xero!$B:$B,Heron!AT$9,Xero!$A:$A,Heron!$A$4,Xero!$E:$E,Heron!$A60)+SUMIFS(Xero!$F:$F,Xero!$B:$B,Heron!AT$9,Xero!$A:$A,Heron!$A$5,Xero!$E:$E,Heron!$A60)</f>
        <v/>
      </c>
      <c r="AU60" s="66">
        <f>SUMIFS(Xero!$F:$F,Xero!$B:$B,Heron!AU$9,Xero!$A:$A,Heron!$A$4,Xero!$E:$E,Heron!$A60)+SUMIFS(Xero!$F:$F,Xero!$B:$B,Heron!AU$9,Xero!$A:$A,Heron!$A$5,Xero!$E:$E,Heron!$A60)</f>
        <v/>
      </c>
      <c r="AV60" s="66">
        <f>SUMIFS(Xero!$F:$F,Xero!$B:$B,Heron!AV$9,Xero!$A:$A,Heron!$A$4,Xero!$E:$E,Heron!$A60)+SUMIFS(Xero!$F:$F,Xero!$B:$B,Heron!AV$9,Xero!$A:$A,Heron!$A$5,Xero!$E:$E,Heron!$A60)</f>
        <v/>
      </c>
      <c r="AW60" s="66">
        <f>SUMIFS(Xero!$F:$F,Xero!$B:$B,Heron!AW$9,Xero!$A:$A,Heron!$A$4,Xero!$E:$E,Heron!$A60)+SUMIFS(Xero!$F:$F,Xero!$B:$B,Heron!AW$9,Xero!$A:$A,Heron!$A$5,Xero!$E:$E,Heron!$A60)</f>
        <v/>
      </c>
      <c r="AX60" s="66">
        <f>SUMIFS(Xero!$F:$F,Xero!$B:$B,Heron!AX$9,Xero!$A:$A,Heron!$A$4,Xero!$E:$E,Heron!$A60)+SUMIFS(Xero!$F:$F,Xero!$B:$B,Heron!AX$9,Xero!$A:$A,Heron!$A$5,Xero!$E:$E,Heron!$A60)</f>
        <v/>
      </c>
      <c r="AY60" s="66">
        <f>SUMIFS(Xero!$F:$F,Xero!$B:$B,Heron!AY$9,Xero!$A:$A,Heron!$A$4,Xero!$E:$E,Heron!$A60)+SUMIFS(Xero!$F:$F,Xero!$B:$B,Heron!AY$9,Xero!$A:$A,Heron!$A$5,Xero!$E:$E,Heron!$A60)</f>
        <v/>
      </c>
      <c r="AZ60" s="66">
        <f>SUMIFS(Xero!$F:$F,Xero!$B:$B,Heron!AZ$9,Xero!$A:$A,Heron!$A$4,Xero!$E:$E,Heron!$A60)+SUMIFS(Xero!$F:$F,Xero!$B:$B,Heron!AZ$9,Xero!$A:$A,Heron!$A$5,Xero!$E:$E,Heron!$A60)</f>
        <v/>
      </c>
      <c r="BA60" s="66">
        <f>SUMIFS(Xero!$F:$F,Xero!$B:$B,Heron!BA$9,Xero!$A:$A,Heron!$A$4,Xero!$E:$E,Heron!$A60)+SUMIFS(Xero!$F:$F,Xero!$B:$B,Heron!BA$9,Xero!$A:$A,Heron!$A$5,Xero!$E:$E,Heron!$A60)</f>
        <v/>
      </c>
      <c r="BB60" s="66">
        <f>SUMIFS(Xero!$F:$F,Xero!$B:$B,Heron!BB$9,Xero!$A:$A,Heron!$A$4,Xero!$E:$E,Heron!$A60)+SUMIFS(Xero!$F:$F,Xero!$B:$B,Heron!BB$9,Xero!$A:$A,Heron!$A$5,Xero!$E:$E,Heron!$A60)</f>
        <v/>
      </c>
      <c r="BC60" s="66">
        <f>SUMIFS(Xero!$F:$F,Xero!$B:$B,Heron!BC$9,Xero!$A:$A,Heron!$A$4,Xero!$E:$E,Heron!$A60)+SUMIFS(Xero!$F:$F,Xero!$B:$B,Heron!BC$9,Xero!$A:$A,Heron!$A$5,Xero!$E:$E,Heron!$A60)</f>
        <v/>
      </c>
      <c r="BD60" s="66">
        <f>SUMIFS(Xero!$F:$F,Xero!$B:$B,Heron!BD$9,Xero!$A:$A,Heron!$A$4,Xero!$E:$E,Heron!$A60)+SUMIFS(Xero!$F:$F,Xero!$B:$B,Heron!BD$9,Xero!$A:$A,Heron!$A$5,Xero!$E:$E,Heron!$A60)</f>
        <v/>
      </c>
      <c r="BE60" s="66">
        <f>SUMIFS(Xero!$F:$F,Xero!$B:$B,Heron!BE$9,Xero!$A:$A,Heron!$A$4,Xero!$E:$E,Heron!$A60)+SUMIFS(Xero!$F:$F,Xero!$B:$B,Heron!BE$9,Xero!$A:$A,Heron!$A$5,Xero!$E:$E,Heron!$A60)</f>
        <v/>
      </c>
      <c r="BF60" s="66">
        <f>SUMIFS(Xero!$F:$F,Xero!$B:$B,Heron!BF$9,Xero!$A:$A,Heron!$A$4,Xero!$E:$E,Heron!$A60)+SUMIFS(Xero!$F:$F,Xero!$B:$B,Heron!BF$9,Xero!$A:$A,Heron!$A$5,Xero!$E:$E,Heron!$A60)</f>
        <v/>
      </c>
      <c r="BG60" s="66">
        <f>SUMIFS(Xero!$F:$F,Xero!$B:$B,Heron!BG$9,Xero!$A:$A,Heron!$A$4,Xero!$E:$E,Heron!$A60)+SUMIFS(Xero!$F:$F,Xero!$B:$B,Heron!BG$9,Xero!$A:$A,Heron!$A$5,Xero!$E:$E,Heron!$A60)</f>
        <v/>
      </c>
      <c r="BH60" s="66">
        <f>sum(D60:BG60)</f>
        <v/>
      </c>
    </row>
    <row r="61">
      <c r="A61" s="65" t="inlineStr">
        <is>
          <t>Consulting Fees - Admin and Finance</t>
        </is>
      </c>
      <c r="D61" s="66">
        <f>SUMIFS(Xero!$F:$F,Xero!$B:$B,Heron!D$9,Xero!$A:$A,Heron!$A$4,Xero!$E:$E,Heron!$A61)+SUMIFS(Xero!$F:$F,Xero!$B:$B,Heron!D$9,Xero!$A:$A,Heron!$A$5,Xero!$E:$E,Heron!$A61)</f>
        <v/>
      </c>
      <c r="E61" s="66">
        <f>SUMIFS(Xero!$F:$F,Xero!$B:$B,Heron!E$9,Xero!$A:$A,Heron!$A$4,Xero!$E:$E,Heron!$A61)+SUMIFS(Xero!$F:$F,Xero!$B:$B,Heron!E$9,Xero!$A:$A,Heron!$A$5,Xero!$E:$E,Heron!$A61)</f>
        <v/>
      </c>
      <c r="F61" s="66">
        <f>SUMIFS(Xero!$F:$F,Xero!$B:$B,Heron!F$9,Xero!$A:$A,Heron!$A$4,Xero!$E:$E,Heron!$A61)+SUMIFS(Xero!$F:$F,Xero!$B:$B,Heron!F$9,Xero!$A:$A,Heron!$A$5,Xero!$E:$E,Heron!$A61)</f>
        <v/>
      </c>
      <c r="G61" s="66">
        <f>SUMIFS(Xero!$F:$F,Xero!$B:$B,Heron!G$9,Xero!$A:$A,Heron!$A$4,Xero!$E:$E,Heron!$A61)+SUMIFS(Xero!$F:$F,Xero!$B:$B,Heron!G$9,Xero!$A:$A,Heron!$A$5,Xero!$E:$E,Heron!$A61)</f>
        <v/>
      </c>
      <c r="H61" s="66">
        <f>SUMIFS(Xero!$F:$F,Xero!$B:$B,Heron!H$9,Xero!$A:$A,Heron!$A$4,Xero!$E:$E,Heron!$A61)+SUMIFS(Xero!$F:$F,Xero!$B:$B,Heron!H$9,Xero!$A:$A,Heron!$A$5,Xero!$E:$E,Heron!$A61)</f>
        <v/>
      </c>
      <c r="I61" s="66">
        <f>SUMIFS(Xero!$F:$F,Xero!$B:$B,Heron!I$9,Xero!$A:$A,Heron!$A$4,Xero!$E:$E,Heron!$A61)+SUMIFS(Xero!$F:$F,Xero!$B:$B,Heron!I$9,Xero!$A:$A,Heron!$A$5,Xero!$E:$E,Heron!$A61)</f>
        <v/>
      </c>
      <c r="J61" s="66">
        <f>SUMIFS(Xero!$F:$F,Xero!$B:$B,Heron!J$9,Xero!$A:$A,Heron!$A$4,Xero!$E:$E,Heron!$A61)+SUMIFS(Xero!$F:$F,Xero!$B:$B,Heron!J$9,Xero!$A:$A,Heron!$A$5,Xero!$E:$E,Heron!$A61)</f>
        <v/>
      </c>
      <c r="K61" s="66">
        <f>SUMIFS(Xero!$F:$F,Xero!$B:$B,Heron!K$9,Xero!$A:$A,Heron!$A$4,Xero!$E:$E,Heron!$A61)+SUMIFS(Xero!$F:$F,Xero!$B:$B,Heron!K$9,Xero!$A:$A,Heron!$A$5,Xero!$E:$E,Heron!$A61)</f>
        <v/>
      </c>
      <c r="L61" s="66">
        <f>SUMIFS(Xero!$F:$F,Xero!$B:$B,Heron!L$9,Xero!$A:$A,Heron!$A$4,Xero!$E:$E,Heron!$A61)+SUMIFS(Xero!$F:$F,Xero!$B:$B,Heron!L$9,Xero!$A:$A,Heron!$A$5,Xero!$E:$E,Heron!$A61)</f>
        <v/>
      </c>
      <c r="M61" s="66">
        <f>SUMIFS(Xero!$F:$F,Xero!$B:$B,Heron!M$9,Xero!$A:$A,Heron!$A$4,Xero!$E:$E,Heron!$A61)+SUMIFS(Xero!$F:$F,Xero!$B:$B,Heron!M$9,Xero!$A:$A,Heron!$A$5,Xero!$E:$E,Heron!$A61)</f>
        <v/>
      </c>
      <c r="N61" s="66">
        <f>SUMIFS(Xero!$F:$F,Xero!$B:$B,Heron!N$9,Xero!$A:$A,Heron!$A$4,Xero!$E:$E,Heron!$A61)+SUMIFS(Xero!$F:$F,Xero!$B:$B,Heron!N$9,Xero!$A:$A,Heron!$A$5,Xero!$E:$E,Heron!$A61)</f>
        <v/>
      </c>
      <c r="O61" s="66">
        <f>SUMIFS(Xero!$F:$F,Xero!$B:$B,Heron!O$9,Xero!$A:$A,Heron!$A$4,Xero!$E:$E,Heron!$A61)+SUMIFS(Xero!$F:$F,Xero!$B:$B,Heron!O$9,Xero!$A:$A,Heron!$A$5,Xero!$E:$E,Heron!$A61)</f>
        <v/>
      </c>
      <c r="P61" s="66">
        <f>SUMIFS(Xero!$F:$F,Xero!$B:$B,Heron!P$9,Xero!$A:$A,Heron!$A$4,Xero!$E:$E,Heron!$A61)+SUMIFS(Xero!$F:$F,Xero!$B:$B,Heron!P$9,Xero!$A:$A,Heron!$A$5,Xero!$E:$E,Heron!$A61)</f>
        <v/>
      </c>
      <c r="Q61" s="66">
        <f>SUMIFS(Xero!$F:$F,Xero!$B:$B,Heron!Q$9,Xero!$A:$A,Heron!$A$4,Xero!$E:$E,Heron!$A61)+SUMIFS(Xero!$F:$F,Xero!$B:$B,Heron!Q$9,Xero!$A:$A,Heron!$A$5,Xero!$E:$E,Heron!$A61)</f>
        <v/>
      </c>
      <c r="R61" s="66">
        <f>SUMIFS(Xero!$F:$F,Xero!$B:$B,Heron!R$9,Xero!$A:$A,Heron!$A$4,Xero!$E:$E,Heron!$A61)+SUMIFS(Xero!$F:$F,Xero!$B:$B,Heron!R$9,Xero!$A:$A,Heron!$A$5,Xero!$E:$E,Heron!$A61)</f>
        <v/>
      </c>
      <c r="S61" s="66">
        <f>SUMIFS(Xero!$F:$F,Xero!$B:$B,Heron!S$9,Xero!$A:$A,Heron!$A$4,Xero!$E:$E,Heron!$A61)+SUMIFS(Xero!$F:$F,Xero!$B:$B,Heron!S$9,Xero!$A:$A,Heron!$A$5,Xero!$E:$E,Heron!$A61)</f>
        <v/>
      </c>
      <c r="T61" s="66">
        <f>SUMIFS(Xero!$F:$F,Xero!$B:$B,Heron!T$9,Xero!$A:$A,Heron!$A$4,Xero!$E:$E,Heron!$A61)+SUMIFS(Xero!$F:$F,Xero!$B:$B,Heron!T$9,Xero!$A:$A,Heron!$A$5,Xero!$E:$E,Heron!$A61)</f>
        <v/>
      </c>
      <c r="U61" s="66">
        <f>SUMIFS(Xero!$F:$F,Xero!$B:$B,Heron!U$9,Xero!$A:$A,Heron!$A$4,Xero!$E:$E,Heron!$A61)+SUMIFS(Xero!$F:$F,Xero!$B:$B,Heron!U$9,Xero!$A:$A,Heron!$A$5,Xero!$E:$E,Heron!$A61)</f>
        <v/>
      </c>
      <c r="V61" s="66">
        <f>SUMIFS(Xero!$F:$F,Xero!$B:$B,Heron!V$9,Xero!$A:$A,Heron!$A$4,Xero!$E:$E,Heron!$A61)+SUMIFS(Xero!$F:$F,Xero!$B:$B,Heron!V$9,Xero!$A:$A,Heron!$A$5,Xero!$E:$E,Heron!$A61)</f>
        <v/>
      </c>
      <c r="W61" s="66">
        <f>SUMIFS(Xero!$F:$F,Xero!$B:$B,Heron!W$9,Xero!$A:$A,Heron!$A$4,Xero!$E:$E,Heron!$A61)+SUMIFS(Xero!$F:$F,Xero!$B:$B,Heron!W$9,Xero!$A:$A,Heron!$A$5,Xero!$E:$E,Heron!$A61)</f>
        <v/>
      </c>
      <c r="X61" s="66">
        <f>SUMIFS(Xero!$F:$F,Xero!$B:$B,Heron!X$9,Xero!$A:$A,Heron!$A$4,Xero!$E:$E,Heron!$A61)+SUMIFS(Xero!$F:$F,Xero!$B:$B,Heron!X$9,Xero!$A:$A,Heron!$A$5,Xero!$E:$E,Heron!$A61)</f>
        <v/>
      </c>
      <c r="Y61" s="66">
        <f>SUMIFS(Xero!$F:$F,Xero!$B:$B,Heron!Y$9,Xero!$A:$A,Heron!$A$4,Xero!$E:$E,Heron!$A61)+SUMIFS(Xero!$F:$F,Xero!$B:$B,Heron!Y$9,Xero!$A:$A,Heron!$A$5,Xero!$E:$E,Heron!$A61)</f>
        <v/>
      </c>
      <c r="Z61" s="66">
        <f>SUMIFS(Xero!$F:$F,Xero!$B:$B,Heron!Z$9,Xero!$A:$A,Heron!$A$4,Xero!$E:$E,Heron!$A61)+SUMIFS(Xero!$F:$F,Xero!$B:$B,Heron!Z$9,Xero!$A:$A,Heron!$A$5,Xero!$E:$E,Heron!$A61)</f>
        <v/>
      </c>
      <c r="AA61" s="66">
        <f>SUMIFS(Xero!$F:$F,Xero!$B:$B,Heron!AA$9,Xero!$A:$A,Heron!$A$4,Xero!$E:$E,Heron!$A61)+SUMIFS(Xero!$F:$F,Xero!$B:$B,Heron!AA$9,Xero!$A:$A,Heron!$A$5,Xero!$E:$E,Heron!$A61)</f>
        <v/>
      </c>
      <c r="AB61" s="66">
        <f>SUMIFS(Xero!$F:$F,Xero!$B:$B,Heron!AB$9,Xero!$A:$A,Heron!$A$4,Xero!$E:$E,Heron!$A61)+SUMIFS(Xero!$F:$F,Xero!$B:$B,Heron!AB$9,Xero!$A:$A,Heron!$A$5,Xero!$E:$E,Heron!$A61)</f>
        <v/>
      </c>
      <c r="AC61" s="66">
        <f>SUMIFS(Xero!$F:$F,Xero!$B:$B,Heron!AC$9,Xero!$A:$A,Heron!$A$4,Xero!$E:$E,Heron!$A61)+SUMIFS(Xero!$F:$F,Xero!$B:$B,Heron!AC$9,Xero!$A:$A,Heron!$A$5,Xero!$E:$E,Heron!$A61)</f>
        <v/>
      </c>
      <c r="AD61" s="66">
        <f>SUMIFS(Xero!$F:$F,Xero!$B:$B,Heron!AD$9,Xero!$A:$A,Heron!$A$4,Xero!$E:$E,Heron!$A61)+SUMIFS(Xero!$F:$F,Xero!$B:$B,Heron!AD$9,Xero!$A:$A,Heron!$A$5,Xero!$E:$E,Heron!$A61)</f>
        <v/>
      </c>
      <c r="AE61" s="66">
        <f>SUMIFS(Xero!$F:$F,Xero!$B:$B,Heron!AE$9,Xero!$A:$A,Heron!$A$4,Xero!$E:$E,Heron!$A61)+SUMIFS(Xero!$F:$F,Xero!$B:$B,Heron!AE$9,Xero!$A:$A,Heron!$A$5,Xero!$E:$E,Heron!$A61)</f>
        <v/>
      </c>
      <c r="AF61" s="66">
        <f>SUMIFS(Xero!$F:$F,Xero!$B:$B,Heron!AF$9,Xero!$A:$A,Heron!$A$4,Xero!$E:$E,Heron!$A61)+SUMIFS(Xero!$F:$F,Xero!$B:$B,Heron!AF$9,Xero!$A:$A,Heron!$A$5,Xero!$E:$E,Heron!$A61)</f>
        <v/>
      </c>
      <c r="AG61" s="66">
        <f>SUMIFS(Xero!$F:$F,Xero!$B:$B,Heron!AG$9,Xero!$A:$A,Heron!$A$4,Xero!$E:$E,Heron!$A61)+SUMIFS(Xero!$F:$F,Xero!$B:$B,Heron!AG$9,Xero!$A:$A,Heron!$A$5,Xero!$E:$E,Heron!$A61)</f>
        <v/>
      </c>
      <c r="AH61" s="66">
        <f>SUMIFS(Xero!$F:$F,Xero!$B:$B,Heron!AH$9,Xero!$A:$A,Heron!$A$4,Xero!$E:$E,Heron!$A61)+SUMIFS(Xero!$F:$F,Xero!$B:$B,Heron!AH$9,Xero!$A:$A,Heron!$A$5,Xero!$E:$E,Heron!$A61)</f>
        <v/>
      </c>
      <c r="AI61" s="66">
        <f>SUMIFS(Xero!$F:$F,Xero!$B:$B,Heron!AI$9,Xero!$A:$A,Heron!$A$4,Xero!$E:$E,Heron!$A61)+SUMIFS(Xero!$F:$F,Xero!$B:$B,Heron!AI$9,Xero!$A:$A,Heron!$A$5,Xero!$E:$E,Heron!$A61)</f>
        <v/>
      </c>
      <c r="AJ61" s="66">
        <f>SUMIFS(Xero!$F:$F,Xero!$B:$B,Heron!AJ$9,Xero!$A:$A,Heron!$A$4,Xero!$E:$E,Heron!$A61)+SUMIFS(Xero!$F:$F,Xero!$B:$B,Heron!AJ$9,Xero!$A:$A,Heron!$A$5,Xero!$E:$E,Heron!$A61)</f>
        <v/>
      </c>
      <c r="AK61" s="66">
        <f>SUMIFS(Xero!$F:$F,Xero!$B:$B,Heron!AK$9,Xero!$A:$A,Heron!$A$4,Xero!$E:$E,Heron!$A61)+SUMIFS(Xero!$F:$F,Xero!$B:$B,Heron!AK$9,Xero!$A:$A,Heron!$A$5,Xero!$E:$E,Heron!$A61)</f>
        <v/>
      </c>
      <c r="AL61" s="66">
        <f>SUMIFS(Xero!$F:$F,Xero!$B:$B,Heron!AL$9,Xero!$A:$A,Heron!$A$4,Xero!$E:$E,Heron!$A61)+SUMIFS(Xero!$F:$F,Xero!$B:$B,Heron!AL$9,Xero!$A:$A,Heron!$A$5,Xero!$E:$E,Heron!$A61)</f>
        <v/>
      </c>
      <c r="AM61" s="66">
        <f>SUMIFS(Xero!$F:$F,Xero!$B:$B,Heron!AM$9,Xero!$A:$A,Heron!$A$4,Xero!$E:$E,Heron!$A61)+SUMIFS(Xero!$F:$F,Xero!$B:$B,Heron!AM$9,Xero!$A:$A,Heron!$A$5,Xero!$E:$E,Heron!$A61)</f>
        <v/>
      </c>
      <c r="AN61" s="66">
        <f>SUMIFS(Xero!$F:$F,Xero!$B:$B,Heron!AN$9,Xero!$A:$A,Heron!$A$4,Xero!$E:$E,Heron!$A61)+SUMIFS(Xero!$F:$F,Xero!$B:$B,Heron!AN$9,Xero!$A:$A,Heron!$A$5,Xero!$E:$E,Heron!$A61)</f>
        <v/>
      </c>
      <c r="AO61" s="66">
        <f>SUMIFS(Xero!$F:$F,Xero!$B:$B,Heron!AO$9,Xero!$A:$A,Heron!$A$4,Xero!$E:$E,Heron!$A61)+SUMIFS(Xero!$F:$F,Xero!$B:$B,Heron!AO$9,Xero!$A:$A,Heron!$A$5,Xero!$E:$E,Heron!$A61)</f>
        <v/>
      </c>
      <c r="AP61" s="66">
        <f>SUMIFS(Xero!$F:$F,Xero!$B:$B,Heron!AP$9,Xero!$A:$A,Heron!$A$4,Xero!$E:$E,Heron!$A61)+SUMIFS(Xero!$F:$F,Xero!$B:$B,Heron!AP$9,Xero!$A:$A,Heron!$A$5,Xero!$E:$E,Heron!$A61)</f>
        <v/>
      </c>
      <c r="AQ61" s="66">
        <f>SUMIFS(Xero!$F:$F,Xero!$B:$B,Heron!AQ$9,Xero!$A:$A,Heron!$A$4,Xero!$E:$E,Heron!$A61)+SUMIFS(Xero!$F:$F,Xero!$B:$B,Heron!AQ$9,Xero!$A:$A,Heron!$A$5,Xero!$E:$E,Heron!$A61)</f>
        <v/>
      </c>
      <c r="AR61" s="66">
        <f>SUMIFS(Xero!$F:$F,Xero!$B:$B,Heron!AR$9,Xero!$A:$A,Heron!$A$4,Xero!$E:$E,Heron!$A61)+SUMIFS(Xero!$F:$F,Xero!$B:$B,Heron!AR$9,Xero!$A:$A,Heron!$A$5,Xero!$E:$E,Heron!$A61)</f>
        <v/>
      </c>
      <c r="AS61" s="66">
        <f>SUMIFS(Xero!$F:$F,Xero!$B:$B,Heron!AS$9,Xero!$A:$A,Heron!$A$4,Xero!$E:$E,Heron!$A61)+SUMIFS(Xero!$F:$F,Xero!$B:$B,Heron!AS$9,Xero!$A:$A,Heron!$A$5,Xero!$E:$E,Heron!$A61)</f>
        <v/>
      </c>
      <c r="AT61" s="66">
        <f>SUMIFS(Xero!$F:$F,Xero!$B:$B,Heron!AT$9,Xero!$A:$A,Heron!$A$4,Xero!$E:$E,Heron!$A61)+SUMIFS(Xero!$F:$F,Xero!$B:$B,Heron!AT$9,Xero!$A:$A,Heron!$A$5,Xero!$E:$E,Heron!$A61)</f>
        <v/>
      </c>
      <c r="AU61" s="66">
        <f>SUMIFS(Xero!$F:$F,Xero!$B:$B,Heron!AU$9,Xero!$A:$A,Heron!$A$4,Xero!$E:$E,Heron!$A61)+SUMIFS(Xero!$F:$F,Xero!$B:$B,Heron!AU$9,Xero!$A:$A,Heron!$A$5,Xero!$E:$E,Heron!$A61)</f>
        <v/>
      </c>
      <c r="AV61" s="66">
        <f>SUMIFS(Xero!$F:$F,Xero!$B:$B,Heron!AV$9,Xero!$A:$A,Heron!$A$4,Xero!$E:$E,Heron!$A61)+SUMIFS(Xero!$F:$F,Xero!$B:$B,Heron!AV$9,Xero!$A:$A,Heron!$A$5,Xero!$E:$E,Heron!$A61)</f>
        <v/>
      </c>
      <c r="AW61" s="66">
        <f>SUMIFS(Xero!$F:$F,Xero!$B:$B,Heron!AW$9,Xero!$A:$A,Heron!$A$4,Xero!$E:$E,Heron!$A61)+SUMIFS(Xero!$F:$F,Xero!$B:$B,Heron!AW$9,Xero!$A:$A,Heron!$A$5,Xero!$E:$E,Heron!$A61)</f>
        <v/>
      </c>
      <c r="AX61" s="66">
        <f>SUMIFS(Xero!$F:$F,Xero!$B:$B,Heron!AX$9,Xero!$A:$A,Heron!$A$4,Xero!$E:$E,Heron!$A61)+SUMIFS(Xero!$F:$F,Xero!$B:$B,Heron!AX$9,Xero!$A:$A,Heron!$A$5,Xero!$E:$E,Heron!$A61)</f>
        <v/>
      </c>
      <c r="AY61" s="66">
        <f>SUMIFS(Xero!$F:$F,Xero!$B:$B,Heron!AY$9,Xero!$A:$A,Heron!$A$4,Xero!$E:$E,Heron!$A61)+SUMIFS(Xero!$F:$F,Xero!$B:$B,Heron!AY$9,Xero!$A:$A,Heron!$A$5,Xero!$E:$E,Heron!$A61)</f>
        <v/>
      </c>
      <c r="AZ61" s="66">
        <f>SUMIFS(Xero!$F:$F,Xero!$B:$B,Heron!AZ$9,Xero!$A:$A,Heron!$A$4,Xero!$E:$E,Heron!$A61)+SUMIFS(Xero!$F:$F,Xero!$B:$B,Heron!AZ$9,Xero!$A:$A,Heron!$A$5,Xero!$E:$E,Heron!$A61)</f>
        <v/>
      </c>
      <c r="BA61" s="66">
        <f>SUMIFS(Xero!$F:$F,Xero!$B:$B,Heron!BA$9,Xero!$A:$A,Heron!$A$4,Xero!$E:$E,Heron!$A61)+SUMIFS(Xero!$F:$F,Xero!$B:$B,Heron!BA$9,Xero!$A:$A,Heron!$A$5,Xero!$E:$E,Heron!$A61)</f>
        <v/>
      </c>
      <c r="BB61" s="66">
        <f>SUMIFS(Xero!$F:$F,Xero!$B:$B,Heron!BB$9,Xero!$A:$A,Heron!$A$4,Xero!$E:$E,Heron!$A61)+SUMIFS(Xero!$F:$F,Xero!$B:$B,Heron!BB$9,Xero!$A:$A,Heron!$A$5,Xero!$E:$E,Heron!$A61)</f>
        <v/>
      </c>
      <c r="BC61" s="66">
        <f>SUMIFS(Xero!$F:$F,Xero!$B:$B,Heron!BC$9,Xero!$A:$A,Heron!$A$4,Xero!$E:$E,Heron!$A61)+SUMIFS(Xero!$F:$F,Xero!$B:$B,Heron!BC$9,Xero!$A:$A,Heron!$A$5,Xero!$E:$E,Heron!$A61)</f>
        <v/>
      </c>
      <c r="BD61" s="66">
        <f>SUMIFS(Xero!$F:$F,Xero!$B:$B,Heron!BD$9,Xero!$A:$A,Heron!$A$4,Xero!$E:$E,Heron!$A61)+SUMIFS(Xero!$F:$F,Xero!$B:$B,Heron!BD$9,Xero!$A:$A,Heron!$A$5,Xero!$E:$E,Heron!$A61)</f>
        <v/>
      </c>
      <c r="BE61" s="66">
        <f>SUMIFS(Xero!$F:$F,Xero!$B:$B,Heron!BE$9,Xero!$A:$A,Heron!$A$4,Xero!$E:$E,Heron!$A61)+SUMIFS(Xero!$F:$F,Xero!$B:$B,Heron!BE$9,Xero!$A:$A,Heron!$A$5,Xero!$E:$E,Heron!$A61)</f>
        <v/>
      </c>
      <c r="BF61" s="66">
        <f>SUMIFS(Xero!$F:$F,Xero!$B:$B,Heron!BF$9,Xero!$A:$A,Heron!$A$4,Xero!$E:$E,Heron!$A61)+SUMIFS(Xero!$F:$F,Xero!$B:$B,Heron!BF$9,Xero!$A:$A,Heron!$A$5,Xero!$E:$E,Heron!$A61)</f>
        <v/>
      </c>
      <c r="BG61" s="66">
        <f>SUMIFS(Xero!$F:$F,Xero!$B:$B,Heron!BG$9,Xero!$A:$A,Heron!$A$4,Xero!$E:$E,Heron!$A61)+SUMIFS(Xero!$F:$F,Xero!$B:$B,Heron!BG$9,Xero!$A:$A,Heron!$A$5,Xero!$E:$E,Heron!$A61)</f>
        <v/>
      </c>
      <c r="BH61" s="66">
        <f>sum(D61:BG61)</f>
        <v/>
      </c>
    </row>
    <row r="62">
      <c r="A62" s="65" t="inlineStr">
        <is>
          <t>Consulting fees - Trustee</t>
        </is>
      </c>
      <c r="D62" s="66">
        <f>SUMIFS(Xero!$F:$F,Xero!$B:$B,Heron!D$9,Xero!$A:$A,Heron!$A$4,Xero!$E:$E,Heron!$A62)+SUMIFS(Xero!$F:$F,Xero!$B:$B,Heron!D$9,Xero!$A:$A,Heron!$A$5,Xero!$E:$E,Heron!$A62)</f>
        <v/>
      </c>
      <c r="E62" s="66">
        <f>SUMIFS(Xero!$F:$F,Xero!$B:$B,Heron!E$9,Xero!$A:$A,Heron!$A$4,Xero!$E:$E,Heron!$A62)+SUMIFS(Xero!$F:$F,Xero!$B:$B,Heron!E$9,Xero!$A:$A,Heron!$A$5,Xero!$E:$E,Heron!$A62)</f>
        <v/>
      </c>
      <c r="F62" s="66">
        <f>SUMIFS(Xero!$F:$F,Xero!$B:$B,Heron!F$9,Xero!$A:$A,Heron!$A$4,Xero!$E:$E,Heron!$A62)+SUMIFS(Xero!$F:$F,Xero!$B:$B,Heron!F$9,Xero!$A:$A,Heron!$A$5,Xero!$E:$E,Heron!$A62)</f>
        <v/>
      </c>
      <c r="G62" s="66">
        <f>SUMIFS(Xero!$F:$F,Xero!$B:$B,Heron!G$9,Xero!$A:$A,Heron!$A$4,Xero!$E:$E,Heron!$A62)+SUMIFS(Xero!$F:$F,Xero!$B:$B,Heron!G$9,Xero!$A:$A,Heron!$A$5,Xero!$E:$E,Heron!$A62)</f>
        <v/>
      </c>
      <c r="H62" s="66">
        <f>SUMIFS(Xero!$F:$F,Xero!$B:$B,Heron!H$9,Xero!$A:$A,Heron!$A$4,Xero!$E:$E,Heron!$A62)+SUMIFS(Xero!$F:$F,Xero!$B:$B,Heron!H$9,Xero!$A:$A,Heron!$A$5,Xero!$E:$E,Heron!$A62)</f>
        <v/>
      </c>
      <c r="I62" s="66">
        <f>SUMIFS(Xero!$F:$F,Xero!$B:$B,Heron!I$9,Xero!$A:$A,Heron!$A$4,Xero!$E:$E,Heron!$A62)+SUMIFS(Xero!$F:$F,Xero!$B:$B,Heron!I$9,Xero!$A:$A,Heron!$A$5,Xero!$E:$E,Heron!$A62)</f>
        <v/>
      </c>
      <c r="J62" s="66">
        <f>SUMIFS(Xero!$F:$F,Xero!$B:$B,Heron!J$9,Xero!$A:$A,Heron!$A$4,Xero!$E:$E,Heron!$A62)+SUMIFS(Xero!$F:$F,Xero!$B:$B,Heron!J$9,Xero!$A:$A,Heron!$A$5,Xero!$E:$E,Heron!$A62)</f>
        <v/>
      </c>
      <c r="K62" s="66">
        <f>SUMIFS(Xero!$F:$F,Xero!$B:$B,Heron!K$9,Xero!$A:$A,Heron!$A$4,Xero!$E:$E,Heron!$A62)+SUMIFS(Xero!$F:$F,Xero!$B:$B,Heron!K$9,Xero!$A:$A,Heron!$A$5,Xero!$E:$E,Heron!$A62)</f>
        <v/>
      </c>
      <c r="L62" s="66">
        <f>SUMIFS(Xero!$F:$F,Xero!$B:$B,Heron!L$9,Xero!$A:$A,Heron!$A$4,Xero!$E:$E,Heron!$A62)+SUMIFS(Xero!$F:$F,Xero!$B:$B,Heron!L$9,Xero!$A:$A,Heron!$A$5,Xero!$E:$E,Heron!$A62)</f>
        <v/>
      </c>
      <c r="M62" s="66">
        <f>SUMIFS(Xero!$F:$F,Xero!$B:$B,Heron!M$9,Xero!$A:$A,Heron!$A$4,Xero!$E:$E,Heron!$A62)+SUMIFS(Xero!$F:$F,Xero!$B:$B,Heron!M$9,Xero!$A:$A,Heron!$A$5,Xero!$E:$E,Heron!$A62)</f>
        <v/>
      </c>
      <c r="N62" s="66">
        <f>SUMIFS(Xero!$F:$F,Xero!$B:$B,Heron!N$9,Xero!$A:$A,Heron!$A$4,Xero!$E:$E,Heron!$A62)+SUMIFS(Xero!$F:$F,Xero!$B:$B,Heron!N$9,Xero!$A:$A,Heron!$A$5,Xero!$E:$E,Heron!$A62)</f>
        <v/>
      </c>
      <c r="O62" s="66">
        <f>SUMIFS(Xero!$F:$F,Xero!$B:$B,Heron!O$9,Xero!$A:$A,Heron!$A$4,Xero!$E:$E,Heron!$A62)+SUMIFS(Xero!$F:$F,Xero!$B:$B,Heron!O$9,Xero!$A:$A,Heron!$A$5,Xero!$E:$E,Heron!$A62)</f>
        <v/>
      </c>
      <c r="P62" s="66">
        <f>SUMIFS(Xero!$F:$F,Xero!$B:$B,Heron!P$9,Xero!$A:$A,Heron!$A$4,Xero!$E:$E,Heron!$A62)+SUMIFS(Xero!$F:$F,Xero!$B:$B,Heron!P$9,Xero!$A:$A,Heron!$A$5,Xero!$E:$E,Heron!$A62)</f>
        <v/>
      </c>
      <c r="Q62" s="66">
        <f>SUMIFS(Xero!$F:$F,Xero!$B:$B,Heron!Q$9,Xero!$A:$A,Heron!$A$4,Xero!$E:$E,Heron!$A62)+SUMIFS(Xero!$F:$F,Xero!$B:$B,Heron!Q$9,Xero!$A:$A,Heron!$A$5,Xero!$E:$E,Heron!$A62)</f>
        <v/>
      </c>
      <c r="R62" s="66">
        <f>SUMIFS(Xero!$F:$F,Xero!$B:$B,Heron!R$9,Xero!$A:$A,Heron!$A$4,Xero!$E:$E,Heron!$A62)+SUMIFS(Xero!$F:$F,Xero!$B:$B,Heron!R$9,Xero!$A:$A,Heron!$A$5,Xero!$E:$E,Heron!$A62)</f>
        <v/>
      </c>
      <c r="S62" s="66">
        <f>SUMIFS(Xero!$F:$F,Xero!$B:$B,Heron!S$9,Xero!$A:$A,Heron!$A$4,Xero!$E:$E,Heron!$A62)+SUMIFS(Xero!$F:$F,Xero!$B:$B,Heron!S$9,Xero!$A:$A,Heron!$A$5,Xero!$E:$E,Heron!$A62)</f>
        <v/>
      </c>
      <c r="T62" s="66">
        <f>SUMIFS(Xero!$F:$F,Xero!$B:$B,Heron!T$9,Xero!$A:$A,Heron!$A$4,Xero!$E:$E,Heron!$A62)+SUMIFS(Xero!$F:$F,Xero!$B:$B,Heron!T$9,Xero!$A:$A,Heron!$A$5,Xero!$E:$E,Heron!$A62)</f>
        <v/>
      </c>
      <c r="U62" s="66">
        <f>SUMIFS(Xero!$F:$F,Xero!$B:$B,Heron!U$9,Xero!$A:$A,Heron!$A$4,Xero!$E:$E,Heron!$A62)+SUMIFS(Xero!$F:$F,Xero!$B:$B,Heron!U$9,Xero!$A:$A,Heron!$A$5,Xero!$E:$E,Heron!$A62)</f>
        <v/>
      </c>
      <c r="V62" s="66">
        <f>SUMIFS(Xero!$F:$F,Xero!$B:$B,Heron!V$9,Xero!$A:$A,Heron!$A$4,Xero!$E:$E,Heron!$A62)+SUMIFS(Xero!$F:$F,Xero!$B:$B,Heron!V$9,Xero!$A:$A,Heron!$A$5,Xero!$E:$E,Heron!$A62)</f>
        <v/>
      </c>
      <c r="W62" s="66">
        <f>SUMIFS(Xero!$F:$F,Xero!$B:$B,Heron!W$9,Xero!$A:$A,Heron!$A$4,Xero!$E:$E,Heron!$A62)+SUMIFS(Xero!$F:$F,Xero!$B:$B,Heron!W$9,Xero!$A:$A,Heron!$A$5,Xero!$E:$E,Heron!$A62)</f>
        <v/>
      </c>
      <c r="X62" s="66">
        <f>SUMIFS(Xero!$F:$F,Xero!$B:$B,Heron!X$9,Xero!$A:$A,Heron!$A$4,Xero!$E:$E,Heron!$A62)+SUMIFS(Xero!$F:$F,Xero!$B:$B,Heron!X$9,Xero!$A:$A,Heron!$A$5,Xero!$E:$E,Heron!$A62)</f>
        <v/>
      </c>
      <c r="Y62" s="66">
        <f>SUMIFS(Xero!$F:$F,Xero!$B:$B,Heron!Y$9,Xero!$A:$A,Heron!$A$4,Xero!$E:$E,Heron!$A62)+SUMIFS(Xero!$F:$F,Xero!$B:$B,Heron!Y$9,Xero!$A:$A,Heron!$A$5,Xero!$E:$E,Heron!$A62)</f>
        <v/>
      </c>
      <c r="Z62" s="66">
        <f>SUMIFS(Xero!$F:$F,Xero!$B:$B,Heron!Z$9,Xero!$A:$A,Heron!$A$4,Xero!$E:$E,Heron!$A62)+SUMIFS(Xero!$F:$F,Xero!$B:$B,Heron!Z$9,Xero!$A:$A,Heron!$A$5,Xero!$E:$E,Heron!$A62)</f>
        <v/>
      </c>
      <c r="AA62" s="66">
        <f>SUMIFS(Xero!$F:$F,Xero!$B:$B,Heron!AA$9,Xero!$A:$A,Heron!$A$4,Xero!$E:$E,Heron!$A62)+SUMIFS(Xero!$F:$F,Xero!$B:$B,Heron!AA$9,Xero!$A:$A,Heron!$A$5,Xero!$E:$E,Heron!$A62)</f>
        <v/>
      </c>
      <c r="AB62" s="66">
        <f>SUMIFS(Xero!$F:$F,Xero!$B:$B,Heron!AB$9,Xero!$A:$A,Heron!$A$4,Xero!$E:$E,Heron!$A62)+SUMIFS(Xero!$F:$F,Xero!$B:$B,Heron!AB$9,Xero!$A:$A,Heron!$A$5,Xero!$E:$E,Heron!$A62)</f>
        <v/>
      </c>
      <c r="AC62" s="66">
        <f>SUMIFS(Xero!$F:$F,Xero!$B:$B,Heron!AC$9,Xero!$A:$A,Heron!$A$4,Xero!$E:$E,Heron!$A62)+SUMIFS(Xero!$F:$F,Xero!$B:$B,Heron!AC$9,Xero!$A:$A,Heron!$A$5,Xero!$E:$E,Heron!$A62)</f>
        <v/>
      </c>
      <c r="AD62" s="66">
        <f>SUMIFS(Xero!$F:$F,Xero!$B:$B,Heron!AD$9,Xero!$A:$A,Heron!$A$4,Xero!$E:$E,Heron!$A62)+SUMIFS(Xero!$F:$F,Xero!$B:$B,Heron!AD$9,Xero!$A:$A,Heron!$A$5,Xero!$E:$E,Heron!$A62)</f>
        <v/>
      </c>
      <c r="AE62" s="66">
        <f>SUMIFS(Xero!$F:$F,Xero!$B:$B,Heron!AE$9,Xero!$A:$A,Heron!$A$4,Xero!$E:$E,Heron!$A62)+SUMIFS(Xero!$F:$F,Xero!$B:$B,Heron!AE$9,Xero!$A:$A,Heron!$A$5,Xero!$E:$E,Heron!$A62)</f>
        <v/>
      </c>
      <c r="AF62" s="66">
        <f>SUMIFS(Xero!$F:$F,Xero!$B:$B,Heron!AF$9,Xero!$A:$A,Heron!$A$4,Xero!$E:$E,Heron!$A62)+SUMIFS(Xero!$F:$F,Xero!$B:$B,Heron!AF$9,Xero!$A:$A,Heron!$A$5,Xero!$E:$E,Heron!$A62)</f>
        <v/>
      </c>
      <c r="AG62" s="66">
        <f>SUMIFS(Xero!$F:$F,Xero!$B:$B,Heron!AG$9,Xero!$A:$A,Heron!$A$4,Xero!$E:$E,Heron!$A62)+SUMIFS(Xero!$F:$F,Xero!$B:$B,Heron!AG$9,Xero!$A:$A,Heron!$A$5,Xero!$E:$E,Heron!$A62)</f>
        <v/>
      </c>
      <c r="AH62" s="66">
        <f>SUMIFS(Xero!$F:$F,Xero!$B:$B,Heron!AH$9,Xero!$A:$A,Heron!$A$4,Xero!$E:$E,Heron!$A62)+SUMIFS(Xero!$F:$F,Xero!$B:$B,Heron!AH$9,Xero!$A:$A,Heron!$A$5,Xero!$E:$E,Heron!$A62)</f>
        <v/>
      </c>
      <c r="AI62" s="66">
        <f>SUMIFS(Xero!$F:$F,Xero!$B:$B,Heron!AI$9,Xero!$A:$A,Heron!$A$4,Xero!$E:$E,Heron!$A62)+SUMIFS(Xero!$F:$F,Xero!$B:$B,Heron!AI$9,Xero!$A:$A,Heron!$A$5,Xero!$E:$E,Heron!$A62)</f>
        <v/>
      </c>
      <c r="AJ62" s="66">
        <f>SUMIFS(Xero!$F:$F,Xero!$B:$B,Heron!AJ$9,Xero!$A:$A,Heron!$A$4,Xero!$E:$E,Heron!$A62)+SUMIFS(Xero!$F:$F,Xero!$B:$B,Heron!AJ$9,Xero!$A:$A,Heron!$A$5,Xero!$E:$E,Heron!$A62)</f>
        <v/>
      </c>
      <c r="AK62" s="66">
        <f>SUMIFS(Xero!$F:$F,Xero!$B:$B,Heron!AK$9,Xero!$A:$A,Heron!$A$4,Xero!$E:$E,Heron!$A62)+SUMIFS(Xero!$F:$F,Xero!$B:$B,Heron!AK$9,Xero!$A:$A,Heron!$A$5,Xero!$E:$E,Heron!$A62)</f>
        <v/>
      </c>
      <c r="AL62" s="66">
        <f>SUMIFS(Xero!$F:$F,Xero!$B:$B,Heron!AL$9,Xero!$A:$A,Heron!$A$4,Xero!$E:$E,Heron!$A62)+SUMIFS(Xero!$F:$F,Xero!$B:$B,Heron!AL$9,Xero!$A:$A,Heron!$A$5,Xero!$E:$E,Heron!$A62)</f>
        <v/>
      </c>
      <c r="AM62" s="66">
        <f>SUMIFS(Xero!$F:$F,Xero!$B:$B,Heron!AM$9,Xero!$A:$A,Heron!$A$4,Xero!$E:$E,Heron!$A62)+SUMIFS(Xero!$F:$F,Xero!$B:$B,Heron!AM$9,Xero!$A:$A,Heron!$A$5,Xero!$E:$E,Heron!$A62)</f>
        <v/>
      </c>
      <c r="AN62" s="66">
        <f>SUMIFS(Xero!$F:$F,Xero!$B:$B,Heron!AN$9,Xero!$A:$A,Heron!$A$4,Xero!$E:$E,Heron!$A62)+SUMIFS(Xero!$F:$F,Xero!$B:$B,Heron!AN$9,Xero!$A:$A,Heron!$A$5,Xero!$E:$E,Heron!$A62)</f>
        <v/>
      </c>
      <c r="AO62" s="66">
        <f>SUMIFS(Xero!$F:$F,Xero!$B:$B,Heron!AO$9,Xero!$A:$A,Heron!$A$4,Xero!$E:$E,Heron!$A62)+SUMIFS(Xero!$F:$F,Xero!$B:$B,Heron!AO$9,Xero!$A:$A,Heron!$A$5,Xero!$E:$E,Heron!$A62)</f>
        <v/>
      </c>
      <c r="AP62" s="66">
        <f>SUMIFS(Xero!$F:$F,Xero!$B:$B,Heron!AP$9,Xero!$A:$A,Heron!$A$4,Xero!$E:$E,Heron!$A62)+SUMIFS(Xero!$F:$F,Xero!$B:$B,Heron!AP$9,Xero!$A:$A,Heron!$A$5,Xero!$E:$E,Heron!$A62)</f>
        <v/>
      </c>
      <c r="AQ62" s="66">
        <f>SUMIFS(Xero!$F:$F,Xero!$B:$B,Heron!AQ$9,Xero!$A:$A,Heron!$A$4,Xero!$E:$E,Heron!$A62)+SUMIFS(Xero!$F:$F,Xero!$B:$B,Heron!AQ$9,Xero!$A:$A,Heron!$A$5,Xero!$E:$E,Heron!$A62)</f>
        <v/>
      </c>
      <c r="AR62" s="66">
        <f>SUMIFS(Xero!$F:$F,Xero!$B:$B,Heron!AR$9,Xero!$A:$A,Heron!$A$4,Xero!$E:$E,Heron!$A62)+SUMIFS(Xero!$F:$F,Xero!$B:$B,Heron!AR$9,Xero!$A:$A,Heron!$A$5,Xero!$E:$E,Heron!$A62)</f>
        <v/>
      </c>
      <c r="AS62" s="66">
        <f>SUMIFS(Xero!$F:$F,Xero!$B:$B,Heron!AS$9,Xero!$A:$A,Heron!$A$4,Xero!$E:$E,Heron!$A62)+SUMIFS(Xero!$F:$F,Xero!$B:$B,Heron!AS$9,Xero!$A:$A,Heron!$A$5,Xero!$E:$E,Heron!$A62)</f>
        <v/>
      </c>
      <c r="AT62" s="66">
        <f>SUMIFS(Xero!$F:$F,Xero!$B:$B,Heron!AT$9,Xero!$A:$A,Heron!$A$4,Xero!$E:$E,Heron!$A62)+SUMIFS(Xero!$F:$F,Xero!$B:$B,Heron!AT$9,Xero!$A:$A,Heron!$A$5,Xero!$E:$E,Heron!$A62)</f>
        <v/>
      </c>
      <c r="AU62" s="66">
        <f>SUMIFS(Xero!$F:$F,Xero!$B:$B,Heron!AU$9,Xero!$A:$A,Heron!$A$4,Xero!$E:$E,Heron!$A62)+SUMIFS(Xero!$F:$F,Xero!$B:$B,Heron!AU$9,Xero!$A:$A,Heron!$A$5,Xero!$E:$E,Heron!$A62)</f>
        <v/>
      </c>
      <c r="AV62" s="66">
        <f>SUMIFS(Xero!$F:$F,Xero!$B:$B,Heron!AV$9,Xero!$A:$A,Heron!$A$4,Xero!$E:$E,Heron!$A62)+SUMIFS(Xero!$F:$F,Xero!$B:$B,Heron!AV$9,Xero!$A:$A,Heron!$A$5,Xero!$E:$E,Heron!$A62)</f>
        <v/>
      </c>
      <c r="AW62" s="66">
        <f>SUMIFS(Xero!$F:$F,Xero!$B:$B,Heron!AW$9,Xero!$A:$A,Heron!$A$4,Xero!$E:$E,Heron!$A62)+SUMIFS(Xero!$F:$F,Xero!$B:$B,Heron!AW$9,Xero!$A:$A,Heron!$A$5,Xero!$E:$E,Heron!$A62)</f>
        <v/>
      </c>
      <c r="AX62" s="66">
        <f>SUMIFS(Xero!$F:$F,Xero!$B:$B,Heron!AX$9,Xero!$A:$A,Heron!$A$4,Xero!$E:$E,Heron!$A62)+SUMIFS(Xero!$F:$F,Xero!$B:$B,Heron!AX$9,Xero!$A:$A,Heron!$A$5,Xero!$E:$E,Heron!$A62)</f>
        <v/>
      </c>
      <c r="AY62" s="66">
        <f>SUMIFS(Xero!$F:$F,Xero!$B:$B,Heron!AY$9,Xero!$A:$A,Heron!$A$4,Xero!$E:$E,Heron!$A62)+SUMIFS(Xero!$F:$F,Xero!$B:$B,Heron!AY$9,Xero!$A:$A,Heron!$A$5,Xero!$E:$E,Heron!$A62)</f>
        <v/>
      </c>
      <c r="AZ62" s="66">
        <f>SUMIFS(Xero!$F:$F,Xero!$B:$B,Heron!AZ$9,Xero!$A:$A,Heron!$A$4,Xero!$E:$E,Heron!$A62)+SUMIFS(Xero!$F:$F,Xero!$B:$B,Heron!AZ$9,Xero!$A:$A,Heron!$A$5,Xero!$E:$E,Heron!$A62)</f>
        <v/>
      </c>
      <c r="BA62" s="66">
        <f>SUMIFS(Xero!$F:$F,Xero!$B:$B,Heron!BA$9,Xero!$A:$A,Heron!$A$4,Xero!$E:$E,Heron!$A62)+SUMIFS(Xero!$F:$F,Xero!$B:$B,Heron!BA$9,Xero!$A:$A,Heron!$A$5,Xero!$E:$E,Heron!$A62)</f>
        <v/>
      </c>
      <c r="BB62" s="66">
        <f>SUMIFS(Xero!$F:$F,Xero!$B:$B,Heron!BB$9,Xero!$A:$A,Heron!$A$4,Xero!$E:$E,Heron!$A62)+SUMIFS(Xero!$F:$F,Xero!$B:$B,Heron!BB$9,Xero!$A:$A,Heron!$A$5,Xero!$E:$E,Heron!$A62)</f>
        <v/>
      </c>
      <c r="BC62" s="66">
        <f>SUMIFS(Xero!$F:$F,Xero!$B:$B,Heron!BC$9,Xero!$A:$A,Heron!$A$4,Xero!$E:$E,Heron!$A62)+SUMIFS(Xero!$F:$F,Xero!$B:$B,Heron!BC$9,Xero!$A:$A,Heron!$A$5,Xero!$E:$E,Heron!$A62)</f>
        <v/>
      </c>
      <c r="BD62" s="66">
        <f>SUMIFS(Xero!$F:$F,Xero!$B:$B,Heron!BD$9,Xero!$A:$A,Heron!$A$4,Xero!$E:$E,Heron!$A62)+SUMIFS(Xero!$F:$F,Xero!$B:$B,Heron!BD$9,Xero!$A:$A,Heron!$A$5,Xero!$E:$E,Heron!$A62)</f>
        <v/>
      </c>
      <c r="BE62" s="66">
        <f>SUMIFS(Xero!$F:$F,Xero!$B:$B,Heron!BE$9,Xero!$A:$A,Heron!$A$4,Xero!$E:$E,Heron!$A62)+SUMIFS(Xero!$F:$F,Xero!$B:$B,Heron!BE$9,Xero!$A:$A,Heron!$A$5,Xero!$E:$E,Heron!$A62)</f>
        <v/>
      </c>
      <c r="BF62" s="66">
        <f>SUMIFS(Xero!$F:$F,Xero!$B:$B,Heron!BF$9,Xero!$A:$A,Heron!$A$4,Xero!$E:$E,Heron!$A62)+SUMIFS(Xero!$F:$F,Xero!$B:$B,Heron!BF$9,Xero!$A:$A,Heron!$A$5,Xero!$E:$E,Heron!$A62)</f>
        <v/>
      </c>
      <c r="BG62" s="66">
        <f>SUMIFS(Xero!$F:$F,Xero!$B:$B,Heron!BG$9,Xero!$A:$A,Heron!$A$4,Xero!$E:$E,Heron!$A62)+SUMIFS(Xero!$F:$F,Xero!$B:$B,Heron!BG$9,Xero!$A:$A,Heron!$A$5,Xero!$E:$E,Heron!$A62)</f>
        <v/>
      </c>
      <c r="BH62" s="66">
        <f>sum(D62:BG62)</f>
        <v/>
      </c>
    </row>
    <row r="63">
      <c r="A63" s="65" t="inlineStr">
        <is>
          <t>Developers Levies</t>
        </is>
      </c>
      <c r="D63" s="66">
        <f>SUMIFS(Xero!$F:$F,Xero!$B:$B,Heron!D$9,Xero!$A:$A,Heron!$A$4,Xero!$E:$E,Heron!$A63)+SUMIFS(Xero!$F:$F,Xero!$B:$B,Heron!D$9,Xero!$A:$A,Heron!$A$5,Xero!$E:$E,Heron!$A63)</f>
        <v/>
      </c>
      <c r="E63" s="66">
        <f>SUMIFS(Xero!$F:$F,Xero!$B:$B,Heron!E$9,Xero!$A:$A,Heron!$A$4,Xero!$E:$E,Heron!$A63)+SUMIFS(Xero!$F:$F,Xero!$B:$B,Heron!E$9,Xero!$A:$A,Heron!$A$5,Xero!$E:$E,Heron!$A63)</f>
        <v/>
      </c>
      <c r="F63" s="66">
        <f>SUMIFS(Xero!$F:$F,Xero!$B:$B,Heron!F$9,Xero!$A:$A,Heron!$A$4,Xero!$E:$E,Heron!$A63)+SUMIFS(Xero!$F:$F,Xero!$B:$B,Heron!F$9,Xero!$A:$A,Heron!$A$5,Xero!$E:$E,Heron!$A63)</f>
        <v/>
      </c>
      <c r="G63" s="66">
        <f>SUMIFS(Xero!$F:$F,Xero!$B:$B,Heron!G$9,Xero!$A:$A,Heron!$A$4,Xero!$E:$E,Heron!$A63)+SUMIFS(Xero!$F:$F,Xero!$B:$B,Heron!G$9,Xero!$A:$A,Heron!$A$5,Xero!$E:$E,Heron!$A63)</f>
        <v/>
      </c>
      <c r="H63" s="66">
        <f>SUMIFS(Xero!$F:$F,Xero!$B:$B,Heron!H$9,Xero!$A:$A,Heron!$A$4,Xero!$E:$E,Heron!$A63)+SUMIFS(Xero!$F:$F,Xero!$B:$B,Heron!H$9,Xero!$A:$A,Heron!$A$5,Xero!$E:$E,Heron!$A63)</f>
        <v/>
      </c>
      <c r="I63" s="66">
        <f>SUMIFS(Xero!$F:$F,Xero!$B:$B,Heron!I$9,Xero!$A:$A,Heron!$A$4,Xero!$E:$E,Heron!$A63)+SUMIFS(Xero!$F:$F,Xero!$B:$B,Heron!I$9,Xero!$A:$A,Heron!$A$5,Xero!$E:$E,Heron!$A63)</f>
        <v/>
      </c>
      <c r="J63" s="66">
        <f>SUMIFS(Xero!$F:$F,Xero!$B:$B,Heron!J$9,Xero!$A:$A,Heron!$A$4,Xero!$E:$E,Heron!$A63)+SUMIFS(Xero!$F:$F,Xero!$B:$B,Heron!J$9,Xero!$A:$A,Heron!$A$5,Xero!$E:$E,Heron!$A63)</f>
        <v/>
      </c>
      <c r="K63" s="66">
        <f>SUMIFS(Xero!$F:$F,Xero!$B:$B,Heron!K$9,Xero!$A:$A,Heron!$A$4,Xero!$E:$E,Heron!$A63)+SUMIFS(Xero!$F:$F,Xero!$B:$B,Heron!K$9,Xero!$A:$A,Heron!$A$5,Xero!$E:$E,Heron!$A63)</f>
        <v/>
      </c>
      <c r="L63" s="66">
        <f>SUMIFS(Xero!$F:$F,Xero!$B:$B,Heron!L$9,Xero!$A:$A,Heron!$A$4,Xero!$E:$E,Heron!$A63)+SUMIFS(Xero!$F:$F,Xero!$B:$B,Heron!L$9,Xero!$A:$A,Heron!$A$5,Xero!$E:$E,Heron!$A63)</f>
        <v/>
      </c>
      <c r="M63" s="66">
        <f>SUMIFS(Xero!$F:$F,Xero!$B:$B,Heron!M$9,Xero!$A:$A,Heron!$A$4,Xero!$E:$E,Heron!$A63)+SUMIFS(Xero!$F:$F,Xero!$B:$B,Heron!M$9,Xero!$A:$A,Heron!$A$5,Xero!$E:$E,Heron!$A63)</f>
        <v/>
      </c>
      <c r="N63" s="66">
        <f>SUMIFS(Xero!$F:$F,Xero!$B:$B,Heron!N$9,Xero!$A:$A,Heron!$A$4,Xero!$E:$E,Heron!$A63)+SUMIFS(Xero!$F:$F,Xero!$B:$B,Heron!N$9,Xero!$A:$A,Heron!$A$5,Xero!$E:$E,Heron!$A63)</f>
        <v/>
      </c>
      <c r="O63" s="66">
        <f>SUMIFS(Xero!$F:$F,Xero!$B:$B,Heron!O$9,Xero!$A:$A,Heron!$A$4,Xero!$E:$E,Heron!$A63)+SUMIFS(Xero!$F:$F,Xero!$B:$B,Heron!O$9,Xero!$A:$A,Heron!$A$5,Xero!$E:$E,Heron!$A63)</f>
        <v/>
      </c>
      <c r="P63" s="66">
        <f>SUMIFS(Xero!$F:$F,Xero!$B:$B,Heron!P$9,Xero!$A:$A,Heron!$A$4,Xero!$E:$E,Heron!$A63)+SUMIFS(Xero!$F:$F,Xero!$B:$B,Heron!P$9,Xero!$A:$A,Heron!$A$5,Xero!$E:$E,Heron!$A63)</f>
        <v/>
      </c>
      <c r="Q63" s="66">
        <f>SUMIFS(Xero!$F:$F,Xero!$B:$B,Heron!Q$9,Xero!$A:$A,Heron!$A$4,Xero!$E:$E,Heron!$A63)+SUMIFS(Xero!$F:$F,Xero!$B:$B,Heron!Q$9,Xero!$A:$A,Heron!$A$5,Xero!$E:$E,Heron!$A63)</f>
        <v/>
      </c>
      <c r="R63" s="66">
        <f>SUMIFS(Xero!$F:$F,Xero!$B:$B,Heron!R$9,Xero!$A:$A,Heron!$A$4,Xero!$E:$E,Heron!$A63)+SUMIFS(Xero!$F:$F,Xero!$B:$B,Heron!R$9,Xero!$A:$A,Heron!$A$5,Xero!$E:$E,Heron!$A63)</f>
        <v/>
      </c>
      <c r="S63" s="66">
        <f>SUMIFS(Xero!$F:$F,Xero!$B:$B,Heron!S$9,Xero!$A:$A,Heron!$A$4,Xero!$E:$E,Heron!$A63)+SUMIFS(Xero!$F:$F,Xero!$B:$B,Heron!S$9,Xero!$A:$A,Heron!$A$5,Xero!$E:$E,Heron!$A63)</f>
        <v/>
      </c>
      <c r="T63" s="66">
        <f>SUMIFS(Xero!$F:$F,Xero!$B:$B,Heron!T$9,Xero!$A:$A,Heron!$A$4,Xero!$E:$E,Heron!$A63)+SUMIFS(Xero!$F:$F,Xero!$B:$B,Heron!T$9,Xero!$A:$A,Heron!$A$5,Xero!$E:$E,Heron!$A63)</f>
        <v/>
      </c>
      <c r="U63" s="66">
        <f>SUMIFS(Xero!$F:$F,Xero!$B:$B,Heron!U$9,Xero!$A:$A,Heron!$A$4,Xero!$E:$E,Heron!$A63)+SUMIFS(Xero!$F:$F,Xero!$B:$B,Heron!U$9,Xero!$A:$A,Heron!$A$5,Xero!$E:$E,Heron!$A63)</f>
        <v/>
      </c>
      <c r="V63" s="66">
        <f>SUMIFS(Xero!$F:$F,Xero!$B:$B,Heron!V$9,Xero!$A:$A,Heron!$A$4,Xero!$E:$E,Heron!$A63)+SUMIFS(Xero!$F:$F,Xero!$B:$B,Heron!V$9,Xero!$A:$A,Heron!$A$5,Xero!$E:$E,Heron!$A63)</f>
        <v/>
      </c>
      <c r="W63" s="66">
        <f>SUMIFS(Xero!$F:$F,Xero!$B:$B,Heron!W$9,Xero!$A:$A,Heron!$A$4,Xero!$E:$E,Heron!$A63)+SUMIFS(Xero!$F:$F,Xero!$B:$B,Heron!W$9,Xero!$A:$A,Heron!$A$5,Xero!$E:$E,Heron!$A63)</f>
        <v/>
      </c>
      <c r="X63" s="66">
        <f>SUMIFS(Xero!$F:$F,Xero!$B:$B,Heron!X$9,Xero!$A:$A,Heron!$A$4,Xero!$E:$E,Heron!$A63)+SUMIFS(Xero!$F:$F,Xero!$B:$B,Heron!X$9,Xero!$A:$A,Heron!$A$5,Xero!$E:$E,Heron!$A63)</f>
        <v/>
      </c>
      <c r="Y63" s="66">
        <f>SUMIFS(Xero!$F:$F,Xero!$B:$B,Heron!Y$9,Xero!$A:$A,Heron!$A$4,Xero!$E:$E,Heron!$A63)+SUMIFS(Xero!$F:$F,Xero!$B:$B,Heron!Y$9,Xero!$A:$A,Heron!$A$5,Xero!$E:$E,Heron!$A63)</f>
        <v/>
      </c>
      <c r="Z63" s="66">
        <f>SUMIFS(Xero!$F:$F,Xero!$B:$B,Heron!Z$9,Xero!$A:$A,Heron!$A$4,Xero!$E:$E,Heron!$A63)+SUMIFS(Xero!$F:$F,Xero!$B:$B,Heron!Z$9,Xero!$A:$A,Heron!$A$5,Xero!$E:$E,Heron!$A63)</f>
        <v/>
      </c>
      <c r="AA63" s="66">
        <f>SUMIFS(Xero!$F:$F,Xero!$B:$B,Heron!AA$9,Xero!$A:$A,Heron!$A$4,Xero!$E:$E,Heron!$A63)+SUMIFS(Xero!$F:$F,Xero!$B:$B,Heron!AA$9,Xero!$A:$A,Heron!$A$5,Xero!$E:$E,Heron!$A63)</f>
        <v/>
      </c>
      <c r="AB63" s="66">
        <f>SUMIFS(Xero!$F:$F,Xero!$B:$B,Heron!AB$9,Xero!$A:$A,Heron!$A$4,Xero!$E:$E,Heron!$A63)+SUMIFS(Xero!$F:$F,Xero!$B:$B,Heron!AB$9,Xero!$A:$A,Heron!$A$5,Xero!$E:$E,Heron!$A63)</f>
        <v/>
      </c>
      <c r="AC63" s="66">
        <f>SUMIFS(Xero!$F:$F,Xero!$B:$B,Heron!AC$9,Xero!$A:$A,Heron!$A$4,Xero!$E:$E,Heron!$A63)+SUMIFS(Xero!$F:$F,Xero!$B:$B,Heron!AC$9,Xero!$A:$A,Heron!$A$5,Xero!$E:$E,Heron!$A63)</f>
        <v/>
      </c>
      <c r="AD63" s="66">
        <f>SUMIFS(Xero!$F:$F,Xero!$B:$B,Heron!AD$9,Xero!$A:$A,Heron!$A$4,Xero!$E:$E,Heron!$A63)+SUMIFS(Xero!$F:$F,Xero!$B:$B,Heron!AD$9,Xero!$A:$A,Heron!$A$5,Xero!$E:$E,Heron!$A63)</f>
        <v/>
      </c>
      <c r="AE63" s="66">
        <f>SUMIFS(Xero!$F:$F,Xero!$B:$B,Heron!AE$9,Xero!$A:$A,Heron!$A$4,Xero!$E:$E,Heron!$A63)+SUMIFS(Xero!$F:$F,Xero!$B:$B,Heron!AE$9,Xero!$A:$A,Heron!$A$5,Xero!$E:$E,Heron!$A63)</f>
        <v/>
      </c>
      <c r="AF63" s="66">
        <f>SUMIFS(Xero!$F:$F,Xero!$B:$B,Heron!AF$9,Xero!$A:$A,Heron!$A$4,Xero!$E:$E,Heron!$A63)+SUMIFS(Xero!$F:$F,Xero!$B:$B,Heron!AF$9,Xero!$A:$A,Heron!$A$5,Xero!$E:$E,Heron!$A63)</f>
        <v/>
      </c>
      <c r="AG63" s="66">
        <f>SUMIFS(Xero!$F:$F,Xero!$B:$B,Heron!AG$9,Xero!$A:$A,Heron!$A$4,Xero!$E:$E,Heron!$A63)+SUMIFS(Xero!$F:$F,Xero!$B:$B,Heron!AG$9,Xero!$A:$A,Heron!$A$5,Xero!$E:$E,Heron!$A63)</f>
        <v/>
      </c>
      <c r="AH63" s="66">
        <f>SUMIFS(Xero!$F:$F,Xero!$B:$B,Heron!AH$9,Xero!$A:$A,Heron!$A$4,Xero!$E:$E,Heron!$A63)+SUMIFS(Xero!$F:$F,Xero!$B:$B,Heron!AH$9,Xero!$A:$A,Heron!$A$5,Xero!$E:$E,Heron!$A63)</f>
        <v/>
      </c>
      <c r="AI63" s="66">
        <f>SUMIFS(Xero!$F:$F,Xero!$B:$B,Heron!AI$9,Xero!$A:$A,Heron!$A$4,Xero!$E:$E,Heron!$A63)+SUMIFS(Xero!$F:$F,Xero!$B:$B,Heron!AI$9,Xero!$A:$A,Heron!$A$5,Xero!$E:$E,Heron!$A63)</f>
        <v/>
      </c>
      <c r="AJ63" s="66">
        <f>SUMIFS(Xero!$F:$F,Xero!$B:$B,Heron!AJ$9,Xero!$A:$A,Heron!$A$4,Xero!$E:$E,Heron!$A63)+SUMIFS(Xero!$F:$F,Xero!$B:$B,Heron!AJ$9,Xero!$A:$A,Heron!$A$5,Xero!$E:$E,Heron!$A63)</f>
        <v/>
      </c>
      <c r="AK63" s="66">
        <f>SUMIFS(Xero!$F:$F,Xero!$B:$B,Heron!AK$9,Xero!$A:$A,Heron!$A$4,Xero!$E:$E,Heron!$A63)+SUMIFS(Xero!$F:$F,Xero!$B:$B,Heron!AK$9,Xero!$A:$A,Heron!$A$5,Xero!$E:$E,Heron!$A63)</f>
        <v/>
      </c>
      <c r="AL63" s="66">
        <f>SUMIFS(Xero!$F:$F,Xero!$B:$B,Heron!AL$9,Xero!$A:$A,Heron!$A$4,Xero!$E:$E,Heron!$A63)+SUMIFS(Xero!$F:$F,Xero!$B:$B,Heron!AL$9,Xero!$A:$A,Heron!$A$5,Xero!$E:$E,Heron!$A63)</f>
        <v/>
      </c>
      <c r="AM63" s="66">
        <f>SUMIFS(Xero!$F:$F,Xero!$B:$B,Heron!AM$9,Xero!$A:$A,Heron!$A$4,Xero!$E:$E,Heron!$A63)+SUMIFS(Xero!$F:$F,Xero!$B:$B,Heron!AM$9,Xero!$A:$A,Heron!$A$5,Xero!$E:$E,Heron!$A63)</f>
        <v/>
      </c>
      <c r="AN63" s="66">
        <f>SUMIFS(Xero!$F:$F,Xero!$B:$B,Heron!AN$9,Xero!$A:$A,Heron!$A$4,Xero!$E:$E,Heron!$A63)+SUMIFS(Xero!$F:$F,Xero!$B:$B,Heron!AN$9,Xero!$A:$A,Heron!$A$5,Xero!$E:$E,Heron!$A63)</f>
        <v/>
      </c>
      <c r="AO63" s="66">
        <f>SUMIFS(Xero!$F:$F,Xero!$B:$B,Heron!AO$9,Xero!$A:$A,Heron!$A$4,Xero!$E:$E,Heron!$A63)+SUMIFS(Xero!$F:$F,Xero!$B:$B,Heron!AO$9,Xero!$A:$A,Heron!$A$5,Xero!$E:$E,Heron!$A63)</f>
        <v/>
      </c>
      <c r="AP63" s="66">
        <f>SUMIFS(Xero!$F:$F,Xero!$B:$B,Heron!AP$9,Xero!$A:$A,Heron!$A$4,Xero!$E:$E,Heron!$A63)+SUMIFS(Xero!$F:$F,Xero!$B:$B,Heron!AP$9,Xero!$A:$A,Heron!$A$5,Xero!$E:$E,Heron!$A63)</f>
        <v/>
      </c>
      <c r="AQ63" s="66">
        <f>SUMIFS(Xero!$F:$F,Xero!$B:$B,Heron!AQ$9,Xero!$A:$A,Heron!$A$4,Xero!$E:$E,Heron!$A63)+SUMIFS(Xero!$F:$F,Xero!$B:$B,Heron!AQ$9,Xero!$A:$A,Heron!$A$5,Xero!$E:$E,Heron!$A63)</f>
        <v/>
      </c>
      <c r="AR63" s="66">
        <f>SUMIFS(Xero!$F:$F,Xero!$B:$B,Heron!AR$9,Xero!$A:$A,Heron!$A$4,Xero!$E:$E,Heron!$A63)+SUMIFS(Xero!$F:$F,Xero!$B:$B,Heron!AR$9,Xero!$A:$A,Heron!$A$5,Xero!$E:$E,Heron!$A63)</f>
        <v/>
      </c>
      <c r="AS63" s="66">
        <f>SUMIFS(Xero!$F:$F,Xero!$B:$B,Heron!AS$9,Xero!$A:$A,Heron!$A$4,Xero!$E:$E,Heron!$A63)+SUMIFS(Xero!$F:$F,Xero!$B:$B,Heron!AS$9,Xero!$A:$A,Heron!$A$5,Xero!$E:$E,Heron!$A63)</f>
        <v/>
      </c>
      <c r="AT63" s="66">
        <f>SUMIFS(Xero!$F:$F,Xero!$B:$B,Heron!AT$9,Xero!$A:$A,Heron!$A$4,Xero!$E:$E,Heron!$A63)+SUMIFS(Xero!$F:$F,Xero!$B:$B,Heron!AT$9,Xero!$A:$A,Heron!$A$5,Xero!$E:$E,Heron!$A63)</f>
        <v/>
      </c>
      <c r="AU63" s="66">
        <f>SUMIFS(Xero!$F:$F,Xero!$B:$B,Heron!AU$9,Xero!$A:$A,Heron!$A$4,Xero!$E:$E,Heron!$A63)+SUMIFS(Xero!$F:$F,Xero!$B:$B,Heron!AU$9,Xero!$A:$A,Heron!$A$5,Xero!$E:$E,Heron!$A63)</f>
        <v/>
      </c>
      <c r="AV63" s="66">
        <f>SUMIFS(Xero!$F:$F,Xero!$B:$B,Heron!AV$9,Xero!$A:$A,Heron!$A$4,Xero!$E:$E,Heron!$A63)+SUMIFS(Xero!$F:$F,Xero!$B:$B,Heron!AV$9,Xero!$A:$A,Heron!$A$5,Xero!$E:$E,Heron!$A63)</f>
        <v/>
      </c>
      <c r="AW63" s="66">
        <f>SUMIFS(Xero!$F:$F,Xero!$B:$B,Heron!AW$9,Xero!$A:$A,Heron!$A$4,Xero!$E:$E,Heron!$A63)+SUMIFS(Xero!$F:$F,Xero!$B:$B,Heron!AW$9,Xero!$A:$A,Heron!$A$5,Xero!$E:$E,Heron!$A63)</f>
        <v/>
      </c>
      <c r="AX63" s="66">
        <f>SUMIFS(Xero!$F:$F,Xero!$B:$B,Heron!AX$9,Xero!$A:$A,Heron!$A$4,Xero!$E:$E,Heron!$A63)+SUMIFS(Xero!$F:$F,Xero!$B:$B,Heron!AX$9,Xero!$A:$A,Heron!$A$5,Xero!$E:$E,Heron!$A63)</f>
        <v/>
      </c>
      <c r="AY63" s="66">
        <f>SUMIFS(Xero!$F:$F,Xero!$B:$B,Heron!AY$9,Xero!$A:$A,Heron!$A$4,Xero!$E:$E,Heron!$A63)+SUMIFS(Xero!$F:$F,Xero!$B:$B,Heron!AY$9,Xero!$A:$A,Heron!$A$5,Xero!$E:$E,Heron!$A63)</f>
        <v/>
      </c>
      <c r="AZ63" s="66">
        <f>SUMIFS(Xero!$F:$F,Xero!$B:$B,Heron!AZ$9,Xero!$A:$A,Heron!$A$4,Xero!$E:$E,Heron!$A63)+SUMIFS(Xero!$F:$F,Xero!$B:$B,Heron!AZ$9,Xero!$A:$A,Heron!$A$5,Xero!$E:$E,Heron!$A63)</f>
        <v/>
      </c>
      <c r="BA63" s="66">
        <f>SUMIFS(Xero!$F:$F,Xero!$B:$B,Heron!BA$9,Xero!$A:$A,Heron!$A$4,Xero!$E:$E,Heron!$A63)+SUMIFS(Xero!$F:$F,Xero!$B:$B,Heron!BA$9,Xero!$A:$A,Heron!$A$5,Xero!$E:$E,Heron!$A63)</f>
        <v/>
      </c>
      <c r="BB63" s="66">
        <f>SUMIFS(Xero!$F:$F,Xero!$B:$B,Heron!BB$9,Xero!$A:$A,Heron!$A$4,Xero!$E:$E,Heron!$A63)+SUMIFS(Xero!$F:$F,Xero!$B:$B,Heron!BB$9,Xero!$A:$A,Heron!$A$5,Xero!$E:$E,Heron!$A63)</f>
        <v/>
      </c>
      <c r="BC63" s="66">
        <f>SUMIFS(Xero!$F:$F,Xero!$B:$B,Heron!BC$9,Xero!$A:$A,Heron!$A$4,Xero!$E:$E,Heron!$A63)+SUMIFS(Xero!$F:$F,Xero!$B:$B,Heron!BC$9,Xero!$A:$A,Heron!$A$5,Xero!$E:$E,Heron!$A63)</f>
        <v/>
      </c>
      <c r="BD63" s="66">
        <f>SUMIFS(Xero!$F:$F,Xero!$B:$B,Heron!BD$9,Xero!$A:$A,Heron!$A$4,Xero!$E:$E,Heron!$A63)+SUMIFS(Xero!$F:$F,Xero!$B:$B,Heron!BD$9,Xero!$A:$A,Heron!$A$5,Xero!$E:$E,Heron!$A63)</f>
        <v/>
      </c>
      <c r="BE63" s="66">
        <f>SUMIFS(Xero!$F:$F,Xero!$B:$B,Heron!BE$9,Xero!$A:$A,Heron!$A$4,Xero!$E:$E,Heron!$A63)+SUMIFS(Xero!$F:$F,Xero!$B:$B,Heron!BE$9,Xero!$A:$A,Heron!$A$5,Xero!$E:$E,Heron!$A63)</f>
        <v/>
      </c>
      <c r="BF63" s="66">
        <f>SUMIFS(Xero!$F:$F,Xero!$B:$B,Heron!BF$9,Xero!$A:$A,Heron!$A$4,Xero!$E:$E,Heron!$A63)+SUMIFS(Xero!$F:$F,Xero!$B:$B,Heron!BF$9,Xero!$A:$A,Heron!$A$5,Xero!$E:$E,Heron!$A63)</f>
        <v/>
      </c>
      <c r="BG63" s="66">
        <f>SUMIFS(Xero!$F:$F,Xero!$B:$B,Heron!BG$9,Xero!$A:$A,Heron!$A$4,Xero!$E:$E,Heron!$A63)+SUMIFS(Xero!$F:$F,Xero!$B:$B,Heron!BG$9,Xero!$A:$A,Heron!$A$5,Xero!$E:$E,Heron!$A63)</f>
        <v/>
      </c>
      <c r="BH63" s="66">
        <f>sum(D63:BG63)</f>
        <v/>
      </c>
    </row>
    <row r="64">
      <c r="A64" s="65" t="inlineStr">
        <is>
          <t>Entertainment Expenses</t>
        </is>
      </c>
      <c r="D64" s="66">
        <f>SUMIFS(Xero!$F:$F,Xero!$B:$B,Heron!D$9,Xero!$A:$A,Heron!$A$4,Xero!$E:$E,Heron!$A64)+SUMIFS(Xero!$F:$F,Xero!$B:$B,Heron!D$9,Xero!$A:$A,Heron!$A$5,Xero!$E:$E,Heron!$A64)</f>
        <v/>
      </c>
      <c r="E64" s="66">
        <f>SUMIFS(Xero!$F:$F,Xero!$B:$B,Heron!E$9,Xero!$A:$A,Heron!$A$4,Xero!$E:$E,Heron!$A64)+SUMIFS(Xero!$F:$F,Xero!$B:$B,Heron!E$9,Xero!$A:$A,Heron!$A$5,Xero!$E:$E,Heron!$A64)</f>
        <v/>
      </c>
      <c r="F64" s="66">
        <f>SUMIFS(Xero!$F:$F,Xero!$B:$B,Heron!F$9,Xero!$A:$A,Heron!$A$4,Xero!$E:$E,Heron!$A64)+SUMIFS(Xero!$F:$F,Xero!$B:$B,Heron!F$9,Xero!$A:$A,Heron!$A$5,Xero!$E:$E,Heron!$A64)</f>
        <v/>
      </c>
      <c r="G64" s="66">
        <f>SUMIFS(Xero!$F:$F,Xero!$B:$B,Heron!G$9,Xero!$A:$A,Heron!$A$4,Xero!$E:$E,Heron!$A64)+SUMIFS(Xero!$F:$F,Xero!$B:$B,Heron!G$9,Xero!$A:$A,Heron!$A$5,Xero!$E:$E,Heron!$A64)</f>
        <v/>
      </c>
      <c r="H64" s="66">
        <f>SUMIFS(Xero!$F:$F,Xero!$B:$B,Heron!H$9,Xero!$A:$A,Heron!$A$4,Xero!$E:$E,Heron!$A64)+SUMIFS(Xero!$F:$F,Xero!$B:$B,Heron!H$9,Xero!$A:$A,Heron!$A$5,Xero!$E:$E,Heron!$A64)</f>
        <v/>
      </c>
      <c r="I64" s="66">
        <f>SUMIFS(Xero!$F:$F,Xero!$B:$B,Heron!I$9,Xero!$A:$A,Heron!$A$4,Xero!$E:$E,Heron!$A64)+SUMIFS(Xero!$F:$F,Xero!$B:$B,Heron!I$9,Xero!$A:$A,Heron!$A$5,Xero!$E:$E,Heron!$A64)</f>
        <v/>
      </c>
      <c r="J64" s="66">
        <f>SUMIFS(Xero!$F:$F,Xero!$B:$B,Heron!J$9,Xero!$A:$A,Heron!$A$4,Xero!$E:$E,Heron!$A64)+SUMIFS(Xero!$F:$F,Xero!$B:$B,Heron!J$9,Xero!$A:$A,Heron!$A$5,Xero!$E:$E,Heron!$A64)</f>
        <v/>
      </c>
      <c r="K64" s="66">
        <f>SUMIFS(Xero!$F:$F,Xero!$B:$B,Heron!K$9,Xero!$A:$A,Heron!$A$4,Xero!$E:$E,Heron!$A64)+SUMIFS(Xero!$F:$F,Xero!$B:$B,Heron!K$9,Xero!$A:$A,Heron!$A$5,Xero!$E:$E,Heron!$A64)</f>
        <v/>
      </c>
      <c r="L64" s="66">
        <f>SUMIFS(Xero!$F:$F,Xero!$B:$B,Heron!L$9,Xero!$A:$A,Heron!$A$4,Xero!$E:$E,Heron!$A64)+SUMIFS(Xero!$F:$F,Xero!$B:$B,Heron!L$9,Xero!$A:$A,Heron!$A$5,Xero!$E:$E,Heron!$A64)</f>
        <v/>
      </c>
      <c r="M64" s="66">
        <f>SUMIFS(Xero!$F:$F,Xero!$B:$B,Heron!M$9,Xero!$A:$A,Heron!$A$4,Xero!$E:$E,Heron!$A64)+SUMIFS(Xero!$F:$F,Xero!$B:$B,Heron!M$9,Xero!$A:$A,Heron!$A$5,Xero!$E:$E,Heron!$A64)</f>
        <v/>
      </c>
      <c r="N64" s="66">
        <f>SUMIFS(Xero!$F:$F,Xero!$B:$B,Heron!N$9,Xero!$A:$A,Heron!$A$4,Xero!$E:$E,Heron!$A64)+SUMIFS(Xero!$F:$F,Xero!$B:$B,Heron!N$9,Xero!$A:$A,Heron!$A$5,Xero!$E:$E,Heron!$A64)</f>
        <v/>
      </c>
      <c r="O64" s="66">
        <f>SUMIFS(Xero!$F:$F,Xero!$B:$B,Heron!O$9,Xero!$A:$A,Heron!$A$4,Xero!$E:$E,Heron!$A64)+SUMIFS(Xero!$F:$F,Xero!$B:$B,Heron!O$9,Xero!$A:$A,Heron!$A$5,Xero!$E:$E,Heron!$A64)</f>
        <v/>
      </c>
      <c r="P64" s="66">
        <f>SUMIFS(Xero!$F:$F,Xero!$B:$B,Heron!P$9,Xero!$A:$A,Heron!$A$4,Xero!$E:$E,Heron!$A64)+SUMIFS(Xero!$F:$F,Xero!$B:$B,Heron!P$9,Xero!$A:$A,Heron!$A$5,Xero!$E:$E,Heron!$A64)</f>
        <v/>
      </c>
      <c r="Q64" s="66">
        <f>SUMIFS(Xero!$F:$F,Xero!$B:$B,Heron!Q$9,Xero!$A:$A,Heron!$A$4,Xero!$E:$E,Heron!$A64)+SUMIFS(Xero!$F:$F,Xero!$B:$B,Heron!Q$9,Xero!$A:$A,Heron!$A$5,Xero!$E:$E,Heron!$A64)</f>
        <v/>
      </c>
      <c r="R64" s="66">
        <f>SUMIFS(Xero!$F:$F,Xero!$B:$B,Heron!R$9,Xero!$A:$A,Heron!$A$4,Xero!$E:$E,Heron!$A64)+SUMIFS(Xero!$F:$F,Xero!$B:$B,Heron!R$9,Xero!$A:$A,Heron!$A$5,Xero!$E:$E,Heron!$A64)</f>
        <v/>
      </c>
      <c r="S64" s="66">
        <f>SUMIFS(Xero!$F:$F,Xero!$B:$B,Heron!S$9,Xero!$A:$A,Heron!$A$4,Xero!$E:$E,Heron!$A64)+SUMIFS(Xero!$F:$F,Xero!$B:$B,Heron!S$9,Xero!$A:$A,Heron!$A$5,Xero!$E:$E,Heron!$A64)</f>
        <v/>
      </c>
      <c r="T64" s="66">
        <f>SUMIFS(Xero!$F:$F,Xero!$B:$B,Heron!T$9,Xero!$A:$A,Heron!$A$4,Xero!$E:$E,Heron!$A64)+SUMIFS(Xero!$F:$F,Xero!$B:$B,Heron!T$9,Xero!$A:$A,Heron!$A$5,Xero!$E:$E,Heron!$A64)</f>
        <v/>
      </c>
      <c r="U64" s="66">
        <f>SUMIFS(Xero!$F:$F,Xero!$B:$B,Heron!U$9,Xero!$A:$A,Heron!$A$4,Xero!$E:$E,Heron!$A64)+SUMIFS(Xero!$F:$F,Xero!$B:$B,Heron!U$9,Xero!$A:$A,Heron!$A$5,Xero!$E:$E,Heron!$A64)</f>
        <v/>
      </c>
      <c r="V64" s="66">
        <f>SUMIFS(Xero!$F:$F,Xero!$B:$B,Heron!V$9,Xero!$A:$A,Heron!$A$4,Xero!$E:$E,Heron!$A64)+SUMIFS(Xero!$F:$F,Xero!$B:$B,Heron!V$9,Xero!$A:$A,Heron!$A$5,Xero!$E:$E,Heron!$A64)</f>
        <v/>
      </c>
      <c r="W64" s="66">
        <f>SUMIFS(Xero!$F:$F,Xero!$B:$B,Heron!W$9,Xero!$A:$A,Heron!$A$4,Xero!$E:$E,Heron!$A64)+SUMIFS(Xero!$F:$F,Xero!$B:$B,Heron!W$9,Xero!$A:$A,Heron!$A$5,Xero!$E:$E,Heron!$A64)</f>
        <v/>
      </c>
      <c r="X64" s="66">
        <f>SUMIFS(Xero!$F:$F,Xero!$B:$B,Heron!X$9,Xero!$A:$A,Heron!$A$4,Xero!$E:$E,Heron!$A64)+SUMIFS(Xero!$F:$F,Xero!$B:$B,Heron!X$9,Xero!$A:$A,Heron!$A$5,Xero!$E:$E,Heron!$A64)</f>
        <v/>
      </c>
      <c r="Y64" s="66">
        <f>SUMIFS(Xero!$F:$F,Xero!$B:$B,Heron!Y$9,Xero!$A:$A,Heron!$A$4,Xero!$E:$E,Heron!$A64)+SUMIFS(Xero!$F:$F,Xero!$B:$B,Heron!Y$9,Xero!$A:$A,Heron!$A$5,Xero!$E:$E,Heron!$A64)</f>
        <v/>
      </c>
      <c r="Z64" s="66">
        <f>SUMIFS(Xero!$F:$F,Xero!$B:$B,Heron!Z$9,Xero!$A:$A,Heron!$A$4,Xero!$E:$E,Heron!$A64)+SUMIFS(Xero!$F:$F,Xero!$B:$B,Heron!Z$9,Xero!$A:$A,Heron!$A$5,Xero!$E:$E,Heron!$A64)</f>
        <v/>
      </c>
      <c r="AA64" s="66">
        <f>SUMIFS(Xero!$F:$F,Xero!$B:$B,Heron!AA$9,Xero!$A:$A,Heron!$A$4,Xero!$E:$E,Heron!$A64)+SUMIFS(Xero!$F:$F,Xero!$B:$B,Heron!AA$9,Xero!$A:$A,Heron!$A$5,Xero!$E:$E,Heron!$A64)</f>
        <v/>
      </c>
      <c r="AB64" s="66">
        <f>SUMIFS(Xero!$F:$F,Xero!$B:$B,Heron!AB$9,Xero!$A:$A,Heron!$A$4,Xero!$E:$E,Heron!$A64)+SUMIFS(Xero!$F:$F,Xero!$B:$B,Heron!AB$9,Xero!$A:$A,Heron!$A$5,Xero!$E:$E,Heron!$A64)</f>
        <v/>
      </c>
      <c r="AC64" s="66">
        <f>SUMIFS(Xero!$F:$F,Xero!$B:$B,Heron!AC$9,Xero!$A:$A,Heron!$A$4,Xero!$E:$E,Heron!$A64)+SUMIFS(Xero!$F:$F,Xero!$B:$B,Heron!AC$9,Xero!$A:$A,Heron!$A$5,Xero!$E:$E,Heron!$A64)</f>
        <v/>
      </c>
      <c r="AD64" s="66">
        <f>SUMIFS(Xero!$F:$F,Xero!$B:$B,Heron!AD$9,Xero!$A:$A,Heron!$A$4,Xero!$E:$E,Heron!$A64)+SUMIFS(Xero!$F:$F,Xero!$B:$B,Heron!AD$9,Xero!$A:$A,Heron!$A$5,Xero!$E:$E,Heron!$A64)</f>
        <v/>
      </c>
      <c r="AE64" s="66">
        <f>SUMIFS(Xero!$F:$F,Xero!$B:$B,Heron!AE$9,Xero!$A:$A,Heron!$A$4,Xero!$E:$E,Heron!$A64)+SUMIFS(Xero!$F:$F,Xero!$B:$B,Heron!AE$9,Xero!$A:$A,Heron!$A$5,Xero!$E:$E,Heron!$A64)</f>
        <v/>
      </c>
      <c r="AF64" s="66">
        <f>SUMIFS(Xero!$F:$F,Xero!$B:$B,Heron!AF$9,Xero!$A:$A,Heron!$A$4,Xero!$E:$E,Heron!$A64)+SUMIFS(Xero!$F:$F,Xero!$B:$B,Heron!AF$9,Xero!$A:$A,Heron!$A$5,Xero!$E:$E,Heron!$A64)</f>
        <v/>
      </c>
      <c r="AG64" s="66">
        <f>SUMIFS(Xero!$F:$F,Xero!$B:$B,Heron!AG$9,Xero!$A:$A,Heron!$A$4,Xero!$E:$E,Heron!$A64)+SUMIFS(Xero!$F:$F,Xero!$B:$B,Heron!AG$9,Xero!$A:$A,Heron!$A$5,Xero!$E:$E,Heron!$A64)</f>
        <v/>
      </c>
      <c r="AH64" s="66">
        <f>SUMIFS(Xero!$F:$F,Xero!$B:$B,Heron!AH$9,Xero!$A:$A,Heron!$A$4,Xero!$E:$E,Heron!$A64)+SUMIFS(Xero!$F:$F,Xero!$B:$B,Heron!AH$9,Xero!$A:$A,Heron!$A$5,Xero!$E:$E,Heron!$A64)</f>
        <v/>
      </c>
      <c r="AI64" s="66">
        <f>SUMIFS(Xero!$F:$F,Xero!$B:$B,Heron!AI$9,Xero!$A:$A,Heron!$A$4,Xero!$E:$E,Heron!$A64)+SUMIFS(Xero!$F:$F,Xero!$B:$B,Heron!AI$9,Xero!$A:$A,Heron!$A$5,Xero!$E:$E,Heron!$A64)</f>
        <v/>
      </c>
      <c r="AJ64" s="66">
        <f>SUMIFS(Xero!$F:$F,Xero!$B:$B,Heron!AJ$9,Xero!$A:$A,Heron!$A$4,Xero!$E:$E,Heron!$A64)+SUMIFS(Xero!$F:$F,Xero!$B:$B,Heron!AJ$9,Xero!$A:$A,Heron!$A$5,Xero!$E:$E,Heron!$A64)</f>
        <v/>
      </c>
      <c r="AK64" s="66">
        <f>SUMIFS(Xero!$F:$F,Xero!$B:$B,Heron!AK$9,Xero!$A:$A,Heron!$A$4,Xero!$E:$E,Heron!$A64)+SUMIFS(Xero!$F:$F,Xero!$B:$B,Heron!AK$9,Xero!$A:$A,Heron!$A$5,Xero!$E:$E,Heron!$A64)</f>
        <v/>
      </c>
      <c r="AL64" s="66">
        <f>SUMIFS(Xero!$F:$F,Xero!$B:$B,Heron!AL$9,Xero!$A:$A,Heron!$A$4,Xero!$E:$E,Heron!$A64)+SUMIFS(Xero!$F:$F,Xero!$B:$B,Heron!AL$9,Xero!$A:$A,Heron!$A$5,Xero!$E:$E,Heron!$A64)</f>
        <v/>
      </c>
      <c r="AM64" s="66">
        <f>SUMIFS(Xero!$F:$F,Xero!$B:$B,Heron!AM$9,Xero!$A:$A,Heron!$A$4,Xero!$E:$E,Heron!$A64)+SUMIFS(Xero!$F:$F,Xero!$B:$B,Heron!AM$9,Xero!$A:$A,Heron!$A$5,Xero!$E:$E,Heron!$A64)</f>
        <v/>
      </c>
      <c r="AN64" s="66">
        <f>SUMIFS(Xero!$F:$F,Xero!$B:$B,Heron!AN$9,Xero!$A:$A,Heron!$A$4,Xero!$E:$E,Heron!$A64)+SUMIFS(Xero!$F:$F,Xero!$B:$B,Heron!AN$9,Xero!$A:$A,Heron!$A$5,Xero!$E:$E,Heron!$A64)</f>
        <v/>
      </c>
      <c r="AO64" s="66">
        <f>SUMIFS(Xero!$F:$F,Xero!$B:$B,Heron!AO$9,Xero!$A:$A,Heron!$A$4,Xero!$E:$E,Heron!$A64)+SUMIFS(Xero!$F:$F,Xero!$B:$B,Heron!AO$9,Xero!$A:$A,Heron!$A$5,Xero!$E:$E,Heron!$A64)</f>
        <v/>
      </c>
      <c r="AP64" s="66">
        <f>SUMIFS(Xero!$F:$F,Xero!$B:$B,Heron!AP$9,Xero!$A:$A,Heron!$A$4,Xero!$E:$E,Heron!$A64)+SUMIFS(Xero!$F:$F,Xero!$B:$B,Heron!AP$9,Xero!$A:$A,Heron!$A$5,Xero!$E:$E,Heron!$A64)</f>
        <v/>
      </c>
      <c r="AQ64" s="66">
        <f>SUMIFS(Xero!$F:$F,Xero!$B:$B,Heron!AQ$9,Xero!$A:$A,Heron!$A$4,Xero!$E:$E,Heron!$A64)+SUMIFS(Xero!$F:$F,Xero!$B:$B,Heron!AQ$9,Xero!$A:$A,Heron!$A$5,Xero!$E:$E,Heron!$A64)</f>
        <v/>
      </c>
      <c r="AR64" s="66">
        <f>SUMIFS(Xero!$F:$F,Xero!$B:$B,Heron!AR$9,Xero!$A:$A,Heron!$A$4,Xero!$E:$E,Heron!$A64)+SUMIFS(Xero!$F:$F,Xero!$B:$B,Heron!AR$9,Xero!$A:$A,Heron!$A$5,Xero!$E:$E,Heron!$A64)</f>
        <v/>
      </c>
      <c r="AS64" s="66">
        <f>SUMIFS(Xero!$F:$F,Xero!$B:$B,Heron!AS$9,Xero!$A:$A,Heron!$A$4,Xero!$E:$E,Heron!$A64)+SUMIFS(Xero!$F:$F,Xero!$B:$B,Heron!AS$9,Xero!$A:$A,Heron!$A$5,Xero!$E:$E,Heron!$A64)</f>
        <v/>
      </c>
      <c r="AT64" s="66">
        <f>SUMIFS(Xero!$F:$F,Xero!$B:$B,Heron!AT$9,Xero!$A:$A,Heron!$A$4,Xero!$E:$E,Heron!$A64)+SUMIFS(Xero!$F:$F,Xero!$B:$B,Heron!AT$9,Xero!$A:$A,Heron!$A$5,Xero!$E:$E,Heron!$A64)</f>
        <v/>
      </c>
      <c r="AU64" s="66">
        <f>SUMIFS(Xero!$F:$F,Xero!$B:$B,Heron!AU$9,Xero!$A:$A,Heron!$A$4,Xero!$E:$E,Heron!$A64)+SUMIFS(Xero!$F:$F,Xero!$B:$B,Heron!AU$9,Xero!$A:$A,Heron!$A$5,Xero!$E:$E,Heron!$A64)</f>
        <v/>
      </c>
      <c r="AV64" s="66">
        <f>SUMIFS(Xero!$F:$F,Xero!$B:$B,Heron!AV$9,Xero!$A:$A,Heron!$A$4,Xero!$E:$E,Heron!$A64)+SUMIFS(Xero!$F:$F,Xero!$B:$B,Heron!AV$9,Xero!$A:$A,Heron!$A$5,Xero!$E:$E,Heron!$A64)</f>
        <v/>
      </c>
      <c r="AW64" s="66">
        <f>SUMIFS(Xero!$F:$F,Xero!$B:$B,Heron!AW$9,Xero!$A:$A,Heron!$A$4,Xero!$E:$E,Heron!$A64)+SUMIFS(Xero!$F:$F,Xero!$B:$B,Heron!AW$9,Xero!$A:$A,Heron!$A$5,Xero!$E:$E,Heron!$A64)</f>
        <v/>
      </c>
      <c r="AX64" s="66">
        <f>SUMIFS(Xero!$F:$F,Xero!$B:$B,Heron!AX$9,Xero!$A:$A,Heron!$A$4,Xero!$E:$E,Heron!$A64)+SUMIFS(Xero!$F:$F,Xero!$B:$B,Heron!AX$9,Xero!$A:$A,Heron!$A$5,Xero!$E:$E,Heron!$A64)</f>
        <v/>
      </c>
      <c r="AY64" s="66">
        <f>SUMIFS(Xero!$F:$F,Xero!$B:$B,Heron!AY$9,Xero!$A:$A,Heron!$A$4,Xero!$E:$E,Heron!$A64)+SUMIFS(Xero!$F:$F,Xero!$B:$B,Heron!AY$9,Xero!$A:$A,Heron!$A$5,Xero!$E:$E,Heron!$A64)</f>
        <v/>
      </c>
      <c r="AZ64" s="66">
        <f>SUMIFS(Xero!$F:$F,Xero!$B:$B,Heron!AZ$9,Xero!$A:$A,Heron!$A$4,Xero!$E:$E,Heron!$A64)+SUMIFS(Xero!$F:$F,Xero!$B:$B,Heron!AZ$9,Xero!$A:$A,Heron!$A$5,Xero!$E:$E,Heron!$A64)</f>
        <v/>
      </c>
      <c r="BA64" s="66">
        <f>SUMIFS(Xero!$F:$F,Xero!$B:$B,Heron!BA$9,Xero!$A:$A,Heron!$A$4,Xero!$E:$E,Heron!$A64)+SUMIFS(Xero!$F:$F,Xero!$B:$B,Heron!BA$9,Xero!$A:$A,Heron!$A$5,Xero!$E:$E,Heron!$A64)</f>
        <v/>
      </c>
      <c r="BB64" s="66">
        <f>SUMIFS(Xero!$F:$F,Xero!$B:$B,Heron!BB$9,Xero!$A:$A,Heron!$A$4,Xero!$E:$E,Heron!$A64)+SUMIFS(Xero!$F:$F,Xero!$B:$B,Heron!BB$9,Xero!$A:$A,Heron!$A$5,Xero!$E:$E,Heron!$A64)</f>
        <v/>
      </c>
      <c r="BC64" s="66">
        <f>SUMIFS(Xero!$F:$F,Xero!$B:$B,Heron!BC$9,Xero!$A:$A,Heron!$A$4,Xero!$E:$E,Heron!$A64)+SUMIFS(Xero!$F:$F,Xero!$B:$B,Heron!BC$9,Xero!$A:$A,Heron!$A$5,Xero!$E:$E,Heron!$A64)</f>
        <v/>
      </c>
      <c r="BD64" s="66">
        <f>SUMIFS(Xero!$F:$F,Xero!$B:$B,Heron!BD$9,Xero!$A:$A,Heron!$A$4,Xero!$E:$E,Heron!$A64)+SUMIFS(Xero!$F:$F,Xero!$B:$B,Heron!BD$9,Xero!$A:$A,Heron!$A$5,Xero!$E:$E,Heron!$A64)</f>
        <v/>
      </c>
      <c r="BE64" s="66">
        <f>SUMIFS(Xero!$F:$F,Xero!$B:$B,Heron!BE$9,Xero!$A:$A,Heron!$A$4,Xero!$E:$E,Heron!$A64)+SUMIFS(Xero!$F:$F,Xero!$B:$B,Heron!BE$9,Xero!$A:$A,Heron!$A$5,Xero!$E:$E,Heron!$A64)</f>
        <v/>
      </c>
      <c r="BF64" s="66">
        <f>SUMIFS(Xero!$F:$F,Xero!$B:$B,Heron!BF$9,Xero!$A:$A,Heron!$A$4,Xero!$E:$E,Heron!$A64)+SUMIFS(Xero!$F:$F,Xero!$B:$B,Heron!BF$9,Xero!$A:$A,Heron!$A$5,Xero!$E:$E,Heron!$A64)</f>
        <v/>
      </c>
      <c r="BG64" s="66">
        <f>SUMIFS(Xero!$F:$F,Xero!$B:$B,Heron!BG$9,Xero!$A:$A,Heron!$A$4,Xero!$E:$E,Heron!$A64)+SUMIFS(Xero!$F:$F,Xero!$B:$B,Heron!BG$9,Xero!$A:$A,Heron!$A$5,Xero!$E:$E,Heron!$A64)</f>
        <v/>
      </c>
      <c r="BH64" s="66">
        <f>sum(D64:BG64)</f>
        <v/>
      </c>
    </row>
    <row r="65">
      <c r="A65" s="65" t="inlineStr">
        <is>
          <t>General Expenses</t>
        </is>
      </c>
      <c r="D65" s="66">
        <f>SUMIFS(Xero!$F:$F,Xero!$B:$B,Heron!D$9,Xero!$A:$A,Heron!$A$4,Xero!$E:$E,Heron!$A65)+SUMIFS(Xero!$F:$F,Xero!$B:$B,Heron!D$9,Xero!$A:$A,Heron!$A$5,Xero!$E:$E,Heron!$A65)</f>
        <v/>
      </c>
      <c r="E65" s="66">
        <f>SUMIFS(Xero!$F:$F,Xero!$B:$B,Heron!E$9,Xero!$A:$A,Heron!$A$4,Xero!$E:$E,Heron!$A65)+SUMIFS(Xero!$F:$F,Xero!$B:$B,Heron!E$9,Xero!$A:$A,Heron!$A$5,Xero!$E:$E,Heron!$A65)</f>
        <v/>
      </c>
      <c r="F65" s="66">
        <f>SUMIFS(Xero!$F:$F,Xero!$B:$B,Heron!F$9,Xero!$A:$A,Heron!$A$4,Xero!$E:$E,Heron!$A65)+SUMIFS(Xero!$F:$F,Xero!$B:$B,Heron!F$9,Xero!$A:$A,Heron!$A$5,Xero!$E:$E,Heron!$A65)</f>
        <v/>
      </c>
      <c r="G65" s="66">
        <f>SUMIFS(Xero!$F:$F,Xero!$B:$B,Heron!G$9,Xero!$A:$A,Heron!$A$4,Xero!$E:$E,Heron!$A65)+SUMIFS(Xero!$F:$F,Xero!$B:$B,Heron!G$9,Xero!$A:$A,Heron!$A$5,Xero!$E:$E,Heron!$A65)</f>
        <v/>
      </c>
      <c r="H65" s="66">
        <f>SUMIFS(Xero!$F:$F,Xero!$B:$B,Heron!H$9,Xero!$A:$A,Heron!$A$4,Xero!$E:$E,Heron!$A65)+SUMIFS(Xero!$F:$F,Xero!$B:$B,Heron!H$9,Xero!$A:$A,Heron!$A$5,Xero!$E:$E,Heron!$A65)</f>
        <v/>
      </c>
      <c r="I65" s="66">
        <f>SUMIFS(Xero!$F:$F,Xero!$B:$B,Heron!I$9,Xero!$A:$A,Heron!$A$4,Xero!$E:$E,Heron!$A65)+SUMIFS(Xero!$F:$F,Xero!$B:$B,Heron!I$9,Xero!$A:$A,Heron!$A$5,Xero!$E:$E,Heron!$A65)</f>
        <v/>
      </c>
      <c r="J65" s="66">
        <f>SUMIFS(Xero!$F:$F,Xero!$B:$B,Heron!J$9,Xero!$A:$A,Heron!$A$4,Xero!$E:$E,Heron!$A65)+SUMIFS(Xero!$F:$F,Xero!$B:$B,Heron!J$9,Xero!$A:$A,Heron!$A$5,Xero!$E:$E,Heron!$A65)</f>
        <v/>
      </c>
      <c r="K65" s="66">
        <f>SUMIFS(Xero!$F:$F,Xero!$B:$B,Heron!K$9,Xero!$A:$A,Heron!$A$4,Xero!$E:$E,Heron!$A65)+SUMIFS(Xero!$F:$F,Xero!$B:$B,Heron!K$9,Xero!$A:$A,Heron!$A$5,Xero!$E:$E,Heron!$A65)</f>
        <v/>
      </c>
      <c r="L65" s="66">
        <f>SUMIFS(Xero!$F:$F,Xero!$B:$B,Heron!L$9,Xero!$A:$A,Heron!$A$4,Xero!$E:$E,Heron!$A65)+SUMIFS(Xero!$F:$F,Xero!$B:$B,Heron!L$9,Xero!$A:$A,Heron!$A$5,Xero!$E:$E,Heron!$A65)</f>
        <v/>
      </c>
      <c r="M65" s="66">
        <f>SUMIFS(Xero!$F:$F,Xero!$B:$B,Heron!M$9,Xero!$A:$A,Heron!$A$4,Xero!$E:$E,Heron!$A65)+SUMIFS(Xero!$F:$F,Xero!$B:$B,Heron!M$9,Xero!$A:$A,Heron!$A$5,Xero!$E:$E,Heron!$A65)</f>
        <v/>
      </c>
      <c r="N65" s="66">
        <f>SUMIFS(Xero!$F:$F,Xero!$B:$B,Heron!N$9,Xero!$A:$A,Heron!$A$4,Xero!$E:$E,Heron!$A65)+SUMIFS(Xero!$F:$F,Xero!$B:$B,Heron!N$9,Xero!$A:$A,Heron!$A$5,Xero!$E:$E,Heron!$A65)</f>
        <v/>
      </c>
      <c r="O65" s="66">
        <f>SUMIFS(Xero!$F:$F,Xero!$B:$B,Heron!O$9,Xero!$A:$A,Heron!$A$4,Xero!$E:$E,Heron!$A65)+SUMIFS(Xero!$F:$F,Xero!$B:$B,Heron!O$9,Xero!$A:$A,Heron!$A$5,Xero!$E:$E,Heron!$A65)</f>
        <v/>
      </c>
      <c r="P65" s="66">
        <f>SUMIFS(Xero!$F:$F,Xero!$B:$B,Heron!P$9,Xero!$A:$A,Heron!$A$4,Xero!$E:$E,Heron!$A65)+SUMIFS(Xero!$F:$F,Xero!$B:$B,Heron!P$9,Xero!$A:$A,Heron!$A$5,Xero!$E:$E,Heron!$A65)</f>
        <v/>
      </c>
      <c r="Q65" s="66">
        <f>SUMIFS(Xero!$F:$F,Xero!$B:$B,Heron!Q$9,Xero!$A:$A,Heron!$A$4,Xero!$E:$E,Heron!$A65)+SUMIFS(Xero!$F:$F,Xero!$B:$B,Heron!Q$9,Xero!$A:$A,Heron!$A$5,Xero!$E:$E,Heron!$A65)</f>
        <v/>
      </c>
      <c r="R65" s="66">
        <f>SUMIFS(Xero!$F:$F,Xero!$B:$B,Heron!R$9,Xero!$A:$A,Heron!$A$4,Xero!$E:$E,Heron!$A65)+SUMIFS(Xero!$F:$F,Xero!$B:$B,Heron!R$9,Xero!$A:$A,Heron!$A$5,Xero!$E:$E,Heron!$A65)</f>
        <v/>
      </c>
      <c r="S65" s="66">
        <f>SUMIFS(Xero!$F:$F,Xero!$B:$B,Heron!S$9,Xero!$A:$A,Heron!$A$4,Xero!$E:$E,Heron!$A65)+SUMIFS(Xero!$F:$F,Xero!$B:$B,Heron!S$9,Xero!$A:$A,Heron!$A$5,Xero!$E:$E,Heron!$A65)</f>
        <v/>
      </c>
      <c r="T65" s="66">
        <f>SUMIFS(Xero!$F:$F,Xero!$B:$B,Heron!T$9,Xero!$A:$A,Heron!$A$4,Xero!$E:$E,Heron!$A65)+SUMIFS(Xero!$F:$F,Xero!$B:$B,Heron!T$9,Xero!$A:$A,Heron!$A$5,Xero!$E:$E,Heron!$A65)</f>
        <v/>
      </c>
      <c r="U65" s="66">
        <f>SUMIFS(Xero!$F:$F,Xero!$B:$B,Heron!U$9,Xero!$A:$A,Heron!$A$4,Xero!$E:$E,Heron!$A65)+SUMIFS(Xero!$F:$F,Xero!$B:$B,Heron!U$9,Xero!$A:$A,Heron!$A$5,Xero!$E:$E,Heron!$A65)</f>
        <v/>
      </c>
      <c r="V65" s="66">
        <f>SUMIFS(Xero!$F:$F,Xero!$B:$B,Heron!V$9,Xero!$A:$A,Heron!$A$4,Xero!$E:$E,Heron!$A65)+SUMIFS(Xero!$F:$F,Xero!$B:$B,Heron!V$9,Xero!$A:$A,Heron!$A$5,Xero!$E:$E,Heron!$A65)</f>
        <v/>
      </c>
      <c r="W65" s="66">
        <f>SUMIFS(Xero!$F:$F,Xero!$B:$B,Heron!W$9,Xero!$A:$A,Heron!$A$4,Xero!$E:$E,Heron!$A65)+SUMIFS(Xero!$F:$F,Xero!$B:$B,Heron!W$9,Xero!$A:$A,Heron!$A$5,Xero!$E:$E,Heron!$A65)</f>
        <v/>
      </c>
      <c r="X65" s="66">
        <f>SUMIFS(Xero!$F:$F,Xero!$B:$B,Heron!X$9,Xero!$A:$A,Heron!$A$4,Xero!$E:$E,Heron!$A65)+SUMIFS(Xero!$F:$F,Xero!$B:$B,Heron!X$9,Xero!$A:$A,Heron!$A$5,Xero!$E:$E,Heron!$A65)</f>
        <v/>
      </c>
      <c r="Y65" s="66">
        <f>SUMIFS(Xero!$F:$F,Xero!$B:$B,Heron!Y$9,Xero!$A:$A,Heron!$A$4,Xero!$E:$E,Heron!$A65)+SUMIFS(Xero!$F:$F,Xero!$B:$B,Heron!Y$9,Xero!$A:$A,Heron!$A$5,Xero!$E:$E,Heron!$A65)</f>
        <v/>
      </c>
      <c r="Z65" s="66">
        <f>SUMIFS(Xero!$F:$F,Xero!$B:$B,Heron!Z$9,Xero!$A:$A,Heron!$A$4,Xero!$E:$E,Heron!$A65)+SUMIFS(Xero!$F:$F,Xero!$B:$B,Heron!Z$9,Xero!$A:$A,Heron!$A$5,Xero!$E:$E,Heron!$A65)</f>
        <v/>
      </c>
      <c r="AA65" s="66">
        <f>SUMIFS(Xero!$F:$F,Xero!$B:$B,Heron!AA$9,Xero!$A:$A,Heron!$A$4,Xero!$E:$E,Heron!$A65)+SUMIFS(Xero!$F:$F,Xero!$B:$B,Heron!AA$9,Xero!$A:$A,Heron!$A$5,Xero!$E:$E,Heron!$A65)</f>
        <v/>
      </c>
      <c r="AB65" s="66">
        <f>SUMIFS(Xero!$F:$F,Xero!$B:$B,Heron!AB$9,Xero!$A:$A,Heron!$A$4,Xero!$E:$E,Heron!$A65)+SUMIFS(Xero!$F:$F,Xero!$B:$B,Heron!AB$9,Xero!$A:$A,Heron!$A$5,Xero!$E:$E,Heron!$A65)</f>
        <v/>
      </c>
      <c r="AC65" s="66">
        <f>SUMIFS(Xero!$F:$F,Xero!$B:$B,Heron!AC$9,Xero!$A:$A,Heron!$A$4,Xero!$E:$E,Heron!$A65)+SUMIFS(Xero!$F:$F,Xero!$B:$B,Heron!AC$9,Xero!$A:$A,Heron!$A$5,Xero!$E:$E,Heron!$A65)</f>
        <v/>
      </c>
      <c r="AD65" s="66">
        <f>SUMIFS(Xero!$F:$F,Xero!$B:$B,Heron!AD$9,Xero!$A:$A,Heron!$A$4,Xero!$E:$E,Heron!$A65)+SUMIFS(Xero!$F:$F,Xero!$B:$B,Heron!AD$9,Xero!$A:$A,Heron!$A$5,Xero!$E:$E,Heron!$A65)</f>
        <v/>
      </c>
      <c r="AE65" s="66">
        <f>SUMIFS(Xero!$F:$F,Xero!$B:$B,Heron!AE$9,Xero!$A:$A,Heron!$A$4,Xero!$E:$E,Heron!$A65)+SUMIFS(Xero!$F:$F,Xero!$B:$B,Heron!AE$9,Xero!$A:$A,Heron!$A$5,Xero!$E:$E,Heron!$A65)</f>
        <v/>
      </c>
      <c r="AF65" s="66">
        <f>SUMIFS(Xero!$F:$F,Xero!$B:$B,Heron!AF$9,Xero!$A:$A,Heron!$A$4,Xero!$E:$E,Heron!$A65)+SUMIFS(Xero!$F:$F,Xero!$B:$B,Heron!AF$9,Xero!$A:$A,Heron!$A$5,Xero!$E:$E,Heron!$A65)</f>
        <v/>
      </c>
      <c r="AG65" s="66">
        <f>SUMIFS(Xero!$F:$F,Xero!$B:$B,Heron!AG$9,Xero!$A:$A,Heron!$A$4,Xero!$E:$E,Heron!$A65)+SUMIFS(Xero!$F:$F,Xero!$B:$B,Heron!AG$9,Xero!$A:$A,Heron!$A$5,Xero!$E:$E,Heron!$A65)</f>
        <v/>
      </c>
      <c r="AH65" s="66">
        <f>SUMIFS(Xero!$F:$F,Xero!$B:$B,Heron!AH$9,Xero!$A:$A,Heron!$A$4,Xero!$E:$E,Heron!$A65)+SUMIFS(Xero!$F:$F,Xero!$B:$B,Heron!AH$9,Xero!$A:$A,Heron!$A$5,Xero!$E:$E,Heron!$A65)</f>
        <v/>
      </c>
      <c r="AI65" s="66">
        <f>SUMIFS(Xero!$F:$F,Xero!$B:$B,Heron!AI$9,Xero!$A:$A,Heron!$A$4,Xero!$E:$E,Heron!$A65)+SUMIFS(Xero!$F:$F,Xero!$B:$B,Heron!AI$9,Xero!$A:$A,Heron!$A$5,Xero!$E:$E,Heron!$A65)</f>
        <v/>
      </c>
      <c r="AJ65" s="66">
        <f>SUMIFS(Xero!$F:$F,Xero!$B:$B,Heron!AJ$9,Xero!$A:$A,Heron!$A$4,Xero!$E:$E,Heron!$A65)+SUMIFS(Xero!$F:$F,Xero!$B:$B,Heron!AJ$9,Xero!$A:$A,Heron!$A$5,Xero!$E:$E,Heron!$A65)</f>
        <v/>
      </c>
      <c r="AK65" s="66">
        <f>SUMIFS(Xero!$F:$F,Xero!$B:$B,Heron!AK$9,Xero!$A:$A,Heron!$A$4,Xero!$E:$E,Heron!$A65)+SUMIFS(Xero!$F:$F,Xero!$B:$B,Heron!AK$9,Xero!$A:$A,Heron!$A$5,Xero!$E:$E,Heron!$A65)</f>
        <v/>
      </c>
      <c r="AL65" s="66">
        <f>SUMIFS(Xero!$F:$F,Xero!$B:$B,Heron!AL$9,Xero!$A:$A,Heron!$A$4,Xero!$E:$E,Heron!$A65)+SUMIFS(Xero!$F:$F,Xero!$B:$B,Heron!AL$9,Xero!$A:$A,Heron!$A$5,Xero!$E:$E,Heron!$A65)</f>
        <v/>
      </c>
      <c r="AM65" s="66">
        <f>SUMIFS(Xero!$F:$F,Xero!$B:$B,Heron!AM$9,Xero!$A:$A,Heron!$A$4,Xero!$E:$E,Heron!$A65)+SUMIFS(Xero!$F:$F,Xero!$B:$B,Heron!AM$9,Xero!$A:$A,Heron!$A$5,Xero!$E:$E,Heron!$A65)</f>
        <v/>
      </c>
      <c r="AN65" s="66">
        <f>SUMIFS(Xero!$F:$F,Xero!$B:$B,Heron!AN$9,Xero!$A:$A,Heron!$A$4,Xero!$E:$E,Heron!$A65)+SUMIFS(Xero!$F:$F,Xero!$B:$B,Heron!AN$9,Xero!$A:$A,Heron!$A$5,Xero!$E:$E,Heron!$A65)</f>
        <v/>
      </c>
      <c r="AO65" s="66">
        <f>SUMIFS(Xero!$F:$F,Xero!$B:$B,Heron!AO$9,Xero!$A:$A,Heron!$A$4,Xero!$E:$E,Heron!$A65)+SUMIFS(Xero!$F:$F,Xero!$B:$B,Heron!AO$9,Xero!$A:$A,Heron!$A$5,Xero!$E:$E,Heron!$A65)</f>
        <v/>
      </c>
      <c r="AP65" s="66">
        <f>SUMIFS(Xero!$F:$F,Xero!$B:$B,Heron!AP$9,Xero!$A:$A,Heron!$A$4,Xero!$E:$E,Heron!$A65)+SUMIFS(Xero!$F:$F,Xero!$B:$B,Heron!AP$9,Xero!$A:$A,Heron!$A$5,Xero!$E:$E,Heron!$A65)</f>
        <v/>
      </c>
      <c r="AQ65" s="66">
        <f>SUMIFS(Xero!$F:$F,Xero!$B:$B,Heron!AQ$9,Xero!$A:$A,Heron!$A$4,Xero!$E:$E,Heron!$A65)+SUMIFS(Xero!$F:$F,Xero!$B:$B,Heron!AQ$9,Xero!$A:$A,Heron!$A$5,Xero!$E:$E,Heron!$A65)</f>
        <v/>
      </c>
      <c r="AR65" s="66">
        <f>SUMIFS(Xero!$F:$F,Xero!$B:$B,Heron!AR$9,Xero!$A:$A,Heron!$A$4,Xero!$E:$E,Heron!$A65)+SUMIFS(Xero!$F:$F,Xero!$B:$B,Heron!AR$9,Xero!$A:$A,Heron!$A$5,Xero!$E:$E,Heron!$A65)</f>
        <v/>
      </c>
      <c r="AS65" s="66">
        <f>SUMIFS(Xero!$F:$F,Xero!$B:$B,Heron!AS$9,Xero!$A:$A,Heron!$A$4,Xero!$E:$E,Heron!$A65)+SUMIFS(Xero!$F:$F,Xero!$B:$B,Heron!AS$9,Xero!$A:$A,Heron!$A$5,Xero!$E:$E,Heron!$A65)</f>
        <v/>
      </c>
      <c r="AT65" s="66">
        <f>SUMIFS(Xero!$F:$F,Xero!$B:$B,Heron!AT$9,Xero!$A:$A,Heron!$A$4,Xero!$E:$E,Heron!$A65)+SUMIFS(Xero!$F:$F,Xero!$B:$B,Heron!AT$9,Xero!$A:$A,Heron!$A$5,Xero!$E:$E,Heron!$A65)</f>
        <v/>
      </c>
      <c r="AU65" s="66">
        <f>SUMIFS(Xero!$F:$F,Xero!$B:$B,Heron!AU$9,Xero!$A:$A,Heron!$A$4,Xero!$E:$E,Heron!$A65)+SUMIFS(Xero!$F:$F,Xero!$B:$B,Heron!AU$9,Xero!$A:$A,Heron!$A$5,Xero!$E:$E,Heron!$A65)</f>
        <v/>
      </c>
      <c r="AV65" s="66">
        <f>SUMIFS(Xero!$F:$F,Xero!$B:$B,Heron!AV$9,Xero!$A:$A,Heron!$A$4,Xero!$E:$E,Heron!$A65)+SUMIFS(Xero!$F:$F,Xero!$B:$B,Heron!AV$9,Xero!$A:$A,Heron!$A$5,Xero!$E:$E,Heron!$A65)</f>
        <v/>
      </c>
      <c r="AW65" s="66">
        <f>SUMIFS(Xero!$F:$F,Xero!$B:$B,Heron!AW$9,Xero!$A:$A,Heron!$A$4,Xero!$E:$E,Heron!$A65)+SUMIFS(Xero!$F:$F,Xero!$B:$B,Heron!AW$9,Xero!$A:$A,Heron!$A$5,Xero!$E:$E,Heron!$A65)</f>
        <v/>
      </c>
      <c r="AX65" s="66">
        <f>SUMIFS(Xero!$F:$F,Xero!$B:$B,Heron!AX$9,Xero!$A:$A,Heron!$A$4,Xero!$E:$E,Heron!$A65)+SUMIFS(Xero!$F:$F,Xero!$B:$B,Heron!AX$9,Xero!$A:$A,Heron!$A$5,Xero!$E:$E,Heron!$A65)</f>
        <v/>
      </c>
      <c r="AY65" s="66">
        <f>SUMIFS(Xero!$F:$F,Xero!$B:$B,Heron!AY$9,Xero!$A:$A,Heron!$A$4,Xero!$E:$E,Heron!$A65)+SUMIFS(Xero!$F:$F,Xero!$B:$B,Heron!AY$9,Xero!$A:$A,Heron!$A$5,Xero!$E:$E,Heron!$A65)</f>
        <v/>
      </c>
      <c r="AZ65" s="66">
        <f>SUMIFS(Xero!$F:$F,Xero!$B:$B,Heron!AZ$9,Xero!$A:$A,Heron!$A$4,Xero!$E:$E,Heron!$A65)+SUMIFS(Xero!$F:$F,Xero!$B:$B,Heron!AZ$9,Xero!$A:$A,Heron!$A$5,Xero!$E:$E,Heron!$A65)</f>
        <v/>
      </c>
      <c r="BA65" s="66">
        <f>SUMIFS(Xero!$F:$F,Xero!$B:$B,Heron!BA$9,Xero!$A:$A,Heron!$A$4,Xero!$E:$E,Heron!$A65)+SUMIFS(Xero!$F:$F,Xero!$B:$B,Heron!BA$9,Xero!$A:$A,Heron!$A$5,Xero!$E:$E,Heron!$A65)</f>
        <v/>
      </c>
      <c r="BB65" s="66">
        <f>SUMIFS(Xero!$F:$F,Xero!$B:$B,Heron!BB$9,Xero!$A:$A,Heron!$A$4,Xero!$E:$E,Heron!$A65)+SUMIFS(Xero!$F:$F,Xero!$B:$B,Heron!BB$9,Xero!$A:$A,Heron!$A$5,Xero!$E:$E,Heron!$A65)</f>
        <v/>
      </c>
      <c r="BC65" s="66">
        <f>SUMIFS(Xero!$F:$F,Xero!$B:$B,Heron!BC$9,Xero!$A:$A,Heron!$A$4,Xero!$E:$E,Heron!$A65)+SUMIFS(Xero!$F:$F,Xero!$B:$B,Heron!BC$9,Xero!$A:$A,Heron!$A$5,Xero!$E:$E,Heron!$A65)</f>
        <v/>
      </c>
      <c r="BD65" s="66">
        <f>SUMIFS(Xero!$F:$F,Xero!$B:$B,Heron!BD$9,Xero!$A:$A,Heron!$A$4,Xero!$E:$E,Heron!$A65)+SUMIFS(Xero!$F:$F,Xero!$B:$B,Heron!BD$9,Xero!$A:$A,Heron!$A$5,Xero!$E:$E,Heron!$A65)</f>
        <v/>
      </c>
      <c r="BE65" s="66">
        <f>SUMIFS(Xero!$F:$F,Xero!$B:$B,Heron!BE$9,Xero!$A:$A,Heron!$A$4,Xero!$E:$E,Heron!$A65)+SUMIFS(Xero!$F:$F,Xero!$B:$B,Heron!BE$9,Xero!$A:$A,Heron!$A$5,Xero!$E:$E,Heron!$A65)</f>
        <v/>
      </c>
      <c r="BF65" s="66">
        <f>SUMIFS(Xero!$F:$F,Xero!$B:$B,Heron!BF$9,Xero!$A:$A,Heron!$A$4,Xero!$E:$E,Heron!$A65)+SUMIFS(Xero!$F:$F,Xero!$B:$B,Heron!BF$9,Xero!$A:$A,Heron!$A$5,Xero!$E:$E,Heron!$A65)</f>
        <v/>
      </c>
      <c r="BG65" s="66">
        <f>SUMIFS(Xero!$F:$F,Xero!$B:$B,Heron!BG$9,Xero!$A:$A,Heron!$A$4,Xero!$E:$E,Heron!$A65)+SUMIFS(Xero!$F:$F,Xero!$B:$B,Heron!BG$9,Xero!$A:$A,Heron!$A$5,Xero!$E:$E,Heron!$A65)</f>
        <v/>
      </c>
      <c r="BH65" s="66">
        <f>sum(D65:BG65)</f>
        <v/>
      </c>
    </row>
    <row r="66">
      <c r="A66" s="65" t="inlineStr">
        <is>
          <t>Insurance</t>
        </is>
      </c>
      <c r="D66" s="66">
        <f>SUMIFS(Xero!$F:$F,Xero!$B:$B,Heron!D$9,Xero!$A:$A,Heron!$A$4,Xero!$E:$E,Heron!$A66)+SUMIFS(Xero!$F:$F,Xero!$B:$B,Heron!D$9,Xero!$A:$A,Heron!$A$5,Xero!$E:$E,Heron!$A66)</f>
        <v/>
      </c>
      <c r="E66" s="66">
        <f>SUMIFS(Xero!$F:$F,Xero!$B:$B,Heron!E$9,Xero!$A:$A,Heron!$A$4,Xero!$E:$E,Heron!$A66)+SUMIFS(Xero!$F:$F,Xero!$B:$B,Heron!E$9,Xero!$A:$A,Heron!$A$5,Xero!$E:$E,Heron!$A66)</f>
        <v/>
      </c>
      <c r="F66" s="66">
        <f>SUMIFS(Xero!$F:$F,Xero!$B:$B,Heron!F$9,Xero!$A:$A,Heron!$A$4,Xero!$E:$E,Heron!$A66)+SUMIFS(Xero!$F:$F,Xero!$B:$B,Heron!F$9,Xero!$A:$A,Heron!$A$5,Xero!$E:$E,Heron!$A66)</f>
        <v/>
      </c>
      <c r="G66" s="66">
        <f>SUMIFS(Xero!$F:$F,Xero!$B:$B,Heron!G$9,Xero!$A:$A,Heron!$A$4,Xero!$E:$E,Heron!$A66)+SUMIFS(Xero!$F:$F,Xero!$B:$B,Heron!G$9,Xero!$A:$A,Heron!$A$5,Xero!$E:$E,Heron!$A66)</f>
        <v/>
      </c>
      <c r="H66" s="66">
        <f>SUMIFS(Xero!$F:$F,Xero!$B:$B,Heron!H$9,Xero!$A:$A,Heron!$A$4,Xero!$E:$E,Heron!$A66)+SUMIFS(Xero!$F:$F,Xero!$B:$B,Heron!H$9,Xero!$A:$A,Heron!$A$5,Xero!$E:$E,Heron!$A66)</f>
        <v/>
      </c>
      <c r="I66" s="66">
        <f>SUMIFS(Xero!$F:$F,Xero!$B:$B,Heron!I$9,Xero!$A:$A,Heron!$A$4,Xero!$E:$E,Heron!$A66)+SUMIFS(Xero!$F:$F,Xero!$B:$B,Heron!I$9,Xero!$A:$A,Heron!$A$5,Xero!$E:$E,Heron!$A66)</f>
        <v/>
      </c>
      <c r="J66" s="66">
        <f>SUMIFS(Xero!$F:$F,Xero!$B:$B,Heron!J$9,Xero!$A:$A,Heron!$A$4,Xero!$E:$E,Heron!$A66)+SUMIFS(Xero!$F:$F,Xero!$B:$B,Heron!J$9,Xero!$A:$A,Heron!$A$5,Xero!$E:$E,Heron!$A66)</f>
        <v/>
      </c>
      <c r="K66" s="66">
        <f>SUMIFS(Xero!$F:$F,Xero!$B:$B,Heron!K$9,Xero!$A:$A,Heron!$A$4,Xero!$E:$E,Heron!$A66)+SUMIFS(Xero!$F:$F,Xero!$B:$B,Heron!K$9,Xero!$A:$A,Heron!$A$5,Xero!$E:$E,Heron!$A66)</f>
        <v/>
      </c>
      <c r="L66" s="66">
        <f>SUMIFS(Xero!$F:$F,Xero!$B:$B,Heron!L$9,Xero!$A:$A,Heron!$A$4,Xero!$E:$E,Heron!$A66)+SUMIFS(Xero!$F:$F,Xero!$B:$B,Heron!L$9,Xero!$A:$A,Heron!$A$5,Xero!$E:$E,Heron!$A66)</f>
        <v/>
      </c>
      <c r="M66" s="66">
        <f>SUMIFS(Xero!$F:$F,Xero!$B:$B,Heron!M$9,Xero!$A:$A,Heron!$A$4,Xero!$E:$E,Heron!$A66)+SUMIFS(Xero!$F:$F,Xero!$B:$B,Heron!M$9,Xero!$A:$A,Heron!$A$5,Xero!$E:$E,Heron!$A66)</f>
        <v/>
      </c>
      <c r="N66" s="66">
        <f>SUMIFS(Xero!$F:$F,Xero!$B:$B,Heron!N$9,Xero!$A:$A,Heron!$A$4,Xero!$E:$E,Heron!$A66)+SUMIFS(Xero!$F:$F,Xero!$B:$B,Heron!N$9,Xero!$A:$A,Heron!$A$5,Xero!$E:$E,Heron!$A66)</f>
        <v/>
      </c>
      <c r="O66" s="66">
        <f>SUMIFS(Xero!$F:$F,Xero!$B:$B,Heron!O$9,Xero!$A:$A,Heron!$A$4,Xero!$E:$E,Heron!$A66)+SUMIFS(Xero!$F:$F,Xero!$B:$B,Heron!O$9,Xero!$A:$A,Heron!$A$5,Xero!$E:$E,Heron!$A66)</f>
        <v/>
      </c>
      <c r="P66" s="66">
        <f>SUMIFS(Xero!$F:$F,Xero!$B:$B,Heron!P$9,Xero!$A:$A,Heron!$A$4,Xero!$E:$E,Heron!$A66)+SUMIFS(Xero!$F:$F,Xero!$B:$B,Heron!P$9,Xero!$A:$A,Heron!$A$5,Xero!$E:$E,Heron!$A66)</f>
        <v/>
      </c>
      <c r="Q66" s="66">
        <f>SUMIFS(Xero!$F:$F,Xero!$B:$B,Heron!Q$9,Xero!$A:$A,Heron!$A$4,Xero!$E:$E,Heron!$A66)+SUMIFS(Xero!$F:$F,Xero!$B:$B,Heron!Q$9,Xero!$A:$A,Heron!$A$5,Xero!$E:$E,Heron!$A66)</f>
        <v/>
      </c>
      <c r="R66" s="66">
        <f>SUMIFS(Xero!$F:$F,Xero!$B:$B,Heron!R$9,Xero!$A:$A,Heron!$A$4,Xero!$E:$E,Heron!$A66)+SUMIFS(Xero!$F:$F,Xero!$B:$B,Heron!R$9,Xero!$A:$A,Heron!$A$5,Xero!$E:$E,Heron!$A66)</f>
        <v/>
      </c>
      <c r="S66" s="66">
        <f>SUMIFS(Xero!$F:$F,Xero!$B:$B,Heron!S$9,Xero!$A:$A,Heron!$A$4,Xero!$E:$E,Heron!$A66)+SUMIFS(Xero!$F:$F,Xero!$B:$B,Heron!S$9,Xero!$A:$A,Heron!$A$5,Xero!$E:$E,Heron!$A66)</f>
        <v/>
      </c>
      <c r="T66" s="66">
        <f>SUMIFS(Xero!$F:$F,Xero!$B:$B,Heron!T$9,Xero!$A:$A,Heron!$A$4,Xero!$E:$E,Heron!$A66)+SUMIFS(Xero!$F:$F,Xero!$B:$B,Heron!T$9,Xero!$A:$A,Heron!$A$5,Xero!$E:$E,Heron!$A66)</f>
        <v/>
      </c>
      <c r="U66" s="66">
        <f>SUMIFS(Xero!$F:$F,Xero!$B:$B,Heron!U$9,Xero!$A:$A,Heron!$A$4,Xero!$E:$E,Heron!$A66)+SUMIFS(Xero!$F:$F,Xero!$B:$B,Heron!U$9,Xero!$A:$A,Heron!$A$5,Xero!$E:$E,Heron!$A66)</f>
        <v/>
      </c>
      <c r="V66" s="66">
        <f>SUMIFS(Xero!$F:$F,Xero!$B:$B,Heron!V$9,Xero!$A:$A,Heron!$A$4,Xero!$E:$E,Heron!$A66)+SUMIFS(Xero!$F:$F,Xero!$B:$B,Heron!V$9,Xero!$A:$A,Heron!$A$5,Xero!$E:$E,Heron!$A66)</f>
        <v/>
      </c>
      <c r="W66" s="66">
        <f>SUMIFS(Xero!$F:$F,Xero!$B:$B,Heron!W$9,Xero!$A:$A,Heron!$A$4,Xero!$E:$E,Heron!$A66)+SUMIFS(Xero!$F:$F,Xero!$B:$B,Heron!W$9,Xero!$A:$A,Heron!$A$5,Xero!$E:$E,Heron!$A66)</f>
        <v/>
      </c>
      <c r="X66" s="66">
        <f>SUMIFS(Xero!$F:$F,Xero!$B:$B,Heron!X$9,Xero!$A:$A,Heron!$A$4,Xero!$E:$E,Heron!$A66)+SUMIFS(Xero!$F:$F,Xero!$B:$B,Heron!X$9,Xero!$A:$A,Heron!$A$5,Xero!$E:$E,Heron!$A66)</f>
        <v/>
      </c>
      <c r="Y66" s="66">
        <f>SUMIFS(Xero!$F:$F,Xero!$B:$B,Heron!Y$9,Xero!$A:$A,Heron!$A$4,Xero!$E:$E,Heron!$A66)+SUMIFS(Xero!$F:$F,Xero!$B:$B,Heron!Y$9,Xero!$A:$A,Heron!$A$5,Xero!$E:$E,Heron!$A66)</f>
        <v/>
      </c>
      <c r="Z66" s="66">
        <f>SUMIFS(Xero!$F:$F,Xero!$B:$B,Heron!Z$9,Xero!$A:$A,Heron!$A$4,Xero!$E:$E,Heron!$A66)+SUMIFS(Xero!$F:$F,Xero!$B:$B,Heron!Z$9,Xero!$A:$A,Heron!$A$5,Xero!$E:$E,Heron!$A66)</f>
        <v/>
      </c>
      <c r="AA66" s="66">
        <f>SUMIFS(Xero!$F:$F,Xero!$B:$B,Heron!AA$9,Xero!$A:$A,Heron!$A$4,Xero!$E:$E,Heron!$A66)+SUMIFS(Xero!$F:$F,Xero!$B:$B,Heron!AA$9,Xero!$A:$A,Heron!$A$5,Xero!$E:$E,Heron!$A66)</f>
        <v/>
      </c>
      <c r="AB66" s="66">
        <f>SUMIFS(Xero!$F:$F,Xero!$B:$B,Heron!AB$9,Xero!$A:$A,Heron!$A$4,Xero!$E:$E,Heron!$A66)+SUMIFS(Xero!$F:$F,Xero!$B:$B,Heron!AB$9,Xero!$A:$A,Heron!$A$5,Xero!$E:$E,Heron!$A66)</f>
        <v/>
      </c>
      <c r="AC66" s="66">
        <f>SUMIFS(Xero!$F:$F,Xero!$B:$B,Heron!AC$9,Xero!$A:$A,Heron!$A$4,Xero!$E:$E,Heron!$A66)+SUMIFS(Xero!$F:$F,Xero!$B:$B,Heron!AC$9,Xero!$A:$A,Heron!$A$5,Xero!$E:$E,Heron!$A66)</f>
        <v/>
      </c>
      <c r="AD66" s="66">
        <f>SUMIFS(Xero!$F:$F,Xero!$B:$B,Heron!AD$9,Xero!$A:$A,Heron!$A$4,Xero!$E:$E,Heron!$A66)+SUMIFS(Xero!$F:$F,Xero!$B:$B,Heron!AD$9,Xero!$A:$A,Heron!$A$5,Xero!$E:$E,Heron!$A66)</f>
        <v/>
      </c>
      <c r="AE66" s="66">
        <f>SUMIFS(Xero!$F:$F,Xero!$B:$B,Heron!AE$9,Xero!$A:$A,Heron!$A$4,Xero!$E:$E,Heron!$A66)+SUMIFS(Xero!$F:$F,Xero!$B:$B,Heron!AE$9,Xero!$A:$A,Heron!$A$5,Xero!$E:$E,Heron!$A66)</f>
        <v/>
      </c>
      <c r="AF66" s="66">
        <f>SUMIFS(Xero!$F:$F,Xero!$B:$B,Heron!AF$9,Xero!$A:$A,Heron!$A$4,Xero!$E:$E,Heron!$A66)+SUMIFS(Xero!$F:$F,Xero!$B:$B,Heron!AF$9,Xero!$A:$A,Heron!$A$5,Xero!$E:$E,Heron!$A66)</f>
        <v/>
      </c>
      <c r="AG66" s="66">
        <f>SUMIFS(Xero!$F:$F,Xero!$B:$B,Heron!AG$9,Xero!$A:$A,Heron!$A$4,Xero!$E:$E,Heron!$A66)+SUMIFS(Xero!$F:$F,Xero!$B:$B,Heron!AG$9,Xero!$A:$A,Heron!$A$5,Xero!$E:$E,Heron!$A66)</f>
        <v/>
      </c>
      <c r="AH66" s="66">
        <f>SUMIFS(Xero!$F:$F,Xero!$B:$B,Heron!AH$9,Xero!$A:$A,Heron!$A$4,Xero!$E:$E,Heron!$A66)+SUMIFS(Xero!$F:$F,Xero!$B:$B,Heron!AH$9,Xero!$A:$A,Heron!$A$5,Xero!$E:$E,Heron!$A66)</f>
        <v/>
      </c>
      <c r="AI66" s="66">
        <f>SUMIFS(Xero!$F:$F,Xero!$B:$B,Heron!AI$9,Xero!$A:$A,Heron!$A$4,Xero!$E:$E,Heron!$A66)+SUMIFS(Xero!$F:$F,Xero!$B:$B,Heron!AI$9,Xero!$A:$A,Heron!$A$5,Xero!$E:$E,Heron!$A66)</f>
        <v/>
      </c>
      <c r="AJ66" s="66">
        <f>SUMIFS(Xero!$F:$F,Xero!$B:$B,Heron!AJ$9,Xero!$A:$A,Heron!$A$4,Xero!$E:$E,Heron!$A66)+SUMIFS(Xero!$F:$F,Xero!$B:$B,Heron!AJ$9,Xero!$A:$A,Heron!$A$5,Xero!$E:$E,Heron!$A66)</f>
        <v/>
      </c>
      <c r="AK66" s="66">
        <f>SUMIFS(Xero!$F:$F,Xero!$B:$B,Heron!AK$9,Xero!$A:$A,Heron!$A$4,Xero!$E:$E,Heron!$A66)+SUMIFS(Xero!$F:$F,Xero!$B:$B,Heron!AK$9,Xero!$A:$A,Heron!$A$5,Xero!$E:$E,Heron!$A66)</f>
        <v/>
      </c>
      <c r="AL66" s="66">
        <f>SUMIFS(Xero!$F:$F,Xero!$B:$B,Heron!AL$9,Xero!$A:$A,Heron!$A$4,Xero!$E:$E,Heron!$A66)+SUMIFS(Xero!$F:$F,Xero!$B:$B,Heron!AL$9,Xero!$A:$A,Heron!$A$5,Xero!$E:$E,Heron!$A66)</f>
        <v/>
      </c>
      <c r="AM66" s="66">
        <f>SUMIFS(Xero!$F:$F,Xero!$B:$B,Heron!AM$9,Xero!$A:$A,Heron!$A$4,Xero!$E:$E,Heron!$A66)+SUMIFS(Xero!$F:$F,Xero!$B:$B,Heron!AM$9,Xero!$A:$A,Heron!$A$5,Xero!$E:$E,Heron!$A66)</f>
        <v/>
      </c>
      <c r="AN66" s="66">
        <f>SUMIFS(Xero!$F:$F,Xero!$B:$B,Heron!AN$9,Xero!$A:$A,Heron!$A$4,Xero!$E:$E,Heron!$A66)+SUMIFS(Xero!$F:$F,Xero!$B:$B,Heron!AN$9,Xero!$A:$A,Heron!$A$5,Xero!$E:$E,Heron!$A66)</f>
        <v/>
      </c>
      <c r="AO66" s="66">
        <f>SUMIFS(Xero!$F:$F,Xero!$B:$B,Heron!AO$9,Xero!$A:$A,Heron!$A$4,Xero!$E:$E,Heron!$A66)+SUMIFS(Xero!$F:$F,Xero!$B:$B,Heron!AO$9,Xero!$A:$A,Heron!$A$5,Xero!$E:$E,Heron!$A66)</f>
        <v/>
      </c>
      <c r="AP66" s="66">
        <f>SUMIFS(Xero!$F:$F,Xero!$B:$B,Heron!AP$9,Xero!$A:$A,Heron!$A$4,Xero!$E:$E,Heron!$A66)+SUMIFS(Xero!$F:$F,Xero!$B:$B,Heron!AP$9,Xero!$A:$A,Heron!$A$5,Xero!$E:$E,Heron!$A66)</f>
        <v/>
      </c>
      <c r="AQ66" s="66">
        <f>SUMIFS(Xero!$F:$F,Xero!$B:$B,Heron!AQ$9,Xero!$A:$A,Heron!$A$4,Xero!$E:$E,Heron!$A66)+SUMIFS(Xero!$F:$F,Xero!$B:$B,Heron!AQ$9,Xero!$A:$A,Heron!$A$5,Xero!$E:$E,Heron!$A66)</f>
        <v/>
      </c>
      <c r="AR66" s="66">
        <f>SUMIFS(Xero!$F:$F,Xero!$B:$B,Heron!AR$9,Xero!$A:$A,Heron!$A$4,Xero!$E:$E,Heron!$A66)+SUMIFS(Xero!$F:$F,Xero!$B:$B,Heron!AR$9,Xero!$A:$A,Heron!$A$5,Xero!$E:$E,Heron!$A66)</f>
        <v/>
      </c>
      <c r="AS66" s="66">
        <f>SUMIFS(Xero!$F:$F,Xero!$B:$B,Heron!AS$9,Xero!$A:$A,Heron!$A$4,Xero!$E:$E,Heron!$A66)+SUMIFS(Xero!$F:$F,Xero!$B:$B,Heron!AS$9,Xero!$A:$A,Heron!$A$5,Xero!$E:$E,Heron!$A66)</f>
        <v/>
      </c>
      <c r="AT66" s="66">
        <f>SUMIFS(Xero!$F:$F,Xero!$B:$B,Heron!AT$9,Xero!$A:$A,Heron!$A$4,Xero!$E:$E,Heron!$A66)+SUMIFS(Xero!$F:$F,Xero!$B:$B,Heron!AT$9,Xero!$A:$A,Heron!$A$5,Xero!$E:$E,Heron!$A66)</f>
        <v/>
      </c>
      <c r="AU66" s="66">
        <f>SUMIFS(Xero!$F:$F,Xero!$B:$B,Heron!AU$9,Xero!$A:$A,Heron!$A$4,Xero!$E:$E,Heron!$A66)+SUMIFS(Xero!$F:$F,Xero!$B:$B,Heron!AU$9,Xero!$A:$A,Heron!$A$5,Xero!$E:$E,Heron!$A66)</f>
        <v/>
      </c>
      <c r="AV66" s="66">
        <f>SUMIFS(Xero!$F:$F,Xero!$B:$B,Heron!AV$9,Xero!$A:$A,Heron!$A$4,Xero!$E:$E,Heron!$A66)+SUMIFS(Xero!$F:$F,Xero!$B:$B,Heron!AV$9,Xero!$A:$A,Heron!$A$5,Xero!$E:$E,Heron!$A66)</f>
        <v/>
      </c>
      <c r="AW66" s="66">
        <f>SUMIFS(Xero!$F:$F,Xero!$B:$B,Heron!AW$9,Xero!$A:$A,Heron!$A$4,Xero!$E:$E,Heron!$A66)+SUMIFS(Xero!$F:$F,Xero!$B:$B,Heron!AW$9,Xero!$A:$A,Heron!$A$5,Xero!$E:$E,Heron!$A66)</f>
        <v/>
      </c>
      <c r="AX66" s="66">
        <f>SUMIFS(Xero!$F:$F,Xero!$B:$B,Heron!AX$9,Xero!$A:$A,Heron!$A$4,Xero!$E:$E,Heron!$A66)+SUMIFS(Xero!$F:$F,Xero!$B:$B,Heron!AX$9,Xero!$A:$A,Heron!$A$5,Xero!$E:$E,Heron!$A66)</f>
        <v/>
      </c>
      <c r="AY66" s="66">
        <f>SUMIFS(Xero!$F:$F,Xero!$B:$B,Heron!AY$9,Xero!$A:$A,Heron!$A$4,Xero!$E:$E,Heron!$A66)+SUMIFS(Xero!$F:$F,Xero!$B:$B,Heron!AY$9,Xero!$A:$A,Heron!$A$5,Xero!$E:$E,Heron!$A66)</f>
        <v/>
      </c>
      <c r="AZ66" s="66">
        <f>SUMIFS(Xero!$F:$F,Xero!$B:$B,Heron!AZ$9,Xero!$A:$A,Heron!$A$4,Xero!$E:$E,Heron!$A66)+SUMIFS(Xero!$F:$F,Xero!$B:$B,Heron!AZ$9,Xero!$A:$A,Heron!$A$5,Xero!$E:$E,Heron!$A66)</f>
        <v/>
      </c>
      <c r="BA66" s="66">
        <f>SUMIFS(Xero!$F:$F,Xero!$B:$B,Heron!BA$9,Xero!$A:$A,Heron!$A$4,Xero!$E:$E,Heron!$A66)+SUMIFS(Xero!$F:$F,Xero!$B:$B,Heron!BA$9,Xero!$A:$A,Heron!$A$5,Xero!$E:$E,Heron!$A66)</f>
        <v/>
      </c>
      <c r="BB66" s="66">
        <f>SUMIFS(Xero!$F:$F,Xero!$B:$B,Heron!BB$9,Xero!$A:$A,Heron!$A$4,Xero!$E:$E,Heron!$A66)+SUMIFS(Xero!$F:$F,Xero!$B:$B,Heron!BB$9,Xero!$A:$A,Heron!$A$5,Xero!$E:$E,Heron!$A66)</f>
        <v/>
      </c>
      <c r="BC66" s="66">
        <f>SUMIFS(Xero!$F:$F,Xero!$B:$B,Heron!BC$9,Xero!$A:$A,Heron!$A$4,Xero!$E:$E,Heron!$A66)+SUMIFS(Xero!$F:$F,Xero!$B:$B,Heron!BC$9,Xero!$A:$A,Heron!$A$5,Xero!$E:$E,Heron!$A66)</f>
        <v/>
      </c>
      <c r="BD66" s="66">
        <f>SUMIFS(Xero!$F:$F,Xero!$B:$B,Heron!BD$9,Xero!$A:$A,Heron!$A$4,Xero!$E:$E,Heron!$A66)+SUMIFS(Xero!$F:$F,Xero!$B:$B,Heron!BD$9,Xero!$A:$A,Heron!$A$5,Xero!$E:$E,Heron!$A66)</f>
        <v/>
      </c>
      <c r="BE66" s="66">
        <f>SUMIFS(Xero!$F:$F,Xero!$B:$B,Heron!BE$9,Xero!$A:$A,Heron!$A$4,Xero!$E:$E,Heron!$A66)+SUMIFS(Xero!$F:$F,Xero!$B:$B,Heron!BE$9,Xero!$A:$A,Heron!$A$5,Xero!$E:$E,Heron!$A66)</f>
        <v/>
      </c>
      <c r="BF66" s="66">
        <f>SUMIFS(Xero!$F:$F,Xero!$B:$B,Heron!BF$9,Xero!$A:$A,Heron!$A$4,Xero!$E:$E,Heron!$A66)+SUMIFS(Xero!$F:$F,Xero!$B:$B,Heron!BF$9,Xero!$A:$A,Heron!$A$5,Xero!$E:$E,Heron!$A66)</f>
        <v/>
      </c>
      <c r="BG66" s="66">
        <f>SUMIFS(Xero!$F:$F,Xero!$B:$B,Heron!BG$9,Xero!$A:$A,Heron!$A$4,Xero!$E:$E,Heron!$A66)+SUMIFS(Xero!$F:$F,Xero!$B:$B,Heron!BG$9,Xero!$A:$A,Heron!$A$5,Xero!$E:$E,Heron!$A66)</f>
        <v/>
      </c>
      <c r="BH66" s="66">
        <f>sum(D66:BG66)</f>
        <v/>
      </c>
    </row>
    <row r="67">
      <c r="A67" s="65" t="inlineStr">
        <is>
          <t>Interest Paid</t>
        </is>
      </c>
      <c r="D67" s="66">
        <f>SUMIFS(Xero!$F:$F,Xero!$B:$B,Heron!D$9,Xero!$A:$A,Heron!$A$4,Xero!$E:$E,Heron!$A67)+SUMIFS(Xero!$F:$F,Xero!$B:$B,Heron!D$9,Xero!$A:$A,Heron!$A$5,Xero!$E:$E,Heron!$A67)</f>
        <v/>
      </c>
      <c r="E67" s="66">
        <f>SUMIFS(Xero!$F:$F,Xero!$B:$B,Heron!E$9,Xero!$A:$A,Heron!$A$4,Xero!$E:$E,Heron!$A67)+SUMIFS(Xero!$F:$F,Xero!$B:$B,Heron!E$9,Xero!$A:$A,Heron!$A$5,Xero!$E:$E,Heron!$A67)</f>
        <v/>
      </c>
      <c r="F67" s="66">
        <f>SUMIFS(Xero!$F:$F,Xero!$B:$B,Heron!F$9,Xero!$A:$A,Heron!$A$4,Xero!$E:$E,Heron!$A67)+SUMIFS(Xero!$F:$F,Xero!$B:$B,Heron!F$9,Xero!$A:$A,Heron!$A$5,Xero!$E:$E,Heron!$A67)</f>
        <v/>
      </c>
      <c r="G67" s="66">
        <f>SUMIFS(Xero!$F:$F,Xero!$B:$B,Heron!G$9,Xero!$A:$A,Heron!$A$4,Xero!$E:$E,Heron!$A67)+SUMIFS(Xero!$F:$F,Xero!$B:$B,Heron!G$9,Xero!$A:$A,Heron!$A$5,Xero!$E:$E,Heron!$A67)</f>
        <v/>
      </c>
      <c r="H67" s="66">
        <f>SUMIFS(Xero!$F:$F,Xero!$B:$B,Heron!H$9,Xero!$A:$A,Heron!$A$4,Xero!$E:$E,Heron!$A67)+SUMIFS(Xero!$F:$F,Xero!$B:$B,Heron!H$9,Xero!$A:$A,Heron!$A$5,Xero!$E:$E,Heron!$A67)</f>
        <v/>
      </c>
      <c r="I67" s="66">
        <f>SUMIFS(Xero!$F:$F,Xero!$B:$B,Heron!I$9,Xero!$A:$A,Heron!$A$4,Xero!$E:$E,Heron!$A67)+SUMIFS(Xero!$F:$F,Xero!$B:$B,Heron!I$9,Xero!$A:$A,Heron!$A$5,Xero!$E:$E,Heron!$A67)</f>
        <v/>
      </c>
      <c r="J67" s="66">
        <f>SUMIFS(Xero!$F:$F,Xero!$B:$B,Heron!J$9,Xero!$A:$A,Heron!$A$4,Xero!$E:$E,Heron!$A67)+SUMIFS(Xero!$F:$F,Xero!$B:$B,Heron!J$9,Xero!$A:$A,Heron!$A$5,Xero!$E:$E,Heron!$A67)</f>
        <v/>
      </c>
      <c r="K67" s="66">
        <f>SUMIFS(Xero!$F:$F,Xero!$B:$B,Heron!K$9,Xero!$A:$A,Heron!$A$4,Xero!$E:$E,Heron!$A67)+SUMIFS(Xero!$F:$F,Xero!$B:$B,Heron!K$9,Xero!$A:$A,Heron!$A$5,Xero!$E:$E,Heron!$A67)</f>
        <v/>
      </c>
      <c r="L67" s="66">
        <f>SUMIFS(Xero!$F:$F,Xero!$B:$B,Heron!L$9,Xero!$A:$A,Heron!$A$4,Xero!$E:$E,Heron!$A67)+SUMIFS(Xero!$F:$F,Xero!$B:$B,Heron!L$9,Xero!$A:$A,Heron!$A$5,Xero!$E:$E,Heron!$A67)</f>
        <v/>
      </c>
      <c r="M67" s="66">
        <f>SUMIFS(Xero!$F:$F,Xero!$B:$B,Heron!M$9,Xero!$A:$A,Heron!$A$4,Xero!$E:$E,Heron!$A67)+SUMIFS(Xero!$F:$F,Xero!$B:$B,Heron!M$9,Xero!$A:$A,Heron!$A$5,Xero!$E:$E,Heron!$A67)</f>
        <v/>
      </c>
      <c r="N67" s="66">
        <f>SUMIFS(Xero!$F:$F,Xero!$B:$B,Heron!N$9,Xero!$A:$A,Heron!$A$4,Xero!$E:$E,Heron!$A67)+SUMIFS(Xero!$F:$F,Xero!$B:$B,Heron!N$9,Xero!$A:$A,Heron!$A$5,Xero!$E:$E,Heron!$A67)</f>
        <v/>
      </c>
      <c r="O67" s="66">
        <f>SUMIFS(Xero!$F:$F,Xero!$B:$B,Heron!O$9,Xero!$A:$A,Heron!$A$4,Xero!$E:$E,Heron!$A67)+SUMIFS(Xero!$F:$F,Xero!$B:$B,Heron!O$9,Xero!$A:$A,Heron!$A$5,Xero!$E:$E,Heron!$A67)</f>
        <v/>
      </c>
      <c r="P67" s="66">
        <f>SUMIFS(Xero!$F:$F,Xero!$B:$B,Heron!P$9,Xero!$A:$A,Heron!$A$4,Xero!$E:$E,Heron!$A67)+SUMIFS(Xero!$F:$F,Xero!$B:$B,Heron!P$9,Xero!$A:$A,Heron!$A$5,Xero!$E:$E,Heron!$A67)</f>
        <v/>
      </c>
      <c r="Q67" s="66">
        <f>SUMIFS(Xero!$F:$F,Xero!$B:$B,Heron!Q$9,Xero!$A:$A,Heron!$A$4,Xero!$E:$E,Heron!$A67)+SUMIFS(Xero!$F:$F,Xero!$B:$B,Heron!Q$9,Xero!$A:$A,Heron!$A$5,Xero!$E:$E,Heron!$A67)</f>
        <v/>
      </c>
      <c r="R67" s="66">
        <f>SUMIFS(Xero!$F:$F,Xero!$B:$B,Heron!R$9,Xero!$A:$A,Heron!$A$4,Xero!$E:$E,Heron!$A67)+SUMIFS(Xero!$F:$F,Xero!$B:$B,Heron!R$9,Xero!$A:$A,Heron!$A$5,Xero!$E:$E,Heron!$A67)</f>
        <v/>
      </c>
      <c r="S67" s="66">
        <f>SUMIFS(Xero!$F:$F,Xero!$B:$B,Heron!S$9,Xero!$A:$A,Heron!$A$4,Xero!$E:$E,Heron!$A67)+SUMIFS(Xero!$F:$F,Xero!$B:$B,Heron!S$9,Xero!$A:$A,Heron!$A$5,Xero!$E:$E,Heron!$A67)</f>
        <v/>
      </c>
      <c r="T67" s="66">
        <f>SUMIFS(Xero!$F:$F,Xero!$B:$B,Heron!T$9,Xero!$A:$A,Heron!$A$4,Xero!$E:$E,Heron!$A67)+SUMIFS(Xero!$F:$F,Xero!$B:$B,Heron!T$9,Xero!$A:$A,Heron!$A$5,Xero!$E:$E,Heron!$A67)</f>
        <v/>
      </c>
      <c r="U67" s="66">
        <f>SUMIFS(Xero!$F:$F,Xero!$B:$B,Heron!U$9,Xero!$A:$A,Heron!$A$4,Xero!$E:$E,Heron!$A67)+SUMIFS(Xero!$F:$F,Xero!$B:$B,Heron!U$9,Xero!$A:$A,Heron!$A$5,Xero!$E:$E,Heron!$A67)</f>
        <v/>
      </c>
      <c r="V67" s="66">
        <f>SUMIFS(Xero!$F:$F,Xero!$B:$B,Heron!V$9,Xero!$A:$A,Heron!$A$4,Xero!$E:$E,Heron!$A67)+SUMIFS(Xero!$F:$F,Xero!$B:$B,Heron!V$9,Xero!$A:$A,Heron!$A$5,Xero!$E:$E,Heron!$A67)</f>
        <v/>
      </c>
      <c r="W67" s="66">
        <f>SUMIFS(Xero!$F:$F,Xero!$B:$B,Heron!W$9,Xero!$A:$A,Heron!$A$4,Xero!$E:$E,Heron!$A67)+SUMIFS(Xero!$F:$F,Xero!$B:$B,Heron!W$9,Xero!$A:$A,Heron!$A$5,Xero!$E:$E,Heron!$A67)</f>
        <v/>
      </c>
      <c r="X67" s="66">
        <f>SUMIFS(Xero!$F:$F,Xero!$B:$B,Heron!X$9,Xero!$A:$A,Heron!$A$4,Xero!$E:$E,Heron!$A67)+SUMIFS(Xero!$F:$F,Xero!$B:$B,Heron!X$9,Xero!$A:$A,Heron!$A$5,Xero!$E:$E,Heron!$A67)</f>
        <v/>
      </c>
      <c r="Y67" s="66">
        <f>SUMIFS(Xero!$F:$F,Xero!$B:$B,Heron!Y$9,Xero!$A:$A,Heron!$A$4,Xero!$E:$E,Heron!$A67)+SUMIFS(Xero!$F:$F,Xero!$B:$B,Heron!Y$9,Xero!$A:$A,Heron!$A$5,Xero!$E:$E,Heron!$A67)</f>
        <v/>
      </c>
      <c r="Z67" s="66">
        <f>SUMIFS(Xero!$F:$F,Xero!$B:$B,Heron!Z$9,Xero!$A:$A,Heron!$A$4,Xero!$E:$E,Heron!$A67)+SUMIFS(Xero!$F:$F,Xero!$B:$B,Heron!Z$9,Xero!$A:$A,Heron!$A$5,Xero!$E:$E,Heron!$A67)</f>
        <v/>
      </c>
      <c r="AA67" s="66">
        <f>SUMIFS(Xero!$F:$F,Xero!$B:$B,Heron!AA$9,Xero!$A:$A,Heron!$A$4,Xero!$E:$E,Heron!$A67)+SUMIFS(Xero!$F:$F,Xero!$B:$B,Heron!AA$9,Xero!$A:$A,Heron!$A$5,Xero!$E:$E,Heron!$A67)</f>
        <v/>
      </c>
      <c r="AB67" s="66">
        <f>SUMIFS(Xero!$F:$F,Xero!$B:$B,Heron!AB$9,Xero!$A:$A,Heron!$A$4,Xero!$E:$E,Heron!$A67)+SUMIFS(Xero!$F:$F,Xero!$B:$B,Heron!AB$9,Xero!$A:$A,Heron!$A$5,Xero!$E:$E,Heron!$A67)</f>
        <v/>
      </c>
      <c r="AC67" s="66">
        <f>SUMIFS(Xero!$F:$F,Xero!$B:$B,Heron!AC$9,Xero!$A:$A,Heron!$A$4,Xero!$E:$E,Heron!$A67)+SUMIFS(Xero!$F:$F,Xero!$B:$B,Heron!AC$9,Xero!$A:$A,Heron!$A$5,Xero!$E:$E,Heron!$A67)</f>
        <v/>
      </c>
      <c r="AD67" s="66">
        <f>SUMIFS(Xero!$F:$F,Xero!$B:$B,Heron!AD$9,Xero!$A:$A,Heron!$A$4,Xero!$E:$E,Heron!$A67)+SUMIFS(Xero!$F:$F,Xero!$B:$B,Heron!AD$9,Xero!$A:$A,Heron!$A$5,Xero!$E:$E,Heron!$A67)</f>
        <v/>
      </c>
      <c r="AE67" s="66">
        <f>SUMIFS(Xero!$F:$F,Xero!$B:$B,Heron!AE$9,Xero!$A:$A,Heron!$A$4,Xero!$E:$E,Heron!$A67)+SUMIFS(Xero!$F:$F,Xero!$B:$B,Heron!AE$9,Xero!$A:$A,Heron!$A$5,Xero!$E:$E,Heron!$A67)</f>
        <v/>
      </c>
      <c r="AF67" s="66">
        <f>SUMIFS(Xero!$F:$F,Xero!$B:$B,Heron!AF$9,Xero!$A:$A,Heron!$A$4,Xero!$E:$E,Heron!$A67)+SUMIFS(Xero!$F:$F,Xero!$B:$B,Heron!AF$9,Xero!$A:$A,Heron!$A$5,Xero!$E:$E,Heron!$A67)</f>
        <v/>
      </c>
      <c r="AG67" s="66">
        <f>SUMIFS(Xero!$F:$F,Xero!$B:$B,Heron!AG$9,Xero!$A:$A,Heron!$A$4,Xero!$E:$E,Heron!$A67)+SUMIFS(Xero!$F:$F,Xero!$B:$B,Heron!AG$9,Xero!$A:$A,Heron!$A$5,Xero!$E:$E,Heron!$A67)</f>
        <v/>
      </c>
      <c r="AH67" s="66">
        <f>SUMIFS(Xero!$F:$F,Xero!$B:$B,Heron!AH$9,Xero!$A:$A,Heron!$A$4,Xero!$E:$E,Heron!$A67)+SUMIFS(Xero!$F:$F,Xero!$B:$B,Heron!AH$9,Xero!$A:$A,Heron!$A$5,Xero!$E:$E,Heron!$A67)</f>
        <v/>
      </c>
      <c r="AI67" s="66">
        <f>SUMIFS(Xero!$F:$F,Xero!$B:$B,Heron!AI$9,Xero!$A:$A,Heron!$A$4,Xero!$E:$E,Heron!$A67)+SUMIFS(Xero!$F:$F,Xero!$B:$B,Heron!AI$9,Xero!$A:$A,Heron!$A$5,Xero!$E:$E,Heron!$A67)</f>
        <v/>
      </c>
      <c r="AJ67" s="66">
        <f>SUMIFS(Xero!$F:$F,Xero!$B:$B,Heron!AJ$9,Xero!$A:$A,Heron!$A$4,Xero!$E:$E,Heron!$A67)+SUMIFS(Xero!$F:$F,Xero!$B:$B,Heron!AJ$9,Xero!$A:$A,Heron!$A$5,Xero!$E:$E,Heron!$A67)</f>
        <v/>
      </c>
      <c r="AK67" s="66">
        <f>SUMIFS(Xero!$F:$F,Xero!$B:$B,Heron!AK$9,Xero!$A:$A,Heron!$A$4,Xero!$E:$E,Heron!$A67)+SUMIFS(Xero!$F:$F,Xero!$B:$B,Heron!AK$9,Xero!$A:$A,Heron!$A$5,Xero!$E:$E,Heron!$A67)</f>
        <v/>
      </c>
      <c r="AL67" s="66">
        <f>SUMIFS(Xero!$F:$F,Xero!$B:$B,Heron!AL$9,Xero!$A:$A,Heron!$A$4,Xero!$E:$E,Heron!$A67)+SUMIFS(Xero!$F:$F,Xero!$B:$B,Heron!AL$9,Xero!$A:$A,Heron!$A$5,Xero!$E:$E,Heron!$A67)</f>
        <v/>
      </c>
      <c r="AM67" s="66">
        <f>SUMIFS(Xero!$F:$F,Xero!$B:$B,Heron!AM$9,Xero!$A:$A,Heron!$A$4,Xero!$E:$E,Heron!$A67)+SUMIFS(Xero!$F:$F,Xero!$B:$B,Heron!AM$9,Xero!$A:$A,Heron!$A$5,Xero!$E:$E,Heron!$A67)</f>
        <v/>
      </c>
      <c r="AN67" s="66">
        <f>SUMIFS(Xero!$F:$F,Xero!$B:$B,Heron!AN$9,Xero!$A:$A,Heron!$A$4,Xero!$E:$E,Heron!$A67)+SUMIFS(Xero!$F:$F,Xero!$B:$B,Heron!AN$9,Xero!$A:$A,Heron!$A$5,Xero!$E:$E,Heron!$A67)</f>
        <v/>
      </c>
      <c r="AO67" s="66">
        <f>SUMIFS(Xero!$F:$F,Xero!$B:$B,Heron!AO$9,Xero!$A:$A,Heron!$A$4,Xero!$E:$E,Heron!$A67)+SUMIFS(Xero!$F:$F,Xero!$B:$B,Heron!AO$9,Xero!$A:$A,Heron!$A$5,Xero!$E:$E,Heron!$A67)</f>
        <v/>
      </c>
      <c r="AP67" s="66">
        <f>SUMIFS(Xero!$F:$F,Xero!$B:$B,Heron!AP$9,Xero!$A:$A,Heron!$A$4,Xero!$E:$E,Heron!$A67)+SUMIFS(Xero!$F:$F,Xero!$B:$B,Heron!AP$9,Xero!$A:$A,Heron!$A$5,Xero!$E:$E,Heron!$A67)</f>
        <v/>
      </c>
      <c r="AQ67" s="66">
        <f>SUMIFS(Xero!$F:$F,Xero!$B:$B,Heron!AQ$9,Xero!$A:$A,Heron!$A$4,Xero!$E:$E,Heron!$A67)+SUMIFS(Xero!$F:$F,Xero!$B:$B,Heron!AQ$9,Xero!$A:$A,Heron!$A$5,Xero!$E:$E,Heron!$A67)</f>
        <v/>
      </c>
      <c r="AR67" s="66">
        <f>SUMIFS(Xero!$F:$F,Xero!$B:$B,Heron!AR$9,Xero!$A:$A,Heron!$A$4,Xero!$E:$E,Heron!$A67)+SUMIFS(Xero!$F:$F,Xero!$B:$B,Heron!AR$9,Xero!$A:$A,Heron!$A$5,Xero!$E:$E,Heron!$A67)</f>
        <v/>
      </c>
      <c r="AS67" s="66">
        <f>SUMIFS(Xero!$F:$F,Xero!$B:$B,Heron!AS$9,Xero!$A:$A,Heron!$A$4,Xero!$E:$E,Heron!$A67)+SUMIFS(Xero!$F:$F,Xero!$B:$B,Heron!AS$9,Xero!$A:$A,Heron!$A$5,Xero!$E:$E,Heron!$A67)</f>
        <v/>
      </c>
      <c r="AT67" s="66">
        <f>SUMIFS(Xero!$F:$F,Xero!$B:$B,Heron!AT$9,Xero!$A:$A,Heron!$A$4,Xero!$E:$E,Heron!$A67)+SUMIFS(Xero!$F:$F,Xero!$B:$B,Heron!AT$9,Xero!$A:$A,Heron!$A$5,Xero!$E:$E,Heron!$A67)</f>
        <v/>
      </c>
      <c r="AU67" s="66">
        <f>SUMIFS(Xero!$F:$F,Xero!$B:$B,Heron!AU$9,Xero!$A:$A,Heron!$A$4,Xero!$E:$E,Heron!$A67)+SUMIFS(Xero!$F:$F,Xero!$B:$B,Heron!AU$9,Xero!$A:$A,Heron!$A$5,Xero!$E:$E,Heron!$A67)</f>
        <v/>
      </c>
      <c r="AV67" s="66">
        <f>SUMIFS(Xero!$F:$F,Xero!$B:$B,Heron!AV$9,Xero!$A:$A,Heron!$A$4,Xero!$E:$E,Heron!$A67)+SUMIFS(Xero!$F:$F,Xero!$B:$B,Heron!AV$9,Xero!$A:$A,Heron!$A$5,Xero!$E:$E,Heron!$A67)</f>
        <v/>
      </c>
      <c r="AW67" s="66">
        <f>SUMIFS(Xero!$F:$F,Xero!$B:$B,Heron!AW$9,Xero!$A:$A,Heron!$A$4,Xero!$E:$E,Heron!$A67)+SUMIFS(Xero!$F:$F,Xero!$B:$B,Heron!AW$9,Xero!$A:$A,Heron!$A$5,Xero!$E:$E,Heron!$A67)</f>
        <v/>
      </c>
      <c r="AX67" s="66">
        <f>SUMIFS(Xero!$F:$F,Xero!$B:$B,Heron!AX$9,Xero!$A:$A,Heron!$A$4,Xero!$E:$E,Heron!$A67)+SUMIFS(Xero!$F:$F,Xero!$B:$B,Heron!AX$9,Xero!$A:$A,Heron!$A$5,Xero!$E:$E,Heron!$A67)</f>
        <v/>
      </c>
      <c r="AY67" s="66">
        <f>SUMIFS(Xero!$F:$F,Xero!$B:$B,Heron!AY$9,Xero!$A:$A,Heron!$A$4,Xero!$E:$E,Heron!$A67)+SUMIFS(Xero!$F:$F,Xero!$B:$B,Heron!AY$9,Xero!$A:$A,Heron!$A$5,Xero!$E:$E,Heron!$A67)</f>
        <v/>
      </c>
      <c r="AZ67" s="66">
        <f>SUMIFS(Xero!$F:$F,Xero!$B:$B,Heron!AZ$9,Xero!$A:$A,Heron!$A$4,Xero!$E:$E,Heron!$A67)+SUMIFS(Xero!$F:$F,Xero!$B:$B,Heron!AZ$9,Xero!$A:$A,Heron!$A$5,Xero!$E:$E,Heron!$A67)</f>
        <v/>
      </c>
      <c r="BA67" s="66">
        <f>SUMIFS(Xero!$F:$F,Xero!$B:$B,Heron!BA$9,Xero!$A:$A,Heron!$A$4,Xero!$E:$E,Heron!$A67)+SUMIFS(Xero!$F:$F,Xero!$B:$B,Heron!BA$9,Xero!$A:$A,Heron!$A$5,Xero!$E:$E,Heron!$A67)</f>
        <v/>
      </c>
      <c r="BB67" s="66">
        <f>SUMIFS(Xero!$F:$F,Xero!$B:$B,Heron!BB$9,Xero!$A:$A,Heron!$A$4,Xero!$E:$E,Heron!$A67)+SUMIFS(Xero!$F:$F,Xero!$B:$B,Heron!BB$9,Xero!$A:$A,Heron!$A$5,Xero!$E:$E,Heron!$A67)</f>
        <v/>
      </c>
      <c r="BC67" s="66">
        <f>SUMIFS(Xero!$F:$F,Xero!$B:$B,Heron!BC$9,Xero!$A:$A,Heron!$A$4,Xero!$E:$E,Heron!$A67)+SUMIFS(Xero!$F:$F,Xero!$B:$B,Heron!BC$9,Xero!$A:$A,Heron!$A$5,Xero!$E:$E,Heron!$A67)</f>
        <v/>
      </c>
      <c r="BD67" s="66">
        <f>SUMIFS(Xero!$F:$F,Xero!$B:$B,Heron!BD$9,Xero!$A:$A,Heron!$A$4,Xero!$E:$E,Heron!$A67)+SUMIFS(Xero!$F:$F,Xero!$B:$B,Heron!BD$9,Xero!$A:$A,Heron!$A$5,Xero!$E:$E,Heron!$A67)</f>
        <v/>
      </c>
      <c r="BE67" s="66">
        <f>SUMIFS(Xero!$F:$F,Xero!$B:$B,Heron!BE$9,Xero!$A:$A,Heron!$A$4,Xero!$E:$E,Heron!$A67)+SUMIFS(Xero!$F:$F,Xero!$B:$B,Heron!BE$9,Xero!$A:$A,Heron!$A$5,Xero!$E:$E,Heron!$A67)</f>
        <v/>
      </c>
      <c r="BF67" s="66">
        <f>SUMIFS(Xero!$F:$F,Xero!$B:$B,Heron!BF$9,Xero!$A:$A,Heron!$A$4,Xero!$E:$E,Heron!$A67)+SUMIFS(Xero!$F:$F,Xero!$B:$B,Heron!BF$9,Xero!$A:$A,Heron!$A$5,Xero!$E:$E,Heron!$A67)</f>
        <v/>
      </c>
      <c r="BG67" s="66">
        <f>SUMIFS(Xero!$F:$F,Xero!$B:$B,Heron!BG$9,Xero!$A:$A,Heron!$A$4,Xero!$E:$E,Heron!$A67)+SUMIFS(Xero!$F:$F,Xero!$B:$B,Heron!BG$9,Xero!$A:$A,Heron!$A$5,Xero!$E:$E,Heron!$A67)</f>
        <v/>
      </c>
      <c r="BH67" s="66">
        <f>sum(D67:BG67)</f>
        <v/>
      </c>
    </row>
    <row r="68">
      <c r="A68" s="65" t="inlineStr">
        <is>
          <t>Interest Paid - Investors @ 10%</t>
        </is>
      </c>
      <c r="D68" s="66">
        <f>SUMIFS(Xero!$F:$F,Xero!$B:$B,Heron!D$9,Xero!$A:$A,Heron!$A$4,Xero!$E:$E,Heron!$A68)+SUMIFS(Xero!$F:$F,Xero!$B:$B,Heron!D$9,Xero!$A:$A,Heron!$A$5,Xero!$E:$E,Heron!$A68)</f>
        <v/>
      </c>
      <c r="E68" s="66">
        <f>SUMIFS(Xero!$F:$F,Xero!$B:$B,Heron!E$9,Xero!$A:$A,Heron!$A$4,Xero!$E:$E,Heron!$A68)+SUMIFS(Xero!$F:$F,Xero!$B:$B,Heron!E$9,Xero!$A:$A,Heron!$A$5,Xero!$E:$E,Heron!$A68)</f>
        <v/>
      </c>
      <c r="F68" s="66">
        <f>SUMIFS(Xero!$F:$F,Xero!$B:$B,Heron!F$9,Xero!$A:$A,Heron!$A$4,Xero!$E:$E,Heron!$A68)+SUMIFS(Xero!$F:$F,Xero!$B:$B,Heron!F$9,Xero!$A:$A,Heron!$A$5,Xero!$E:$E,Heron!$A68)</f>
        <v/>
      </c>
      <c r="G68" s="66">
        <f>SUMIFS(Xero!$F:$F,Xero!$B:$B,Heron!G$9,Xero!$A:$A,Heron!$A$4,Xero!$E:$E,Heron!$A68)+SUMIFS(Xero!$F:$F,Xero!$B:$B,Heron!G$9,Xero!$A:$A,Heron!$A$5,Xero!$E:$E,Heron!$A68)</f>
        <v/>
      </c>
      <c r="H68" s="66">
        <f>SUMIFS(Xero!$F:$F,Xero!$B:$B,Heron!H$9,Xero!$A:$A,Heron!$A$4,Xero!$E:$E,Heron!$A68)+SUMIFS(Xero!$F:$F,Xero!$B:$B,Heron!H$9,Xero!$A:$A,Heron!$A$5,Xero!$E:$E,Heron!$A68)</f>
        <v/>
      </c>
      <c r="I68" s="66">
        <f>SUMIFS(Xero!$F:$F,Xero!$B:$B,Heron!I$9,Xero!$A:$A,Heron!$A$4,Xero!$E:$E,Heron!$A68)+SUMIFS(Xero!$F:$F,Xero!$B:$B,Heron!I$9,Xero!$A:$A,Heron!$A$5,Xero!$E:$E,Heron!$A68)</f>
        <v/>
      </c>
      <c r="J68" s="66">
        <f>SUMIFS(Xero!$F:$F,Xero!$B:$B,Heron!J$9,Xero!$A:$A,Heron!$A$4,Xero!$E:$E,Heron!$A68)+SUMIFS(Xero!$F:$F,Xero!$B:$B,Heron!J$9,Xero!$A:$A,Heron!$A$5,Xero!$E:$E,Heron!$A68)</f>
        <v/>
      </c>
      <c r="K68" s="66">
        <f>SUMIFS(Xero!$F:$F,Xero!$B:$B,Heron!K$9,Xero!$A:$A,Heron!$A$4,Xero!$E:$E,Heron!$A68)+SUMIFS(Xero!$F:$F,Xero!$B:$B,Heron!K$9,Xero!$A:$A,Heron!$A$5,Xero!$E:$E,Heron!$A68)</f>
        <v/>
      </c>
      <c r="L68" s="66">
        <f>SUMIFS(Xero!$F:$F,Xero!$B:$B,Heron!L$9,Xero!$A:$A,Heron!$A$4,Xero!$E:$E,Heron!$A68)+SUMIFS(Xero!$F:$F,Xero!$B:$B,Heron!L$9,Xero!$A:$A,Heron!$A$5,Xero!$E:$E,Heron!$A68)</f>
        <v/>
      </c>
      <c r="M68" s="66">
        <f>SUMIFS(Xero!$F:$F,Xero!$B:$B,Heron!M$9,Xero!$A:$A,Heron!$A$4,Xero!$E:$E,Heron!$A68)+SUMIFS(Xero!$F:$F,Xero!$B:$B,Heron!M$9,Xero!$A:$A,Heron!$A$5,Xero!$E:$E,Heron!$A68)</f>
        <v/>
      </c>
      <c r="N68" s="66">
        <f>SUMIFS(Xero!$F:$F,Xero!$B:$B,Heron!N$9,Xero!$A:$A,Heron!$A$4,Xero!$E:$E,Heron!$A68)+SUMIFS(Xero!$F:$F,Xero!$B:$B,Heron!N$9,Xero!$A:$A,Heron!$A$5,Xero!$E:$E,Heron!$A68)</f>
        <v/>
      </c>
      <c r="O68" s="66">
        <f>SUMIFS(Xero!$F:$F,Xero!$B:$B,Heron!O$9,Xero!$A:$A,Heron!$A$4,Xero!$E:$E,Heron!$A68)+SUMIFS(Xero!$F:$F,Xero!$B:$B,Heron!O$9,Xero!$A:$A,Heron!$A$5,Xero!$E:$E,Heron!$A68)</f>
        <v/>
      </c>
      <c r="P68" s="66">
        <f>SUMIFS(Xero!$F:$F,Xero!$B:$B,Heron!P$9,Xero!$A:$A,Heron!$A$4,Xero!$E:$E,Heron!$A68)+SUMIFS(Xero!$F:$F,Xero!$B:$B,Heron!P$9,Xero!$A:$A,Heron!$A$5,Xero!$E:$E,Heron!$A68)</f>
        <v/>
      </c>
      <c r="Q68" s="66">
        <f>SUMIFS(Xero!$F:$F,Xero!$B:$B,Heron!Q$9,Xero!$A:$A,Heron!$A$4,Xero!$E:$E,Heron!$A68)+SUMIFS(Xero!$F:$F,Xero!$B:$B,Heron!Q$9,Xero!$A:$A,Heron!$A$5,Xero!$E:$E,Heron!$A68)</f>
        <v/>
      </c>
      <c r="R68" s="66">
        <f>SUMIFS(Xero!$F:$F,Xero!$B:$B,Heron!R$9,Xero!$A:$A,Heron!$A$4,Xero!$E:$E,Heron!$A68)+SUMIFS(Xero!$F:$F,Xero!$B:$B,Heron!R$9,Xero!$A:$A,Heron!$A$5,Xero!$E:$E,Heron!$A68)</f>
        <v/>
      </c>
      <c r="S68" s="66">
        <f>SUMIFS(Xero!$F:$F,Xero!$B:$B,Heron!S$9,Xero!$A:$A,Heron!$A$4,Xero!$E:$E,Heron!$A68)+SUMIFS(Xero!$F:$F,Xero!$B:$B,Heron!S$9,Xero!$A:$A,Heron!$A$5,Xero!$E:$E,Heron!$A68)</f>
        <v/>
      </c>
      <c r="T68" s="66">
        <f>SUMIFS(Xero!$F:$F,Xero!$B:$B,Heron!T$9,Xero!$A:$A,Heron!$A$4,Xero!$E:$E,Heron!$A68)+SUMIFS(Xero!$F:$F,Xero!$B:$B,Heron!T$9,Xero!$A:$A,Heron!$A$5,Xero!$E:$E,Heron!$A68)</f>
        <v/>
      </c>
      <c r="U68" s="66">
        <f>SUMIFS(Xero!$F:$F,Xero!$B:$B,Heron!U$9,Xero!$A:$A,Heron!$A$4,Xero!$E:$E,Heron!$A68)+SUMIFS(Xero!$F:$F,Xero!$B:$B,Heron!U$9,Xero!$A:$A,Heron!$A$5,Xero!$E:$E,Heron!$A68)</f>
        <v/>
      </c>
      <c r="V68" s="66">
        <f>SUMIFS(Xero!$F:$F,Xero!$B:$B,Heron!V$9,Xero!$A:$A,Heron!$A$4,Xero!$E:$E,Heron!$A68)+SUMIFS(Xero!$F:$F,Xero!$B:$B,Heron!V$9,Xero!$A:$A,Heron!$A$5,Xero!$E:$E,Heron!$A68)</f>
        <v/>
      </c>
      <c r="W68" s="66">
        <f>SUMIFS(Xero!$F:$F,Xero!$B:$B,Heron!W$9,Xero!$A:$A,Heron!$A$4,Xero!$E:$E,Heron!$A68)+SUMIFS(Xero!$F:$F,Xero!$B:$B,Heron!W$9,Xero!$A:$A,Heron!$A$5,Xero!$E:$E,Heron!$A68)</f>
        <v/>
      </c>
      <c r="X68" s="66">
        <f>SUMIFS(Xero!$F:$F,Xero!$B:$B,Heron!X$9,Xero!$A:$A,Heron!$A$4,Xero!$E:$E,Heron!$A68)+SUMIFS(Xero!$F:$F,Xero!$B:$B,Heron!X$9,Xero!$A:$A,Heron!$A$5,Xero!$E:$E,Heron!$A68)</f>
        <v/>
      </c>
      <c r="Y68" s="66">
        <f>SUMIFS(Xero!$F:$F,Xero!$B:$B,Heron!Y$9,Xero!$A:$A,Heron!$A$4,Xero!$E:$E,Heron!$A68)+SUMIFS(Xero!$F:$F,Xero!$B:$B,Heron!Y$9,Xero!$A:$A,Heron!$A$5,Xero!$E:$E,Heron!$A68)</f>
        <v/>
      </c>
      <c r="Z68" s="66">
        <f>SUMIFS(Xero!$F:$F,Xero!$B:$B,Heron!Z$9,Xero!$A:$A,Heron!$A$4,Xero!$E:$E,Heron!$A68)+SUMIFS(Xero!$F:$F,Xero!$B:$B,Heron!Z$9,Xero!$A:$A,Heron!$A$5,Xero!$E:$E,Heron!$A68)</f>
        <v/>
      </c>
      <c r="AA68" s="66">
        <f>SUMIFS(Xero!$F:$F,Xero!$B:$B,Heron!AA$9,Xero!$A:$A,Heron!$A$4,Xero!$E:$E,Heron!$A68)+SUMIFS(Xero!$F:$F,Xero!$B:$B,Heron!AA$9,Xero!$A:$A,Heron!$A$5,Xero!$E:$E,Heron!$A68)</f>
        <v/>
      </c>
      <c r="AB68" s="66">
        <f>SUMIFS(Xero!$F:$F,Xero!$B:$B,Heron!AB$9,Xero!$A:$A,Heron!$A$4,Xero!$E:$E,Heron!$A68)+SUMIFS(Xero!$F:$F,Xero!$B:$B,Heron!AB$9,Xero!$A:$A,Heron!$A$5,Xero!$E:$E,Heron!$A68)</f>
        <v/>
      </c>
      <c r="AC68" s="66">
        <f>SUMIFS(Xero!$F:$F,Xero!$B:$B,Heron!AC$9,Xero!$A:$A,Heron!$A$4,Xero!$E:$E,Heron!$A68)+SUMIFS(Xero!$F:$F,Xero!$B:$B,Heron!AC$9,Xero!$A:$A,Heron!$A$5,Xero!$E:$E,Heron!$A68)</f>
        <v/>
      </c>
      <c r="AD68" s="66">
        <f>SUMIFS(Xero!$F:$F,Xero!$B:$B,Heron!AD$9,Xero!$A:$A,Heron!$A$4,Xero!$E:$E,Heron!$A68)+SUMIFS(Xero!$F:$F,Xero!$B:$B,Heron!AD$9,Xero!$A:$A,Heron!$A$5,Xero!$E:$E,Heron!$A68)</f>
        <v/>
      </c>
      <c r="AE68" s="66">
        <f>SUMIFS(Xero!$F:$F,Xero!$B:$B,Heron!AE$9,Xero!$A:$A,Heron!$A$4,Xero!$E:$E,Heron!$A68)+SUMIFS(Xero!$F:$F,Xero!$B:$B,Heron!AE$9,Xero!$A:$A,Heron!$A$5,Xero!$E:$E,Heron!$A68)</f>
        <v/>
      </c>
      <c r="AF68" s="66">
        <f>SUMIFS(Xero!$F:$F,Xero!$B:$B,Heron!AF$9,Xero!$A:$A,Heron!$A$4,Xero!$E:$E,Heron!$A68)+SUMIFS(Xero!$F:$F,Xero!$B:$B,Heron!AF$9,Xero!$A:$A,Heron!$A$5,Xero!$E:$E,Heron!$A68)</f>
        <v/>
      </c>
      <c r="AG68" s="66">
        <f>SUMIFS(Xero!$F:$F,Xero!$B:$B,Heron!AG$9,Xero!$A:$A,Heron!$A$4,Xero!$E:$E,Heron!$A68)+SUMIFS(Xero!$F:$F,Xero!$B:$B,Heron!AG$9,Xero!$A:$A,Heron!$A$5,Xero!$E:$E,Heron!$A68)</f>
        <v/>
      </c>
      <c r="AH68" s="66">
        <f>SUMIFS(Xero!$F:$F,Xero!$B:$B,Heron!AH$9,Xero!$A:$A,Heron!$A$4,Xero!$E:$E,Heron!$A68)+SUMIFS(Xero!$F:$F,Xero!$B:$B,Heron!AH$9,Xero!$A:$A,Heron!$A$5,Xero!$E:$E,Heron!$A68)</f>
        <v/>
      </c>
      <c r="AI68" s="66">
        <f>SUMIFS(Xero!$F:$F,Xero!$B:$B,Heron!AI$9,Xero!$A:$A,Heron!$A$4,Xero!$E:$E,Heron!$A68)+SUMIFS(Xero!$F:$F,Xero!$B:$B,Heron!AI$9,Xero!$A:$A,Heron!$A$5,Xero!$E:$E,Heron!$A68)</f>
        <v/>
      </c>
      <c r="AJ68" s="66">
        <f>SUMIFS(Xero!$F:$F,Xero!$B:$B,Heron!AJ$9,Xero!$A:$A,Heron!$A$4,Xero!$E:$E,Heron!$A68)+SUMIFS(Xero!$F:$F,Xero!$B:$B,Heron!AJ$9,Xero!$A:$A,Heron!$A$5,Xero!$E:$E,Heron!$A68)</f>
        <v/>
      </c>
      <c r="AK68" s="66">
        <f>SUMIFS(Xero!$F:$F,Xero!$B:$B,Heron!AK$9,Xero!$A:$A,Heron!$A$4,Xero!$E:$E,Heron!$A68)+SUMIFS(Xero!$F:$F,Xero!$B:$B,Heron!AK$9,Xero!$A:$A,Heron!$A$5,Xero!$E:$E,Heron!$A68)</f>
        <v/>
      </c>
      <c r="AL68" s="66">
        <f>SUMIFS(Xero!$F:$F,Xero!$B:$B,Heron!AL$9,Xero!$A:$A,Heron!$A$4,Xero!$E:$E,Heron!$A68)+SUMIFS(Xero!$F:$F,Xero!$B:$B,Heron!AL$9,Xero!$A:$A,Heron!$A$5,Xero!$E:$E,Heron!$A68)</f>
        <v/>
      </c>
      <c r="AM68" s="66">
        <f>SUMIFS(Xero!$F:$F,Xero!$B:$B,Heron!AM$9,Xero!$A:$A,Heron!$A$4,Xero!$E:$E,Heron!$A68)+SUMIFS(Xero!$F:$F,Xero!$B:$B,Heron!AM$9,Xero!$A:$A,Heron!$A$5,Xero!$E:$E,Heron!$A68)</f>
        <v/>
      </c>
      <c r="AN68" s="66">
        <f>SUMIFS(Xero!$F:$F,Xero!$B:$B,Heron!AN$9,Xero!$A:$A,Heron!$A$4,Xero!$E:$E,Heron!$A68)+SUMIFS(Xero!$F:$F,Xero!$B:$B,Heron!AN$9,Xero!$A:$A,Heron!$A$5,Xero!$E:$E,Heron!$A68)</f>
        <v/>
      </c>
      <c r="AO68" s="66">
        <f>SUMIFS(Xero!$F:$F,Xero!$B:$B,Heron!AO$9,Xero!$A:$A,Heron!$A$4,Xero!$E:$E,Heron!$A68)+SUMIFS(Xero!$F:$F,Xero!$B:$B,Heron!AO$9,Xero!$A:$A,Heron!$A$5,Xero!$E:$E,Heron!$A68)</f>
        <v/>
      </c>
      <c r="AP68" s="66">
        <f>SUMIFS(Xero!$F:$F,Xero!$B:$B,Heron!AP$9,Xero!$A:$A,Heron!$A$4,Xero!$E:$E,Heron!$A68)+SUMIFS(Xero!$F:$F,Xero!$B:$B,Heron!AP$9,Xero!$A:$A,Heron!$A$5,Xero!$E:$E,Heron!$A68)</f>
        <v/>
      </c>
      <c r="AQ68" s="66">
        <f>SUMIFS(Xero!$F:$F,Xero!$B:$B,Heron!AQ$9,Xero!$A:$A,Heron!$A$4,Xero!$E:$E,Heron!$A68)+SUMIFS(Xero!$F:$F,Xero!$B:$B,Heron!AQ$9,Xero!$A:$A,Heron!$A$5,Xero!$E:$E,Heron!$A68)</f>
        <v/>
      </c>
      <c r="AR68" s="66">
        <f>SUMIFS(Xero!$F:$F,Xero!$B:$B,Heron!AR$9,Xero!$A:$A,Heron!$A$4,Xero!$E:$E,Heron!$A68)+SUMIFS(Xero!$F:$F,Xero!$B:$B,Heron!AR$9,Xero!$A:$A,Heron!$A$5,Xero!$E:$E,Heron!$A68)</f>
        <v/>
      </c>
      <c r="AS68" s="66">
        <f>SUMIFS(Xero!$F:$F,Xero!$B:$B,Heron!AS$9,Xero!$A:$A,Heron!$A$4,Xero!$E:$E,Heron!$A68)+SUMIFS(Xero!$F:$F,Xero!$B:$B,Heron!AS$9,Xero!$A:$A,Heron!$A$5,Xero!$E:$E,Heron!$A68)</f>
        <v/>
      </c>
      <c r="AT68" s="66">
        <f>SUMIFS(Xero!$F:$F,Xero!$B:$B,Heron!AT$9,Xero!$A:$A,Heron!$A$4,Xero!$E:$E,Heron!$A68)+SUMIFS(Xero!$F:$F,Xero!$B:$B,Heron!AT$9,Xero!$A:$A,Heron!$A$5,Xero!$E:$E,Heron!$A68)</f>
        <v/>
      </c>
      <c r="AU68" s="66">
        <f>SUMIFS(Xero!$F:$F,Xero!$B:$B,Heron!AU$9,Xero!$A:$A,Heron!$A$4,Xero!$E:$E,Heron!$A68)+SUMIFS(Xero!$F:$F,Xero!$B:$B,Heron!AU$9,Xero!$A:$A,Heron!$A$5,Xero!$E:$E,Heron!$A68)</f>
        <v/>
      </c>
      <c r="AV68" s="66">
        <f>SUMIFS(Xero!$F:$F,Xero!$B:$B,Heron!AV$9,Xero!$A:$A,Heron!$A$4,Xero!$E:$E,Heron!$A68)+SUMIFS(Xero!$F:$F,Xero!$B:$B,Heron!AV$9,Xero!$A:$A,Heron!$A$5,Xero!$E:$E,Heron!$A68)</f>
        <v/>
      </c>
      <c r="AW68" s="66">
        <f>SUMIFS(Xero!$F:$F,Xero!$B:$B,Heron!AW$9,Xero!$A:$A,Heron!$A$4,Xero!$E:$E,Heron!$A68)+SUMIFS(Xero!$F:$F,Xero!$B:$B,Heron!AW$9,Xero!$A:$A,Heron!$A$5,Xero!$E:$E,Heron!$A68)</f>
        <v/>
      </c>
      <c r="AX68" s="66">
        <f>SUMIFS(Xero!$F:$F,Xero!$B:$B,Heron!AX$9,Xero!$A:$A,Heron!$A$4,Xero!$E:$E,Heron!$A68)+SUMIFS(Xero!$F:$F,Xero!$B:$B,Heron!AX$9,Xero!$A:$A,Heron!$A$5,Xero!$E:$E,Heron!$A68)</f>
        <v/>
      </c>
      <c r="AY68" s="66">
        <f>SUMIFS(Xero!$F:$F,Xero!$B:$B,Heron!AY$9,Xero!$A:$A,Heron!$A$4,Xero!$E:$E,Heron!$A68)+SUMIFS(Xero!$F:$F,Xero!$B:$B,Heron!AY$9,Xero!$A:$A,Heron!$A$5,Xero!$E:$E,Heron!$A68)</f>
        <v/>
      </c>
      <c r="AZ68" s="66">
        <f>SUMIFS(Xero!$F:$F,Xero!$B:$B,Heron!AZ$9,Xero!$A:$A,Heron!$A$4,Xero!$E:$E,Heron!$A68)+SUMIFS(Xero!$F:$F,Xero!$B:$B,Heron!AZ$9,Xero!$A:$A,Heron!$A$5,Xero!$E:$E,Heron!$A68)</f>
        <v/>
      </c>
      <c r="BA68" s="66">
        <f>SUMIFS(Xero!$F:$F,Xero!$B:$B,Heron!BA$9,Xero!$A:$A,Heron!$A$4,Xero!$E:$E,Heron!$A68)+SUMIFS(Xero!$F:$F,Xero!$B:$B,Heron!BA$9,Xero!$A:$A,Heron!$A$5,Xero!$E:$E,Heron!$A68)</f>
        <v/>
      </c>
      <c r="BB68" s="66">
        <f>SUMIFS(Xero!$F:$F,Xero!$B:$B,Heron!BB$9,Xero!$A:$A,Heron!$A$4,Xero!$E:$E,Heron!$A68)+SUMIFS(Xero!$F:$F,Xero!$B:$B,Heron!BB$9,Xero!$A:$A,Heron!$A$5,Xero!$E:$E,Heron!$A68)</f>
        <v/>
      </c>
      <c r="BC68" s="66">
        <f>SUMIFS(Xero!$F:$F,Xero!$B:$B,Heron!BC$9,Xero!$A:$A,Heron!$A$4,Xero!$E:$E,Heron!$A68)+SUMIFS(Xero!$F:$F,Xero!$B:$B,Heron!BC$9,Xero!$A:$A,Heron!$A$5,Xero!$E:$E,Heron!$A68)</f>
        <v/>
      </c>
      <c r="BD68" s="66">
        <f>SUMIFS(Xero!$F:$F,Xero!$B:$B,Heron!BD$9,Xero!$A:$A,Heron!$A$4,Xero!$E:$E,Heron!$A68)+SUMIFS(Xero!$F:$F,Xero!$B:$B,Heron!BD$9,Xero!$A:$A,Heron!$A$5,Xero!$E:$E,Heron!$A68)</f>
        <v/>
      </c>
      <c r="BE68" s="66">
        <f>SUMIFS(Xero!$F:$F,Xero!$B:$B,Heron!BE$9,Xero!$A:$A,Heron!$A$4,Xero!$E:$E,Heron!$A68)+SUMIFS(Xero!$F:$F,Xero!$B:$B,Heron!BE$9,Xero!$A:$A,Heron!$A$5,Xero!$E:$E,Heron!$A68)</f>
        <v/>
      </c>
      <c r="BF68" s="66">
        <f>SUMIFS(Xero!$F:$F,Xero!$B:$B,Heron!BF$9,Xero!$A:$A,Heron!$A$4,Xero!$E:$E,Heron!$A68)+SUMIFS(Xero!$F:$F,Xero!$B:$B,Heron!BF$9,Xero!$A:$A,Heron!$A$5,Xero!$E:$E,Heron!$A68)</f>
        <v/>
      </c>
      <c r="BG68" s="66">
        <f>SUMIFS(Xero!$F:$F,Xero!$B:$B,Heron!BG$9,Xero!$A:$A,Heron!$A$4,Xero!$E:$E,Heron!$A68)+SUMIFS(Xero!$F:$F,Xero!$B:$B,Heron!BG$9,Xero!$A:$A,Heron!$A$5,Xero!$E:$E,Heron!$A68)</f>
        <v/>
      </c>
      <c r="BH68" s="66">
        <f>sum(D68:BG68)</f>
        <v/>
      </c>
    </row>
    <row r="69">
      <c r="A69" s="65" t="inlineStr">
        <is>
          <t>Interest Paid - Investors @ 10.5%</t>
        </is>
      </c>
      <c r="D69" s="66">
        <f>SUMIFS(Xero!$F:$F,Xero!$B:$B,Heron!D$9,Xero!$A:$A,Heron!$A$4,Xero!$E:$E,Heron!$A69)+SUMIFS(Xero!$F:$F,Xero!$B:$B,Heron!D$9,Xero!$A:$A,Heron!$A$5,Xero!$E:$E,Heron!$A69)</f>
        <v/>
      </c>
      <c r="E69" s="66">
        <f>SUMIFS(Xero!$F:$F,Xero!$B:$B,Heron!E$9,Xero!$A:$A,Heron!$A$4,Xero!$E:$E,Heron!$A69)+SUMIFS(Xero!$F:$F,Xero!$B:$B,Heron!E$9,Xero!$A:$A,Heron!$A$5,Xero!$E:$E,Heron!$A69)</f>
        <v/>
      </c>
      <c r="F69" s="66">
        <f>SUMIFS(Xero!$F:$F,Xero!$B:$B,Heron!F$9,Xero!$A:$A,Heron!$A$4,Xero!$E:$E,Heron!$A69)+SUMIFS(Xero!$F:$F,Xero!$B:$B,Heron!F$9,Xero!$A:$A,Heron!$A$5,Xero!$E:$E,Heron!$A69)</f>
        <v/>
      </c>
      <c r="G69" s="66">
        <f>SUMIFS(Xero!$F:$F,Xero!$B:$B,Heron!G$9,Xero!$A:$A,Heron!$A$4,Xero!$E:$E,Heron!$A69)+SUMIFS(Xero!$F:$F,Xero!$B:$B,Heron!G$9,Xero!$A:$A,Heron!$A$5,Xero!$E:$E,Heron!$A69)</f>
        <v/>
      </c>
      <c r="H69" s="66">
        <f>SUMIFS(Xero!$F:$F,Xero!$B:$B,Heron!H$9,Xero!$A:$A,Heron!$A$4,Xero!$E:$E,Heron!$A69)+SUMIFS(Xero!$F:$F,Xero!$B:$B,Heron!H$9,Xero!$A:$A,Heron!$A$5,Xero!$E:$E,Heron!$A69)</f>
        <v/>
      </c>
      <c r="I69" s="66">
        <f>SUMIFS(Xero!$F:$F,Xero!$B:$B,Heron!I$9,Xero!$A:$A,Heron!$A$4,Xero!$E:$E,Heron!$A69)+SUMIFS(Xero!$F:$F,Xero!$B:$B,Heron!I$9,Xero!$A:$A,Heron!$A$5,Xero!$E:$E,Heron!$A69)</f>
        <v/>
      </c>
      <c r="J69" s="66">
        <f>SUMIFS(Xero!$F:$F,Xero!$B:$B,Heron!J$9,Xero!$A:$A,Heron!$A$4,Xero!$E:$E,Heron!$A69)+SUMIFS(Xero!$F:$F,Xero!$B:$B,Heron!J$9,Xero!$A:$A,Heron!$A$5,Xero!$E:$E,Heron!$A69)</f>
        <v/>
      </c>
      <c r="K69" s="66">
        <f>SUMIFS(Xero!$F:$F,Xero!$B:$B,Heron!K$9,Xero!$A:$A,Heron!$A$4,Xero!$E:$E,Heron!$A69)+SUMIFS(Xero!$F:$F,Xero!$B:$B,Heron!K$9,Xero!$A:$A,Heron!$A$5,Xero!$E:$E,Heron!$A69)</f>
        <v/>
      </c>
      <c r="L69" s="66">
        <f>SUMIFS(Xero!$F:$F,Xero!$B:$B,Heron!L$9,Xero!$A:$A,Heron!$A$4,Xero!$E:$E,Heron!$A69)+SUMIFS(Xero!$F:$F,Xero!$B:$B,Heron!L$9,Xero!$A:$A,Heron!$A$5,Xero!$E:$E,Heron!$A69)</f>
        <v/>
      </c>
      <c r="M69" s="66">
        <f>SUMIFS(Xero!$F:$F,Xero!$B:$B,Heron!M$9,Xero!$A:$A,Heron!$A$4,Xero!$E:$E,Heron!$A69)+SUMIFS(Xero!$F:$F,Xero!$B:$B,Heron!M$9,Xero!$A:$A,Heron!$A$5,Xero!$E:$E,Heron!$A69)</f>
        <v/>
      </c>
      <c r="N69" s="66">
        <f>SUMIFS(Xero!$F:$F,Xero!$B:$B,Heron!N$9,Xero!$A:$A,Heron!$A$4,Xero!$E:$E,Heron!$A69)+SUMIFS(Xero!$F:$F,Xero!$B:$B,Heron!N$9,Xero!$A:$A,Heron!$A$5,Xero!$E:$E,Heron!$A69)</f>
        <v/>
      </c>
      <c r="O69" s="66">
        <f>SUMIFS(Xero!$F:$F,Xero!$B:$B,Heron!O$9,Xero!$A:$A,Heron!$A$4,Xero!$E:$E,Heron!$A69)+SUMIFS(Xero!$F:$F,Xero!$B:$B,Heron!O$9,Xero!$A:$A,Heron!$A$5,Xero!$E:$E,Heron!$A69)</f>
        <v/>
      </c>
      <c r="P69" s="66">
        <f>SUMIFS(Xero!$F:$F,Xero!$B:$B,Heron!P$9,Xero!$A:$A,Heron!$A$4,Xero!$E:$E,Heron!$A69)+SUMIFS(Xero!$F:$F,Xero!$B:$B,Heron!P$9,Xero!$A:$A,Heron!$A$5,Xero!$E:$E,Heron!$A69)</f>
        <v/>
      </c>
      <c r="Q69" s="66">
        <f>SUMIFS(Xero!$F:$F,Xero!$B:$B,Heron!Q$9,Xero!$A:$A,Heron!$A$4,Xero!$E:$E,Heron!$A69)+SUMIFS(Xero!$F:$F,Xero!$B:$B,Heron!Q$9,Xero!$A:$A,Heron!$A$5,Xero!$E:$E,Heron!$A69)</f>
        <v/>
      </c>
      <c r="R69" s="66">
        <f>SUMIFS(Xero!$F:$F,Xero!$B:$B,Heron!R$9,Xero!$A:$A,Heron!$A$4,Xero!$E:$E,Heron!$A69)+SUMIFS(Xero!$F:$F,Xero!$B:$B,Heron!R$9,Xero!$A:$A,Heron!$A$5,Xero!$E:$E,Heron!$A69)</f>
        <v/>
      </c>
      <c r="S69" s="66">
        <f>SUMIFS(Xero!$F:$F,Xero!$B:$B,Heron!S$9,Xero!$A:$A,Heron!$A$4,Xero!$E:$E,Heron!$A69)+SUMIFS(Xero!$F:$F,Xero!$B:$B,Heron!S$9,Xero!$A:$A,Heron!$A$5,Xero!$E:$E,Heron!$A69)</f>
        <v/>
      </c>
      <c r="T69" s="66">
        <f>SUMIFS(Xero!$F:$F,Xero!$B:$B,Heron!T$9,Xero!$A:$A,Heron!$A$4,Xero!$E:$E,Heron!$A69)+SUMIFS(Xero!$F:$F,Xero!$B:$B,Heron!T$9,Xero!$A:$A,Heron!$A$5,Xero!$E:$E,Heron!$A69)</f>
        <v/>
      </c>
      <c r="U69" s="66">
        <f>SUMIFS(Xero!$F:$F,Xero!$B:$B,Heron!U$9,Xero!$A:$A,Heron!$A$4,Xero!$E:$E,Heron!$A69)+SUMIFS(Xero!$F:$F,Xero!$B:$B,Heron!U$9,Xero!$A:$A,Heron!$A$5,Xero!$E:$E,Heron!$A69)</f>
        <v/>
      </c>
      <c r="V69" s="66">
        <f>SUMIFS(Xero!$F:$F,Xero!$B:$B,Heron!V$9,Xero!$A:$A,Heron!$A$4,Xero!$E:$E,Heron!$A69)+SUMIFS(Xero!$F:$F,Xero!$B:$B,Heron!V$9,Xero!$A:$A,Heron!$A$5,Xero!$E:$E,Heron!$A69)</f>
        <v/>
      </c>
      <c r="W69" s="66">
        <f>SUMIFS(Xero!$F:$F,Xero!$B:$B,Heron!W$9,Xero!$A:$A,Heron!$A$4,Xero!$E:$E,Heron!$A69)+SUMIFS(Xero!$F:$F,Xero!$B:$B,Heron!W$9,Xero!$A:$A,Heron!$A$5,Xero!$E:$E,Heron!$A69)</f>
        <v/>
      </c>
      <c r="X69" s="66">
        <f>SUMIFS(Xero!$F:$F,Xero!$B:$B,Heron!X$9,Xero!$A:$A,Heron!$A$4,Xero!$E:$E,Heron!$A69)+SUMIFS(Xero!$F:$F,Xero!$B:$B,Heron!X$9,Xero!$A:$A,Heron!$A$5,Xero!$E:$E,Heron!$A69)</f>
        <v/>
      </c>
      <c r="Y69" s="66">
        <f>SUMIFS(Xero!$F:$F,Xero!$B:$B,Heron!Y$9,Xero!$A:$A,Heron!$A$4,Xero!$E:$E,Heron!$A69)+SUMIFS(Xero!$F:$F,Xero!$B:$B,Heron!Y$9,Xero!$A:$A,Heron!$A$5,Xero!$E:$E,Heron!$A69)</f>
        <v/>
      </c>
      <c r="Z69" s="66">
        <f>SUMIFS(Xero!$F:$F,Xero!$B:$B,Heron!Z$9,Xero!$A:$A,Heron!$A$4,Xero!$E:$E,Heron!$A69)+SUMIFS(Xero!$F:$F,Xero!$B:$B,Heron!Z$9,Xero!$A:$A,Heron!$A$5,Xero!$E:$E,Heron!$A69)</f>
        <v/>
      </c>
      <c r="AA69" s="66">
        <f>SUMIFS(Xero!$F:$F,Xero!$B:$B,Heron!AA$9,Xero!$A:$A,Heron!$A$4,Xero!$E:$E,Heron!$A69)+SUMIFS(Xero!$F:$F,Xero!$B:$B,Heron!AA$9,Xero!$A:$A,Heron!$A$5,Xero!$E:$E,Heron!$A69)</f>
        <v/>
      </c>
      <c r="AB69" s="66">
        <f>SUMIFS(Xero!$F:$F,Xero!$B:$B,Heron!AB$9,Xero!$A:$A,Heron!$A$4,Xero!$E:$E,Heron!$A69)+SUMIFS(Xero!$F:$F,Xero!$B:$B,Heron!AB$9,Xero!$A:$A,Heron!$A$5,Xero!$E:$E,Heron!$A69)</f>
        <v/>
      </c>
      <c r="AC69" s="66">
        <f>SUMIFS(Xero!$F:$F,Xero!$B:$B,Heron!AC$9,Xero!$A:$A,Heron!$A$4,Xero!$E:$E,Heron!$A69)+SUMIFS(Xero!$F:$F,Xero!$B:$B,Heron!AC$9,Xero!$A:$A,Heron!$A$5,Xero!$E:$E,Heron!$A69)</f>
        <v/>
      </c>
      <c r="AD69" s="66">
        <f>SUMIFS(Xero!$F:$F,Xero!$B:$B,Heron!AD$9,Xero!$A:$A,Heron!$A$4,Xero!$E:$E,Heron!$A69)+SUMIFS(Xero!$F:$F,Xero!$B:$B,Heron!AD$9,Xero!$A:$A,Heron!$A$5,Xero!$E:$E,Heron!$A69)</f>
        <v/>
      </c>
      <c r="AE69" s="66">
        <f>SUMIFS(Xero!$F:$F,Xero!$B:$B,Heron!AE$9,Xero!$A:$A,Heron!$A$4,Xero!$E:$E,Heron!$A69)+SUMIFS(Xero!$F:$F,Xero!$B:$B,Heron!AE$9,Xero!$A:$A,Heron!$A$5,Xero!$E:$E,Heron!$A69)</f>
        <v/>
      </c>
      <c r="AF69" s="66">
        <f>SUMIFS(Xero!$F:$F,Xero!$B:$B,Heron!AF$9,Xero!$A:$A,Heron!$A$4,Xero!$E:$E,Heron!$A69)+SUMIFS(Xero!$F:$F,Xero!$B:$B,Heron!AF$9,Xero!$A:$A,Heron!$A$5,Xero!$E:$E,Heron!$A69)</f>
        <v/>
      </c>
      <c r="AG69" s="66">
        <f>SUMIFS(Xero!$F:$F,Xero!$B:$B,Heron!AG$9,Xero!$A:$A,Heron!$A$4,Xero!$E:$E,Heron!$A69)+SUMIFS(Xero!$F:$F,Xero!$B:$B,Heron!AG$9,Xero!$A:$A,Heron!$A$5,Xero!$E:$E,Heron!$A69)</f>
        <v/>
      </c>
      <c r="AH69" s="66">
        <f>SUMIFS(Xero!$F:$F,Xero!$B:$B,Heron!AH$9,Xero!$A:$A,Heron!$A$4,Xero!$E:$E,Heron!$A69)+SUMIFS(Xero!$F:$F,Xero!$B:$B,Heron!AH$9,Xero!$A:$A,Heron!$A$5,Xero!$E:$E,Heron!$A69)</f>
        <v/>
      </c>
      <c r="AI69" s="66">
        <f>SUMIFS(Xero!$F:$F,Xero!$B:$B,Heron!AI$9,Xero!$A:$A,Heron!$A$4,Xero!$E:$E,Heron!$A69)+SUMIFS(Xero!$F:$F,Xero!$B:$B,Heron!AI$9,Xero!$A:$A,Heron!$A$5,Xero!$E:$E,Heron!$A69)</f>
        <v/>
      </c>
      <c r="AJ69" s="66">
        <f>SUMIFS(Xero!$F:$F,Xero!$B:$B,Heron!AJ$9,Xero!$A:$A,Heron!$A$4,Xero!$E:$E,Heron!$A69)+SUMIFS(Xero!$F:$F,Xero!$B:$B,Heron!AJ$9,Xero!$A:$A,Heron!$A$5,Xero!$E:$E,Heron!$A69)</f>
        <v/>
      </c>
      <c r="AK69" s="66">
        <f>SUMIFS(Xero!$F:$F,Xero!$B:$B,Heron!AK$9,Xero!$A:$A,Heron!$A$4,Xero!$E:$E,Heron!$A69)+SUMIFS(Xero!$F:$F,Xero!$B:$B,Heron!AK$9,Xero!$A:$A,Heron!$A$5,Xero!$E:$E,Heron!$A69)</f>
        <v/>
      </c>
      <c r="AL69" s="66">
        <f>SUMIFS(Xero!$F:$F,Xero!$B:$B,Heron!AL$9,Xero!$A:$A,Heron!$A$4,Xero!$E:$E,Heron!$A69)+SUMIFS(Xero!$F:$F,Xero!$B:$B,Heron!AL$9,Xero!$A:$A,Heron!$A$5,Xero!$E:$E,Heron!$A69)</f>
        <v/>
      </c>
      <c r="AM69" s="66">
        <f>SUMIFS(Xero!$F:$F,Xero!$B:$B,Heron!AM$9,Xero!$A:$A,Heron!$A$4,Xero!$E:$E,Heron!$A69)+SUMIFS(Xero!$F:$F,Xero!$B:$B,Heron!AM$9,Xero!$A:$A,Heron!$A$5,Xero!$E:$E,Heron!$A69)</f>
        <v/>
      </c>
      <c r="AN69" s="66">
        <f>SUMIFS(Xero!$F:$F,Xero!$B:$B,Heron!AN$9,Xero!$A:$A,Heron!$A$4,Xero!$E:$E,Heron!$A69)+SUMIFS(Xero!$F:$F,Xero!$B:$B,Heron!AN$9,Xero!$A:$A,Heron!$A$5,Xero!$E:$E,Heron!$A69)</f>
        <v/>
      </c>
      <c r="AO69" s="66">
        <f>SUMIFS(Xero!$F:$F,Xero!$B:$B,Heron!AO$9,Xero!$A:$A,Heron!$A$4,Xero!$E:$E,Heron!$A69)+SUMIFS(Xero!$F:$F,Xero!$B:$B,Heron!AO$9,Xero!$A:$A,Heron!$A$5,Xero!$E:$E,Heron!$A69)</f>
        <v/>
      </c>
      <c r="AP69" s="66">
        <f>SUMIFS(Xero!$F:$F,Xero!$B:$B,Heron!AP$9,Xero!$A:$A,Heron!$A$4,Xero!$E:$E,Heron!$A69)+SUMIFS(Xero!$F:$F,Xero!$B:$B,Heron!AP$9,Xero!$A:$A,Heron!$A$5,Xero!$E:$E,Heron!$A69)</f>
        <v/>
      </c>
      <c r="AQ69" s="66">
        <f>SUMIFS(Xero!$F:$F,Xero!$B:$B,Heron!AQ$9,Xero!$A:$A,Heron!$A$4,Xero!$E:$E,Heron!$A69)+SUMIFS(Xero!$F:$F,Xero!$B:$B,Heron!AQ$9,Xero!$A:$A,Heron!$A$5,Xero!$E:$E,Heron!$A69)</f>
        <v/>
      </c>
      <c r="AR69" s="66">
        <f>SUMIFS(Xero!$F:$F,Xero!$B:$B,Heron!AR$9,Xero!$A:$A,Heron!$A$4,Xero!$E:$E,Heron!$A69)+SUMIFS(Xero!$F:$F,Xero!$B:$B,Heron!AR$9,Xero!$A:$A,Heron!$A$5,Xero!$E:$E,Heron!$A69)</f>
        <v/>
      </c>
      <c r="AS69" s="66">
        <f>SUMIFS(Xero!$F:$F,Xero!$B:$B,Heron!AS$9,Xero!$A:$A,Heron!$A$4,Xero!$E:$E,Heron!$A69)+SUMIFS(Xero!$F:$F,Xero!$B:$B,Heron!AS$9,Xero!$A:$A,Heron!$A$5,Xero!$E:$E,Heron!$A69)</f>
        <v/>
      </c>
      <c r="AT69" s="66">
        <f>SUMIFS(Xero!$F:$F,Xero!$B:$B,Heron!AT$9,Xero!$A:$A,Heron!$A$4,Xero!$E:$E,Heron!$A69)+SUMIFS(Xero!$F:$F,Xero!$B:$B,Heron!AT$9,Xero!$A:$A,Heron!$A$5,Xero!$E:$E,Heron!$A69)</f>
        <v/>
      </c>
      <c r="AU69" s="66">
        <f>SUMIFS(Xero!$F:$F,Xero!$B:$B,Heron!AU$9,Xero!$A:$A,Heron!$A$4,Xero!$E:$E,Heron!$A69)+SUMIFS(Xero!$F:$F,Xero!$B:$B,Heron!AU$9,Xero!$A:$A,Heron!$A$5,Xero!$E:$E,Heron!$A69)</f>
        <v/>
      </c>
      <c r="AV69" s="66">
        <f>SUMIFS(Xero!$F:$F,Xero!$B:$B,Heron!AV$9,Xero!$A:$A,Heron!$A$4,Xero!$E:$E,Heron!$A69)+SUMIFS(Xero!$F:$F,Xero!$B:$B,Heron!AV$9,Xero!$A:$A,Heron!$A$5,Xero!$E:$E,Heron!$A69)</f>
        <v/>
      </c>
      <c r="AW69" s="66">
        <f>SUMIFS(Xero!$F:$F,Xero!$B:$B,Heron!AW$9,Xero!$A:$A,Heron!$A$4,Xero!$E:$E,Heron!$A69)+SUMIFS(Xero!$F:$F,Xero!$B:$B,Heron!AW$9,Xero!$A:$A,Heron!$A$5,Xero!$E:$E,Heron!$A69)</f>
        <v/>
      </c>
      <c r="AX69" s="66">
        <f>SUMIFS(Xero!$F:$F,Xero!$B:$B,Heron!AX$9,Xero!$A:$A,Heron!$A$4,Xero!$E:$E,Heron!$A69)+SUMIFS(Xero!$F:$F,Xero!$B:$B,Heron!AX$9,Xero!$A:$A,Heron!$A$5,Xero!$E:$E,Heron!$A69)</f>
        <v/>
      </c>
      <c r="AY69" s="66">
        <f>SUMIFS(Xero!$F:$F,Xero!$B:$B,Heron!AY$9,Xero!$A:$A,Heron!$A$4,Xero!$E:$E,Heron!$A69)+SUMIFS(Xero!$F:$F,Xero!$B:$B,Heron!AY$9,Xero!$A:$A,Heron!$A$5,Xero!$E:$E,Heron!$A69)</f>
        <v/>
      </c>
      <c r="AZ69" s="66">
        <f>SUMIFS(Xero!$F:$F,Xero!$B:$B,Heron!AZ$9,Xero!$A:$A,Heron!$A$4,Xero!$E:$E,Heron!$A69)+SUMIFS(Xero!$F:$F,Xero!$B:$B,Heron!AZ$9,Xero!$A:$A,Heron!$A$5,Xero!$E:$E,Heron!$A69)</f>
        <v/>
      </c>
      <c r="BA69" s="66">
        <f>SUMIFS(Xero!$F:$F,Xero!$B:$B,Heron!BA$9,Xero!$A:$A,Heron!$A$4,Xero!$E:$E,Heron!$A69)+SUMIFS(Xero!$F:$F,Xero!$B:$B,Heron!BA$9,Xero!$A:$A,Heron!$A$5,Xero!$E:$E,Heron!$A69)</f>
        <v/>
      </c>
      <c r="BB69" s="66">
        <f>SUMIFS(Xero!$F:$F,Xero!$B:$B,Heron!BB$9,Xero!$A:$A,Heron!$A$4,Xero!$E:$E,Heron!$A69)+SUMIFS(Xero!$F:$F,Xero!$B:$B,Heron!BB$9,Xero!$A:$A,Heron!$A$5,Xero!$E:$E,Heron!$A69)</f>
        <v/>
      </c>
      <c r="BC69" s="66">
        <f>SUMIFS(Xero!$F:$F,Xero!$B:$B,Heron!BC$9,Xero!$A:$A,Heron!$A$4,Xero!$E:$E,Heron!$A69)+SUMIFS(Xero!$F:$F,Xero!$B:$B,Heron!BC$9,Xero!$A:$A,Heron!$A$5,Xero!$E:$E,Heron!$A69)</f>
        <v/>
      </c>
      <c r="BD69" s="66">
        <f>SUMIFS(Xero!$F:$F,Xero!$B:$B,Heron!BD$9,Xero!$A:$A,Heron!$A$4,Xero!$E:$E,Heron!$A69)+SUMIFS(Xero!$F:$F,Xero!$B:$B,Heron!BD$9,Xero!$A:$A,Heron!$A$5,Xero!$E:$E,Heron!$A69)</f>
        <v/>
      </c>
      <c r="BE69" s="66">
        <f>SUMIFS(Xero!$F:$F,Xero!$B:$B,Heron!BE$9,Xero!$A:$A,Heron!$A$4,Xero!$E:$E,Heron!$A69)+SUMIFS(Xero!$F:$F,Xero!$B:$B,Heron!BE$9,Xero!$A:$A,Heron!$A$5,Xero!$E:$E,Heron!$A69)</f>
        <v/>
      </c>
      <c r="BF69" s="66">
        <f>SUMIFS(Xero!$F:$F,Xero!$B:$B,Heron!BF$9,Xero!$A:$A,Heron!$A$4,Xero!$E:$E,Heron!$A69)+SUMIFS(Xero!$F:$F,Xero!$B:$B,Heron!BF$9,Xero!$A:$A,Heron!$A$5,Xero!$E:$E,Heron!$A69)</f>
        <v/>
      </c>
      <c r="BG69" s="66">
        <f>SUMIFS(Xero!$F:$F,Xero!$B:$B,Heron!BG$9,Xero!$A:$A,Heron!$A$4,Xero!$E:$E,Heron!$A69)+SUMIFS(Xero!$F:$F,Xero!$B:$B,Heron!BG$9,Xero!$A:$A,Heron!$A$5,Xero!$E:$E,Heron!$A69)</f>
        <v/>
      </c>
      <c r="BH69" s="66">
        <f>sum(D69:BG69)</f>
        <v/>
      </c>
    </row>
    <row r="70">
      <c r="A70" s="65" t="inlineStr">
        <is>
          <t>Interest Paid - Investors @ 11%</t>
        </is>
      </c>
      <c r="D70" s="66">
        <f>SUMIFS(Xero!$F:$F,Xero!$B:$B,Heron!D$9,Xero!$A:$A,Heron!$A$4,Xero!$E:$E,Heron!$A70)+SUMIFS(Xero!$F:$F,Xero!$B:$B,Heron!D$9,Xero!$A:$A,Heron!$A$5,Xero!$E:$E,Heron!$A70)</f>
        <v/>
      </c>
      <c r="E70" s="66">
        <f>SUMIFS(Xero!$F:$F,Xero!$B:$B,Heron!E$9,Xero!$A:$A,Heron!$A$4,Xero!$E:$E,Heron!$A70)+SUMIFS(Xero!$F:$F,Xero!$B:$B,Heron!E$9,Xero!$A:$A,Heron!$A$5,Xero!$E:$E,Heron!$A70)</f>
        <v/>
      </c>
      <c r="F70" s="66">
        <f>SUMIFS(Xero!$F:$F,Xero!$B:$B,Heron!F$9,Xero!$A:$A,Heron!$A$4,Xero!$E:$E,Heron!$A70)+SUMIFS(Xero!$F:$F,Xero!$B:$B,Heron!F$9,Xero!$A:$A,Heron!$A$5,Xero!$E:$E,Heron!$A70)</f>
        <v/>
      </c>
      <c r="G70" s="66">
        <f>SUMIFS(Xero!$F:$F,Xero!$B:$B,Heron!G$9,Xero!$A:$A,Heron!$A$4,Xero!$E:$E,Heron!$A70)+SUMIFS(Xero!$F:$F,Xero!$B:$B,Heron!G$9,Xero!$A:$A,Heron!$A$5,Xero!$E:$E,Heron!$A70)</f>
        <v/>
      </c>
      <c r="H70" s="66">
        <f>SUMIFS(Xero!$F:$F,Xero!$B:$B,Heron!H$9,Xero!$A:$A,Heron!$A$4,Xero!$E:$E,Heron!$A70)+SUMIFS(Xero!$F:$F,Xero!$B:$B,Heron!H$9,Xero!$A:$A,Heron!$A$5,Xero!$E:$E,Heron!$A70)</f>
        <v/>
      </c>
      <c r="I70" s="66">
        <f>SUMIFS(Xero!$F:$F,Xero!$B:$B,Heron!I$9,Xero!$A:$A,Heron!$A$4,Xero!$E:$E,Heron!$A70)+SUMIFS(Xero!$F:$F,Xero!$B:$B,Heron!I$9,Xero!$A:$A,Heron!$A$5,Xero!$E:$E,Heron!$A70)</f>
        <v/>
      </c>
      <c r="J70" s="66">
        <f>SUMIFS(Xero!$F:$F,Xero!$B:$B,Heron!J$9,Xero!$A:$A,Heron!$A$4,Xero!$E:$E,Heron!$A70)+SUMIFS(Xero!$F:$F,Xero!$B:$B,Heron!J$9,Xero!$A:$A,Heron!$A$5,Xero!$E:$E,Heron!$A70)</f>
        <v/>
      </c>
      <c r="K70" s="66">
        <f>SUMIFS(Xero!$F:$F,Xero!$B:$B,Heron!K$9,Xero!$A:$A,Heron!$A$4,Xero!$E:$E,Heron!$A70)+SUMIFS(Xero!$F:$F,Xero!$B:$B,Heron!K$9,Xero!$A:$A,Heron!$A$5,Xero!$E:$E,Heron!$A70)</f>
        <v/>
      </c>
      <c r="L70" s="66">
        <f>SUMIFS(Xero!$F:$F,Xero!$B:$B,Heron!L$9,Xero!$A:$A,Heron!$A$4,Xero!$E:$E,Heron!$A70)+SUMIFS(Xero!$F:$F,Xero!$B:$B,Heron!L$9,Xero!$A:$A,Heron!$A$5,Xero!$E:$E,Heron!$A70)</f>
        <v/>
      </c>
      <c r="M70" s="66">
        <f>SUMIFS(Xero!$F:$F,Xero!$B:$B,Heron!M$9,Xero!$A:$A,Heron!$A$4,Xero!$E:$E,Heron!$A70)+SUMIFS(Xero!$F:$F,Xero!$B:$B,Heron!M$9,Xero!$A:$A,Heron!$A$5,Xero!$E:$E,Heron!$A70)</f>
        <v/>
      </c>
      <c r="N70" s="66">
        <f>SUMIFS(Xero!$F:$F,Xero!$B:$B,Heron!N$9,Xero!$A:$A,Heron!$A$4,Xero!$E:$E,Heron!$A70)+SUMIFS(Xero!$F:$F,Xero!$B:$B,Heron!N$9,Xero!$A:$A,Heron!$A$5,Xero!$E:$E,Heron!$A70)</f>
        <v/>
      </c>
      <c r="O70" s="66">
        <f>SUMIFS(Xero!$F:$F,Xero!$B:$B,Heron!O$9,Xero!$A:$A,Heron!$A$4,Xero!$E:$E,Heron!$A70)+SUMIFS(Xero!$F:$F,Xero!$B:$B,Heron!O$9,Xero!$A:$A,Heron!$A$5,Xero!$E:$E,Heron!$A70)</f>
        <v/>
      </c>
      <c r="P70" s="66">
        <f>SUMIFS(Xero!$F:$F,Xero!$B:$B,Heron!P$9,Xero!$A:$A,Heron!$A$4,Xero!$E:$E,Heron!$A70)+SUMIFS(Xero!$F:$F,Xero!$B:$B,Heron!P$9,Xero!$A:$A,Heron!$A$5,Xero!$E:$E,Heron!$A70)</f>
        <v/>
      </c>
      <c r="Q70" s="66">
        <f>SUMIFS(Xero!$F:$F,Xero!$B:$B,Heron!Q$9,Xero!$A:$A,Heron!$A$4,Xero!$E:$E,Heron!$A70)+SUMIFS(Xero!$F:$F,Xero!$B:$B,Heron!Q$9,Xero!$A:$A,Heron!$A$5,Xero!$E:$E,Heron!$A70)</f>
        <v/>
      </c>
      <c r="R70" s="66">
        <f>SUMIFS(Xero!$F:$F,Xero!$B:$B,Heron!R$9,Xero!$A:$A,Heron!$A$4,Xero!$E:$E,Heron!$A70)+SUMIFS(Xero!$F:$F,Xero!$B:$B,Heron!R$9,Xero!$A:$A,Heron!$A$5,Xero!$E:$E,Heron!$A70)</f>
        <v/>
      </c>
      <c r="S70" s="66">
        <f>SUMIFS(Xero!$F:$F,Xero!$B:$B,Heron!S$9,Xero!$A:$A,Heron!$A$4,Xero!$E:$E,Heron!$A70)+SUMIFS(Xero!$F:$F,Xero!$B:$B,Heron!S$9,Xero!$A:$A,Heron!$A$5,Xero!$E:$E,Heron!$A70)</f>
        <v/>
      </c>
      <c r="T70" s="66">
        <f>SUMIFS(Xero!$F:$F,Xero!$B:$B,Heron!T$9,Xero!$A:$A,Heron!$A$4,Xero!$E:$E,Heron!$A70)+SUMIFS(Xero!$F:$F,Xero!$B:$B,Heron!T$9,Xero!$A:$A,Heron!$A$5,Xero!$E:$E,Heron!$A70)</f>
        <v/>
      </c>
      <c r="U70" s="66">
        <f>SUMIFS(Xero!$F:$F,Xero!$B:$B,Heron!U$9,Xero!$A:$A,Heron!$A$4,Xero!$E:$E,Heron!$A70)+SUMIFS(Xero!$F:$F,Xero!$B:$B,Heron!U$9,Xero!$A:$A,Heron!$A$5,Xero!$E:$E,Heron!$A70)</f>
        <v/>
      </c>
      <c r="V70" s="66">
        <f>SUMIFS(Xero!$F:$F,Xero!$B:$B,Heron!V$9,Xero!$A:$A,Heron!$A$4,Xero!$E:$E,Heron!$A70)+SUMIFS(Xero!$F:$F,Xero!$B:$B,Heron!V$9,Xero!$A:$A,Heron!$A$5,Xero!$E:$E,Heron!$A70)</f>
        <v/>
      </c>
      <c r="W70" s="66">
        <f>SUMIFS(Xero!$F:$F,Xero!$B:$B,Heron!W$9,Xero!$A:$A,Heron!$A$4,Xero!$E:$E,Heron!$A70)+SUMIFS(Xero!$F:$F,Xero!$B:$B,Heron!W$9,Xero!$A:$A,Heron!$A$5,Xero!$E:$E,Heron!$A70)</f>
        <v/>
      </c>
      <c r="X70" s="66">
        <f>SUMIFS(Xero!$F:$F,Xero!$B:$B,Heron!X$9,Xero!$A:$A,Heron!$A$4,Xero!$E:$E,Heron!$A70)+SUMIFS(Xero!$F:$F,Xero!$B:$B,Heron!X$9,Xero!$A:$A,Heron!$A$5,Xero!$E:$E,Heron!$A70)</f>
        <v/>
      </c>
      <c r="Y70" s="66">
        <f>SUMIFS(Xero!$F:$F,Xero!$B:$B,Heron!Y$9,Xero!$A:$A,Heron!$A$4,Xero!$E:$E,Heron!$A70)+SUMIFS(Xero!$F:$F,Xero!$B:$B,Heron!Y$9,Xero!$A:$A,Heron!$A$5,Xero!$E:$E,Heron!$A70)</f>
        <v/>
      </c>
      <c r="Z70" s="66">
        <f>SUMIFS(Xero!$F:$F,Xero!$B:$B,Heron!Z$9,Xero!$A:$A,Heron!$A$4,Xero!$E:$E,Heron!$A70)+SUMIFS(Xero!$F:$F,Xero!$B:$B,Heron!Z$9,Xero!$A:$A,Heron!$A$5,Xero!$E:$E,Heron!$A70)</f>
        <v/>
      </c>
      <c r="AA70" s="66">
        <f>SUMIFS(Xero!$F:$F,Xero!$B:$B,Heron!AA$9,Xero!$A:$A,Heron!$A$4,Xero!$E:$E,Heron!$A70)+SUMIFS(Xero!$F:$F,Xero!$B:$B,Heron!AA$9,Xero!$A:$A,Heron!$A$5,Xero!$E:$E,Heron!$A70)</f>
        <v/>
      </c>
      <c r="AB70" s="66">
        <f>SUMIFS(Xero!$F:$F,Xero!$B:$B,Heron!AB$9,Xero!$A:$A,Heron!$A$4,Xero!$E:$E,Heron!$A70)+SUMIFS(Xero!$F:$F,Xero!$B:$B,Heron!AB$9,Xero!$A:$A,Heron!$A$5,Xero!$E:$E,Heron!$A70)</f>
        <v/>
      </c>
      <c r="AC70" s="66">
        <f>SUMIFS(Xero!$F:$F,Xero!$B:$B,Heron!AC$9,Xero!$A:$A,Heron!$A$4,Xero!$E:$E,Heron!$A70)+SUMIFS(Xero!$F:$F,Xero!$B:$B,Heron!AC$9,Xero!$A:$A,Heron!$A$5,Xero!$E:$E,Heron!$A70)</f>
        <v/>
      </c>
      <c r="AD70" s="66">
        <f>SUMIFS(Xero!$F:$F,Xero!$B:$B,Heron!AD$9,Xero!$A:$A,Heron!$A$4,Xero!$E:$E,Heron!$A70)+SUMIFS(Xero!$F:$F,Xero!$B:$B,Heron!AD$9,Xero!$A:$A,Heron!$A$5,Xero!$E:$E,Heron!$A70)</f>
        <v/>
      </c>
      <c r="AE70" s="66">
        <f>SUMIFS(Xero!$F:$F,Xero!$B:$B,Heron!AE$9,Xero!$A:$A,Heron!$A$4,Xero!$E:$E,Heron!$A70)+SUMIFS(Xero!$F:$F,Xero!$B:$B,Heron!AE$9,Xero!$A:$A,Heron!$A$5,Xero!$E:$E,Heron!$A70)</f>
        <v/>
      </c>
      <c r="AF70" s="66">
        <f>SUMIFS(Xero!$F:$F,Xero!$B:$B,Heron!AF$9,Xero!$A:$A,Heron!$A$4,Xero!$E:$E,Heron!$A70)+SUMIFS(Xero!$F:$F,Xero!$B:$B,Heron!AF$9,Xero!$A:$A,Heron!$A$5,Xero!$E:$E,Heron!$A70)</f>
        <v/>
      </c>
      <c r="AG70" s="66">
        <f>SUMIFS(Xero!$F:$F,Xero!$B:$B,Heron!AG$9,Xero!$A:$A,Heron!$A$4,Xero!$E:$E,Heron!$A70)+SUMIFS(Xero!$F:$F,Xero!$B:$B,Heron!AG$9,Xero!$A:$A,Heron!$A$5,Xero!$E:$E,Heron!$A70)</f>
        <v/>
      </c>
      <c r="AH70" s="66">
        <f>SUMIFS(Xero!$F:$F,Xero!$B:$B,Heron!AH$9,Xero!$A:$A,Heron!$A$4,Xero!$E:$E,Heron!$A70)+SUMIFS(Xero!$F:$F,Xero!$B:$B,Heron!AH$9,Xero!$A:$A,Heron!$A$5,Xero!$E:$E,Heron!$A70)</f>
        <v/>
      </c>
      <c r="AI70" s="66">
        <f>SUMIFS(Xero!$F:$F,Xero!$B:$B,Heron!AI$9,Xero!$A:$A,Heron!$A$4,Xero!$E:$E,Heron!$A70)+SUMIFS(Xero!$F:$F,Xero!$B:$B,Heron!AI$9,Xero!$A:$A,Heron!$A$5,Xero!$E:$E,Heron!$A70)</f>
        <v/>
      </c>
      <c r="AJ70" s="66">
        <f>SUMIFS(Xero!$F:$F,Xero!$B:$B,Heron!AJ$9,Xero!$A:$A,Heron!$A$4,Xero!$E:$E,Heron!$A70)+SUMIFS(Xero!$F:$F,Xero!$B:$B,Heron!AJ$9,Xero!$A:$A,Heron!$A$5,Xero!$E:$E,Heron!$A70)</f>
        <v/>
      </c>
      <c r="AK70" s="66">
        <f>SUMIFS(Xero!$F:$F,Xero!$B:$B,Heron!AK$9,Xero!$A:$A,Heron!$A$4,Xero!$E:$E,Heron!$A70)+SUMIFS(Xero!$F:$F,Xero!$B:$B,Heron!AK$9,Xero!$A:$A,Heron!$A$5,Xero!$E:$E,Heron!$A70)</f>
        <v/>
      </c>
      <c r="AL70" s="66">
        <f>SUMIFS(Xero!$F:$F,Xero!$B:$B,Heron!AL$9,Xero!$A:$A,Heron!$A$4,Xero!$E:$E,Heron!$A70)+SUMIFS(Xero!$F:$F,Xero!$B:$B,Heron!AL$9,Xero!$A:$A,Heron!$A$5,Xero!$E:$E,Heron!$A70)</f>
        <v/>
      </c>
      <c r="AM70" s="66">
        <f>SUMIFS(Xero!$F:$F,Xero!$B:$B,Heron!AM$9,Xero!$A:$A,Heron!$A$4,Xero!$E:$E,Heron!$A70)+SUMIFS(Xero!$F:$F,Xero!$B:$B,Heron!AM$9,Xero!$A:$A,Heron!$A$5,Xero!$E:$E,Heron!$A70)</f>
        <v/>
      </c>
      <c r="AN70" s="66">
        <f>SUMIFS(Xero!$F:$F,Xero!$B:$B,Heron!AN$9,Xero!$A:$A,Heron!$A$4,Xero!$E:$E,Heron!$A70)+SUMIFS(Xero!$F:$F,Xero!$B:$B,Heron!AN$9,Xero!$A:$A,Heron!$A$5,Xero!$E:$E,Heron!$A70)</f>
        <v/>
      </c>
      <c r="AO70" s="66">
        <f>SUMIFS(Xero!$F:$F,Xero!$B:$B,Heron!AO$9,Xero!$A:$A,Heron!$A$4,Xero!$E:$E,Heron!$A70)+SUMIFS(Xero!$F:$F,Xero!$B:$B,Heron!AO$9,Xero!$A:$A,Heron!$A$5,Xero!$E:$E,Heron!$A70)</f>
        <v/>
      </c>
      <c r="AP70" s="66">
        <f>SUMIFS(Xero!$F:$F,Xero!$B:$B,Heron!AP$9,Xero!$A:$A,Heron!$A$4,Xero!$E:$E,Heron!$A70)+SUMIFS(Xero!$F:$F,Xero!$B:$B,Heron!AP$9,Xero!$A:$A,Heron!$A$5,Xero!$E:$E,Heron!$A70)</f>
        <v/>
      </c>
      <c r="AQ70" s="66">
        <f>SUMIFS(Xero!$F:$F,Xero!$B:$B,Heron!AQ$9,Xero!$A:$A,Heron!$A$4,Xero!$E:$E,Heron!$A70)+SUMIFS(Xero!$F:$F,Xero!$B:$B,Heron!AQ$9,Xero!$A:$A,Heron!$A$5,Xero!$E:$E,Heron!$A70)</f>
        <v/>
      </c>
      <c r="AR70" s="66">
        <f>SUMIFS(Xero!$F:$F,Xero!$B:$B,Heron!AR$9,Xero!$A:$A,Heron!$A$4,Xero!$E:$E,Heron!$A70)+SUMIFS(Xero!$F:$F,Xero!$B:$B,Heron!AR$9,Xero!$A:$A,Heron!$A$5,Xero!$E:$E,Heron!$A70)</f>
        <v/>
      </c>
      <c r="AS70" s="66">
        <f>SUMIFS(Xero!$F:$F,Xero!$B:$B,Heron!AS$9,Xero!$A:$A,Heron!$A$4,Xero!$E:$E,Heron!$A70)+SUMIFS(Xero!$F:$F,Xero!$B:$B,Heron!AS$9,Xero!$A:$A,Heron!$A$5,Xero!$E:$E,Heron!$A70)</f>
        <v/>
      </c>
      <c r="AT70" s="66">
        <f>SUMIFS(Xero!$F:$F,Xero!$B:$B,Heron!AT$9,Xero!$A:$A,Heron!$A$4,Xero!$E:$E,Heron!$A70)+SUMIFS(Xero!$F:$F,Xero!$B:$B,Heron!AT$9,Xero!$A:$A,Heron!$A$5,Xero!$E:$E,Heron!$A70)</f>
        <v/>
      </c>
      <c r="AU70" s="66">
        <f>SUMIFS(Xero!$F:$F,Xero!$B:$B,Heron!AU$9,Xero!$A:$A,Heron!$A$4,Xero!$E:$E,Heron!$A70)+SUMIFS(Xero!$F:$F,Xero!$B:$B,Heron!AU$9,Xero!$A:$A,Heron!$A$5,Xero!$E:$E,Heron!$A70)</f>
        <v/>
      </c>
      <c r="AV70" s="66">
        <f>SUMIFS(Xero!$F:$F,Xero!$B:$B,Heron!AV$9,Xero!$A:$A,Heron!$A$4,Xero!$E:$E,Heron!$A70)+SUMIFS(Xero!$F:$F,Xero!$B:$B,Heron!AV$9,Xero!$A:$A,Heron!$A$5,Xero!$E:$E,Heron!$A70)</f>
        <v/>
      </c>
      <c r="AW70" s="66">
        <f>SUMIFS(Xero!$F:$F,Xero!$B:$B,Heron!AW$9,Xero!$A:$A,Heron!$A$4,Xero!$E:$E,Heron!$A70)+SUMIFS(Xero!$F:$F,Xero!$B:$B,Heron!AW$9,Xero!$A:$A,Heron!$A$5,Xero!$E:$E,Heron!$A70)</f>
        <v/>
      </c>
      <c r="AX70" s="66">
        <f>SUMIFS(Xero!$F:$F,Xero!$B:$B,Heron!AX$9,Xero!$A:$A,Heron!$A$4,Xero!$E:$E,Heron!$A70)+SUMIFS(Xero!$F:$F,Xero!$B:$B,Heron!AX$9,Xero!$A:$A,Heron!$A$5,Xero!$E:$E,Heron!$A70)</f>
        <v/>
      </c>
      <c r="AY70" s="66">
        <f>SUMIFS(Xero!$F:$F,Xero!$B:$B,Heron!AY$9,Xero!$A:$A,Heron!$A$4,Xero!$E:$E,Heron!$A70)+SUMIFS(Xero!$F:$F,Xero!$B:$B,Heron!AY$9,Xero!$A:$A,Heron!$A$5,Xero!$E:$E,Heron!$A70)</f>
        <v/>
      </c>
      <c r="AZ70" s="66">
        <f>SUMIFS(Xero!$F:$F,Xero!$B:$B,Heron!AZ$9,Xero!$A:$A,Heron!$A$4,Xero!$E:$E,Heron!$A70)+SUMIFS(Xero!$F:$F,Xero!$B:$B,Heron!AZ$9,Xero!$A:$A,Heron!$A$5,Xero!$E:$E,Heron!$A70)</f>
        <v/>
      </c>
      <c r="BA70" s="66">
        <f>SUMIFS(Xero!$F:$F,Xero!$B:$B,Heron!BA$9,Xero!$A:$A,Heron!$A$4,Xero!$E:$E,Heron!$A70)+SUMIFS(Xero!$F:$F,Xero!$B:$B,Heron!BA$9,Xero!$A:$A,Heron!$A$5,Xero!$E:$E,Heron!$A70)</f>
        <v/>
      </c>
      <c r="BB70" s="66">
        <f>SUMIFS(Xero!$F:$F,Xero!$B:$B,Heron!BB$9,Xero!$A:$A,Heron!$A$4,Xero!$E:$E,Heron!$A70)+SUMIFS(Xero!$F:$F,Xero!$B:$B,Heron!BB$9,Xero!$A:$A,Heron!$A$5,Xero!$E:$E,Heron!$A70)</f>
        <v/>
      </c>
      <c r="BC70" s="66">
        <f>SUMIFS(Xero!$F:$F,Xero!$B:$B,Heron!BC$9,Xero!$A:$A,Heron!$A$4,Xero!$E:$E,Heron!$A70)+SUMIFS(Xero!$F:$F,Xero!$B:$B,Heron!BC$9,Xero!$A:$A,Heron!$A$5,Xero!$E:$E,Heron!$A70)</f>
        <v/>
      </c>
      <c r="BD70" s="66">
        <f>SUMIFS(Xero!$F:$F,Xero!$B:$B,Heron!BD$9,Xero!$A:$A,Heron!$A$4,Xero!$E:$E,Heron!$A70)+SUMIFS(Xero!$F:$F,Xero!$B:$B,Heron!BD$9,Xero!$A:$A,Heron!$A$5,Xero!$E:$E,Heron!$A70)</f>
        <v/>
      </c>
      <c r="BE70" s="66">
        <f>SUMIFS(Xero!$F:$F,Xero!$B:$B,Heron!BE$9,Xero!$A:$A,Heron!$A$4,Xero!$E:$E,Heron!$A70)+SUMIFS(Xero!$F:$F,Xero!$B:$B,Heron!BE$9,Xero!$A:$A,Heron!$A$5,Xero!$E:$E,Heron!$A70)</f>
        <v/>
      </c>
      <c r="BF70" s="66">
        <f>SUMIFS(Xero!$F:$F,Xero!$B:$B,Heron!BF$9,Xero!$A:$A,Heron!$A$4,Xero!$E:$E,Heron!$A70)+SUMIFS(Xero!$F:$F,Xero!$B:$B,Heron!BF$9,Xero!$A:$A,Heron!$A$5,Xero!$E:$E,Heron!$A70)</f>
        <v/>
      </c>
      <c r="BG70" s="66">
        <f>SUMIFS(Xero!$F:$F,Xero!$B:$B,Heron!BG$9,Xero!$A:$A,Heron!$A$4,Xero!$E:$E,Heron!$A70)+SUMIFS(Xero!$F:$F,Xero!$B:$B,Heron!BG$9,Xero!$A:$A,Heron!$A$5,Xero!$E:$E,Heron!$A70)</f>
        <v/>
      </c>
      <c r="BH70" s="66">
        <f>sum(D70:BG70)</f>
        <v/>
      </c>
    </row>
    <row r="71">
      <c r="A71" s="65" t="inlineStr">
        <is>
          <t>Interest Paid - Investors @ 14%</t>
        </is>
      </c>
      <c r="D71" s="66">
        <f>SUMIFS(Xero!$F:$F,Xero!$B:$B,Heron!D$9,Xero!$A:$A,Heron!$A$4,Xero!$E:$E,Heron!$A71)+SUMIFS(Xero!$F:$F,Xero!$B:$B,Heron!D$9,Xero!$A:$A,Heron!$A$5,Xero!$E:$E,Heron!$A71)</f>
        <v/>
      </c>
      <c r="E71" s="66">
        <f>SUMIFS(Xero!$F:$F,Xero!$B:$B,Heron!E$9,Xero!$A:$A,Heron!$A$4,Xero!$E:$E,Heron!$A71)+SUMIFS(Xero!$F:$F,Xero!$B:$B,Heron!E$9,Xero!$A:$A,Heron!$A$5,Xero!$E:$E,Heron!$A71)</f>
        <v/>
      </c>
      <c r="F71" s="66">
        <f>SUMIFS(Xero!$F:$F,Xero!$B:$B,Heron!F$9,Xero!$A:$A,Heron!$A$4,Xero!$E:$E,Heron!$A71)+SUMIFS(Xero!$F:$F,Xero!$B:$B,Heron!F$9,Xero!$A:$A,Heron!$A$5,Xero!$E:$E,Heron!$A71)</f>
        <v/>
      </c>
      <c r="G71" s="66">
        <f>SUMIFS(Xero!$F:$F,Xero!$B:$B,Heron!G$9,Xero!$A:$A,Heron!$A$4,Xero!$E:$E,Heron!$A71)+SUMIFS(Xero!$F:$F,Xero!$B:$B,Heron!G$9,Xero!$A:$A,Heron!$A$5,Xero!$E:$E,Heron!$A71)</f>
        <v/>
      </c>
      <c r="H71" s="66">
        <f>SUMIFS(Xero!$F:$F,Xero!$B:$B,Heron!H$9,Xero!$A:$A,Heron!$A$4,Xero!$E:$E,Heron!$A71)+SUMIFS(Xero!$F:$F,Xero!$B:$B,Heron!H$9,Xero!$A:$A,Heron!$A$5,Xero!$E:$E,Heron!$A71)</f>
        <v/>
      </c>
      <c r="I71" s="66">
        <f>SUMIFS(Xero!$F:$F,Xero!$B:$B,Heron!I$9,Xero!$A:$A,Heron!$A$4,Xero!$E:$E,Heron!$A71)+SUMIFS(Xero!$F:$F,Xero!$B:$B,Heron!I$9,Xero!$A:$A,Heron!$A$5,Xero!$E:$E,Heron!$A71)</f>
        <v/>
      </c>
      <c r="J71" s="66">
        <f>SUMIFS(Xero!$F:$F,Xero!$B:$B,Heron!J$9,Xero!$A:$A,Heron!$A$4,Xero!$E:$E,Heron!$A71)+SUMIFS(Xero!$F:$F,Xero!$B:$B,Heron!J$9,Xero!$A:$A,Heron!$A$5,Xero!$E:$E,Heron!$A71)</f>
        <v/>
      </c>
      <c r="K71" s="66">
        <f>SUMIFS(Xero!$F:$F,Xero!$B:$B,Heron!K$9,Xero!$A:$A,Heron!$A$4,Xero!$E:$E,Heron!$A71)+SUMIFS(Xero!$F:$F,Xero!$B:$B,Heron!K$9,Xero!$A:$A,Heron!$A$5,Xero!$E:$E,Heron!$A71)</f>
        <v/>
      </c>
      <c r="L71" s="66">
        <f>SUMIFS(Xero!$F:$F,Xero!$B:$B,Heron!L$9,Xero!$A:$A,Heron!$A$4,Xero!$E:$E,Heron!$A71)+SUMIFS(Xero!$F:$F,Xero!$B:$B,Heron!L$9,Xero!$A:$A,Heron!$A$5,Xero!$E:$E,Heron!$A71)</f>
        <v/>
      </c>
      <c r="M71" s="66">
        <f>SUMIFS(Xero!$F:$F,Xero!$B:$B,Heron!M$9,Xero!$A:$A,Heron!$A$4,Xero!$E:$E,Heron!$A71)+SUMIFS(Xero!$F:$F,Xero!$B:$B,Heron!M$9,Xero!$A:$A,Heron!$A$5,Xero!$E:$E,Heron!$A71)</f>
        <v/>
      </c>
      <c r="N71" s="66">
        <f>SUMIFS(Xero!$F:$F,Xero!$B:$B,Heron!N$9,Xero!$A:$A,Heron!$A$4,Xero!$E:$E,Heron!$A71)+SUMIFS(Xero!$F:$F,Xero!$B:$B,Heron!N$9,Xero!$A:$A,Heron!$A$5,Xero!$E:$E,Heron!$A71)</f>
        <v/>
      </c>
      <c r="O71" s="66">
        <f>SUMIFS(Xero!$F:$F,Xero!$B:$B,Heron!O$9,Xero!$A:$A,Heron!$A$4,Xero!$E:$E,Heron!$A71)+SUMIFS(Xero!$F:$F,Xero!$B:$B,Heron!O$9,Xero!$A:$A,Heron!$A$5,Xero!$E:$E,Heron!$A71)</f>
        <v/>
      </c>
      <c r="P71" s="66">
        <f>SUMIFS(Xero!$F:$F,Xero!$B:$B,Heron!P$9,Xero!$A:$A,Heron!$A$4,Xero!$E:$E,Heron!$A71)+SUMIFS(Xero!$F:$F,Xero!$B:$B,Heron!P$9,Xero!$A:$A,Heron!$A$5,Xero!$E:$E,Heron!$A71)</f>
        <v/>
      </c>
      <c r="Q71" s="66">
        <f>SUMIFS(Xero!$F:$F,Xero!$B:$B,Heron!Q$9,Xero!$A:$A,Heron!$A$4,Xero!$E:$E,Heron!$A71)+SUMIFS(Xero!$F:$F,Xero!$B:$B,Heron!Q$9,Xero!$A:$A,Heron!$A$5,Xero!$E:$E,Heron!$A71)</f>
        <v/>
      </c>
      <c r="R71" s="66">
        <f>SUMIFS(Xero!$F:$F,Xero!$B:$B,Heron!R$9,Xero!$A:$A,Heron!$A$4,Xero!$E:$E,Heron!$A71)+SUMIFS(Xero!$F:$F,Xero!$B:$B,Heron!R$9,Xero!$A:$A,Heron!$A$5,Xero!$E:$E,Heron!$A71)</f>
        <v/>
      </c>
      <c r="S71" s="66">
        <f>SUMIFS(Xero!$F:$F,Xero!$B:$B,Heron!S$9,Xero!$A:$A,Heron!$A$4,Xero!$E:$E,Heron!$A71)+SUMIFS(Xero!$F:$F,Xero!$B:$B,Heron!S$9,Xero!$A:$A,Heron!$A$5,Xero!$E:$E,Heron!$A71)</f>
        <v/>
      </c>
      <c r="T71" s="66">
        <f>SUMIFS(Xero!$F:$F,Xero!$B:$B,Heron!T$9,Xero!$A:$A,Heron!$A$4,Xero!$E:$E,Heron!$A71)+SUMIFS(Xero!$F:$F,Xero!$B:$B,Heron!T$9,Xero!$A:$A,Heron!$A$5,Xero!$E:$E,Heron!$A71)</f>
        <v/>
      </c>
      <c r="U71" s="66">
        <f>SUMIFS(Xero!$F:$F,Xero!$B:$B,Heron!U$9,Xero!$A:$A,Heron!$A$4,Xero!$E:$E,Heron!$A71)+SUMIFS(Xero!$F:$F,Xero!$B:$B,Heron!U$9,Xero!$A:$A,Heron!$A$5,Xero!$E:$E,Heron!$A71)</f>
        <v/>
      </c>
      <c r="V71" s="66">
        <f>SUMIFS(Xero!$F:$F,Xero!$B:$B,Heron!V$9,Xero!$A:$A,Heron!$A$4,Xero!$E:$E,Heron!$A71)+SUMIFS(Xero!$F:$F,Xero!$B:$B,Heron!V$9,Xero!$A:$A,Heron!$A$5,Xero!$E:$E,Heron!$A71)</f>
        <v/>
      </c>
      <c r="W71" s="66">
        <f>SUMIFS(Xero!$F:$F,Xero!$B:$B,Heron!W$9,Xero!$A:$A,Heron!$A$4,Xero!$E:$E,Heron!$A71)+SUMIFS(Xero!$F:$F,Xero!$B:$B,Heron!W$9,Xero!$A:$A,Heron!$A$5,Xero!$E:$E,Heron!$A71)</f>
        <v/>
      </c>
      <c r="X71" s="66">
        <f>SUMIFS(Xero!$F:$F,Xero!$B:$B,Heron!X$9,Xero!$A:$A,Heron!$A$4,Xero!$E:$E,Heron!$A71)+SUMIFS(Xero!$F:$F,Xero!$B:$B,Heron!X$9,Xero!$A:$A,Heron!$A$5,Xero!$E:$E,Heron!$A71)</f>
        <v/>
      </c>
      <c r="Y71" s="66">
        <f>SUMIFS(Xero!$F:$F,Xero!$B:$B,Heron!Y$9,Xero!$A:$A,Heron!$A$4,Xero!$E:$E,Heron!$A71)+SUMIFS(Xero!$F:$F,Xero!$B:$B,Heron!Y$9,Xero!$A:$A,Heron!$A$5,Xero!$E:$E,Heron!$A71)</f>
        <v/>
      </c>
      <c r="Z71" s="66">
        <f>SUMIFS(Xero!$F:$F,Xero!$B:$B,Heron!Z$9,Xero!$A:$A,Heron!$A$4,Xero!$E:$E,Heron!$A71)+SUMIFS(Xero!$F:$F,Xero!$B:$B,Heron!Z$9,Xero!$A:$A,Heron!$A$5,Xero!$E:$E,Heron!$A71)</f>
        <v/>
      </c>
      <c r="AA71" s="66">
        <f>SUMIFS(Xero!$F:$F,Xero!$B:$B,Heron!AA$9,Xero!$A:$A,Heron!$A$4,Xero!$E:$E,Heron!$A71)+SUMIFS(Xero!$F:$F,Xero!$B:$B,Heron!AA$9,Xero!$A:$A,Heron!$A$5,Xero!$E:$E,Heron!$A71)</f>
        <v/>
      </c>
      <c r="AB71" s="66">
        <f>SUMIFS(Xero!$F:$F,Xero!$B:$B,Heron!AB$9,Xero!$A:$A,Heron!$A$4,Xero!$E:$E,Heron!$A71)+SUMIFS(Xero!$F:$F,Xero!$B:$B,Heron!AB$9,Xero!$A:$A,Heron!$A$5,Xero!$E:$E,Heron!$A71)</f>
        <v/>
      </c>
      <c r="AC71" s="66">
        <f>SUMIFS(Xero!$F:$F,Xero!$B:$B,Heron!AC$9,Xero!$A:$A,Heron!$A$4,Xero!$E:$E,Heron!$A71)+SUMIFS(Xero!$F:$F,Xero!$B:$B,Heron!AC$9,Xero!$A:$A,Heron!$A$5,Xero!$E:$E,Heron!$A71)</f>
        <v/>
      </c>
      <c r="AD71" s="66">
        <f>SUMIFS(Xero!$F:$F,Xero!$B:$B,Heron!AD$9,Xero!$A:$A,Heron!$A$4,Xero!$E:$E,Heron!$A71)+SUMIFS(Xero!$F:$F,Xero!$B:$B,Heron!AD$9,Xero!$A:$A,Heron!$A$5,Xero!$E:$E,Heron!$A71)</f>
        <v/>
      </c>
      <c r="AE71" s="66">
        <f>SUMIFS(Xero!$F:$F,Xero!$B:$B,Heron!AE$9,Xero!$A:$A,Heron!$A$4,Xero!$E:$E,Heron!$A71)+SUMIFS(Xero!$F:$F,Xero!$B:$B,Heron!AE$9,Xero!$A:$A,Heron!$A$5,Xero!$E:$E,Heron!$A71)</f>
        <v/>
      </c>
      <c r="AF71" s="66">
        <f>SUMIFS(Xero!$F:$F,Xero!$B:$B,Heron!AF$9,Xero!$A:$A,Heron!$A$4,Xero!$E:$E,Heron!$A71)+SUMIFS(Xero!$F:$F,Xero!$B:$B,Heron!AF$9,Xero!$A:$A,Heron!$A$5,Xero!$E:$E,Heron!$A71)</f>
        <v/>
      </c>
      <c r="AG71" s="66">
        <f>SUMIFS(Xero!$F:$F,Xero!$B:$B,Heron!AG$9,Xero!$A:$A,Heron!$A$4,Xero!$E:$E,Heron!$A71)+SUMIFS(Xero!$F:$F,Xero!$B:$B,Heron!AG$9,Xero!$A:$A,Heron!$A$5,Xero!$E:$E,Heron!$A71)</f>
        <v/>
      </c>
      <c r="AH71" s="66">
        <f>SUMIFS(Xero!$F:$F,Xero!$B:$B,Heron!AH$9,Xero!$A:$A,Heron!$A$4,Xero!$E:$E,Heron!$A71)+SUMIFS(Xero!$F:$F,Xero!$B:$B,Heron!AH$9,Xero!$A:$A,Heron!$A$5,Xero!$E:$E,Heron!$A71)</f>
        <v/>
      </c>
      <c r="AI71" s="66">
        <f>SUMIFS(Xero!$F:$F,Xero!$B:$B,Heron!AI$9,Xero!$A:$A,Heron!$A$4,Xero!$E:$E,Heron!$A71)+SUMIFS(Xero!$F:$F,Xero!$B:$B,Heron!AI$9,Xero!$A:$A,Heron!$A$5,Xero!$E:$E,Heron!$A71)</f>
        <v/>
      </c>
      <c r="AJ71" s="66">
        <f>SUMIFS(Xero!$F:$F,Xero!$B:$B,Heron!AJ$9,Xero!$A:$A,Heron!$A$4,Xero!$E:$E,Heron!$A71)+SUMIFS(Xero!$F:$F,Xero!$B:$B,Heron!AJ$9,Xero!$A:$A,Heron!$A$5,Xero!$E:$E,Heron!$A71)</f>
        <v/>
      </c>
      <c r="AK71" s="66">
        <f>SUMIFS(Xero!$F:$F,Xero!$B:$B,Heron!AK$9,Xero!$A:$A,Heron!$A$4,Xero!$E:$E,Heron!$A71)+SUMIFS(Xero!$F:$F,Xero!$B:$B,Heron!AK$9,Xero!$A:$A,Heron!$A$5,Xero!$E:$E,Heron!$A71)</f>
        <v/>
      </c>
      <c r="AL71" s="66">
        <f>SUMIFS(Xero!$F:$F,Xero!$B:$B,Heron!AL$9,Xero!$A:$A,Heron!$A$4,Xero!$E:$E,Heron!$A71)+SUMIFS(Xero!$F:$F,Xero!$B:$B,Heron!AL$9,Xero!$A:$A,Heron!$A$5,Xero!$E:$E,Heron!$A71)</f>
        <v/>
      </c>
      <c r="AM71" s="66">
        <f>SUMIFS(Xero!$F:$F,Xero!$B:$B,Heron!AM$9,Xero!$A:$A,Heron!$A$4,Xero!$E:$E,Heron!$A71)+SUMIFS(Xero!$F:$F,Xero!$B:$B,Heron!AM$9,Xero!$A:$A,Heron!$A$5,Xero!$E:$E,Heron!$A71)</f>
        <v/>
      </c>
      <c r="AN71" s="66">
        <f>SUMIFS(Xero!$F:$F,Xero!$B:$B,Heron!AN$9,Xero!$A:$A,Heron!$A$4,Xero!$E:$E,Heron!$A71)+SUMIFS(Xero!$F:$F,Xero!$B:$B,Heron!AN$9,Xero!$A:$A,Heron!$A$5,Xero!$E:$E,Heron!$A71)</f>
        <v/>
      </c>
      <c r="AO71" s="66">
        <f>SUMIFS(Xero!$F:$F,Xero!$B:$B,Heron!AO$9,Xero!$A:$A,Heron!$A$4,Xero!$E:$E,Heron!$A71)+SUMIFS(Xero!$F:$F,Xero!$B:$B,Heron!AO$9,Xero!$A:$A,Heron!$A$5,Xero!$E:$E,Heron!$A71)</f>
        <v/>
      </c>
      <c r="AP71" s="66">
        <f>SUMIFS(Xero!$F:$F,Xero!$B:$B,Heron!AP$9,Xero!$A:$A,Heron!$A$4,Xero!$E:$E,Heron!$A71)+SUMIFS(Xero!$F:$F,Xero!$B:$B,Heron!AP$9,Xero!$A:$A,Heron!$A$5,Xero!$E:$E,Heron!$A71)</f>
        <v/>
      </c>
      <c r="AQ71" s="66">
        <f>SUMIFS(Xero!$F:$F,Xero!$B:$B,Heron!AQ$9,Xero!$A:$A,Heron!$A$4,Xero!$E:$E,Heron!$A71)+SUMIFS(Xero!$F:$F,Xero!$B:$B,Heron!AQ$9,Xero!$A:$A,Heron!$A$5,Xero!$E:$E,Heron!$A71)</f>
        <v/>
      </c>
      <c r="AR71" s="66">
        <f>SUMIFS(Xero!$F:$F,Xero!$B:$B,Heron!AR$9,Xero!$A:$A,Heron!$A$4,Xero!$E:$E,Heron!$A71)+SUMIFS(Xero!$F:$F,Xero!$B:$B,Heron!AR$9,Xero!$A:$A,Heron!$A$5,Xero!$E:$E,Heron!$A71)</f>
        <v/>
      </c>
      <c r="AS71" s="66">
        <f>SUMIFS(Xero!$F:$F,Xero!$B:$B,Heron!AS$9,Xero!$A:$A,Heron!$A$4,Xero!$E:$E,Heron!$A71)+SUMIFS(Xero!$F:$F,Xero!$B:$B,Heron!AS$9,Xero!$A:$A,Heron!$A$5,Xero!$E:$E,Heron!$A71)</f>
        <v/>
      </c>
      <c r="AT71" s="66">
        <f>SUMIFS(Xero!$F:$F,Xero!$B:$B,Heron!AT$9,Xero!$A:$A,Heron!$A$4,Xero!$E:$E,Heron!$A71)+SUMIFS(Xero!$F:$F,Xero!$B:$B,Heron!AT$9,Xero!$A:$A,Heron!$A$5,Xero!$E:$E,Heron!$A71)</f>
        <v/>
      </c>
      <c r="AU71" s="66">
        <f>SUMIFS(Xero!$F:$F,Xero!$B:$B,Heron!AU$9,Xero!$A:$A,Heron!$A$4,Xero!$E:$E,Heron!$A71)+SUMIFS(Xero!$F:$F,Xero!$B:$B,Heron!AU$9,Xero!$A:$A,Heron!$A$5,Xero!$E:$E,Heron!$A71)</f>
        <v/>
      </c>
      <c r="AV71" s="66">
        <f>SUMIFS(Xero!$F:$F,Xero!$B:$B,Heron!AV$9,Xero!$A:$A,Heron!$A$4,Xero!$E:$E,Heron!$A71)+SUMIFS(Xero!$F:$F,Xero!$B:$B,Heron!AV$9,Xero!$A:$A,Heron!$A$5,Xero!$E:$E,Heron!$A71)</f>
        <v/>
      </c>
      <c r="AW71" s="66">
        <f>SUMIFS(Xero!$F:$F,Xero!$B:$B,Heron!AW$9,Xero!$A:$A,Heron!$A$4,Xero!$E:$E,Heron!$A71)+SUMIFS(Xero!$F:$F,Xero!$B:$B,Heron!AW$9,Xero!$A:$A,Heron!$A$5,Xero!$E:$E,Heron!$A71)</f>
        <v/>
      </c>
      <c r="AX71" s="66">
        <f>SUMIFS(Xero!$F:$F,Xero!$B:$B,Heron!AX$9,Xero!$A:$A,Heron!$A$4,Xero!$E:$E,Heron!$A71)+SUMIFS(Xero!$F:$F,Xero!$B:$B,Heron!AX$9,Xero!$A:$A,Heron!$A$5,Xero!$E:$E,Heron!$A71)</f>
        <v/>
      </c>
      <c r="AY71" s="66">
        <f>SUMIFS(Xero!$F:$F,Xero!$B:$B,Heron!AY$9,Xero!$A:$A,Heron!$A$4,Xero!$E:$E,Heron!$A71)+SUMIFS(Xero!$F:$F,Xero!$B:$B,Heron!AY$9,Xero!$A:$A,Heron!$A$5,Xero!$E:$E,Heron!$A71)</f>
        <v/>
      </c>
      <c r="AZ71" s="66">
        <f>SUMIFS(Xero!$F:$F,Xero!$B:$B,Heron!AZ$9,Xero!$A:$A,Heron!$A$4,Xero!$E:$E,Heron!$A71)+SUMIFS(Xero!$F:$F,Xero!$B:$B,Heron!AZ$9,Xero!$A:$A,Heron!$A$5,Xero!$E:$E,Heron!$A71)</f>
        <v/>
      </c>
      <c r="BA71" s="66">
        <f>SUMIFS(Xero!$F:$F,Xero!$B:$B,Heron!BA$9,Xero!$A:$A,Heron!$A$4,Xero!$E:$E,Heron!$A71)+SUMIFS(Xero!$F:$F,Xero!$B:$B,Heron!BA$9,Xero!$A:$A,Heron!$A$5,Xero!$E:$E,Heron!$A71)</f>
        <v/>
      </c>
      <c r="BB71" s="66">
        <f>SUMIFS(Xero!$F:$F,Xero!$B:$B,Heron!BB$9,Xero!$A:$A,Heron!$A$4,Xero!$E:$E,Heron!$A71)+SUMIFS(Xero!$F:$F,Xero!$B:$B,Heron!BB$9,Xero!$A:$A,Heron!$A$5,Xero!$E:$E,Heron!$A71)</f>
        <v/>
      </c>
      <c r="BC71" s="66">
        <f>SUMIFS(Xero!$F:$F,Xero!$B:$B,Heron!BC$9,Xero!$A:$A,Heron!$A$4,Xero!$E:$E,Heron!$A71)+SUMIFS(Xero!$F:$F,Xero!$B:$B,Heron!BC$9,Xero!$A:$A,Heron!$A$5,Xero!$E:$E,Heron!$A71)</f>
        <v/>
      </c>
      <c r="BD71" s="66">
        <f>SUMIFS(Xero!$F:$F,Xero!$B:$B,Heron!BD$9,Xero!$A:$A,Heron!$A$4,Xero!$E:$E,Heron!$A71)+SUMIFS(Xero!$F:$F,Xero!$B:$B,Heron!BD$9,Xero!$A:$A,Heron!$A$5,Xero!$E:$E,Heron!$A71)</f>
        <v/>
      </c>
      <c r="BE71" s="66">
        <f>SUMIFS(Xero!$F:$F,Xero!$B:$B,Heron!BE$9,Xero!$A:$A,Heron!$A$4,Xero!$E:$E,Heron!$A71)+SUMIFS(Xero!$F:$F,Xero!$B:$B,Heron!BE$9,Xero!$A:$A,Heron!$A$5,Xero!$E:$E,Heron!$A71)</f>
        <v/>
      </c>
      <c r="BF71" s="66">
        <f>SUMIFS(Xero!$F:$F,Xero!$B:$B,Heron!BF$9,Xero!$A:$A,Heron!$A$4,Xero!$E:$E,Heron!$A71)+SUMIFS(Xero!$F:$F,Xero!$B:$B,Heron!BF$9,Xero!$A:$A,Heron!$A$5,Xero!$E:$E,Heron!$A71)</f>
        <v/>
      </c>
      <c r="BG71" s="66">
        <f>SUMIFS(Xero!$F:$F,Xero!$B:$B,Heron!BG$9,Xero!$A:$A,Heron!$A$4,Xero!$E:$E,Heron!$A71)+SUMIFS(Xero!$F:$F,Xero!$B:$B,Heron!BG$9,Xero!$A:$A,Heron!$A$5,Xero!$E:$E,Heron!$A71)</f>
        <v/>
      </c>
      <c r="BH71" s="66">
        <f>sum(D71:BG71)</f>
        <v/>
      </c>
    </row>
    <row r="72">
      <c r="A72" s="65" t="inlineStr">
        <is>
          <t>Interest Paid - Investors @ 15%</t>
        </is>
      </c>
      <c r="D72" s="66">
        <f>SUMIFS(Xero!$F:$F,Xero!$B:$B,Heron!D$9,Xero!$A:$A,Heron!$A$4,Xero!$E:$E,Heron!$A72)+SUMIFS(Xero!$F:$F,Xero!$B:$B,Heron!D$9,Xero!$A:$A,Heron!$A$5,Xero!$E:$E,Heron!$A72)</f>
        <v/>
      </c>
      <c r="E72" s="66">
        <f>SUMIFS(Xero!$F:$F,Xero!$B:$B,Heron!E$9,Xero!$A:$A,Heron!$A$4,Xero!$E:$E,Heron!$A72)+SUMIFS(Xero!$F:$F,Xero!$B:$B,Heron!E$9,Xero!$A:$A,Heron!$A$5,Xero!$E:$E,Heron!$A72)</f>
        <v/>
      </c>
      <c r="F72" s="66">
        <f>SUMIFS(Xero!$F:$F,Xero!$B:$B,Heron!F$9,Xero!$A:$A,Heron!$A$4,Xero!$E:$E,Heron!$A72)+SUMIFS(Xero!$F:$F,Xero!$B:$B,Heron!F$9,Xero!$A:$A,Heron!$A$5,Xero!$E:$E,Heron!$A72)</f>
        <v/>
      </c>
      <c r="G72" s="66">
        <f>SUMIFS(Xero!$F:$F,Xero!$B:$B,Heron!G$9,Xero!$A:$A,Heron!$A$4,Xero!$E:$E,Heron!$A72)+SUMIFS(Xero!$F:$F,Xero!$B:$B,Heron!G$9,Xero!$A:$A,Heron!$A$5,Xero!$E:$E,Heron!$A72)</f>
        <v/>
      </c>
      <c r="H72" s="66">
        <f>SUMIFS(Xero!$F:$F,Xero!$B:$B,Heron!H$9,Xero!$A:$A,Heron!$A$4,Xero!$E:$E,Heron!$A72)+SUMIFS(Xero!$F:$F,Xero!$B:$B,Heron!H$9,Xero!$A:$A,Heron!$A$5,Xero!$E:$E,Heron!$A72)</f>
        <v/>
      </c>
      <c r="I72" s="66">
        <f>SUMIFS(Xero!$F:$F,Xero!$B:$B,Heron!I$9,Xero!$A:$A,Heron!$A$4,Xero!$E:$E,Heron!$A72)+SUMIFS(Xero!$F:$F,Xero!$B:$B,Heron!I$9,Xero!$A:$A,Heron!$A$5,Xero!$E:$E,Heron!$A72)</f>
        <v/>
      </c>
      <c r="J72" s="66">
        <f>SUMIFS(Xero!$F:$F,Xero!$B:$B,Heron!J$9,Xero!$A:$A,Heron!$A$4,Xero!$E:$E,Heron!$A72)+SUMIFS(Xero!$F:$F,Xero!$B:$B,Heron!J$9,Xero!$A:$A,Heron!$A$5,Xero!$E:$E,Heron!$A72)</f>
        <v/>
      </c>
      <c r="K72" s="66">
        <f>SUMIFS(Xero!$F:$F,Xero!$B:$B,Heron!K$9,Xero!$A:$A,Heron!$A$4,Xero!$E:$E,Heron!$A72)+SUMIFS(Xero!$F:$F,Xero!$B:$B,Heron!K$9,Xero!$A:$A,Heron!$A$5,Xero!$E:$E,Heron!$A72)</f>
        <v/>
      </c>
      <c r="L72" s="66">
        <f>SUMIFS(Xero!$F:$F,Xero!$B:$B,Heron!L$9,Xero!$A:$A,Heron!$A$4,Xero!$E:$E,Heron!$A72)+SUMIFS(Xero!$F:$F,Xero!$B:$B,Heron!L$9,Xero!$A:$A,Heron!$A$5,Xero!$E:$E,Heron!$A72)</f>
        <v/>
      </c>
      <c r="M72" s="66">
        <f>SUMIFS(Xero!$F:$F,Xero!$B:$B,Heron!M$9,Xero!$A:$A,Heron!$A$4,Xero!$E:$E,Heron!$A72)+SUMIFS(Xero!$F:$F,Xero!$B:$B,Heron!M$9,Xero!$A:$A,Heron!$A$5,Xero!$E:$E,Heron!$A72)</f>
        <v/>
      </c>
      <c r="N72" s="66">
        <f>SUMIFS(Xero!$F:$F,Xero!$B:$B,Heron!N$9,Xero!$A:$A,Heron!$A$4,Xero!$E:$E,Heron!$A72)+SUMIFS(Xero!$F:$F,Xero!$B:$B,Heron!N$9,Xero!$A:$A,Heron!$A$5,Xero!$E:$E,Heron!$A72)</f>
        <v/>
      </c>
      <c r="O72" s="66">
        <f>SUMIFS(Xero!$F:$F,Xero!$B:$B,Heron!O$9,Xero!$A:$A,Heron!$A$4,Xero!$E:$E,Heron!$A72)+SUMIFS(Xero!$F:$F,Xero!$B:$B,Heron!O$9,Xero!$A:$A,Heron!$A$5,Xero!$E:$E,Heron!$A72)</f>
        <v/>
      </c>
      <c r="P72" s="66">
        <f>SUMIFS(Xero!$F:$F,Xero!$B:$B,Heron!P$9,Xero!$A:$A,Heron!$A$4,Xero!$E:$E,Heron!$A72)+SUMIFS(Xero!$F:$F,Xero!$B:$B,Heron!P$9,Xero!$A:$A,Heron!$A$5,Xero!$E:$E,Heron!$A72)</f>
        <v/>
      </c>
      <c r="Q72" s="66">
        <f>SUMIFS(Xero!$F:$F,Xero!$B:$B,Heron!Q$9,Xero!$A:$A,Heron!$A$4,Xero!$E:$E,Heron!$A72)+SUMIFS(Xero!$F:$F,Xero!$B:$B,Heron!Q$9,Xero!$A:$A,Heron!$A$5,Xero!$E:$E,Heron!$A72)</f>
        <v/>
      </c>
      <c r="R72" s="66">
        <f>SUMIFS(Xero!$F:$F,Xero!$B:$B,Heron!R$9,Xero!$A:$A,Heron!$A$4,Xero!$E:$E,Heron!$A72)+SUMIFS(Xero!$F:$F,Xero!$B:$B,Heron!R$9,Xero!$A:$A,Heron!$A$5,Xero!$E:$E,Heron!$A72)</f>
        <v/>
      </c>
      <c r="S72" s="66">
        <f>SUMIFS(Xero!$F:$F,Xero!$B:$B,Heron!S$9,Xero!$A:$A,Heron!$A$4,Xero!$E:$E,Heron!$A72)+SUMIFS(Xero!$F:$F,Xero!$B:$B,Heron!S$9,Xero!$A:$A,Heron!$A$5,Xero!$E:$E,Heron!$A72)</f>
        <v/>
      </c>
      <c r="T72" s="66">
        <f>SUMIFS(Xero!$F:$F,Xero!$B:$B,Heron!T$9,Xero!$A:$A,Heron!$A$4,Xero!$E:$E,Heron!$A72)+SUMIFS(Xero!$F:$F,Xero!$B:$B,Heron!T$9,Xero!$A:$A,Heron!$A$5,Xero!$E:$E,Heron!$A72)</f>
        <v/>
      </c>
      <c r="U72" s="66">
        <f>SUMIFS(Xero!$F:$F,Xero!$B:$B,Heron!U$9,Xero!$A:$A,Heron!$A$4,Xero!$E:$E,Heron!$A72)+SUMIFS(Xero!$F:$F,Xero!$B:$B,Heron!U$9,Xero!$A:$A,Heron!$A$5,Xero!$E:$E,Heron!$A72)</f>
        <v/>
      </c>
      <c r="V72" s="66">
        <f>SUMIFS(Xero!$F:$F,Xero!$B:$B,Heron!V$9,Xero!$A:$A,Heron!$A$4,Xero!$E:$E,Heron!$A72)+SUMIFS(Xero!$F:$F,Xero!$B:$B,Heron!V$9,Xero!$A:$A,Heron!$A$5,Xero!$E:$E,Heron!$A72)</f>
        <v/>
      </c>
      <c r="W72" s="66">
        <f>SUMIFS(Xero!$F:$F,Xero!$B:$B,Heron!W$9,Xero!$A:$A,Heron!$A$4,Xero!$E:$E,Heron!$A72)+SUMIFS(Xero!$F:$F,Xero!$B:$B,Heron!W$9,Xero!$A:$A,Heron!$A$5,Xero!$E:$E,Heron!$A72)</f>
        <v/>
      </c>
      <c r="X72" s="66">
        <f>SUMIFS(Xero!$F:$F,Xero!$B:$B,Heron!X$9,Xero!$A:$A,Heron!$A$4,Xero!$E:$E,Heron!$A72)+SUMIFS(Xero!$F:$F,Xero!$B:$B,Heron!X$9,Xero!$A:$A,Heron!$A$5,Xero!$E:$E,Heron!$A72)</f>
        <v/>
      </c>
      <c r="Y72" s="66">
        <f>SUMIFS(Xero!$F:$F,Xero!$B:$B,Heron!Y$9,Xero!$A:$A,Heron!$A$4,Xero!$E:$E,Heron!$A72)+SUMIFS(Xero!$F:$F,Xero!$B:$B,Heron!Y$9,Xero!$A:$A,Heron!$A$5,Xero!$E:$E,Heron!$A72)</f>
        <v/>
      </c>
      <c r="Z72" s="66">
        <f>SUMIFS(Xero!$F:$F,Xero!$B:$B,Heron!Z$9,Xero!$A:$A,Heron!$A$4,Xero!$E:$E,Heron!$A72)+SUMIFS(Xero!$F:$F,Xero!$B:$B,Heron!Z$9,Xero!$A:$A,Heron!$A$5,Xero!$E:$E,Heron!$A72)</f>
        <v/>
      </c>
      <c r="AA72" s="66">
        <f>SUMIFS(Xero!$F:$F,Xero!$B:$B,Heron!AA$9,Xero!$A:$A,Heron!$A$4,Xero!$E:$E,Heron!$A72)+SUMIFS(Xero!$F:$F,Xero!$B:$B,Heron!AA$9,Xero!$A:$A,Heron!$A$5,Xero!$E:$E,Heron!$A72)</f>
        <v/>
      </c>
      <c r="AB72" s="66">
        <f>SUMIFS(Xero!$F:$F,Xero!$B:$B,Heron!AB$9,Xero!$A:$A,Heron!$A$4,Xero!$E:$E,Heron!$A72)+SUMIFS(Xero!$F:$F,Xero!$B:$B,Heron!AB$9,Xero!$A:$A,Heron!$A$5,Xero!$E:$E,Heron!$A72)</f>
        <v/>
      </c>
      <c r="AC72" s="66">
        <f>SUMIFS(Xero!$F:$F,Xero!$B:$B,Heron!AC$9,Xero!$A:$A,Heron!$A$4,Xero!$E:$E,Heron!$A72)+SUMIFS(Xero!$F:$F,Xero!$B:$B,Heron!AC$9,Xero!$A:$A,Heron!$A$5,Xero!$E:$E,Heron!$A72)</f>
        <v/>
      </c>
      <c r="AD72" s="66">
        <f>SUMIFS(Xero!$F:$F,Xero!$B:$B,Heron!AD$9,Xero!$A:$A,Heron!$A$4,Xero!$E:$E,Heron!$A72)+SUMIFS(Xero!$F:$F,Xero!$B:$B,Heron!AD$9,Xero!$A:$A,Heron!$A$5,Xero!$E:$E,Heron!$A72)</f>
        <v/>
      </c>
      <c r="AE72" s="66">
        <f>SUMIFS(Xero!$F:$F,Xero!$B:$B,Heron!AE$9,Xero!$A:$A,Heron!$A$4,Xero!$E:$E,Heron!$A72)+SUMIFS(Xero!$F:$F,Xero!$B:$B,Heron!AE$9,Xero!$A:$A,Heron!$A$5,Xero!$E:$E,Heron!$A72)</f>
        <v/>
      </c>
      <c r="AF72" s="66">
        <f>SUMIFS(Xero!$F:$F,Xero!$B:$B,Heron!AF$9,Xero!$A:$A,Heron!$A$4,Xero!$E:$E,Heron!$A72)+SUMIFS(Xero!$F:$F,Xero!$B:$B,Heron!AF$9,Xero!$A:$A,Heron!$A$5,Xero!$E:$E,Heron!$A72)</f>
        <v/>
      </c>
      <c r="AG72" s="66">
        <f>SUMIFS(Xero!$F:$F,Xero!$B:$B,Heron!AG$9,Xero!$A:$A,Heron!$A$4,Xero!$E:$E,Heron!$A72)+SUMIFS(Xero!$F:$F,Xero!$B:$B,Heron!AG$9,Xero!$A:$A,Heron!$A$5,Xero!$E:$E,Heron!$A72)</f>
        <v/>
      </c>
      <c r="AH72" s="66">
        <f>SUMIFS(Xero!$F:$F,Xero!$B:$B,Heron!AH$9,Xero!$A:$A,Heron!$A$4,Xero!$E:$E,Heron!$A72)+SUMIFS(Xero!$F:$F,Xero!$B:$B,Heron!AH$9,Xero!$A:$A,Heron!$A$5,Xero!$E:$E,Heron!$A72)</f>
        <v/>
      </c>
      <c r="AI72" s="66">
        <f>SUMIFS(Xero!$F:$F,Xero!$B:$B,Heron!AI$9,Xero!$A:$A,Heron!$A$4,Xero!$E:$E,Heron!$A72)+SUMIFS(Xero!$F:$F,Xero!$B:$B,Heron!AI$9,Xero!$A:$A,Heron!$A$5,Xero!$E:$E,Heron!$A72)</f>
        <v/>
      </c>
      <c r="AJ72" s="66">
        <f>SUMIFS(Xero!$F:$F,Xero!$B:$B,Heron!AJ$9,Xero!$A:$A,Heron!$A$4,Xero!$E:$E,Heron!$A72)+SUMIFS(Xero!$F:$F,Xero!$B:$B,Heron!AJ$9,Xero!$A:$A,Heron!$A$5,Xero!$E:$E,Heron!$A72)</f>
        <v/>
      </c>
      <c r="AK72" s="66">
        <f>SUMIFS(Xero!$F:$F,Xero!$B:$B,Heron!AK$9,Xero!$A:$A,Heron!$A$4,Xero!$E:$E,Heron!$A72)+SUMIFS(Xero!$F:$F,Xero!$B:$B,Heron!AK$9,Xero!$A:$A,Heron!$A$5,Xero!$E:$E,Heron!$A72)</f>
        <v/>
      </c>
      <c r="AL72" s="66">
        <f>SUMIFS(Xero!$F:$F,Xero!$B:$B,Heron!AL$9,Xero!$A:$A,Heron!$A$4,Xero!$E:$E,Heron!$A72)+SUMIFS(Xero!$F:$F,Xero!$B:$B,Heron!AL$9,Xero!$A:$A,Heron!$A$5,Xero!$E:$E,Heron!$A72)</f>
        <v/>
      </c>
      <c r="AM72" s="66">
        <f>SUMIFS(Xero!$F:$F,Xero!$B:$B,Heron!AM$9,Xero!$A:$A,Heron!$A$4,Xero!$E:$E,Heron!$A72)+SUMIFS(Xero!$F:$F,Xero!$B:$B,Heron!AM$9,Xero!$A:$A,Heron!$A$5,Xero!$E:$E,Heron!$A72)</f>
        <v/>
      </c>
      <c r="AN72" s="66">
        <f>SUMIFS(Xero!$F:$F,Xero!$B:$B,Heron!AN$9,Xero!$A:$A,Heron!$A$4,Xero!$E:$E,Heron!$A72)+SUMIFS(Xero!$F:$F,Xero!$B:$B,Heron!AN$9,Xero!$A:$A,Heron!$A$5,Xero!$E:$E,Heron!$A72)</f>
        <v/>
      </c>
      <c r="AO72" s="66">
        <f>SUMIFS(Xero!$F:$F,Xero!$B:$B,Heron!AO$9,Xero!$A:$A,Heron!$A$4,Xero!$E:$E,Heron!$A72)+SUMIFS(Xero!$F:$F,Xero!$B:$B,Heron!AO$9,Xero!$A:$A,Heron!$A$5,Xero!$E:$E,Heron!$A72)</f>
        <v/>
      </c>
      <c r="AP72" s="66">
        <f>SUMIFS(Xero!$F:$F,Xero!$B:$B,Heron!AP$9,Xero!$A:$A,Heron!$A$4,Xero!$E:$E,Heron!$A72)+SUMIFS(Xero!$F:$F,Xero!$B:$B,Heron!AP$9,Xero!$A:$A,Heron!$A$5,Xero!$E:$E,Heron!$A72)</f>
        <v/>
      </c>
      <c r="AQ72" s="66">
        <f>SUMIFS(Xero!$F:$F,Xero!$B:$B,Heron!AQ$9,Xero!$A:$A,Heron!$A$4,Xero!$E:$E,Heron!$A72)+SUMIFS(Xero!$F:$F,Xero!$B:$B,Heron!AQ$9,Xero!$A:$A,Heron!$A$5,Xero!$E:$E,Heron!$A72)</f>
        <v/>
      </c>
      <c r="AR72" s="66">
        <f>SUMIFS(Xero!$F:$F,Xero!$B:$B,Heron!AR$9,Xero!$A:$A,Heron!$A$4,Xero!$E:$E,Heron!$A72)+SUMIFS(Xero!$F:$F,Xero!$B:$B,Heron!AR$9,Xero!$A:$A,Heron!$A$5,Xero!$E:$E,Heron!$A72)</f>
        <v/>
      </c>
      <c r="AS72" s="66">
        <f>SUMIFS(Xero!$F:$F,Xero!$B:$B,Heron!AS$9,Xero!$A:$A,Heron!$A$4,Xero!$E:$E,Heron!$A72)+SUMIFS(Xero!$F:$F,Xero!$B:$B,Heron!AS$9,Xero!$A:$A,Heron!$A$5,Xero!$E:$E,Heron!$A72)</f>
        <v/>
      </c>
      <c r="AT72" s="66">
        <f>SUMIFS(Xero!$F:$F,Xero!$B:$B,Heron!AT$9,Xero!$A:$A,Heron!$A$4,Xero!$E:$E,Heron!$A72)+SUMIFS(Xero!$F:$F,Xero!$B:$B,Heron!AT$9,Xero!$A:$A,Heron!$A$5,Xero!$E:$E,Heron!$A72)</f>
        <v/>
      </c>
      <c r="AU72" s="66">
        <f>SUMIFS(Xero!$F:$F,Xero!$B:$B,Heron!AU$9,Xero!$A:$A,Heron!$A$4,Xero!$E:$E,Heron!$A72)+SUMIFS(Xero!$F:$F,Xero!$B:$B,Heron!AU$9,Xero!$A:$A,Heron!$A$5,Xero!$E:$E,Heron!$A72)</f>
        <v/>
      </c>
      <c r="AV72" s="66">
        <f>SUMIFS(Xero!$F:$F,Xero!$B:$B,Heron!AV$9,Xero!$A:$A,Heron!$A$4,Xero!$E:$E,Heron!$A72)+SUMIFS(Xero!$F:$F,Xero!$B:$B,Heron!AV$9,Xero!$A:$A,Heron!$A$5,Xero!$E:$E,Heron!$A72)</f>
        <v/>
      </c>
      <c r="AW72" s="66">
        <f>SUMIFS(Xero!$F:$F,Xero!$B:$B,Heron!AW$9,Xero!$A:$A,Heron!$A$4,Xero!$E:$E,Heron!$A72)+SUMIFS(Xero!$F:$F,Xero!$B:$B,Heron!AW$9,Xero!$A:$A,Heron!$A$5,Xero!$E:$E,Heron!$A72)</f>
        <v/>
      </c>
      <c r="AX72" s="66">
        <f>SUMIFS(Xero!$F:$F,Xero!$B:$B,Heron!AX$9,Xero!$A:$A,Heron!$A$4,Xero!$E:$E,Heron!$A72)+SUMIFS(Xero!$F:$F,Xero!$B:$B,Heron!AX$9,Xero!$A:$A,Heron!$A$5,Xero!$E:$E,Heron!$A72)</f>
        <v/>
      </c>
      <c r="AY72" s="66">
        <f>SUMIFS(Xero!$F:$F,Xero!$B:$B,Heron!AY$9,Xero!$A:$A,Heron!$A$4,Xero!$E:$E,Heron!$A72)+SUMIFS(Xero!$F:$F,Xero!$B:$B,Heron!AY$9,Xero!$A:$A,Heron!$A$5,Xero!$E:$E,Heron!$A72)</f>
        <v/>
      </c>
      <c r="AZ72" s="66">
        <f>SUMIFS(Xero!$F:$F,Xero!$B:$B,Heron!AZ$9,Xero!$A:$A,Heron!$A$4,Xero!$E:$E,Heron!$A72)+SUMIFS(Xero!$F:$F,Xero!$B:$B,Heron!AZ$9,Xero!$A:$A,Heron!$A$5,Xero!$E:$E,Heron!$A72)</f>
        <v/>
      </c>
      <c r="BA72" s="66">
        <f>SUMIFS(Xero!$F:$F,Xero!$B:$B,Heron!BA$9,Xero!$A:$A,Heron!$A$4,Xero!$E:$E,Heron!$A72)+SUMIFS(Xero!$F:$F,Xero!$B:$B,Heron!BA$9,Xero!$A:$A,Heron!$A$5,Xero!$E:$E,Heron!$A72)</f>
        <v/>
      </c>
      <c r="BB72" s="66">
        <f>SUMIFS(Xero!$F:$F,Xero!$B:$B,Heron!BB$9,Xero!$A:$A,Heron!$A$4,Xero!$E:$E,Heron!$A72)+SUMIFS(Xero!$F:$F,Xero!$B:$B,Heron!BB$9,Xero!$A:$A,Heron!$A$5,Xero!$E:$E,Heron!$A72)</f>
        <v/>
      </c>
      <c r="BC72" s="66">
        <f>SUMIFS(Xero!$F:$F,Xero!$B:$B,Heron!BC$9,Xero!$A:$A,Heron!$A$4,Xero!$E:$E,Heron!$A72)+SUMIFS(Xero!$F:$F,Xero!$B:$B,Heron!BC$9,Xero!$A:$A,Heron!$A$5,Xero!$E:$E,Heron!$A72)</f>
        <v/>
      </c>
      <c r="BD72" s="66">
        <f>SUMIFS(Xero!$F:$F,Xero!$B:$B,Heron!BD$9,Xero!$A:$A,Heron!$A$4,Xero!$E:$E,Heron!$A72)+SUMIFS(Xero!$F:$F,Xero!$B:$B,Heron!BD$9,Xero!$A:$A,Heron!$A$5,Xero!$E:$E,Heron!$A72)</f>
        <v/>
      </c>
      <c r="BE72" s="66">
        <f>SUMIFS(Xero!$F:$F,Xero!$B:$B,Heron!BE$9,Xero!$A:$A,Heron!$A$4,Xero!$E:$E,Heron!$A72)+SUMIFS(Xero!$F:$F,Xero!$B:$B,Heron!BE$9,Xero!$A:$A,Heron!$A$5,Xero!$E:$E,Heron!$A72)</f>
        <v/>
      </c>
      <c r="BF72" s="66">
        <f>SUMIFS(Xero!$F:$F,Xero!$B:$B,Heron!BF$9,Xero!$A:$A,Heron!$A$4,Xero!$E:$E,Heron!$A72)+SUMIFS(Xero!$F:$F,Xero!$B:$B,Heron!BF$9,Xero!$A:$A,Heron!$A$5,Xero!$E:$E,Heron!$A72)</f>
        <v/>
      </c>
      <c r="BG72" s="66">
        <f>SUMIFS(Xero!$F:$F,Xero!$B:$B,Heron!BG$9,Xero!$A:$A,Heron!$A$4,Xero!$E:$E,Heron!$A72)+SUMIFS(Xero!$F:$F,Xero!$B:$B,Heron!BG$9,Xero!$A:$A,Heron!$A$5,Xero!$E:$E,Heron!$A72)</f>
        <v/>
      </c>
      <c r="BH72" s="66">
        <f>sum(D72:BG72)</f>
        <v/>
      </c>
    </row>
    <row r="73">
      <c r="A73" s="65" t="inlineStr">
        <is>
          <t>Interest Paid - Investors @ 16%</t>
        </is>
      </c>
      <c r="D73" s="66">
        <f>SUMIFS(Xero!$F:$F,Xero!$B:$B,Heron!D$9,Xero!$A:$A,Heron!$A$4,Xero!$E:$E,Heron!$A73)+SUMIFS(Xero!$F:$F,Xero!$B:$B,Heron!D$9,Xero!$A:$A,Heron!$A$5,Xero!$E:$E,Heron!$A73)</f>
        <v/>
      </c>
      <c r="E73" s="66">
        <f>SUMIFS(Xero!$F:$F,Xero!$B:$B,Heron!E$9,Xero!$A:$A,Heron!$A$4,Xero!$E:$E,Heron!$A73)+SUMIFS(Xero!$F:$F,Xero!$B:$B,Heron!E$9,Xero!$A:$A,Heron!$A$5,Xero!$E:$E,Heron!$A73)</f>
        <v/>
      </c>
      <c r="F73" s="66">
        <f>SUMIFS(Xero!$F:$F,Xero!$B:$B,Heron!F$9,Xero!$A:$A,Heron!$A$4,Xero!$E:$E,Heron!$A73)+SUMIFS(Xero!$F:$F,Xero!$B:$B,Heron!F$9,Xero!$A:$A,Heron!$A$5,Xero!$E:$E,Heron!$A73)</f>
        <v/>
      </c>
      <c r="G73" s="66">
        <f>SUMIFS(Xero!$F:$F,Xero!$B:$B,Heron!G$9,Xero!$A:$A,Heron!$A$4,Xero!$E:$E,Heron!$A73)+SUMIFS(Xero!$F:$F,Xero!$B:$B,Heron!G$9,Xero!$A:$A,Heron!$A$5,Xero!$E:$E,Heron!$A73)</f>
        <v/>
      </c>
      <c r="H73" s="66">
        <f>SUMIFS(Xero!$F:$F,Xero!$B:$B,Heron!H$9,Xero!$A:$A,Heron!$A$4,Xero!$E:$E,Heron!$A73)+SUMIFS(Xero!$F:$F,Xero!$B:$B,Heron!H$9,Xero!$A:$A,Heron!$A$5,Xero!$E:$E,Heron!$A73)</f>
        <v/>
      </c>
      <c r="I73" s="66">
        <f>SUMIFS(Xero!$F:$F,Xero!$B:$B,Heron!I$9,Xero!$A:$A,Heron!$A$4,Xero!$E:$E,Heron!$A73)+SUMIFS(Xero!$F:$F,Xero!$B:$B,Heron!I$9,Xero!$A:$A,Heron!$A$5,Xero!$E:$E,Heron!$A73)</f>
        <v/>
      </c>
      <c r="J73" s="66">
        <f>SUMIFS(Xero!$F:$F,Xero!$B:$B,Heron!J$9,Xero!$A:$A,Heron!$A$4,Xero!$E:$E,Heron!$A73)+SUMIFS(Xero!$F:$F,Xero!$B:$B,Heron!J$9,Xero!$A:$A,Heron!$A$5,Xero!$E:$E,Heron!$A73)</f>
        <v/>
      </c>
      <c r="K73" s="66">
        <f>SUMIFS(Xero!$F:$F,Xero!$B:$B,Heron!K$9,Xero!$A:$A,Heron!$A$4,Xero!$E:$E,Heron!$A73)+SUMIFS(Xero!$F:$F,Xero!$B:$B,Heron!K$9,Xero!$A:$A,Heron!$A$5,Xero!$E:$E,Heron!$A73)</f>
        <v/>
      </c>
      <c r="L73" s="66">
        <f>SUMIFS(Xero!$F:$F,Xero!$B:$B,Heron!L$9,Xero!$A:$A,Heron!$A$4,Xero!$E:$E,Heron!$A73)+SUMIFS(Xero!$F:$F,Xero!$B:$B,Heron!L$9,Xero!$A:$A,Heron!$A$5,Xero!$E:$E,Heron!$A73)</f>
        <v/>
      </c>
      <c r="M73" s="66">
        <f>SUMIFS(Xero!$F:$F,Xero!$B:$B,Heron!M$9,Xero!$A:$A,Heron!$A$4,Xero!$E:$E,Heron!$A73)+SUMIFS(Xero!$F:$F,Xero!$B:$B,Heron!M$9,Xero!$A:$A,Heron!$A$5,Xero!$E:$E,Heron!$A73)</f>
        <v/>
      </c>
      <c r="N73" s="66">
        <f>SUMIFS(Xero!$F:$F,Xero!$B:$B,Heron!N$9,Xero!$A:$A,Heron!$A$4,Xero!$E:$E,Heron!$A73)+SUMIFS(Xero!$F:$F,Xero!$B:$B,Heron!N$9,Xero!$A:$A,Heron!$A$5,Xero!$E:$E,Heron!$A73)</f>
        <v/>
      </c>
      <c r="O73" s="66">
        <f>SUMIFS(Xero!$F:$F,Xero!$B:$B,Heron!O$9,Xero!$A:$A,Heron!$A$4,Xero!$E:$E,Heron!$A73)+SUMIFS(Xero!$F:$F,Xero!$B:$B,Heron!O$9,Xero!$A:$A,Heron!$A$5,Xero!$E:$E,Heron!$A73)</f>
        <v/>
      </c>
      <c r="P73" s="66">
        <f>SUMIFS(Xero!$F:$F,Xero!$B:$B,Heron!P$9,Xero!$A:$A,Heron!$A$4,Xero!$E:$E,Heron!$A73)+SUMIFS(Xero!$F:$F,Xero!$B:$B,Heron!P$9,Xero!$A:$A,Heron!$A$5,Xero!$E:$E,Heron!$A73)</f>
        <v/>
      </c>
      <c r="Q73" s="66">
        <f>SUMIFS(Xero!$F:$F,Xero!$B:$B,Heron!Q$9,Xero!$A:$A,Heron!$A$4,Xero!$E:$E,Heron!$A73)+SUMIFS(Xero!$F:$F,Xero!$B:$B,Heron!Q$9,Xero!$A:$A,Heron!$A$5,Xero!$E:$E,Heron!$A73)</f>
        <v/>
      </c>
      <c r="R73" s="66">
        <f>SUMIFS(Xero!$F:$F,Xero!$B:$B,Heron!R$9,Xero!$A:$A,Heron!$A$4,Xero!$E:$E,Heron!$A73)+SUMIFS(Xero!$F:$F,Xero!$B:$B,Heron!R$9,Xero!$A:$A,Heron!$A$5,Xero!$E:$E,Heron!$A73)</f>
        <v/>
      </c>
      <c r="S73" s="66">
        <f>SUMIFS(Xero!$F:$F,Xero!$B:$B,Heron!S$9,Xero!$A:$A,Heron!$A$4,Xero!$E:$E,Heron!$A73)+SUMIFS(Xero!$F:$F,Xero!$B:$B,Heron!S$9,Xero!$A:$A,Heron!$A$5,Xero!$E:$E,Heron!$A73)</f>
        <v/>
      </c>
      <c r="T73" s="66">
        <f>SUMIFS(Xero!$F:$F,Xero!$B:$B,Heron!T$9,Xero!$A:$A,Heron!$A$4,Xero!$E:$E,Heron!$A73)+SUMIFS(Xero!$F:$F,Xero!$B:$B,Heron!T$9,Xero!$A:$A,Heron!$A$5,Xero!$E:$E,Heron!$A73)</f>
        <v/>
      </c>
      <c r="U73" s="66">
        <f>SUMIFS(Xero!$F:$F,Xero!$B:$B,Heron!U$9,Xero!$A:$A,Heron!$A$4,Xero!$E:$E,Heron!$A73)+SUMIFS(Xero!$F:$F,Xero!$B:$B,Heron!U$9,Xero!$A:$A,Heron!$A$5,Xero!$E:$E,Heron!$A73)</f>
        <v/>
      </c>
      <c r="V73" s="66">
        <f>SUMIFS(Xero!$F:$F,Xero!$B:$B,Heron!V$9,Xero!$A:$A,Heron!$A$4,Xero!$E:$E,Heron!$A73)+SUMIFS(Xero!$F:$F,Xero!$B:$B,Heron!V$9,Xero!$A:$A,Heron!$A$5,Xero!$E:$E,Heron!$A73)</f>
        <v/>
      </c>
      <c r="W73" s="66">
        <f>SUMIFS(Xero!$F:$F,Xero!$B:$B,Heron!W$9,Xero!$A:$A,Heron!$A$4,Xero!$E:$E,Heron!$A73)+SUMIFS(Xero!$F:$F,Xero!$B:$B,Heron!W$9,Xero!$A:$A,Heron!$A$5,Xero!$E:$E,Heron!$A73)</f>
        <v/>
      </c>
      <c r="X73" s="66">
        <f>SUMIFS(Xero!$F:$F,Xero!$B:$B,Heron!X$9,Xero!$A:$A,Heron!$A$4,Xero!$E:$E,Heron!$A73)+SUMIFS(Xero!$F:$F,Xero!$B:$B,Heron!X$9,Xero!$A:$A,Heron!$A$5,Xero!$E:$E,Heron!$A73)</f>
        <v/>
      </c>
      <c r="Y73" s="66">
        <f>SUMIFS(Xero!$F:$F,Xero!$B:$B,Heron!Y$9,Xero!$A:$A,Heron!$A$4,Xero!$E:$E,Heron!$A73)+SUMIFS(Xero!$F:$F,Xero!$B:$B,Heron!Y$9,Xero!$A:$A,Heron!$A$5,Xero!$E:$E,Heron!$A73)</f>
        <v/>
      </c>
      <c r="Z73" s="66">
        <f>SUMIFS(Xero!$F:$F,Xero!$B:$B,Heron!Z$9,Xero!$A:$A,Heron!$A$4,Xero!$E:$E,Heron!$A73)+SUMIFS(Xero!$F:$F,Xero!$B:$B,Heron!Z$9,Xero!$A:$A,Heron!$A$5,Xero!$E:$E,Heron!$A73)</f>
        <v/>
      </c>
      <c r="AA73" s="66">
        <f>SUMIFS(Xero!$F:$F,Xero!$B:$B,Heron!AA$9,Xero!$A:$A,Heron!$A$4,Xero!$E:$E,Heron!$A73)+SUMIFS(Xero!$F:$F,Xero!$B:$B,Heron!AA$9,Xero!$A:$A,Heron!$A$5,Xero!$E:$E,Heron!$A73)</f>
        <v/>
      </c>
      <c r="AB73" s="66">
        <f>SUMIFS(Xero!$F:$F,Xero!$B:$B,Heron!AB$9,Xero!$A:$A,Heron!$A$4,Xero!$E:$E,Heron!$A73)+SUMIFS(Xero!$F:$F,Xero!$B:$B,Heron!AB$9,Xero!$A:$A,Heron!$A$5,Xero!$E:$E,Heron!$A73)</f>
        <v/>
      </c>
      <c r="AC73" s="66">
        <f>SUMIFS(Xero!$F:$F,Xero!$B:$B,Heron!AC$9,Xero!$A:$A,Heron!$A$4,Xero!$E:$E,Heron!$A73)+SUMIFS(Xero!$F:$F,Xero!$B:$B,Heron!AC$9,Xero!$A:$A,Heron!$A$5,Xero!$E:$E,Heron!$A73)</f>
        <v/>
      </c>
      <c r="AD73" s="66">
        <f>SUMIFS(Xero!$F:$F,Xero!$B:$B,Heron!AD$9,Xero!$A:$A,Heron!$A$4,Xero!$E:$E,Heron!$A73)+SUMIFS(Xero!$F:$F,Xero!$B:$B,Heron!AD$9,Xero!$A:$A,Heron!$A$5,Xero!$E:$E,Heron!$A73)</f>
        <v/>
      </c>
      <c r="AE73" s="66">
        <f>SUMIFS(Xero!$F:$F,Xero!$B:$B,Heron!AE$9,Xero!$A:$A,Heron!$A$4,Xero!$E:$E,Heron!$A73)+SUMIFS(Xero!$F:$F,Xero!$B:$B,Heron!AE$9,Xero!$A:$A,Heron!$A$5,Xero!$E:$E,Heron!$A73)</f>
        <v/>
      </c>
      <c r="AF73" s="66">
        <f>SUMIFS(Xero!$F:$F,Xero!$B:$B,Heron!AF$9,Xero!$A:$A,Heron!$A$4,Xero!$E:$E,Heron!$A73)+SUMIFS(Xero!$F:$F,Xero!$B:$B,Heron!AF$9,Xero!$A:$A,Heron!$A$5,Xero!$E:$E,Heron!$A73)</f>
        <v/>
      </c>
      <c r="AG73" s="66">
        <f>SUMIFS(Xero!$F:$F,Xero!$B:$B,Heron!AG$9,Xero!$A:$A,Heron!$A$4,Xero!$E:$E,Heron!$A73)+SUMIFS(Xero!$F:$F,Xero!$B:$B,Heron!AG$9,Xero!$A:$A,Heron!$A$5,Xero!$E:$E,Heron!$A73)</f>
        <v/>
      </c>
      <c r="AH73" s="66">
        <f>SUMIFS(Xero!$F:$F,Xero!$B:$B,Heron!AH$9,Xero!$A:$A,Heron!$A$4,Xero!$E:$E,Heron!$A73)+SUMIFS(Xero!$F:$F,Xero!$B:$B,Heron!AH$9,Xero!$A:$A,Heron!$A$5,Xero!$E:$E,Heron!$A73)</f>
        <v/>
      </c>
      <c r="AI73" s="66">
        <f>SUMIFS(Xero!$F:$F,Xero!$B:$B,Heron!AI$9,Xero!$A:$A,Heron!$A$4,Xero!$E:$E,Heron!$A73)+SUMIFS(Xero!$F:$F,Xero!$B:$B,Heron!AI$9,Xero!$A:$A,Heron!$A$5,Xero!$E:$E,Heron!$A73)</f>
        <v/>
      </c>
      <c r="AJ73" s="66">
        <f>SUMIFS(Xero!$F:$F,Xero!$B:$B,Heron!AJ$9,Xero!$A:$A,Heron!$A$4,Xero!$E:$E,Heron!$A73)+SUMIFS(Xero!$F:$F,Xero!$B:$B,Heron!AJ$9,Xero!$A:$A,Heron!$A$5,Xero!$E:$E,Heron!$A73)</f>
        <v/>
      </c>
      <c r="AK73" s="66">
        <f>SUMIFS(Xero!$F:$F,Xero!$B:$B,Heron!AK$9,Xero!$A:$A,Heron!$A$4,Xero!$E:$E,Heron!$A73)+SUMIFS(Xero!$F:$F,Xero!$B:$B,Heron!AK$9,Xero!$A:$A,Heron!$A$5,Xero!$E:$E,Heron!$A73)</f>
        <v/>
      </c>
      <c r="AL73" s="66">
        <f>SUMIFS(Xero!$F:$F,Xero!$B:$B,Heron!AL$9,Xero!$A:$A,Heron!$A$4,Xero!$E:$E,Heron!$A73)+SUMIFS(Xero!$F:$F,Xero!$B:$B,Heron!AL$9,Xero!$A:$A,Heron!$A$5,Xero!$E:$E,Heron!$A73)</f>
        <v/>
      </c>
      <c r="AM73" s="66">
        <f>SUMIFS(Xero!$F:$F,Xero!$B:$B,Heron!AM$9,Xero!$A:$A,Heron!$A$4,Xero!$E:$E,Heron!$A73)+SUMIFS(Xero!$F:$F,Xero!$B:$B,Heron!AM$9,Xero!$A:$A,Heron!$A$5,Xero!$E:$E,Heron!$A73)</f>
        <v/>
      </c>
      <c r="AN73" s="66">
        <f>SUMIFS(Xero!$F:$F,Xero!$B:$B,Heron!AN$9,Xero!$A:$A,Heron!$A$4,Xero!$E:$E,Heron!$A73)+SUMIFS(Xero!$F:$F,Xero!$B:$B,Heron!AN$9,Xero!$A:$A,Heron!$A$5,Xero!$E:$E,Heron!$A73)</f>
        <v/>
      </c>
      <c r="AO73" s="66">
        <f>SUMIFS(Xero!$F:$F,Xero!$B:$B,Heron!AO$9,Xero!$A:$A,Heron!$A$4,Xero!$E:$E,Heron!$A73)+SUMIFS(Xero!$F:$F,Xero!$B:$B,Heron!AO$9,Xero!$A:$A,Heron!$A$5,Xero!$E:$E,Heron!$A73)</f>
        <v/>
      </c>
      <c r="AP73" s="66">
        <f>SUMIFS(Xero!$F:$F,Xero!$B:$B,Heron!AP$9,Xero!$A:$A,Heron!$A$4,Xero!$E:$E,Heron!$A73)+SUMIFS(Xero!$F:$F,Xero!$B:$B,Heron!AP$9,Xero!$A:$A,Heron!$A$5,Xero!$E:$E,Heron!$A73)</f>
        <v/>
      </c>
      <c r="AQ73" s="66">
        <f>SUMIFS(Xero!$F:$F,Xero!$B:$B,Heron!AQ$9,Xero!$A:$A,Heron!$A$4,Xero!$E:$E,Heron!$A73)+SUMIFS(Xero!$F:$F,Xero!$B:$B,Heron!AQ$9,Xero!$A:$A,Heron!$A$5,Xero!$E:$E,Heron!$A73)</f>
        <v/>
      </c>
      <c r="AR73" s="66">
        <f>SUMIFS(Xero!$F:$F,Xero!$B:$B,Heron!AR$9,Xero!$A:$A,Heron!$A$4,Xero!$E:$E,Heron!$A73)+SUMIFS(Xero!$F:$F,Xero!$B:$B,Heron!AR$9,Xero!$A:$A,Heron!$A$5,Xero!$E:$E,Heron!$A73)</f>
        <v/>
      </c>
      <c r="AS73" s="66">
        <f>SUMIFS(Xero!$F:$F,Xero!$B:$B,Heron!AS$9,Xero!$A:$A,Heron!$A$4,Xero!$E:$E,Heron!$A73)+SUMIFS(Xero!$F:$F,Xero!$B:$B,Heron!AS$9,Xero!$A:$A,Heron!$A$5,Xero!$E:$E,Heron!$A73)</f>
        <v/>
      </c>
      <c r="AT73" s="66">
        <f>SUMIFS(Xero!$F:$F,Xero!$B:$B,Heron!AT$9,Xero!$A:$A,Heron!$A$4,Xero!$E:$E,Heron!$A73)+SUMIFS(Xero!$F:$F,Xero!$B:$B,Heron!AT$9,Xero!$A:$A,Heron!$A$5,Xero!$E:$E,Heron!$A73)</f>
        <v/>
      </c>
      <c r="AU73" s="66">
        <f>SUMIFS(Xero!$F:$F,Xero!$B:$B,Heron!AU$9,Xero!$A:$A,Heron!$A$4,Xero!$E:$E,Heron!$A73)+SUMIFS(Xero!$F:$F,Xero!$B:$B,Heron!AU$9,Xero!$A:$A,Heron!$A$5,Xero!$E:$E,Heron!$A73)</f>
        <v/>
      </c>
      <c r="AV73" s="66">
        <f>SUMIFS(Xero!$F:$F,Xero!$B:$B,Heron!AV$9,Xero!$A:$A,Heron!$A$4,Xero!$E:$E,Heron!$A73)+SUMIFS(Xero!$F:$F,Xero!$B:$B,Heron!AV$9,Xero!$A:$A,Heron!$A$5,Xero!$E:$E,Heron!$A73)</f>
        <v/>
      </c>
      <c r="AW73" s="66">
        <f>SUMIFS(Xero!$F:$F,Xero!$B:$B,Heron!AW$9,Xero!$A:$A,Heron!$A$4,Xero!$E:$E,Heron!$A73)+SUMIFS(Xero!$F:$F,Xero!$B:$B,Heron!AW$9,Xero!$A:$A,Heron!$A$5,Xero!$E:$E,Heron!$A73)</f>
        <v/>
      </c>
      <c r="AX73" s="66">
        <f>SUMIFS(Xero!$F:$F,Xero!$B:$B,Heron!AX$9,Xero!$A:$A,Heron!$A$4,Xero!$E:$E,Heron!$A73)+SUMIFS(Xero!$F:$F,Xero!$B:$B,Heron!AX$9,Xero!$A:$A,Heron!$A$5,Xero!$E:$E,Heron!$A73)</f>
        <v/>
      </c>
      <c r="AY73" s="66">
        <f>SUMIFS(Xero!$F:$F,Xero!$B:$B,Heron!AY$9,Xero!$A:$A,Heron!$A$4,Xero!$E:$E,Heron!$A73)+SUMIFS(Xero!$F:$F,Xero!$B:$B,Heron!AY$9,Xero!$A:$A,Heron!$A$5,Xero!$E:$E,Heron!$A73)</f>
        <v/>
      </c>
      <c r="AZ73" s="66">
        <f>SUMIFS(Xero!$F:$F,Xero!$B:$B,Heron!AZ$9,Xero!$A:$A,Heron!$A$4,Xero!$E:$E,Heron!$A73)+SUMIFS(Xero!$F:$F,Xero!$B:$B,Heron!AZ$9,Xero!$A:$A,Heron!$A$5,Xero!$E:$E,Heron!$A73)</f>
        <v/>
      </c>
      <c r="BA73" s="66">
        <f>SUMIFS(Xero!$F:$F,Xero!$B:$B,Heron!BA$9,Xero!$A:$A,Heron!$A$4,Xero!$E:$E,Heron!$A73)+SUMIFS(Xero!$F:$F,Xero!$B:$B,Heron!BA$9,Xero!$A:$A,Heron!$A$5,Xero!$E:$E,Heron!$A73)</f>
        <v/>
      </c>
      <c r="BB73" s="66">
        <f>SUMIFS(Xero!$F:$F,Xero!$B:$B,Heron!BB$9,Xero!$A:$A,Heron!$A$4,Xero!$E:$E,Heron!$A73)+SUMIFS(Xero!$F:$F,Xero!$B:$B,Heron!BB$9,Xero!$A:$A,Heron!$A$5,Xero!$E:$E,Heron!$A73)</f>
        <v/>
      </c>
      <c r="BC73" s="66">
        <f>SUMIFS(Xero!$F:$F,Xero!$B:$B,Heron!BC$9,Xero!$A:$A,Heron!$A$4,Xero!$E:$E,Heron!$A73)+SUMIFS(Xero!$F:$F,Xero!$B:$B,Heron!BC$9,Xero!$A:$A,Heron!$A$5,Xero!$E:$E,Heron!$A73)</f>
        <v/>
      </c>
      <c r="BD73" s="66">
        <f>SUMIFS(Xero!$F:$F,Xero!$B:$B,Heron!BD$9,Xero!$A:$A,Heron!$A$4,Xero!$E:$E,Heron!$A73)+SUMIFS(Xero!$F:$F,Xero!$B:$B,Heron!BD$9,Xero!$A:$A,Heron!$A$5,Xero!$E:$E,Heron!$A73)</f>
        <v/>
      </c>
      <c r="BE73" s="66">
        <f>SUMIFS(Xero!$F:$F,Xero!$B:$B,Heron!BE$9,Xero!$A:$A,Heron!$A$4,Xero!$E:$E,Heron!$A73)+SUMIFS(Xero!$F:$F,Xero!$B:$B,Heron!BE$9,Xero!$A:$A,Heron!$A$5,Xero!$E:$E,Heron!$A73)</f>
        <v/>
      </c>
      <c r="BF73" s="66">
        <f>SUMIFS(Xero!$F:$F,Xero!$B:$B,Heron!BF$9,Xero!$A:$A,Heron!$A$4,Xero!$E:$E,Heron!$A73)+SUMIFS(Xero!$F:$F,Xero!$B:$B,Heron!BF$9,Xero!$A:$A,Heron!$A$5,Xero!$E:$E,Heron!$A73)</f>
        <v/>
      </c>
      <c r="BG73" s="66">
        <f>SUMIFS(Xero!$F:$F,Xero!$B:$B,Heron!BG$9,Xero!$A:$A,Heron!$A$4,Xero!$E:$E,Heron!$A73)+SUMIFS(Xero!$F:$F,Xero!$B:$B,Heron!BG$9,Xero!$A:$A,Heron!$A$5,Xero!$E:$E,Heron!$A73)</f>
        <v/>
      </c>
      <c r="BH73" s="66">
        <f>sum(D73:BG73)</f>
        <v/>
      </c>
    </row>
    <row r="74">
      <c r="A74" s="65" t="inlineStr">
        <is>
          <t>Interest Paid - Investors @ 18%</t>
        </is>
      </c>
      <c r="D74" s="66">
        <f>SUMIFS(Xero!$F:$F,Xero!$B:$B,Heron!D$9,Xero!$A:$A,Heron!$A$4,Xero!$E:$E,Heron!$A74)+SUMIFS(Xero!$F:$F,Xero!$B:$B,Heron!D$9,Xero!$A:$A,Heron!$A$5,Xero!$E:$E,Heron!$A74)+SUMIFS(Investors!$S:$S,Investors!$G:$G,FALSE,Investors!$O:$O,FALSE,Investors!$P:$P,FALSE,Investors!$K:$K,"&lt;="&amp;Heron!D$9,Investors!$K:$K,"&gt;"&amp;Heron!C$9)</f>
        <v/>
      </c>
      <c r="E74" s="66">
        <f>SUMIFS(Xero!$F:$F,Xero!$B:$B,Heron!E$9,Xero!$A:$A,Heron!$A$4,Xero!$E:$E,Heron!$A74)+SUMIFS(Xero!$F:$F,Xero!$B:$B,Heron!E$9,Xero!$A:$A,Heron!$A$5,Xero!$E:$E,Heron!$A74)+SUMIFS(Investors!$S:$S,Investors!$G:$G,FALSE,Investors!$O:$O,FALSE,Investors!$P:$P,FALSE,Investors!$K:$K,"&lt;="&amp;Heron!E$9,Investors!$K:$K,"&gt;"&amp;Heron!D$9)</f>
        <v/>
      </c>
      <c r="F74" s="66">
        <f>SUMIFS(Xero!$F:$F,Xero!$B:$B,Heron!F$9,Xero!$A:$A,Heron!$A$4,Xero!$E:$E,Heron!$A74)+SUMIFS(Xero!$F:$F,Xero!$B:$B,Heron!F$9,Xero!$A:$A,Heron!$A$5,Xero!$E:$E,Heron!$A74)+SUMIFS(Investors!$S:$S,Investors!$G:$G,FALSE,Investors!$O:$O,FALSE,Investors!$P:$P,FALSE,Investors!$K:$K,"&lt;="&amp;Heron!F$9,Investors!$K:$K,"&gt;"&amp;Heron!E$9)</f>
        <v/>
      </c>
      <c r="G74" s="66">
        <f>SUMIFS(Xero!$F:$F,Xero!$B:$B,Heron!G$9,Xero!$A:$A,Heron!$A$4,Xero!$E:$E,Heron!$A74)+SUMIFS(Xero!$F:$F,Xero!$B:$B,Heron!G$9,Xero!$A:$A,Heron!$A$5,Xero!$E:$E,Heron!$A74)+SUMIFS(Investors!$S:$S,Investors!$G:$G,FALSE,Investors!$O:$O,FALSE,Investors!$P:$P,FALSE,Investors!$K:$K,"&lt;="&amp;Heron!G$9,Investors!$K:$K,"&gt;"&amp;Heron!F$9)</f>
        <v/>
      </c>
      <c r="H74" s="66">
        <f>SUMIFS(Xero!$F:$F,Xero!$B:$B,Heron!H$9,Xero!$A:$A,Heron!$A$4,Xero!$E:$E,Heron!$A74)+SUMIFS(Xero!$F:$F,Xero!$B:$B,Heron!H$9,Xero!$A:$A,Heron!$A$5,Xero!$E:$E,Heron!$A74)+SUMIFS(Investors!$S:$S,Investors!$G:$G,FALSE,Investors!$O:$O,FALSE,Investors!$P:$P,FALSE,Investors!$K:$K,"&lt;="&amp;Heron!H$9,Investors!$K:$K,"&gt;"&amp;Heron!G$9)</f>
        <v/>
      </c>
      <c r="I74" s="66">
        <f>SUMIFS(Xero!$F:$F,Xero!$B:$B,Heron!I$9,Xero!$A:$A,Heron!$A$4,Xero!$E:$E,Heron!$A74)+SUMIFS(Xero!$F:$F,Xero!$B:$B,Heron!I$9,Xero!$A:$A,Heron!$A$5,Xero!$E:$E,Heron!$A74)+SUMIFS(Investors!$S:$S,Investors!$G:$G,FALSE,Investors!$O:$O,FALSE,Investors!$P:$P,FALSE,Investors!$K:$K,"&lt;="&amp;Heron!I$9,Investors!$K:$K,"&gt;"&amp;Heron!H$9)</f>
        <v/>
      </c>
      <c r="J74" s="66">
        <f>SUMIFS(Xero!$F:$F,Xero!$B:$B,Heron!J$9,Xero!$A:$A,Heron!$A$4,Xero!$E:$E,Heron!$A74)+SUMIFS(Xero!$F:$F,Xero!$B:$B,Heron!J$9,Xero!$A:$A,Heron!$A$5,Xero!$E:$E,Heron!$A74)+SUMIFS(Investors!$S:$S,Investors!$G:$G,FALSE,Investors!$O:$O,FALSE,Investors!$P:$P,FALSE,Investors!$K:$K,"&lt;="&amp;Heron!J$9,Investors!$K:$K,"&gt;"&amp;Heron!I$9)</f>
        <v/>
      </c>
      <c r="K74" s="66">
        <f>SUMIFS(Xero!$F:$F,Xero!$B:$B,Heron!K$9,Xero!$A:$A,Heron!$A$4,Xero!$E:$E,Heron!$A74)+SUMIFS(Xero!$F:$F,Xero!$B:$B,Heron!K$9,Xero!$A:$A,Heron!$A$5,Xero!$E:$E,Heron!$A74)+SUMIFS(Investors!$S:$S,Investors!$G:$G,FALSE,Investors!$O:$O,FALSE,Investors!$P:$P,FALSE,Investors!$K:$K,"&lt;="&amp;Heron!K$9,Investors!$K:$K,"&gt;"&amp;Heron!J$9)</f>
        <v/>
      </c>
      <c r="L74" s="66">
        <f>SUMIFS(Xero!$F:$F,Xero!$B:$B,Heron!L$9,Xero!$A:$A,Heron!$A$4,Xero!$E:$E,Heron!$A74)+SUMIFS(Xero!$F:$F,Xero!$B:$B,Heron!L$9,Xero!$A:$A,Heron!$A$5,Xero!$E:$E,Heron!$A74)+SUMIFS(Investors!$S:$S,Investors!$G:$G,FALSE,Investors!$O:$O,FALSE,Investors!$P:$P,FALSE,Investors!$K:$K,"&lt;="&amp;Heron!L$9,Investors!$K:$K,"&gt;"&amp;Heron!K$9)</f>
        <v/>
      </c>
      <c r="M74" s="66">
        <f>SUMIFS(Xero!$F:$F,Xero!$B:$B,Heron!M$9,Xero!$A:$A,Heron!$A$4,Xero!$E:$E,Heron!$A74)+SUMIFS(Xero!$F:$F,Xero!$B:$B,Heron!M$9,Xero!$A:$A,Heron!$A$5,Xero!$E:$E,Heron!$A74)+SUMIFS(Investors!$S:$S,Investors!$G:$G,FALSE,Investors!$O:$O,FALSE,Investors!$P:$P,FALSE,Investors!$K:$K,"&lt;="&amp;Heron!M$9,Investors!$K:$K,"&gt;"&amp;Heron!L$9)</f>
        <v/>
      </c>
      <c r="N74" s="66">
        <f>SUMIFS(Xero!$F:$F,Xero!$B:$B,Heron!N$9,Xero!$A:$A,Heron!$A$4,Xero!$E:$E,Heron!$A74)+SUMIFS(Xero!$F:$F,Xero!$B:$B,Heron!N$9,Xero!$A:$A,Heron!$A$5,Xero!$E:$E,Heron!$A74)+SUMIFS(Investors!$S:$S,Investors!$G:$G,FALSE,Investors!$O:$O,FALSE,Investors!$P:$P,FALSE,Investors!$K:$K,"&lt;="&amp;Heron!N$9,Investors!$K:$K,"&gt;"&amp;Heron!M$9)</f>
        <v/>
      </c>
      <c r="O74" s="66">
        <f>SUMIFS(Xero!$F:$F,Xero!$B:$B,Heron!O$9,Xero!$A:$A,Heron!$A$4,Xero!$E:$E,Heron!$A74)+SUMIFS(Xero!$F:$F,Xero!$B:$B,Heron!O$9,Xero!$A:$A,Heron!$A$5,Xero!$E:$E,Heron!$A74)+SUMIFS(Investors!$S:$S,Investors!$G:$G,FALSE,Investors!$O:$O,FALSE,Investors!$P:$P,FALSE,Investors!$K:$K,"&lt;="&amp;Heron!O$9,Investors!$K:$K,"&gt;"&amp;Heron!N$9)</f>
        <v/>
      </c>
      <c r="P74" s="66">
        <f>SUMIFS(Xero!$F:$F,Xero!$B:$B,Heron!P$9,Xero!$A:$A,Heron!$A$4,Xero!$E:$E,Heron!$A74)+SUMIFS(Xero!$F:$F,Xero!$B:$B,Heron!P$9,Xero!$A:$A,Heron!$A$5,Xero!$E:$E,Heron!$A74)+SUMIFS(Investors!$S:$S,Investors!$G:$G,FALSE,Investors!$O:$O,FALSE,Investors!$P:$P,FALSE,Investors!$K:$K,"&lt;="&amp;Heron!P$9,Investors!$K:$K,"&gt;"&amp;Heron!O$9)</f>
        <v/>
      </c>
      <c r="Q74" s="66">
        <f>SUMIFS(Xero!$F:$F,Xero!$B:$B,Heron!Q$9,Xero!$A:$A,Heron!$A$4,Xero!$E:$E,Heron!$A74)+SUMIFS(Xero!$F:$F,Xero!$B:$B,Heron!Q$9,Xero!$A:$A,Heron!$A$5,Xero!$E:$E,Heron!$A74)+SUMIFS(Investors!$S:$S,Investors!$G:$G,FALSE,Investors!$O:$O,FALSE,Investors!$P:$P,FALSE,Investors!$K:$K,"&lt;="&amp;Heron!Q$9,Investors!$K:$K,"&gt;"&amp;Heron!P$9)</f>
        <v/>
      </c>
      <c r="R74" s="66">
        <f>SUMIFS(Xero!$F:$F,Xero!$B:$B,Heron!R$9,Xero!$A:$A,Heron!$A$4,Xero!$E:$E,Heron!$A74)+SUMIFS(Xero!$F:$F,Xero!$B:$B,Heron!R$9,Xero!$A:$A,Heron!$A$5,Xero!$E:$E,Heron!$A74)+SUMIFS(Investors!$S:$S,Investors!$G:$G,FALSE,Investors!$O:$O,FALSE,Investors!$P:$P,FALSE,Investors!$K:$K,"&lt;="&amp;Heron!R$9,Investors!$K:$K,"&gt;"&amp;Heron!Q$9)</f>
        <v/>
      </c>
      <c r="S74" s="66">
        <f>SUMIFS(Xero!$F:$F,Xero!$B:$B,Heron!S$9,Xero!$A:$A,Heron!$A$4,Xero!$E:$E,Heron!$A74)+SUMIFS(Xero!$F:$F,Xero!$B:$B,Heron!S$9,Xero!$A:$A,Heron!$A$5,Xero!$E:$E,Heron!$A74)+SUMIFS(Investors!$S:$S,Investors!$G:$G,FALSE,Investors!$O:$O,FALSE,Investors!$P:$P,FALSE,Investors!$K:$K,"&lt;="&amp;Heron!S$9,Investors!$K:$K,"&gt;"&amp;Heron!R$9)</f>
        <v/>
      </c>
      <c r="T74" s="66">
        <f>SUMIFS(Xero!$F:$F,Xero!$B:$B,Heron!T$9,Xero!$A:$A,Heron!$A$4,Xero!$E:$E,Heron!$A74)+SUMIFS(Xero!$F:$F,Xero!$B:$B,Heron!T$9,Xero!$A:$A,Heron!$A$5,Xero!$E:$E,Heron!$A74)+SUMIFS(Investors!$S:$S,Investors!$G:$G,FALSE,Investors!$O:$O,FALSE,Investors!$P:$P,FALSE,Investors!$K:$K,"&lt;="&amp;Heron!T$9,Investors!$K:$K,"&gt;"&amp;Heron!S$9)</f>
        <v/>
      </c>
      <c r="U74" s="66">
        <f>SUMIFS(Xero!$F:$F,Xero!$B:$B,Heron!U$9,Xero!$A:$A,Heron!$A$4,Xero!$E:$E,Heron!$A74)+SUMIFS(Xero!$F:$F,Xero!$B:$B,Heron!U$9,Xero!$A:$A,Heron!$A$5,Xero!$E:$E,Heron!$A74)+SUMIFS(Investors!$S:$S,Investors!$G:$G,FALSE,Investors!$O:$O,FALSE,Investors!$P:$P,FALSE,Investors!$K:$K,"&lt;="&amp;Heron!U$9,Investors!$K:$K,"&gt;"&amp;Heron!T$9)</f>
        <v/>
      </c>
      <c r="V74" s="66">
        <f>SUMIFS(Xero!$F:$F,Xero!$B:$B,Heron!V$9,Xero!$A:$A,Heron!$A$4,Xero!$E:$E,Heron!$A74)+SUMIFS(Xero!$F:$F,Xero!$B:$B,Heron!V$9,Xero!$A:$A,Heron!$A$5,Xero!$E:$E,Heron!$A74)+SUMIFS(Investors!$S:$S,Investors!$G:$G,FALSE,Investors!$O:$O,FALSE,Investors!$P:$P,FALSE,Investors!$K:$K,"&lt;="&amp;Heron!V$9,Investors!$K:$K,"&gt;"&amp;Heron!U$9)</f>
        <v/>
      </c>
      <c r="W74" s="66">
        <f>SUMIFS(Xero!$F:$F,Xero!$B:$B,Heron!W$9,Xero!$A:$A,Heron!$A$4,Xero!$E:$E,Heron!$A74)+SUMIFS(Xero!$F:$F,Xero!$B:$B,Heron!W$9,Xero!$A:$A,Heron!$A$5,Xero!$E:$E,Heron!$A74)+SUMIFS(Investors!$S:$S,Investors!$G:$G,FALSE,Investors!$O:$O,FALSE,Investors!$P:$P,FALSE,Investors!$K:$K,"&lt;="&amp;Heron!W$9,Investors!$K:$K,"&gt;"&amp;Heron!V$9)</f>
        <v/>
      </c>
      <c r="X74" s="66">
        <f>SUMIFS(Xero!$F:$F,Xero!$B:$B,Heron!X$9,Xero!$A:$A,Heron!$A$4,Xero!$E:$E,Heron!$A74)+SUMIFS(Xero!$F:$F,Xero!$B:$B,Heron!X$9,Xero!$A:$A,Heron!$A$5,Xero!$E:$E,Heron!$A74)+SUMIFS(Investors!$S:$S,Investors!$G:$G,FALSE,Investors!$O:$O,FALSE,Investors!$P:$P,FALSE,Investors!$K:$K,"&lt;="&amp;Heron!X$9,Investors!$K:$K,"&gt;"&amp;Heron!W$9)</f>
        <v/>
      </c>
      <c r="Y74" s="66">
        <f>SUMIFS(Xero!$F:$F,Xero!$B:$B,Heron!Y$9,Xero!$A:$A,Heron!$A$4,Xero!$E:$E,Heron!$A74)+SUMIFS(Xero!$F:$F,Xero!$B:$B,Heron!Y$9,Xero!$A:$A,Heron!$A$5,Xero!$E:$E,Heron!$A74)+SUMIFS(Investors!$S:$S,Investors!$G:$G,FALSE,Investors!$O:$O,FALSE,Investors!$P:$P,FALSE,Investors!$K:$K,"&lt;="&amp;Heron!Y$9,Investors!$K:$K,"&gt;"&amp;Heron!X$9)</f>
        <v/>
      </c>
      <c r="Z74" s="66">
        <f>SUMIFS(Xero!$F:$F,Xero!$B:$B,Heron!Z$9,Xero!$A:$A,Heron!$A$4,Xero!$E:$E,Heron!$A74)+SUMIFS(Xero!$F:$F,Xero!$B:$B,Heron!Z$9,Xero!$A:$A,Heron!$A$5,Xero!$E:$E,Heron!$A74)+SUMIFS(Investors!$S:$S,Investors!$G:$G,FALSE,Investors!$O:$O,FALSE,Investors!$P:$P,FALSE,Investors!$K:$K,"&lt;="&amp;Heron!Z$9,Investors!$K:$K,"&gt;"&amp;Heron!Y$9)</f>
        <v/>
      </c>
      <c r="AA74" s="66">
        <f>SUMIFS(Xero!$F:$F,Xero!$B:$B,Heron!AA$9,Xero!$A:$A,Heron!$A$4,Xero!$E:$E,Heron!$A74)+SUMIFS(Xero!$F:$F,Xero!$B:$B,Heron!AA$9,Xero!$A:$A,Heron!$A$5,Xero!$E:$E,Heron!$A74)+SUMIFS(Investors!$S:$S,Investors!$G:$G,FALSE,Investors!$O:$O,FALSE,Investors!$P:$P,FALSE,Investors!$K:$K,"&lt;="&amp;Heron!AA$9,Investors!$K:$K,"&gt;"&amp;Heron!Z$9)</f>
        <v/>
      </c>
      <c r="AB74" s="66">
        <f>SUMIFS(Xero!$F:$F,Xero!$B:$B,Heron!AB$9,Xero!$A:$A,Heron!$A$4,Xero!$E:$E,Heron!$A74)+SUMIFS(Xero!$F:$F,Xero!$B:$B,Heron!AB$9,Xero!$A:$A,Heron!$A$5,Xero!$E:$E,Heron!$A74)+SUMIFS(Investors!$S:$S,Investors!$G:$G,FALSE,Investors!$O:$O,FALSE,Investors!$P:$P,FALSE,Investors!$K:$K,"&lt;="&amp;Heron!AB$9,Investors!$K:$K,"&gt;"&amp;Heron!AA$9)</f>
        <v/>
      </c>
      <c r="AC74" s="66">
        <f>SUMIFS(Xero!$F:$F,Xero!$B:$B,Heron!AC$9,Xero!$A:$A,Heron!$A$4,Xero!$E:$E,Heron!$A74)+SUMIFS(Xero!$F:$F,Xero!$B:$B,Heron!AC$9,Xero!$A:$A,Heron!$A$5,Xero!$E:$E,Heron!$A74)+SUMIFS(Investors!$S:$S,Investors!$G:$G,FALSE,Investors!$O:$O,FALSE,Investors!$P:$P,FALSE,Investors!$K:$K,"&lt;="&amp;Heron!AC$9,Investors!$K:$K,"&gt;"&amp;Heron!AB$9)</f>
        <v/>
      </c>
      <c r="AD74" s="66">
        <f>SUMIFS(Xero!$F:$F,Xero!$B:$B,Heron!AD$9,Xero!$A:$A,Heron!$A$4,Xero!$E:$E,Heron!$A74)+SUMIFS(Xero!$F:$F,Xero!$B:$B,Heron!AD$9,Xero!$A:$A,Heron!$A$5,Xero!$E:$E,Heron!$A74)+SUMIFS(Investors!$S:$S,Investors!$G:$G,FALSE,Investors!$O:$O,FALSE,Investors!$P:$P,FALSE,Investors!$K:$K,"&lt;="&amp;Heron!AD$9,Investors!$K:$K,"&gt;"&amp;Heron!AC$9)</f>
        <v/>
      </c>
      <c r="AE74" s="66">
        <f>SUMIFS(Xero!$F:$F,Xero!$B:$B,Heron!AE$9,Xero!$A:$A,Heron!$A$4,Xero!$E:$E,Heron!$A74)+SUMIFS(Xero!$F:$F,Xero!$B:$B,Heron!AE$9,Xero!$A:$A,Heron!$A$5,Xero!$E:$E,Heron!$A74)+SUMIFS(Investors!$S:$S,Investors!$G:$G,FALSE,Investors!$O:$O,FALSE,Investors!$P:$P,FALSE,Investors!$K:$K,"&lt;="&amp;Heron!AE$9,Investors!$K:$K,"&gt;"&amp;Heron!AD$9)</f>
        <v/>
      </c>
      <c r="AF74" s="66">
        <f>SUMIFS(Xero!$F:$F,Xero!$B:$B,Heron!AF$9,Xero!$A:$A,Heron!$A$4,Xero!$E:$E,Heron!$A74)+SUMIFS(Xero!$F:$F,Xero!$B:$B,Heron!AF$9,Xero!$A:$A,Heron!$A$5,Xero!$E:$E,Heron!$A74)+SUMIFS(Investors!$S:$S,Investors!$G:$G,FALSE,Investors!$O:$O,FALSE,Investors!$P:$P,FALSE,Investors!$K:$K,"&lt;="&amp;Heron!AF$9,Investors!$K:$K,"&gt;"&amp;Heron!AE$9)</f>
        <v/>
      </c>
      <c r="AG74" s="66">
        <f>SUMIFS(Xero!$F:$F,Xero!$B:$B,Heron!AG$9,Xero!$A:$A,Heron!$A$4,Xero!$E:$E,Heron!$A74)+SUMIFS(Xero!$F:$F,Xero!$B:$B,Heron!AG$9,Xero!$A:$A,Heron!$A$5,Xero!$E:$E,Heron!$A74)+SUMIFS(Investors!$S:$S,Investors!$G:$G,FALSE,Investors!$O:$O,FALSE,Investors!$P:$P,FALSE,Investors!$K:$K,"&lt;="&amp;Heron!AG$9,Investors!$K:$K,"&gt;"&amp;Heron!AF$9)</f>
        <v/>
      </c>
      <c r="AH74" s="66">
        <f>SUMIFS(Xero!$F:$F,Xero!$B:$B,Heron!AH$9,Xero!$A:$A,Heron!$A$4,Xero!$E:$E,Heron!$A74)+SUMIFS(Xero!$F:$F,Xero!$B:$B,Heron!AH$9,Xero!$A:$A,Heron!$A$5,Xero!$E:$E,Heron!$A74)+SUMIFS(Investors!$S:$S,Investors!$G:$G,FALSE,Investors!$O:$O,FALSE,Investors!$P:$P,FALSE,Investors!$K:$K,"&lt;="&amp;Heron!AH$9,Investors!$K:$K,"&gt;"&amp;Heron!AG$9)</f>
        <v/>
      </c>
      <c r="AI74" s="66">
        <f>SUMIFS(Xero!$F:$F,Xero!$B:$B,Heron!AI$9,Xero!$A:$A,Heron!$A$4,Xero!$E:$E,Heron!$A74)+SUMIFS(Xero!$F:$F,Xero!$B:$B,Heron!AI$9,Xero!$A:$A,Heron!$A$5,Xero!$E:$E,Heron!$A74)+SUMIFS(Investors!$S:$S,Investors!$G:$G,FALSE,Investors!$O:$O,FALSE,Investors!$P:$P,FALSE,Investors!$K:$K,"&lt;="&amp;Heron!AI$9,Investors!$K:$K,"&gt;"&amp;Heron!AH$9)</f>
        <v/>
      </c>
      <c r="AJ74" s="66">
        <f>SUMIFS(Xero!$F:$F,Xero!$B:$B,Heron!AJ$9,Xero!$A:$A,Heron!$A$4,Xero!$E:$E,Heron!$A74)+SUMIFS(Xero!$F:$F,Xero!$B:$B,Heron!AJ$9,Xero!$A:$A,Heron!$A$5,Xero!$E:$E,Heron!$A74)+SUMIFS(Investors!$S:$S,Investors!$G:$G,FALSE,Investors!$O:$O,FALSE,Investors!$P:$P,FALSE,Investors!$K:$K,"&lt;="&amp;Heron!AJ$9,Investors!$K:$K,"&gt;"&amp;Heron!AI$9)</f>
        <v/>
      </c>
      <c r="AK74" s="66">
        <f>SUMIFS(Xero!$F:$F,Xero!$B:$B,Heron!AK$9,Xero!$A:$A,Heron!$A$4,Xero!$E:$E,Heron!$A74)+SUMIFS(Xero!$F:$F,Xero!$B:$B,Heron!AK$9,Xero!$A:$A,Heron!$A$5,Xero!$E:$E,Heron!$A74)+SUMIFS(Investors!$S:$S,Investors!$G:$G,FALSE,Investors!$O:$O,FALSE,Investors!$P:$P,FALSE,Investors!$K:$K,"&lt;="&amp;Heron!AK$9,Investors!$K:$K,"&gt;"&amp;Heron!AJ$9)</f>
        <v/>
      </c>
      <c r="AL74" s="66">
        <f>SUMIFS(Xero!$F:$F,Xero!$B:$B,Heron!AL$9,Xero!$A:$A,Heron!$A$4,Xero!$E:$E,Heron!$A74)+SUMIFS(Xero!$F:$F,Xero!$B:$B,Heron!AL$9,Xero!$A:$A,Heron!$A$5,Xero!$E:$E,Heron!$A74)+SUMIFS(Investors!$S:$S,Investors!$G:$G,FALSE,Investors!$O:$O,FALSE,Investors!$P:$P,FALSE,Investors!$K:$K,"&lt;="&amp;Heron!AL$9,Investors!$K:$K,"&gt;"&amp;Heron!AK$9)</f>
        <v/>
      </c>
      <c r="AM74" s="66">
        <f>SUMIFS(Xero!$F:$F,Xero!$B:$B,Heron!AM$9,Xero!$A:$A,Heron!$A$4,Xero!$E:$E,Heron!$A74)+SUMIFS(Xero!$F:$F,Xero!$B:$B,Heron!AM$9,Xero!$A:$A,Heron!$A$5,Xero!$E:$E,Heron!$A74)+SUMIFS(Investors!$S:$S,Investors!$G:$G,FALSE,Investors!$O:$O,FALSE,Investors!$P:$P,FALSE,Investors!$K:$K,"&lt;="&amp;Heron!AM$9,Investors!$K:$K,"&gt;"&amp;Heron!AL$9)</f>
        <v/>
      </c>
      <c r="AN74" s="66">
        <f>SUMIFS(Xero!$F:$F,Xero!$B:$B,Heron!AN$9,Xero!$A:$A,Heron!$A$4,Xero!$E:$E,Heron!$A74)+SUMIFS(Xero!$F:$F,Xero!$B:$B,Heron!AN$9,Xero!$A:$A,Heron!$A$5,Xero!$E:$E,Heron!$A74)+SUMIFS(Investors!$S:$S,Investors!$G:$G,FALSE,Investors!$O:$O,FALSE,Investors!$P:$P,FALSE,Investors!$K:$K,"&lt;="&amp;Heron!AN$9,Investors!$K:$K,"&gt;"&amp;Heron!AM$9)</f>
        <v/>
      </c>
      <c r="AO74" s="66">
        <f>SUMIFS(Xero!$F:$F,Xero!$B:$B,Heron!AO$9,Xero!$A:$A,Heron!$A$4,Xero!$E:$E,Heron!$A74)+SUMIFS(Xero!$F:$F,Xero!$B:$B,Heron!AO$9,Xero!$A:$A,Heron!$A$5,Xero!$E:$E,Heron!$A74)+SUMIFS(Investors!$S:$S,Investors!$G:$G,FALSE,Investors!$O:$O,FALSE,Investors!$P:$P,FALSE,Investors!$K:$K,"&lt;="&amp;Heron!AO$9,Investors!$K:$K,"&gt;"&amp;Heron!AN$9)</f>
        <v/>
      </c>
      <c r="AP74" s="66">
        <f>SUMIFS(Xero!$F:$F,Xero!$B:$B,Heron!AP$9,Xero!$A:$A,Heron!$A$4,Xero!$E:$E,Heron!$A74)+SUMIFS(Xero!$F:$F,Xero!$B:$B,Heron!AP$9,Xero!$A:$A,Heron!$A$5,Xero!$E:$E,Heron!$A74)+SUMIFS(Investors!$S:$S,Investors!$G:$G,FALSE,Investors!$O:$O,FALSE,Investors!$P:$P,FALSE,Investors!$K:$K,"&lt;="&amp;Heron!AP$9,Investors!$K:$K,"&gt;"&amp;Heron!AO$9)</f>
        <v/>
      </c>
      <c r="AQ74" s="66">
        <f>SUMIFS(Xero!$F:$F,Xero!$B:$B,Heron!AQ$9,Xero!$A:$A,Heron!$A$4,Xero!$E:$E,Heron!$A74)+SUMIFS(Xero!$F:$F,Xero!$B:$B,Heron!AQ$9,Xero!$A:$A,Heron!$A$5,Xero!$E:$E,Heron!$A74)+SUMIFS(Investors!$S:$S,Investors!$G:$G,FALSE,Investors!$O:$O,FALSE,Investors!$P:$P,FALSE,Investors!$K:$K,"&lt;="&amp;Heron!AQ$9,Investors!$K:$K,"&gt;"&amp;Heron!AP$9)</f>
        <v/>
      </c>
      <c r="AR74" s="66">
        <f>SUMIFS(Xero!$F:$F,Xero!$B:$B,Heron!AR$9,Xero!$A:$A,Heron!$A$4,Xero!$E:$E,Heron!$A74)+SUMIFS(Xero!$F:$F,Xero!$B:$B,Heron!AR$9,Xero!$A:$A,Heron!$A$5,Xero!$E:$E,Heron!$A74)+SUMIFS(Investors!$S:$S,Investors!$G:$G,FALSE,Investors!$O:$O,FALSE,Investors!$P:$P,FALSE,Investors!$K:$K,"&lt;="&amp;Heron!AR$9,Investors!$K:$K,"&gt;"&amp;Heron!AQ$9)</f>
        <v/>
      </c>
      <c r="AS74" s="66">
        <f>SUMIFS(Xero!$F:$F,Xero!$B:$B,Heron!AS$9,Xero!$A:$A,Heron!$A$4,Xero!$E:$E,Heron!$A74)+SUMIFS(Xero!$F:$F,Xero!$B:$B,Heron!AS$9,Xero!$A:$A,Heron!$A$5,Xero!$E:$E,Heron!$A74)+SUMIFS(Investors!$S:$S,Investors!$G:$G,FALSE,Investors!$O:$O,FALSE,Investors!$P:$P,FALSE,Investors!$K:$K,"&lt;="&amp;Heron!AS$9,Investors!$K:$K,"&gt;"&amp;Heron!AR$9)</f>
        <v/>
      </c>
      <c r="AT74" s="66">
        <f>SUMIFS(Xero!$F:$F,Xero!$B:$B,Heron!AT$9,Xero!$A:$A,Heron!$A$4,Xero!$E:$E,Heron!$A74)+SUMIFS(Xero!$F:$F,Xero!$B:$B,Heron!AT$9,Xero!$A:$A,Heron!$A$5,Xero!$E:$E,Heron!$A74)+SUMIFS(Investors!$S:$S,Investors!$G:$G,FALSE,Investors!$O:$O,FALSE,Investors!$P:$P,FALSE,Investors!$K:$K,"&lt;="&amp;Heron!AT$9,Investors!$K:$K,"&gt;"&amp;Heron!AS$9)</f>
        <v/>
      </c>
      <c r="AU74" s="66">
        <f>SUMIFS(Xero!$F:$F,Xero!$B:$B,Heron!AU$9,Xero!$A:$A,Heron!$A$4,Xero!$E:$E,Heron!$A74)+SUMIFS(Xero!$F:$F,Xero!$B:$B,Heron!AU$9,Xero!$A:$A,Heron!$A$5,Xero!$E:$E,Heron!$A74)+SUMIFS(Investors!$S:$S,Investors!$G:$G,FALSE,Investors!$O:$O,FALSE,Investors!$P:$P,FALSE,Investors!$K:$K,"&lt;="&amp;Heron!AU$9,Investors!$K:$K,"&gt;"&amp;Heron!AT$9)</f>
        <v/>
      </c>
      <c r="AV74" s="66">
        <f>SUMIFS(Xero!$F:$F,Xero!$B:$B,Heron!AV$9,Xero!$A:$A,Heron!$A$4,Xero!$E:$E,Heron!$A74)+SUMIFS(Xero!$F:$F,Xero!$B:$B,Heron!AV$9,Xero!$A:$A,Heron!$A$5,Xero!$E:$E,Heron!$A74)+SUMIFS(Investors!$S:$S,Investors!$G:$G,FALSE,Investors!$O:$O,FALSE,Investors!$P:$P,FALSE,Investors!$K:$K,"&lt;="&amp;Heron!AV$9,Investors!$K:$K,"&gt;"&amp;Heron!AU$9)</f>
        <v/>
      </c>
      <c r="AW74" s="66">
        <f>SUMIFS(Xero!$F:$F,Xero!$B:$B,Heron!AW$9,Xero!$A:$A,Heron!$A$4,Xero!$E:$E,Heron!$A74)+SUMIFS(Xero!$F:$F,Xero!$B:$B,Heron!AW$9,Xero!$A:$A,Heron!$A$5,Xero!$E:$E,Heron!$A74)+SUMIFS(Investors!$S:$S,Investors!$G:$G,FALSE,Investors!$O:$O,FALSE,Investors!$P:$P,FALSE,Investors!$K:$K,"&lt;="&amp;Heron!AW$9,Investors!$K:$K,"&gt;"&amp;Heron!AV$9)</f>
        <v/>
      </c>
      <c r="AX74" s="66">
        <f>SUMIFS(Xero!$F:$F,Xero!$B:$B,Heron!AX$9,Xero!$A:$A,Heron!$A$4,Xero!$E:$E,Heron!$A74)+SUMIFS(Xero!$F:$F,Xero!$B:$B,Heron!AX$9,Xero!$A:$A,Heron!$A$5,Xero!$E:$E,Heron!$A74)+SUMIFS(Investors!$S:$S,Investors!$G:$G,FALSE,Investors!$O:$O,FALSE,Investors!$P:$P,FALSE,Investors!$K:$K,"&lt;="&amp;Heron!AX$9,Investors!$K:$K,"&gt;"&amp;Heron!AW$9)</f>
        <v/>
      </c>
      <c r="AY74" s="66">
        <f>SUMIFS(Xero!$F:$F,Xero!$B:$B,Heron!AY$9,Xero!$A:$A,Heron!$A$4,Xero!$E:$E,Heron!$A74)+SUMIFS(Xero!$F:$F,Xero!$B:$B,Heron!AY$9,Xero!$A:$A,Heron!$A$5,Xero!$E:$E,Heron!$A74)+SUMIFS(Investors!$S:$S,Investors!$G:$G,FALSE,Investors!$O:$O,FALSE,Investors!$P:$P,FALSE,Investors!$K:$K,"&lt;="&amp;Heron!AY$9,Investors!$K:$K,"&gt;"&amp;Heron!AX$9)</f>
        <v/>
      </c>
      <c r="AZ74" s="66">
        <f>SUMIFS(Xero!$F:$F,Xero!$B:$B,Heron!AZ$9,Xero!$A:$A,Heron!$A$4,Xero!$E:$E,Heron!$A74)+SUMIFS(Xero!$F:$F,Xero!$B:$B,Heron!AZ$9,Xero!$A:$A,Heron!$A$5,Xero!$E:$E,Heron!$A74)+SUMIFS(Investors!$S:$S,Investors!$G:$G,FALSE,Investors!$O:$O,FALSE,Investors!$P:$P,FALSE,Investors!$K:$K,"&lt;="&amp;Heron!AZ$9,Investors!$K:$K,"&gt;"&amp;Heron!AY$9)</f>
        <v/>
      </c>
      <c r="BA74" s="66">
        <f>SUMIFS(Xero!$F:$F,Xero!$B:$B,Heron!BA$9,Xero!$A:$A,Heron!$A$4,Xero!$E:$E,Heron!$A74)+SUMIFS(Xero!$F:$F,Xero!$B:$B,Heron!BA$9,Xero!$A:$A,Heron!$A$5,Xero!$E:$E,Heron!$A74)+SUMIFS(Investors!$S:$S,Investors!$G:$G,FALSE,Investors!$O:$O,FALSE,Investors!$P:$P,FALSE,Investors!$K:$K,"&lt;="&amp;Heron!BA$9,Investors!$K:$K,"&gt;"&amp;Heron!AZ$9)</f>
        <v/>
      </c>
      <c r="BB74" s="66">
        <f>SUMIFS(Xero!$F:$F,Xero!$B:$B,Heron!BB$9,Xero!$A:$A,Heron!$A$4,Xero!$E:$E,Heron!$A74)+SUMIFS(Xero!$F:$F,Xero!$B:$B,Heron!BB$9,Xero!$A:$A,Heron!$A$5,Xero!$E:$E,Heron!$A74)+SUMIFS(Investors!$S:$S,Investors!$G:$G,FALSE,Investors!$O:$O,FALSE,Investors!$P:$P,FALSE,Investors!$K:$K,"&lt;="&amp;Heron!BB$9,Investors!$K:$K,"&gt;"&amp;Heron!BA$9)</f>
        <v/>
      </c>
      <c r="BC74" s="66">
        <f>SUMIFS(Xero!$F:$F,Xero!$B:$B,Heron!BC$9,Xero!$A:$A,Heron!$A$4,Xero!$E:$E,Heron!$A74)+SUMIFS(Xero!$F:$F,Xero!$B:$B,Heron!BC$9,Xero!$A:$A,Heron!$A$5,Xero!$E:$E,Heron!$A74)+SUMIFS(Investors!$S:$S,Investors!$G:$G,FALSE,Investors!$O:$O,FALSE,Investors!$P:$P,FALSE,Investors!$K:$K,"&lt;="&amp;Heron!BC$9,Investors!$K:$K,"&gt;"&amp;Heron!BB$9)</f>
        <v/>
      </c>
      <c r="BD74" s="66">
        <f>SUMIFS(Xero!$F:$F,Xero!$B:$B,Heron!BD$9,Xero!$A:$A,Heron!$A$4,Xero!$E:$E,Heron!$A74)+SUMIFS(Xero!$F:$F,Xero!$B:$B,Heron!BD$9,Xero!$A:$A,Heron!$A$5,Xero!$E:$E,Heron!$A74)+SUMIFS(Investors!$S:$S,Investors!$G:$G,FALSE,Investors!$O:$O,FALSE,Investors!$P:$P,FALSE,Investors!$K:$K,"&lt;="&amp;Heron!BD$9,Investors!$K:$K,"&gt;"&amp;Heron!BC$9)</f>
        <v/>
      </c>
      <c r="BE74" s="66">
        <f>SUMIFS(Xero!$F:$F,Xero!$B:$B,Heron!BE$9,Xero!$A:$A,Heron!$A$4,Xero!$E:$E,Heron!$A74)+SUMIFS(Xero!$F:$F,Xero!$B:$B,Heron!BE$9,Xero!$A:$A,Heron!$A$5,Xero!$E:$E,Heron!$A74)+SUMIFS(Investors!$S:$S,Investors!$G:$G,FALSE,Investors!$O:$O,FALSE,Investors!$P:$P,FALSE,Investors!$K:$K,"&lt;="&amp;Heron!BE$9,Investors!$K:$K,"&gt;"&amp;Heron!BD$9)</f>
        <v/>
      </c>
      <c r="BF74" s="66">
        <f>SUMIFS(Xero!$F:$F,Xero!$B:$B,Heron!BF$9,Xero!$A:$A,Heron!$A$4,Xero!$E:$E,Heron!$A74)+SUMIFS(Xero!$F:$F,Xero!$B:$B,Heron!BF$9,Xero!$A:$A,Heron!$A$5,Xero!$E:$E,Heron!$A74)+SUMIFS(Investors!$S:$S,Investors!$G:$G,FALSE,Investors!$O:$O,FALSE,Investors!$P:$P,FALSE,Investors!$K:$K,"&lt;="&amp;Heron!BF$9,Investors!$K:$K,"&gt;"&amp;Heron!BE$9)</f>
        <v/>
      </c>
      <c r="BG74" s="66">
        <f>SUMIFS(Xero!$F:$F,Xero!$B:$B,Heron!BG$9,Xero!$A:$A,Heron!$A$4,Xero!$E:$E,Heron!$A74)+SUMIFS(Xero!$F:$F,Xero!$B:$B,Heron!BG$9,Xero!$A:$A,Heron!$A$5,Xero!$E:$E,Heron!$A74)+SUMIFS(Investors!$S:$S,Investors!$G:$G,FALSE,Investors!$O:$O,FALSE,Investors!$P:$P,FALSE,Investors!$K:$K,"&lt;="&amp;Heron!BG$9,Investors!$K:$K,"&gt;"&amp;Heron!BF$9)</f>
        <v/>
      </c>
      <c r="BH74" s="66">
        <f>sum(D74:BG74)</f>
        <v/>
      </c>
    </row>
    <row r="75">
      <c r="A75" s="65" t="inlineStr">
        <is>
          <t>Interest Paid - Investors @ 6.25%</t>
        </is>
      </c>
      <c r="D75" s="66">
        <f>SUMIFS(Xero!$F:$F,Xero!$B:$B,Heron!D$9,Xero!$A:$A,Heron!$A$4,Xero!$E:$E,Heron!$A75)+SUMIFS(Xero!$F:$F,Xero!$B:$B,Heron!D$9,Xero!$A:$A,Heron!$A$5,Xero!$E:$E,Heron!$A75)</f>
        <v/>
      </c>
      <c r="E75" s="66">
        <f>SUMIFS(Xero!$F:$F,Xero!$B:$B,Heron!E$9,Xero!$A:$A,Heron!$A$4,Xero!$E:$E,Heron!$A75)+SUMIFS(Xero!$F:$F,Xero!$B:$B,Heron!E$9,Xero!$A:$A,Heron!$A$5,Xero!$E:$E,Heron!$A75)</f>
        <v/>
      </c>
      <c r="F75" s="66">
        <f>SUMIFS(Xero!$F:$F,Xero!$B:$B,Heron!F$9,Xero!$A:$A,Heron!$A$4,Xero!$E:$E,Heron!$A75)+SUMIFS(Xero!$F:$F,Xero!$B:$B,Heron!F$9,Xero!$A:$A,Heron!$A$5,Xero!$E:$E,Heron!$A75)</f>
        <v/>
      </c>
      <c r="G75" s="66">
        <f>SUMIFS(Xero!$F:$F,Xero!$B:$B,Heron!G$9,Xero!$A:$A,Heron!$A$4,Xero!$E:$E,Heron!$A75)+SUMIFS(Xero!$F:$F,Xero!$B:$B,Heron!G$9,Xero!$A:$A,Heron!$A$5,Xero!$E:$E,Heron!$A75)</f>
        <v/>
      </c>
      <c r="H75" s="66">
        <f>SUMIFS(Xero!$F:$F,Xero!$B:$B,Heron!H$9,Xero!$A:$A,Heron!$A$4,Xero!$E:$E,Heron!$A75)+SUMIFS(Xero!$F:$F,Xero!$B:$B,Heron!H$9,Xero!$A:$A,Heron!$A$5,Xero!$E:$E,Heron!$A75)</f>
        <v/>
      </c>
      <c r="I75" s="66">
        <f>SUMIFS(Xero!$F:$F,Xero!$B:$B,Heron!I$9,Xero!$A:$A,Heron!$A$4,Xero!$E:$E,Heron!$A75)+SUMIFS(Xero!$F:$F,Xero!$B:$B,Heron!I$9,Xero!$A:$A,Heron!$A$5,Xero!$E:$E,Heron!$A75)</f>
        <v/>
      </c>
      <c r="J75" s="66">
        <f>SUMIFS(Xero!$F:$F,Xero!$B:$B,Heron!J$9,Xero!$A:$A,Heron!$A$4,Xero!$E:$E,Heron!$A75)+SUMIFS(Xero!$F:$F,Xero!$B:$B,Heron!J$9,Xero!$A:$A,Heron!$A$5,Xero!$E:$E,Heron!$A75)</f>
        <v/>
      </c>
      <c r="K75" s="66">
        <f>SUMIFS(Xero!$F:$F,Xero!$B:$B,Heron!K$9,Xero!$A:$A,Heron!$A$4,Xero!$E:$E,Heron!$A75)+SUMIFS(Xero!$F:$F,Xero!$B:$B,Heron!K$9,Xero!$A:$A,Heron!$A$5,Xero!$E:$E,Heron!$A75)</f>
        <v/>
      </c>
      <c r="L75" s="66">
        <f>SUMIFS(Xero!$F:$F,Xero!$B:$B,Heron!L$9,Xero!$A:$A,Heron!$A$4,Xero!$E:$E,Heron!$A75)+SUMIFS(Xero!$F:$F,Xero!$B:$B,Heron!L$9,Xero!$A:$A,Heron!$A$5,Xero!$E:$E,Heron!$A75)</f>
        <v/>
      </c>
      <c r="M75" s="66">
        <f>SUMIFS(Xero!$F:$F,Xero!$B:$B,Heron!M$9,Xero!$A:$A,Heron!$A$4,Xero!$E:$E,Heron!$A75)+SUMIFS(Xero!$F:$F,Xero!$B:$B,Heron!M$9,Xero!$A:$A,Heron!$A$5,Xero!$E:$E,Heron!$A75)</f>
        <v/>
      </c>
      <c r="N75" s="66">
        <f>SUMIFS(Xero!$F:$F,Xero!$B:$B,Heron!N$9,Xero!$A:$A,Heron!$A$4,Xero!$E:$E,Heron!$A75)+SUMIFS(Xero!$F:$F,Xero!$B:$B,Heron!N$9,Xero!$A:$A,Heron!$A$5,Xero!$E:$E,Heron!$A75)</f>
        <v/>
      </c>
      <c r="O75" s="66">
        <f>SUMIFS(Xero!$F:$F,Xero!$B:$B,Heron!O$9,Xero!$A:$A,Heron!$A$4,Xero!$E:$E,Heron!$A75)+SUMIFS(Xero!$F:$F,Xero!$B:$B,Heron!O$9,Xero!$A:$A,Heron!$A$5,Xero!$E:$E,Heron!$A75)</f>
        <v/>
      </c>
      <c r="P75" s="66">
        <f>SUMIFS(Xero!$F:$F,Xero!$B:$B,Heron!P$9,Xero!$A:$A,Heron!$A$4,Xero!$E:$E,Heron!$A75)+SUMIFS(Xero!$F:$F,Xero!$B:$B,Heron!P$9,Xero!$A:$A,Heron!$A$5,Xero!$E:$E,Heron!$A75)</f>
        <v/>
      </c>
      <c r="Q75" s="66">
        <f>SUMIFS(Xero!$F:$F,Xero!$B:$B,Heron!Q$9,Xero!$A:$A,Heron!$A$4,Xero!$E:$E,Heron!$A75)+SUMIFS(Xero!$F:$F,Xero!$B:$B,Heron!Q$9,Xero!$A:$A,Heron!$A$5,Xero!$E:$E,Heron!$A75)</f>
        <v/>
      </c>
      <c r="R75" s="66">
        <f>SUMIFS(Xero!$F:$F,Xero!$B:$B,Heron!R$9,Xero!$A:$A,Heron!$A$4,Xero!$E:$E,Heron!$A75)+SUMIFS(Xero!$F:$F,Xero!$B:$B,Heron!R$9,Xero!$A:$A,Heron!$A$5,Xero!$E:$E,Heron!$A75)</f>
        <v/>
      </c>
      <c r="S75" s="66">
        <f>SUMIFS(Xero!$F:$F,Xero!$B:$B,Heron!S$9,Xero!$A:$A,Heron!$A$4,Xero!$E:$E,Heron!$A75)+SUMIFS(Xero!$F:$F,Xero!$B:$B,Heron!S$9,Xero!$A:$A,Heron!$A$5,Xero!$E:$E,Heron!$A75)</f>
        <v/>
      </c>
      <c r="T75" s="66">
        <f>SUMIFS(Xero!$F:$F,Xero!$B:$B,Heron!T$9,Xero!$A:$A,Heron!$A$4,Xero!$E:$E,Heron!$A75)+SUMIFS(Xero!$F:$F,Xero!$B:$B,Heron!T$9,Xero!$A:$A,Heron!$A$5,Xero!$E:$E,Heron!$A75)</f>
        <v/>
      </c>
      <c r="U75" s="66">
        <f>SUMIFS(Xero!$F:$F,Xero!$B:$B,Heron!U$9,Xero!$A:$A,Heron!$A$4,Xero!$E:$E,Heron!$A75)+SUMIFS(Xero!$F:$F,Xero!$B:$B,Heron!U$9,Xero!$A:$A,Heron!$A$5,Xero!$E:$E,Heron!$A75)</f>
        <v/>
      </c>
      <c r="V75" s="66">
        <f>SUMIFS(Xero!$F:$F,Xero!$B:$B,Heron!V$9,Xero!$A:$A,Heron!$A$4,Xero!$E:$E,Heron!$A75)+SUMIFS(Xero!$F:$F,Xero!$B:$B,Heron!V$9,Xero!$A:$A,Heron!$A$5,Xero!$E:$E,Heron!$A75)</f>
        <v/>
      </c>
      <c r="W75" s="66">
        <f>SUMIFS(Xero!$F:$F,Xero!$B:$B,Heron!W$9,Xero!$A:$A,Heron!$A$4,Xero!$E:$E,Heron!$A75)+SUMIFS(Xero!$F:$F,Xero!$B:$B,Heron!W$9,Xero!$A:$A,Heron!$A$5,Xero!$E:$E,Heron!$A75)</f>
        <v/>
      </c>
      <c r="X75" s="66">
        <f>SUMIFS(Xero!$F:$F,Xero!$B:$B,Heron!X$9,Xero!$A:$A,Heron!$A$4,Xero!$E:$E,Heron!$A75)+SUMIFS(Xero!$F:$F,Xero!$B:$B,Heron!X$9,Xero!$A:$A,Heron!$A$5,Xero!$E:$E,Heron!$A75)</f>
        <v/>
      </c>
      <c r="Y75" s="66">
        <f>SUMIFS(Xero!$F:$F,Xero!$B:$B,Heron!Y$9,Xero!$A:$A,Heron!$A$4,Xero!$E:$E,Heron!$A75)+SUMIFS(Xero!$F:$F,Xero!$B:$B,Heron!Y$9,Xero!$A:$A,Heron!$A$5,Xero!$E:$E,Heron!$A75)</f>
        <v/>
      </c>
      <c r="Z75" s="66">
        <f>SUMIFS(Xero!$F:$F,Xero!$B:$B,Heron!Z$9,Xero!$A:$A,Heron!$A$4,Xero!$E:$E,Heron!$A75)+SUMIFS(Xero!$F:$F,Xero!$B:$B,Heron!Z$9,Xero!$A:$A,Heron!$A$5,Xero!$E:$E,Heron!$A75)</f>
        <v/>
      </c>
      <c r="AA75" s="66">
        <f>SUMIFS(Xero!$F:$F,Xero!$B:$B,Heron!AA$9,Xero!$A:$A,Heron!$A$4,Xero!$E:$E,Heron!$A75)+SUMIFS(Xero!$F:$F,Xero!$B:$B,Heron!AA$9,Xero!$A:$A,Heron!$A$5,Xero!$E:$E,Heron!$A75)</f>
        <v/>
      </c>
      <c r="AB75" s="66">
        <f>SUMIFS(Xero!$F:$F,Xero!$B:$B,Heron!AB$9,Xero!$A:$A,Heron!$A$4,Xero!$E:$E,Heron!$A75)+SUMIFS(Xero!$F:$F,Xero!$B:$B,Heron!AB$9,Xero!$A:$A,Heron!$A$5,Xero!$E:$E,Heron!$A75)</f>
        <v/>
      </c>
      <c r="AC75" s="66">
        <f>SUMIFS(Xero!$F:$F,Xero!$B:$B,Heron!AC$9,Xero!$A:$A,Heron!$A$4,Xero!$E:$E,Heron!$A75)+SUMIFS(Xero!$F:$F,Xero!$B:$B,Heron!AC$9,Xero!$A:$A,Heron!$A$5,Xero!$E:$E,Heron!$A75)</f>
        <v/>
      </c>
      <c r="AD75" s="66">
        <f>SUMIFS(Xero!$F:$F,Xero!$B:$B,Heron!AD$9,Xero!$A:$A,Heron!$A$4,Xero!$E:$E,Heron!$A75)+SUMIFS(Xero!$F:$F,Xero!$B:$B,Heron!AD$9,Xero!$A:$A,Heron!$A$5,Xero!$E:$E,Heron!$A75)</f>
        <v/>
      </c>
      <c r="AE75" s="66">
        <f>SUMIFS(Xero!$F:$F,Xero!$B:$B,Heron!AE$9,Xero!$A:$A,Heron!$A$4,Xero!$E:$E,Heron!$A75)+SUMIFS(Xero!$F:$F,Xero!$B:$B,Heron!AE$9,Xero!$A:$A,Heron!$A$5,Xero!$E:$E,Heron!$A75)</f>
        <v/>
      </c>
      <c r="AF75" s="66">
        <f>SUMIFS(Xero!$F:$F,Xero!$B:$B,Heron!AF$9,Xero!$A:$A,Heron!$A$4,Xero!$E:$E,Heron!$A75)+SUMIFS(Xero!$F:$F,Xero!$B:$B,Heron!AF$9,Xero!$A:$A,Heron!$A$5,Xero!$E:$E,Heron!$A75)</f>
        <v/>
      </c>
      <c r="AG75" s="66">
        <f>SUMIFS(Xero!$F:$F,Xero!$B:$B,Heron!AG$9,Xero!$A:$A,Heron!$A$4,Xero!$E:$E,Heron!$A75)+SUMIFS(Xero!$F:$F,Xero!$B:$B,Heron!AG$9,Xero!$A:$A,Heron!$A$5,Xero!$E:$E,Heron!$A75)</f>
        <v/>
      </c>
      <c r="AH75" s="66">
        <f>SUMIFS(Xero!$F:$F,Xero!$B:$B,Heron!AH$9,Xero!$A:$A,Heron!$A$4,Xero!$E:$E,Heron!$A75)+SUMIFS(Xero!$F:$F,Xero!$B:$B,Heron!AH$9,Xero!$A:$A,Heron!$A$5,Xero!$E:$E,Heron!$A75)</f>
        <v/>
      </c>
      <c r="AI75" s="66">
        <f>SUMIFS(Xero!$F:$F,Xero!$B:$B,Heron!AI$9,Xero!$A:$A,Heron!$A$4,Xero!$E:$E,Heron!$A75)+SUMIFS(Xero!$F:$F,Xero!$B:$B,Heron!AI$9,Xero!$A:$A,Heron!$A$5,Xero!$E:$E,Heron!$A75)</f>
        <v/>
      </c>
      <c r="AJ75" s="66">
        <f>SUMIFS(Xero!$F:$F,Xero!$B:$B,Heron!AJ$9,Xero!$A:$A,Heron!$A$4,Xero!$E:$E,Heron!$A75)+SUMIFS(Xero!$F:$F,Xero!$B:$B,Heron!AJ$9,Xero!$A:$A,Heron!$A$5,Xero!$E:$E,Heron!$A75)</f>
        <v/>
      </c>
      <c r="AK75" s="66">
        <f>SUMIFS(Xero!$F:$F,Xero!$B:$B,Heron!AK$9,Xero!$A:$A,Heron!$A$4,Xero!$E:$E,Heron!$A75)+SUMIFS(Xero!$F:$F,Xero!$B:$B,Heron!AK$9,Xero!$A:$A,Heron!$A$5,Xero!$E:$E,Heron!$A75)</f>
        <v/>
      </c>
      <c r="AL75" s="66">
        <f>SUMIFS(Xero!$F:$F,Xero!$B:$B,Heron!AL$9,Xero!$A:$A,Heron!$A$4,Xero!$E:$E,Heron!$A75)+SUMIFS(Xero!$F:$F,Xero!$B:$B,Heron!AL$9,Xero!$A:$A,Heron!$A$5,Xero!$E:$E,Heron!$A75)</f>
        <v/>
      </c>
      <c r="AM75" s="66">
        <f>SUMIFS(Xero!$F:$F,Xero!$B:$B,Heron!AM$9,Xero!$A:$A,Heron!$A$4,Xero!$E:$E,Heron!$A75)+SUMIFS(Xero!$F:$F,Xero!$B:$B,Heron!AM$9,Xero!$A:$A,Heron!$A$5,Xero!$E:$E,Heron!$A75)</f>
        <v/>
      </c>
      <c r="AN75" s="66">
        <f>SUMIFS(Xero!$F:$F,Xero!$B:$B,Heron!AN$9,Xero!$A:$A,Heron!$A$4,Xero!$E:$E,Heron!$A75)+SUMIFS(Xero!$F:$F,Xero!$B:$B,Heron!AN$9,Xero!$A:$A,Heron!$A$5,Xero!$E:$E,Heron!$A75)</f>
        <v/>
      </c>
      <c r="AO75" s="66">
        <f>SUMIFS(Xero!$F:$F,Xero!$B:$B,Heron!AO$9,Xero!$A:$A,Heron!$A$4,Xero!$E:$E,Heron!$A75)+SUMIFS(Xero!$F:$F,Xero!$B:$B,Heron!AO$9,Xero!$A:$A,Heron!$A$5,Xero!$E:$E,Heron!$A75)</f>
        <v/>
      </c>
      <c r="AP75" s="66">
        <f>SUMIFS(Xero!$F:$F,Xero!$B:$B,Heron!AP$9,Xero!$A:$A,Heron!$A$4,Xero!$E:$E,Heron!$A75)+SUMIFS(Xero!$F:$F,Xero!$B:$B,Heron!AP$9,Xero!$A:$A,Heron!$A$5,Xero!$E:$E,Heron!$A75)</f>
        <v/>
      </c>
      <c r="AQ75" s="66">
        <f>SUMIFS(Xero!$F:$F,Xero!$B:$B,Heron!AQ$9,Xero!$A:$A,Heron!$A$4,Xero!$E:$E,Heron!$A75)+SUMIFS(Xero!$F:$F,Xero!$B:$B,Heron!AQ$9,Xero!$A:$A,Heron!$A$5,Xero!$E:$E,Heron!$A75)</f>
        <v/>
      </c>
      <c r="AR75" s="66">
        <f>SUMIFS(Xero!$F:$F,Xero!$B:$B,Heron!AR$9,Xero!$A:$A,Heron!$A$4,Xero!$E:$E,Heron!$A75)+SUMIFS(Xero!$F:$F,Xero!$B:$B,Heron!AR$9,Xero!$A:$A,Heron!$A$5,Xero!$E:$E,Heron!$A75)</f>
        <v/>
      </c>
      <c r="AS75" s="66">
        <f>SUMIFS(Xero!$F:$F,Xero!$B:$B,Heron!AS$9,Xero!$A:$A,Heron!$A$4,Xero!$E:$E,Heron!$A75)+SUMIFS(Xero!$F:$F,Xero!$B:$B,Heron!AS$9,Xero!$A:$A,Heron!$A$5,Xero!$E:$E,Heron!$A75)</f>
        <v/>
      </c>
      <c r="AT75" s="66">
        <f>SUMIFS(Xero!$F:$F,Xero!$B:$B,Heron!AT$9,Xero!$A:$A,Heron!$A$4,Xero!$E:$E,Heron!$A75)+SUMIFS(Xero!$F:$F,Xero!$B:$B,Heron!AT$9,Xero!$A:$A,Heron!$A$5,Xero!$E:$E,Heron!$A75)</f>
        <v/>
      </c>
      <c r="AU75" s="66">
        <f>SUMIFS(Xero!$F:$F,Xero!$B:$B,Heron!AU$9,Xero!$A:$A,Heron!$A$4,Xero!$E:$E,Heron!$A75)+SUMIFS(Xero!$F:$F,Xero!$B:$B,Heron!AU$9,Xero!$A:$A,Heron!$A$5,Xero!$E:$E,Heron!$A75)</f>
        <v/>
      </c>
      <c r="AV75" s="66">
        <f>SUMIFS(Xero!$F:$F,Xero!$B:$B,Heron!AV$9,Xero!$A:$A,Heron!$A$4,Xero!$E:$E,Heron!$A75)+SUMIFS(Xero!$F:$F,Xero!$B:$B,Heron!AV$9,Xero!$A:$A,Heron!$A$5,Xero!$E:$E,Heron!$A75)</f>
        <v/>
      </c>
      <c r="AW75" s="66">
        <f>SUMIFS(Xero!$F:$F,Xero!$B:$B,Heron!AW$9,Xero!$A:$A,Heron!$A$4,Xero!$E:$E,Heron!$A75)+SUMIFS(Xero!$F:$F,Xero!$B:$B,Heron!AW$9,Xero!$A:$A,Heron!$A$5,Xero!$E:$E,Heron!$A75)</f>
        <v/>
      </c>
      <c r="AX75" s="66">
        <f>SUMIFS(Xero!$F:$F,Xero!$B:$B,Heron!AX$9,Xero!$A:$A,Heron!$A$4,Xero!$E:$E,Heron!$A75)+SUMIFS(Xero!$F:$F,Xero!$B:$B,Heron!AX$9,Xero!$A:$A,Heron!$A$5,Xero!$E:$E,Heron!$A75)</f>
        <v/>
      </c>
      <c r="AY75" s="66">
        <f>SUMIFS(Xero!$F:$F,Xero!$B:$B,Heron!AY$9,Xero!$A:$A,Heron!$A$4,Xero!$E:$E,Heron!$A75)+SUMIFS(Xero!$F:$F,Xero!$B:$B,Heron!AY$9,Xero!$A:$A,Heron!$A$5,Xero!$E:$E,Heron!$A75)</f>
        <v/>
      </c>
      <c r="AZ75" s="66">
        <f>SUMIFS(Xero!$F:$F,Xero!$B:$B,Heron!AZ$9,Xero!$A:$A,Heron!$A$4,Xero!$E:$E,Heron!$A75)+SUMIFS(Xero!$F:$F,Xero!$B:$B,Heron!AZ$9,Xero!$A:$A,Heron!$A$5,Xero!$E:$E,Heron!$A75)</f>
        <v/>
      </c>
      <c r="BA75" s="66">
        <f>SUMIFS(Xero!$F:$F,Xero!$B:$B,Heron!BA$9,Xero!$A:$A,Heron!$A$4,Xero!$E:$E,Heron!$A75)+SUMIFS(Xero!$F:$F,Xero!$B:$B,Heron!BA$9,Xero!$A:$A,Heron!$A$5,Xero!$E:$E,Heron!$A75)</f>
        <v/>
      </c>
      <c r="BB75" s="66">
        <f>SUMIFS(Xero!$F:$F,Xero!$B:$B,Heron!BB$9,Xero!$A:$A,Heron!$A$4,Xero!$E:$E,Heron!$A75)+SUMIFS(Xero!$F:$F,Xero!$B:$B,Heron!BB$9,Xero!$A:$A,Heron!$A$5,Xero!$E:$E,Heron!$A75)</f>
        <v/>
      </c>
      <c r="BC75" s="66">
        <f>SUMIFS(Xero!$F:$F,Xero!$B:$B,Heron!BC$9,Xero!$A:$A,Heron!$A$4,Xero!$E:$E,Heron!$A75)+SUMIFS(Xero!$F:$F,Xero!$B:$B,Heron!BC$9,Xero!$A:$A,Heron!$A$5,Xero!$E:$E,Heron!$A75)</f>
        <v/>
      </c>
      <c r="BD75" s="66">
        <f>SUMIFS(Xero!$F:$F,Xero!$B:$B,Heron!BD$9,Xero!$A:$A,Heron!$A$4,Xero!$E:$E,Heron!$A75)+SUMIFS(Xero!$F:$F,Xero!$B:$B,Heron!BD$9,Xero!$A:$A,Heron!$A$5,Xero!$E:$E,Heron!$A75)</f>
        <v/>
      </c>
      <c r="BE75" s="66">
        <f>SUMIFS(Xero!$F:$F,Xero!$B:$B,Heron!BE$9,Xero!$A:$A,Heron!$A$4,Xero!$E:$E,Heron!$A75)+SUMIFS(Xero!$F:$F,Xero!$B:$B,Heron!BE$9,Xero!$A:$A,Heron!$A$5,Xero!$E:$E,Heron!$A75)</f>
        <v/>
      </c>
      <c r="BF75" s="66">
        <f>SUMIFS(Xero!$F:$F,Xero!$B:$B,Heron!BF$9,Xero!$A:$A,Heron!$A$4,Xero!$E:$E,Heron!$A75)+SUMIFS(Xero!$F:$F,Xero!$B:$B,Heron!BF$9,Xero!$A:$A,Heron!$A$5,Xero!$E:$E,Heron!$A75)</f>
        <v/>
      </c>
      <c r="BG75" s="66">
        <f>SUMIFS(Xero!$F:$F,Xero!$B:$B,Heron!BG$9,Xero!$A:$A,Heron!$A$4,Xero!$E:$E,Heron!$A75)+SUMIFS(Xero!$F:$F,Xero!$B:$B,Heron!BG$9,Xero!$A:$A,Heron!$A$5,Xero!$E:$E,Heron!$A75)</f>
        <v/>
      </c>
      <c r="BH75" s="66">
        <f>sum(D75:BG75)</f>
        <v/>
      </c>
    </row>
    <row r="76">
      <c r="A76" s="65" t="inlineStr">
        <is>
          <t>Interest Paid - Investors @ 6.5%</t>
        </is>
      </c>
      <c r="D76" s="66">
        <f>SUMIFS(Xero!$F:$F,Xero!$B:$B,Heron!D$9,Xero!$A:$A,Heron!$A$4,Xero!$E:$E,Heron!$A76)+SUMIFS(Xero!$F:$F,Xero!$B:$B,Heron!D$9,Xero!$A:$A,Heron!$A$5,Xero!$E:$E,Heron!$A76)</f>
        <v/>
      </c>
      <c r="E76" s="66">
        <f>SUMIFS(Xero!$F:$F,Xero!$B:$B,Heron!E$9,Xero!$A:$A,Heron!$A$4,Xero!$E:$E,Heron!$A76)+SUMIFS(Xero!$F:$F,Xero!$B:$B,Heron!E$9,Xero!$A:$A,Heron!$A$5,Xero!$E:$E,Heron!$A76)</f>
        <v/>
      </c>
      <c r="F76" s="66">
        <f>SUMIFS(Xero!$F:$F,Xero!$B:$B,Heron!F$9,Xero!$A:$A,Heron!$A$4,Xero!$E:$E,Heron!$A76)+SUMIFS(Xero!$F:$F,Xero!$B:$B,Heron!F$9,Xero!$A:$A,Heron!$A$5,Xero!$E:$E,Heron!$A76)</f>
        <v/>
      </c>
      <c r="G76" s="66">
        <f>SUMIFS(Xero!$F:$F,Xero!$B:$B,Heron!G$9,Xero!$A:$A,Heron!$A$4,Xero!$E:$E,Heron!$A76)+SUMIFS(Xero!$F:$F,Xero!$B:$B,Heron!G$9,Xero!$A:$A,Heron!$A$5,Xero!$E:$E,Heron!$A76)</f>
        <v/>
      </c>
      <c r="H76" s="66">
        <f>SUMIFS(Xero!$F:$F,Xero!$B:$B,Heron!H$9,Xero!$A:$A,Heron!$A$4,Xero!$E:$E,Heron!$A76)+SUMIFS(Xero!$F:$F,Xero!$B:$B,Heron!H$9,Xero!$A:$A,Heron!$A$5,Xero!$E:$E,Heron!$A76)</f>
        <v/>
      </c>
      <c r="I76" s="66">
        <f>SUMIFS(Xero!$F:$F,Xero!$B:$B,Heron!I$9,Xero!$A:$A,Heron!$A$4,Xero!$E:$E,Heron!$A76)+SUMIFS(Xero!$F:$F,Xero!$B:$B,Heron!I$9,Xero!$A:$A,Heron!$A$5,Xero!$E:$E,Heron!$A76)</f>
        <v/>
      </c>
      <c r="J76" s="66">
        <f>SUMIFS(Xero!$F:$F,Xero!$B:$B,Heron!J$9,Xero!$A:$A,Heron!$A$4,Xero!$E:$E,Heron!$A76)+SUMIFS(Xero!$F:$F,Xero!$B:$B,Heron!J$9,Xero!$A:$A,Heron!$A$5,Xero!$E:$E,Heron!$A76)</f>
        <v/>
      </c>
      <c r="K76" s="66">
        <f>SUMIFS(Xero!$F:$F,Xero!$B:$B,Heron!K$9,Xero!$A:$A,Heron!$A$4,Xero!$E:$E,Heron!$A76)+SUMIFS(Xero!$F:$F,Xero!$B:$B,Heron!K$9,Xero!$A:$A,Heron!$A$5,Xero!$E:$E,Heron!$A76)</f>
        <v/>
      </c>
      <c r="L76" s="66">
        <f>SUMIFS(Xero!$F:$F,Xero!$B:$B,Heron!L$9,Xero!$A:$A,Heron!$A$4,Xero!$E:$E,Heron!$A76)+SUMIFS(Xero!$F:$F,Xero!$B:$B,Heron!L$9,Xero!$A:$A,Heron!$A$5,Xero!$E:$E,Heron!$A76)</f>
        <v/>
      </c>
      <c r="M76" s="66">
        <f>SUMIFS(Xero!$F:$F,Xero!$B:$B,Heron!M$9,Xero!$A:$A,Heron!$A$4,Xero!$E:$E,Heron!$A76)+SUMIFS(Xero!$F:$F,Xero!$B:$B,Heron!M$9,Xero!$A:$A,Heron!$A$5,Xero!$E:$E,Heron!$A76)</f>
        <v/>
      </c>
      <c r="N76" s="66">
        <f>SUMIFS(Xero!$F:$F,Xero!$B:$B,Heron!N$9,Xero!$A:$A,Heron!$A$4,Xero!$E:$E,Heron!$A76)+SUMIFS(Xero!$F:$F,Xero!$B:$B,Heron!N$9,Xero!$A:$A,Heron!$A$5,Xero!$E:$E,Heron!$A76)</f>
        <v/>
      </c>
      <c r="O76" s="66">
        <f>SUMIFS(Xero!$F:$F,Xero!$B:$B,Heron!O$9,Xero!$A:$A,Heron!$A$4,Xero!$E:$E,Heron!$A76)+SUMIFS(Xero!$F:$F,Xero!$B:$B,Heron!O$9,Xero!$A:$A,Heron!$A$5,Xero!$E:$E,Heron!$A76)</f>
        <v/>
      </c>
      <c r="P76" s="66">
        <f>SUMIFS(Xero!$F:$F,Xero!$B:$B,Heron!P$9,Xero!$A:$A,Heron!$A$4,Xero!$E:$E,Heron!$A76)+SUMIFS(Xero!$F:$F,Xero!$B:$B,Heron!P$9,Xero!$A:$A,Heron!$A$5,Xero!$E:$E,Heron!$A76)</f>
        <v/>
      </c>
      <c r="Q76" s="66">
        <f>SUMIFS(Xero!$F:$F,Xero!$B:$B,Heron!Q$9,Xero!$A:$A,Heron!$A$4,Xero!$E:$E,Heron!$A76)+SUMIFS(Xero!$F:$F,Xero!$B:$B,Heron!Q$9,Xero!$A:$A,Heron!$A$5,Xero!$E:$E,Heron!$A76)</f>
        <v/>
      </c>
      <c r="R76" s="66">
        <f>SUMIFS(Xero!$F:$F,Xero!$B:$B,Heron!R$9,Xero!$A:$A,Heron!$A$4,Xero!$E:$E,Heron!$A76)+SUMIFS(Xero!$F:$F,Xero!$B:$B,Heron!R$9,Xero!$A:$A,Heron!$A$5,Xero!$E:$E,Heron!$A76)</f>
        <v/>
      </c>
      <c r="S76" s="66">
        <f>SUMIFS(Xero!$F:$F,Xero!$B:$B,Heron!S$9,Xero!$A:$A,Heron!$A$4,Xero!$E:$E,Heron!$A76)+SUMIFS(Xero!$F:$F,Xero!$B:$B,Heron!S$9,Xero!$A:$A,Heron!$A$5,Xero!$E:$E,Heron!$A76)</f>
        <v/>
      </c>
      <c r="T76" s="66">
        <f>SUMIFS(Xero!$F:$F,Xero!$B:$B,Heron!T$9,Xero!$A:$A,Heron!$A$4,Xero!$E:$E,Heron!$A76)+SUMIFS(Xero!$F:$F,Xero!$B:$B,Heron!T$9,Xero!$A:$A,Heron!$A$5,Xero!$E:$E,Heron!$A76)</f>
        <v/>
      </c>
      <c r="U76" s="66">
        <f>SUMIFS(Xero!$F:$F,Xero!$B:$B,Heron!U$9,Xero!$A:$A,Heron!$A$4,Xero!$E:$E,Heron!$A76)+SUMIFS(Xero!$F:$F,Xero!$B:$B,Heron!U$9,Xero!$A:$A,Heron!$A$5,Xero!$E:$E,Heron!$A76)</f>
        <v/>
      </c>
      <c r="V76" s="66">
        <f>SUMIFS(Xero!$F:$F,Xero!$B:$B,Heron!V$9,Xero!$A:$A,Heron!$A$4,Xero!$E:$E,Heron!$A76)+SUMIFS(Xero!$F:$F,Xero!$B:$B,Heron!V$9,Xero!$A:$A,Heron!$A$5,Xero!$E:$E,Heron!$A76)</f>
        <v/>
      </c>
      <c r="W76" s="66">
        <f>SUMIFS(Xero!$F:$F,Xero!$B:$B,Heron!W$9,Xero!$A:$A,Heron!$A$4,Xero!$E:$E,Heron!$A76)+SUMIFS(Xero!$F:$F,Xero!$B:$B,Heron!W$9,Xero!$A:$A,Heron!$A$5,Xero!$E:$E,Heron!$A76)</f>
        <v/>
      </c>
      <c r="X76" s="66">
        <f>SUMIFS(Xero!$F:$F,Xero!$B:$B,Heron!X$9,Xero!$A:$A,Heron!$A$4,Xero!$E:$E,Heron!$A76)+SUMIFS(Xero!$F:$F,Xero!$B:$B,Heron!X$9,Xero!$A:$A,Heron!$A$5,Xero!$E:$E,Heron!$A76)</f>
        <v/>
      </c>
      <c r="Y76" s="66">
        <f>SUMIFS(Xero!$F:$F,Xero!$B:$B,Heron!Y$9,Xero!$A:$A,Heron!$A$4,Xero!$E:$E,Heron!$A76)+SUMIFS(Xero!$F:$F,Xero!$B:$B,Heron!Y$9,Xero!$A:$A,Heron!$A$5,Xero!$E:$E,Heron!$A76)</f>
        <v/>
      </c>
      <c r="Z76" s="66">
        <f>SUMIFS(Xero!$F:$F,Xero!$B:$B,Heron!Z$9,Xero!$A:$A,Heron!$A$4,Xero!$E:$E,Heron!$A76)+SUMIFS(Xero!$F:$F,Xero!$B:$B,Heron!Z$9,Xero!$A:$A,Heron!$A$5,Xero!$E:$E,Heron!$A76)</f>
        <v/>
      </c>
      <c r="AA76" s="66">
        <f>SUMIFS(Xero!$F:$F,Xero!$B:$B,Heron!AA$9,Xero!$A:$A,Heron!$A$4,Xero!$E:$E,Heron!$A76)+SUMIFS(Xero!$F:$F,Xero!$B:$B,Heron!AA$9,Xero!$A:$A,Heron!$A$5,Xero!$E:$E,Heron!$A76)</f>
        <v/>
      </c>
      <c r="AB76" s="66">
        <f>SUMIFS(Xero!$F:$F,Xero!$B:$B,Heron!AB$9,Xero!$A:$A,Heron!$A$4,Xero!$E:$E,Heron!$A76)+SUMIFS(Xero!$F:$F,Xero!$B:$B,Heron!AB$9,Xero!$A:$A,Heron!$A$5,Xero!$E:$E,Heron!$A76)</f>
        <v/>
      </c>
      <c r="AC76" s="66">
        <f>SUMIFS(Xero!$F:$F,Xero!$B:$B,Heron!AC$9,Xero!$A:$A,Heron!$A$4,Xero!$E:$E,Heron!$A76)+SUMIFS(Xero!$F:$F,Xero!$B:$B,Heron!AC$9,Xero!$A:$A,Heron!$A$5,Xero!$E:$E,Heron!$A76)</f>
        <v/>
      </c>
      <c r="AD76" s="66">
        <f>SUMIFS(Xero!$F:$F,Xero!$B:$B,Heron!AD$9,Xero!$A:$A,Heron!$A$4,Xero!$E:$E,Heron!$A76)+SUMIFS(Xero!$F:$F,Xero!$B:$B,Heron!AD$9,Xero!$A:$A,Heron!$A$5,Xero!$E:$E,Heron!$A76)</f>
        <v/>
      </c>
      <c r="AE76" s="66">
        <f>SUMIFS(Xero!$F:$F,Xero!$B:$B,Heron!AE$9,Xero!$A:$A,Heron!$A$4,Xero!$E:$E,Heron!$A76)+SUMIFS(Xero!$F:$F,Xero!$B:$B,Heron!AE$9,Xero!$A:$A,Heron!$A$5,Xero!$E:$E,Heron!$A76)</f>
        <v/>
      </c>
      <c r="AF76" s="66">
        <f>SUMIFS(Xero!$F:$F,Xero!$B:$B,Heron!AF$9,Xero!$A:$A,Heron!$A$4,Xero!$E:$E,Heron!$A76)+SUMIFS(Xero!$F:$F,Xero!$B:$B,Heron!AF$9,Xero!$A:$A,Heron!$A$5,Xero!$E:$E,Heron!$A76)</f>
        <v/>
      </c>
      <c r="AG76" s="66">
        <f>SUMIFS(Xero!$F:$F,Xero!$B:$B,Heron!AG$9,Xero!$A:$A,Heron!$A$4,Xero!$E:$E,Heron!$A76)+SUMIFS(Xero!$F:$F,Xero!$B:$B,Heron!AG$9,Xero!$A:$A,Heron!$A$5,Xero!$E:$E,Heron!$A76)</f>
        <v/>
      </c>
      <c r="AH76" s="66">
        <f>SUMIFS(Xero!$F:$F,Xero!$B:$B,Heron!AH$9,Xero!$A:$A,Heron!$A$4,Xero!$E:$E,Heron!$A76)+SUMIFS(Xero!$F:$F,Xero!$B:$B,Heron!AH$9,Xero!$A:$A,Heron!$A$5,Xero!$E:$E,Heron!$A76)</f>
        <v/>
      </c>
      <c r="AI76" s="66">
        <f>SUMIFS(Xero!$F:$F,Xero!$B:$B,Heron!AI$9,Xero!$A:$A,Heron!$A$4,Xero!$E:$E,Heron!$A76)+SUMIFS(Xero!$F:$F,Xero!$B:$B,Heron!AI$9,Xero!$A:$A,Heron!$A$5,Xero!$E:$E,Heron!$A76)</f>
        <v/>
      </c>
      <c r="AJ76" s="66">
        <f>SUMIFS(Xero!$F:$F,Xero!$B:$B,Heron!AJ$9,Xero!$A:$A,Heron!$A$4,Xero!$E:$E,Heron!$A76)+SUMIFS(Xero!$F:$F,Xero!$B:$B,Heron!AJ$9,Xero!$A:$A,Heron!$A$5,Xero!$E:$E,Heron!$A76)</f>
        <v/>
      </c>
      <c r="AK76" s="66">
        <f>SUMIFS(Xero!$F:$F,Xero!$B:$B,Heron!AK$9,Xero!$A:$A,Heron!$A$4,Xero!$E:$E,Heron!$A76)+SUMIFS(Xero!$F:$F,Xero!$B:$B,Heron!AK$9,Xero!$A:$A,Heron!$A$5,Xero!$E:$E,Heron!$A76)</f>
        <v/>
      </c>
      <c r="AL76" s="66">
        <f>SUMIFS(Xero!$F:$F,Xero!$B:$B,Heron!AL$9,Xero!$A:$A,Heron!$A$4,Xero!$E:$E,Heron!$A76)+SUMIFS(Xero!$F:$F,Xero!$B:$B,Heron!AL$9,Xero!$A:$A,Heron!$A$5,Xero!$E:$E,Heron!$A76)</f>
        <v/>
      </c>
      <c r="AM76" s="66">
        <f>SUMIFS(Xero!$F:$F,Xero!$B:$B,Heron!AM$9,Xero!$A:$A,Heron!$A$4,Xero!$E:$E,Heron!$A76)+SUMIFS(Xero!$F:$F,Xero!$B:$B,Heron!AM$9,Xero!$A:$A,Heron!$A$5,Xero!$E:$E,Heron!$A76)</f>
        <v/>
      </c>
      <c r="AN76" s="66">
        <f>SUMIFS(Xero!$F:$F,Xero!$B:$B,Heron!AN$9,Xero!$A:$A,Heron!$A$4,Xero!$E:$E,Heron!$A76)+SUMIFS(Xero!$F:$F,Xero!$B:$B,Heron!AN$9,Xero!$A:$A,Heron!$A$5,Xero!$E:$E,Heron!$A76)</f>
        <v/>
      </c>
      <c r="AO76" s="66">
        <f>SUMIFS(Xero!$F:$F,Xero!$B:$B,Heron!AO$9,Xero!$A:$A,Heron!$A$4,Xero!$E:$E,Heron!$A76)+SUMIFS(Xero!$F:$F,Xero!$B:$B,Heron!AO$9,Xero!$A:$A,Heron!$A$5,Xero!$E:$E,Heron!$A76)</f>
        <v/>
      </c>
      <c r="AP76" s="66">
        <f>SUMIFS(Xero!$F:$F,Xero!$B:$B,Heron!AP$9,Xero!$A:$A,Heron!$A$4,Xero!$E:$E,Heron!$A76)+SUMIFS(Xero!$F:$F,Xero!$B:$B,Heron!AP$9,Xero!$A:$A,Heron!$A$5,Xero!$E:$E,Heron!$A76)</f>
        <v/>
      </c>
      <c r="AQ76" s="66">
        <f>SUMIFS(Xero!$F:$F,Xero!$B:$B,Heron!AQ$9,Xero!$A:$A,Heron!$A$4,Xero!$E:$E,Heron!$A76)+SUMIFS(Xero!$F:$F,Xero!$B:$B,Heron!AQ$9,Xero!$A:$A,Heron!$A$5,Xero!$E:$E,Heron!$A76)</f>
        <v/>
      </c>
      <c r="AR76" s="66">
        <f>SUMIFS(Xero!$F:$F,Xero!$B:$B,Heron!AR$9,Xero!$A:$A,Heron!$A$4,Xero!$E:$E,Heron!$A76)+SUMIFS(Xero!$F:$F,Xero!$B:$B,Heron!AR$9,Xero!$A:$A,Heron!$A$5,Xero!$E:$E,Heron!$A76)</f>
        <v/>
      </c>
      <c r="AS76" s="66">
        <f>SUMIFS(Xero!$F:$F,Xero!$B:$B,Heron!AS$9,Xero!$A:$A,Heron!$A$4,Xero!$E:$E,Heron!$A76)+SUMIFS(Xero!$F:$F,Xero!$B:$B,Heron!AS$9,Xero!$A:$A,Heron!$A$5,Xero!$E:$E,Heron!$A76)</f>
        <v/>
      </c>
      <c r="AT76" s="66">
        <f>SUMIFS(Xero!$F:$F,Xero!$B:$B,Heron!AT$9,Xero!$A:$A,Heron!$A$4,Xero!$E:$E,Heron!$A76)+SUMIFS(Xero!$F:$F,Xero!$B:$B,Heron!AT$9,Xero!$A:$A,Heron!$A$5,Xero!$E:$E,Heron!$A76)</f>
        <v/>
      </c>
      <c r="AU76" s="66">
        <f>SUMIFS(Xero!$F:$F,Xero!$B:$B,Heron!AU$9,Xero!$A:$A,Heron!$A$4,Xero!$E:$E,Heron!$A76)+SUMIFS(Xero!$F:$F,Xero!$B:$B,Heron!AU$9,Xero!$A:$A,Heron!$A$5,Xero!$E:$E,Heron!$A76)</f>
        <v/>
      </c>
      <c r="AV76" s="66">
        <f>SUMIFS(Xero!$F:$F,Xero!$B:$B,Heron!AV$9,Xero!$A:$A,Heron!$A$4,Xero!$E:$E,Heron!$A76)+SUMIFS(Xero!$F:$F,Xero!$B:$B,Heron!AV$9,Xero!$A:$A,Heron!$A$5,Xero!$E:$E,Heron!$A76)</f>
        <v/>
      </c>
      <c r="AW76" s="66">
        <f>SUMIFS(Xero!$F:$F,Xero!$B:$B,Heron!AW$9,Xero!$A:$A,Heron!$A$4,Xero!$E:$E,Heron!$A76)+SUMIFS(Xero!$F:$F,Xero!$B:$B,Heron!AW$9,Xero!$A:$A,Heron!$A$5,Xero!$E:$E,Heron!$A76)</f>
        <v/>
      </c>
      <c r="AX76" s="66">
        <f>SUMIFS(Xero!$F:$F,Xero!$B:$B,Heron!AX$9,Xero!$A:$A,Heron!$A$4,Xero!$E:$E,Heron!$A76)+SUMIFS(Xero!$F:$F,Xero!$B:$B,Heron!AX$9,Xero!$A:$A,Heron!$A$5,Xero!$E:$E,Heron!$A76)</f>
        <v/>
      </c>
      <c r="AY76" s="66">
        <f>SUMIFS(Xero!$F:$F,Xero!$B:$B,Heron!AY$9,Xero!$A:$A,Heron!$A$4,Xero!$E:$E,Heron!$A76)+SUMIFS(Xero!$F:$F,Xero!$B:$B,Heron!AY$9,Xero!$A:$A,Heron!$A$5,Xero!$E:$E,Heron!$A76)</f>
        <v/>
      </c>
      <c r="AZ76" s="66">
        <f>SUMIFS(Xero!$F:$F,Xero!$B:$B,Heron!AZ$9,Xero!$A:$A,Heron!$A$4,Xero!$E:$E,Heron!$A76)+SUMIFS(Xero!$F:$F,Xero!$B:$B,Heron!AZ$9,Xero!$A:$A,Heron!$A$5,Xero!$E:$E,Heron!$A76)</f>
        <v/>
      </c>
      <c r="BA76" s="66">
        <f>SUMIFS(Xero!$F:$F,Xero!$B:$B,Heron!BA$9,Xero!$A:$A,Heron!$A$4,Xero!$E:$E,Heron!$A76)+SUMIFS(Xero!$F:$F,Xero!$B:$B,Heron!BA$9,Xero!$A:$A,Heron!$A$5,Xero!$E:$E,Heron!$A76)</f>
        <v/>
      </c>
      <c r="BB76" s="66">
        <f>SUMIFS(Xero!$F:$F,Xero!$B:$B,Heron!BB$9,Xero!$A:$A,Heron!$A$4,Xero!$E:$E,Heron!$A76)+SUMIFS(Xero!$F:$F,Xero!$B:$B,Heron!BB$9,Xero!$A:$A,Heron!$A$5,Xero!$E:$E,Heron!$A76)</f>
        <v/>
      </c>
      <c r="BC76" s="66">
        <f>SUMIFS(Xero!$F:$F,Xero!$B:$B,Heron!BC$9,Xero!$A:$A,Heron!$A$4,Xero!$E:$E,Heron!$A76)+SUMIFS(Xero!$F:$F,Xero!$B:$B,Heron!BC$9,Xero!$A:$A,Heron!$A$5,Xero!$E:$E,Heron!$A76)</f>
        <v/>
      </c>
      <c r="BD76" s="66">
        <f>SUMIFS(Xero!$F:$F,Xero!$B:$B,Heron!BD$9,Xero!$A:$A,Heron!$A$4,Xero!$E:$E,Heron!$A76)+SUMIFS(Xero!$F:$F,Xero!$B:$B,Heron!BD$9,Xero!$A:$A,Heron!$A$5,Xero!$E:$E,Heron!$A76)</f>
        <v/>
      </c>
      <c r="BE76" s="66">
        <f>SUMIFS(Xero!$F:$F,Xero!$B:$B,Heron!BE$9,Xero!$A:$A,Heron!$A$4,Xero!$E:$E,Heron!$A76)+SUMIFS(Xero!$F:$F,Xero!$B:$B,Heron!BE$9,Xero!$A:$A,Heron!$A$5,Xero!$E:$E,Heron!$A76)</f>
        <v/>
      </c>
      <c r="BF76" s="66">
        <f>SUMIFS(Xero!$F:$F,Xero!$B:$B,Heron!BF$9,Xero!$A:$A,Heron!$A$4,Xero!$E:$E,Heron!$A76)+SUMIFS(Xero!$F:$F,Xero!$B:$B,Heron!BF$9,Xero!$A:$A,Heron!$A$5,Xero!$E:$E,Heron!$A76)</f>
        <v/>
      </c>
      <c r="BG76" s="66">
        <f>SUMIFS(Xero!$F:$F,Xero!$B:$B,Heron!BG$9,Xero!$A:$A,Heron!$A$4,Xero!$E:$E,Heron!$A76)+SUMIFS(Xero!$F:$F,Xero!$B:$B,Heron!BG$9,Xero!$A:$A,Heron!$A$5,Xero!$E:$E,Heron!$A76)</f>
        <v/>
      </c>
      <c r="BH76" s="66">
        <f>sum(D76:BG76)</f>
        <v/>
      </c>
    </row>
    <row r="77">
      <c r="A77" s="65" t="inlineStr">
        <is>
          <t>Interest Paid - Investors @ 6.75%</t>
        </is>
      </c>
      <c r="D77" s="66">
        <f>SUMIFS(Xero!$F:$F,Xero!$B:$B,Heron!D$9,Xero!$A:$A,Heron!$A$4,Xero!$E:$E,Heron!$A77)+SUMIFS(Xero!$F:$F,Xero!$B:$B,Heron!D$9,Xero!$A:$A,Heron!$A$5,Xero!$E:$E,Heron!$A77)</f>
        <v/>
      </c>
      <c r="E77" s="66">
        <f>SUMIFS(Xero!$F:$F,Xero!$B:$B,Heron!E$9,Xero!$A:$A,Heron!$A$4,Xero!$E:$E,Heron!$A77)+SUMIFS(Xero!$F:$F,Xero!$B:$B,Heron!E$9,Xero!$A:$A,Heron!$A$5,Xero!$E:$E,Heron!$A77)</f>
        <v/>
      </c>
      <c r="F77" s="66">
        <f>SUMIFS(Xero!$F:$F,Xero!$B:$B,Heron!F$9,Xero!$A:$A,Heron!$A$4,Xero!$E:$E,Heron!$A77)+SUMIFS(Xero!$F:$F,Xero!$B:$B,Heron!F$9,Xero!$A:$A,Heron!$A$5,Xero!$E:$E,Heron!$A77)</f>
        <v/>
      </c>
      <c r="G77" s="66">
        <f>SUMIFS(Xero!$F:$F,Xero!$B:$B,Heron!G$9,Xero!$A:$A,Heron!$A$4,Xero!$E:$E,Heron!$A77)+SUMIFS(Xero!$F:$F,Xero!$B:$B,Heron!G$9,Xero!$A:$A,Heron!$A$5,Xero!$E:$E,Heron!$A77)</f>
        <v/>
      </c>
      <c r="H77" s="66">
        <f>SUMIFS(Xero!$F:$F,Xero!$B:$B,Heron!H$9,Xero!$A:$A,Heron!$A$4,Xero!$E:$E,Heron!$A77)+SUMIFS(Xero!$F:$F,Xero!$B:$B,Heron!H$9,Xero!$A:$A,Heron!$A$5,Xero!$E:$E,Heron!$A77)</f>
        <v/>
      </c>
      <c r="I77" s="66">
        <f>SUMIFS(Xero!$F:$F,Xero!$B:$B,Heron!I$9,Xero!$A:$A,Heron!$A$4,Xero!$E:$E,Heron!$A77)+SUMIFS(Xero!$F:$F,Xero!$B:$B,Heron!I$9,Xero!$A:$A,Heron!$A$5,Xero!$E:$E,Heron!$A77)</f>
        <v/>
      </c>
      <c r="J77" s="66">
        <f>SUMIFS(Xero!$F:$F,Xero!$B:$B,Heron!J$9,Xero!$A:$A,Heron!$A$4,Xero!$E:$E,Heron!$A77)+SUMIFS(Xero!$F:$F,Xero!$B:$B,Heron!J$9,Xero!$A:$A,Heron!$A$5,Xero!$E:$E,Heron!$A77)</f>
        <v/>
      </c>
      <c r="K77" s="66">
        <f>SUMIFS(Xero!$F:$F,Xero!$B:$B,Heron!K$9,Xero!$A:$A,Heron!$A$4,Xero!$E:$E,Heron!$A77)+SUMIFS(Xero!$F:$F,Xero!$B:$B,Heron!K$9,Xero!$A:$A,Heron!$A$5,Xero!$E:$E,Heron!$A77)</f>
        <v/>
      </c>
      <c r="L77" s="66">
        <f>SUMIFS(Xero!$F:$F,Xero!$B:$B,Heron!L$9,Xero!$A:$A,Heron!$A$4,Xero!$E:$E,Heron!$A77)+SUMIFS(Xero!$F:$F,Xero!$B:$B,Heron!L$9,Xero!$A:$A,Heron!$A$5,Xero!$E:$E,Heron!$A77)</f>
        <v/>
      </c>
      <c r="M77" s="66">
        <f>SUMIFS(Xero!$F:$F,Xero!$B:$B,Heron!M$9,Xero!$A:$A,Heron!$A$4,Xero!$E:$E,Heron!$A77)+SUMIFS(Xero!$F:$F,Xero!$B:$B,Heron!M$9,Xero!$A:$A,Heron!$A$5,Xero!$E:$E,Heron!$A77)</f>
        <v/>
      </c>
      <c r="N77" s="66">
        <f>SUMIFS(Xero!$F:$F,Xero!$B:$B,Heron!N$9,Xero!$A:$A,Heron!$A$4,Xero!$E:$E,Heron!$A77)+SUMIFS(Xero!$F:$F,Xero!$B:$B,Heron!N$9,Xero!$A:$A,Heron!$A$5,Xero!$E:$E,Heron!$A77)</f>
        <v/>
      </c>
      <c r="O77" s="66">
        <f>SUMIFS(Xero!$F:$F,Xero!$B:$B,Heron!O$9,Xero!$A:$A,Heron!$A$4,Xero!$E:$E,Heron!$A77)+SUMIFS(Xero!$F:$F,Xero!$B:$B,Heron!O$9,Xero!$A:$A,Heron!$A$5,Xero!$E:$E,Heron!$A77)</f>
        <v/>
      </c>
      <c r="P77" s="66">
        <f>SUMIFS(Xero!$F:$F,Xero!$B:$B,Heron!P$9,Xero!$A:$A,Heron!$A$4,Xero!$E:$E,Heron!$A77)+SUMIFS(Xero!$F:$F,Xero!$B:$B,Heron!P$9,Xero!$A:$A,Heron!$A$5,Xero!$E:$E,Heron!$A77)</f>
        <v/>
      </c>
      <c r="Q77" s="66">
        <f>SUMIFS(Xero!$F:$F,Xero!$B:$B,Heron!Q$9,Xero!$A:$A,Heron!$A$4,Xero!$E:$E,Heron!$A77)+SUMIFS(Xero!$F:$F,Xero!$B:$B,Heron!Q$9,Xero!$A:$A,Heron!$A$5,Xero!$E:$E,Heron!$A77)</f>
        <v/>
      </c>
      <c r="R77" s="66">
        <f>SUMIFS(Xero!$F:$F,Xero!$B:$B,Heron!R$9,Xero!$A:$A,Heron!$A$4,Xero!$E:$E,Heron!$A77)+SUMIFS(Xero!$F:$F,Xero!$B:$B,Heron!R$9,Xero!$A:$A,Heron!$A$5,Xero!$E:$E,Heron!$A77)</f>
        <v/>
      </c>
      <c r="S77" s="66">
        <f>SUMIFS(Xero!$F:$F,Xero!$B:$B,Heron!S$9,Xero!$A:$A,Heron!$A$4,Xero!$E:$E,Heron!$A77)+SUMIFS(Xero!$F:$F,Xero!$B:$B,Heron!S$9,Xero!$A:$A,Heron!$A$5,Xero!$E:$E,Heron!$A77)</f>
        <v/>
      </c>
      <c r="T77" s="66">
        <f>SUMIFS(Xero!$F:$F,Xero!$B:$B,Heron!T$9,Xero!$A:$A,Heron!$A$4,Xero!$E:$E,Heron!$A77)+SUMIFS(Xero!$F:$F,Xero!$B:$B,Heron!T$9,Xero!$A:$A,Heron!$A$5,Xero!$E:$E,Heron!$A77)</f>
        <v/>
      </c>
      <c r="U77" s="66">
        <f>SUMIFS(Xero!$F:$F,Xero!$B:$B,Heron!U$9,Xero!$A:$A,Heron!$A$4,Xero!$E:$E,Heron!$A77)+SUMIFS(Xero!$F:$F,Xero!$B:$B,Heron!U$9,Xero!$A:$A,Heron!$A$5,Xero!$E:$E,Heron!$A77)</f>
        <v/>
      </c>
      <c r="V77" s="66">
        <f>SUMIFS(Xero!$F:$F,Xero!$B:$B,Heron!V$9,Xero!$A:$A,Heron!$A$4,Xero!$E:$E,Heron!$A77)+SUMIFS(Xero!$F:$F,Xero!$B:$B,Heron!V$9,Xero!$A:$A,Heron!$A$5,Xero!$E:$E,Heron!$A77)</f>
        <v/>
      </c>
      <c r="W77" s="66">
        <f>SUMIFS(Xero!$F:$F,Xero!$B:$B,Heron!W$9,Xero!$A:$A,Heron!$A$4,Xero!$E:$E,Heron!$A77)+SUMIFS(Xero!$F:$F,Xero!$B:$B,Heron!W$9,Xero!$A:$A,Heron!$A$5,Xero!$E:$E,Heron!$A77)</f>
        <v/>
      </c>
      <c r="X77" s="66">
        <f>SUMIFS(Xero!$F:$F,Xero!$B:$B,Heron!X$9,Xero!$A:$A,Heron!$A$4,Xero!$E:$E,Heron!$A77)+SUMIFS(Xero!$F:$F,Xero!$B:$B,Heron!X$9,Xero!$A:$A,Heron!$A$5,Xero!$E:$E,Heron!$A77)</f>
        <v/>
      </c>
      <c r="Y77" s="66">
        <f>SUMIFS(Xero!$F:$F,Xero!$B:$B,Heron!Y$9,Xero!$A:$A,Heron!$A$4,Xero!$E:$E,Heron!$A77)+SUMIFS(Xero!$F:$F,Xero!$B:$B,Heron!Y$9,Xero!$A:$A,Heron!$A$5,Xero!$E:$E,Heron!$A77)</f>
        <v/>
      </c>
      <c r="Z77" s="66">
        <f>SUMIFS(Xero!$F:$F,Xero!$B:$B,Heron!Z$9,Xero!$A:$A,Heron!$A$4,Xero!$E:$E,Heron!$A77)+SUMIFS(Xero!$F:$F,Xero!$B:$B,Heron!Z$9,Xero!$A:$A,Heron!$A$5,Xero!$E:$E,Heron!$A77)</f>
        <v/>
      </c>
      <c r="AA77" s="66">
        <f>SUMIFS(Xero!$F:$F,Xero!$B:$B,Heron!AA$9,Xero!$A:$A,Heron!$A$4,Xero!$E:$E,Heron!$A77)+SUMIFS(Xero!$F:$F,Xero!$B:$B,Heron!AA$9,Xero!$A:$A,Heron!$A$5,Xero!$E:$E,Heron!$A77)</f>
        <v/>
      </c>
      <c r="AB77" s="66">
        <f>SUMIFS(Xero!$F:$F,Xero!$B:$B,Heron!AB$9,Xero!$A:$A,Heron!$A$4,Xero!$E:$E,Heron!$A77)+SUMIFS(Xero!$F:$F,Xero!$B:$B,Heron!AB$9,Xero!$A:$A,Heron!$A$5,Xero!$E:$E,Heron!$A77)</f>
        <v/>
      </c>
      <c r="AC77" s="66">
        <f>SUMIFS(Xero!$F:$F,Xero!$B:$B,Heron!AC$9,Xero!$A:$A,Heron!$A$4,Xero!$E:$E,Heron!$A77)+SUMIFS(Xero!$F:$F,Xero!$B:$B,Heron!AC$9,Xero!$A:$A,Heron!$A$5,Xero!$E:$E,Heron!$A77)</f>
        <v/>
      </c>
      <c r="AD77" s="66">
        <f>SUMIFS(Xero!$F:$F,Xero!$B:$B,Heron!AD$9,Xero!$A:$A,Heron!$A$4,Xero!$E:$E,Heron!$A77)+SUMIFS(Xero!$F:$F,Xero!$B:$B,Heron!AD$9,Xero!$A:$A,Heron!$A$5,Xero!$E:$E,Heron!$A77)</f>
        <v/>
      </c>
      <c r="AE77" s="66">
        <f>SUMIFS(Xero!$F:$F,Xero!$B:$B,Heron!AE$9,Xero!$A:$A,Heron!$A$4,Xero!$E:$E,Heron!$A77)+SUMIFS(Xero!$F:$F,Xero!$B:$B,Heron!AE$9,Xero!$A:$A,Heron!$A$5,Xero!$E:$E,Heron!$A77)</f>
        <v/>
      </c>
      <c r="AF77" s="66">
        <f>SUMIFS(Xero!$F:$F,Xero!$B:$B,Heron!AF$9,Xero!$A:$A,Heron!$A$4,Xero!$E:$E,Heron!$A77)+SUMIFS(Xero!$F:$F,Xero!$B:$B,Heron!AF$9,Xero!$A:$A,Heron!$A$5,Xero!$E:$E,Heron!$A77)</f>
        <v/>
      </c>
      <c r="AG77" s="66">
        <f>SUMIFS(Xero!$F:$F,Xero!$B:$B,Heron!AG$9,Xero!$A:$A,Heron!$A$4,Xero!$E:$E,Heron!$A77)+SUMIFS(Xero!$F:$F,Xero!$B:$B,Heron!AG$9,Xero!$A:$A,Heron!$A$5,Xero!$E:$E,Heron!$A77)</f>
        <v/>
      </c>
      <c r="AH77" s="66">
        <f>SUMIFS(Xero!$F:$F,Xero!$B:$B,Heron!AH$9,Xero!$A:$A,Heron!$A$4,Xero!$E:$E,Heron!$A77)+SUMIFS(Xero!$F:$F,Xero!$B:$B,Heron!AH$9,Xero!$A:$A,Heron!$A$5,Xero!$E:$E,Heron!$A77)</f>
        <v/>
      </c>
      <c r="AI77" s="66">
        <f>SUMIFS(Xero!$F:$F,Xero!$B:$B,Heron!AI$9,Xero!$A:$A,Heron!$A$4,Xero!$E:$E,Heron!$A77)+SUMIFS(Xero!$F:$F,Xero!$B:$B,Heron!AI$9,Xero!$A:$A,Heron!$A$5,Xero!$E:$E,Heron!$A77)</f>
        <v/>
      </c>
      <c r="AJ77" s="66">
        <f>SUMIFS(Xero!$F:$F,Xero!$B:$B,Heron!AJ$9,Xero!$A:$A,Heron!$A$4,Xero!$E:$E,Heron!$A77)+SUMIFS(Xero!$F:$F,Xero!$B:$B,Heron!AJ$9,Xero!$A:$A,Heron!$A$5,Xero!$E:$E,Heron!$A77)</f>
        <v/>
      </c>
      <c r="AK77" s="66">
        <f>SUMIFS(Xero!$F:$F,Xero!$B:$B,Heron!AK$9,Xero!$A:$A,Heron!$A$4,Xero!$E:$E,Heron!$A77)+SUMIFS(Xero!$F:$F,Xero!$B:$B,Heron!AK$9,Xero!$A:$A,Heron!$A$5,Xero!$E:$E,Heron!$A77)</f>
        <v/>
      </c>
      <c r="AL77" s="66">
        <f>SUMIFS(Xero!$F:$F,Xero!$B:$B,Heron!AL$9,Xero!$A:$A,Heron!$A$4,Xero!$E:$E,Heron!$A77)+SUMIFS(Xero!$F:$F,Xero!$B:$B,Heron!AL$9,Xero!$A:$A,Heron!$A$5,Xero!$E:$E,Heron!$A77)</f>
        <v/>
      </c>
      <c r="AM77" s="66">
        <f>SUMIFS(Xero!$F:$F,Xero!$B:$B,Heron!AM$9,Xero!$A:$A,Heron!$A$4,Xero!$E:$E,Heron!$A77)+SUMIFS(Xero!$F:$F,Xero!$B:$B,Heron!AM$9,Xero!$A:$A,Heron!$A$5,Xero!$E:$E,Heron!$A77)</f>
        <v/>
      </c>
      <c r="AN77" s="66">
        <f>SUMIFS(Xero!$F:$F,Xero!$B:$B,Heron!AN$9,Xero!$A:$A,Heron!$A$4,Xero!$E:$E,Heron!$A77)+SUMIFS(Xero!$F:$F,Xero!$B:$B,Heron!AN$9,Xero!$A:$A,Heron!$A$5,Xero!$E:$E,Heron!$A77)</f>
        <v/>
      </c>
      <c r="AO77" s="66">
        <f>SUMIFS(Xero!$F:$F,Xero!$B:$B,Heron!AO$9,Xero!$A:$A,Heron!$A$4,Xero!$E:$E,Heron!$A77)+SUMIFS(Xero!$F:$F,Xero!$B:$B,Heron!AO$9,Xero!$A:$A,Heron!$A$5,Xero!$E:$E,Heron!$A77)</f>
        <v/>
      </c>
      <c r="AP77" s="66">
        <f>SUMIFS(Xero!$F:$F,Xero!$B:$B,Heron!AP$9,Xero!$A:$A,Heron!$A$4,Xero!$E:$E,Heron!$A77)+SUMIFS(Xero!$F:$F,Xero!$B:$B,Heron!AP$9,Xero!$A:$A,Heron!$A$5,Xero!$E:$E,Heron!$A77)</f>
        <v/>
      </c>
      <c r="AQ77" s="66">
        <f>SUMIFS(Xero!$F:$F,Xero!$B:$B,Heron!AQ$9,Xero!$A:$A,Heron!$A$4,Xero!$E:$E,Heron!$A77)+SUMIFS(Xero!$F:$F,Xero!$B:$B,Heron!AQ$9,Xero!$A:$A,Heron!$A$5,Xero!$E:$E,Heron!$A77)</f>
        <v/>
      </c>
      <c r="AR77" s="66">
        <f>SUMIFS(Xero!$F:$F,Xero!$B:$B,Heron!AR$9,Xero!$A:$A,Heron!$A$4,Xero!$E:$E,Heron!$A77)+SUMIFS(Xero!$F:$F,Xero!$B:$B,Heron!AR$9,Xero!$A:$A,Heron!$A$5,Xero!$E:$E,Heron!$A77)</f>
        <v/>
      </c>
      <c r="AS77" s="66">
        <f>SUMIFS(Xero!$F:$F,Xero!$B:$B,Heron!AS$9,Xero!$A:$A,Heron!$A$4,Xero!$E:$E,Heron!$A77)+SUMIFS(Xero!$F:$F,Xero!$B:$B,Heron!AS$9,Xero!$A:$A,Heron!$A$5,Xero!$E:$E,Heron!$A77)</f>
        <v/>
      </c>
      <c r="AT77" s="66">
        <f>SUMIFS(Xero!$F:$F,Xero!$B:$B,Heron!AT$9,Xero!$A:$A,Heron!$A$4,Xero!$E:$E,Heron!$A77)+SUMIFS(Xero!$F:$F,Xero!$B:$B,Heron!AT$9,Xero!$A:$A,Heron!$A$5,Xero!$E:$E,Heron!$A77)</f>
        <v/>
      </c>
      <c r="AU77" s="66">
        <f>SUMIFS(Xero!$F:$F,Xero!$B:$B,Heron!AU$9,Xero!$A:$A,Heron!$A$4,Xero!$E:$E,Heron!$A77)+SUMIFS(Xero!$F:$F,Xero!$B:$B,Heron!AU$9,Xero!$A:$A,Heron!$A$5,Xero!$E:$E,Heron!$A77)</f>
        <v/>
      </c>
      <c r="AV77" s="66">
        <f>SUMIFS(Xero!$F:$F,Xero!$B:$B,Heron!AV$9,Xero!$A:$A,Heron!$A$4,Xero!$E:$E,Heron!$A77)+SUMIFS(Xero!$F:$F,Xero!$B:$B,Heron!AV$9,Xero!$A:$A,Heron!$A$5,Xero!$E:$E,Heron!$A77)</f>
        <v/>
      </c>
      <c r="AW77" s="66">
        <f>SUMIFS(Xero!$F:$F,Xero!$B:$B,Heron!AW$9,Xero!$A:$A,Heron!$A$4,Xero!$E:$E,Heron!$A77)+SUMIFS(Xero!$F:$F,Xero!$B:$B,Heron!AW$9,Xero!$A:$A,Heron!$A$5,Xero!$E:$E,Heron!$A77)</f>
        <v/>
      </c>
      <c r="AX77" s="66">
        <f>SUMIFS(Xero!$F:$F,Xero!$B:$B,Heron!AX$9,Xero!$A:$A,Heron!$A$4,Xero!$E:$E,Heron!$A77)+SUMIFS(Xero!$F:$F,Xero!$B:$B,Heron!AX$9,Xero!$A:$A,Heron!$A$5,Xero!$E:$E,Heron!$A77)</f>
        <v/>
      </c>
      <c r="AY77" s="66">
        <f>SUMIFS(Xero!$F:$F,Xero!$B:$B,Heron!AY$9,Xero!$A:$A,Heron!$A$4,Xero!$E:$E,Heron!$A77)+SUMIFS(Xero!$F:$F,Xero!$B:$B,Heron!AY$9,Xero!$A:$A,Heron!$A$5,Xero!$E:$E,Heron!$A77)</f>
        <v/>
      </c>
      <c r="AZ77" s="66">
        <f>SUMIFS(Xero!$F:$F,Xero!$B:$B,Heron!AZ$9,Xero!$A:$A,Heron!$A$4,Xero!$E:$E,Heron!$A77)+SUMIFS(Xero!$F:$F,Xero!$B:$B,Heron!AZ$9,Xero!$A:$A,Heron!$A$5,Xero!$E:$E,Heron!$A77)</f>
        <v/>
      </c>
      <c r="BA77" s="66">
        <f>SUMIFS(Xero!$F:$F,Xero!$B:$B,Heron!BA$9,Xero!$A:$A,Heron!$A$4,Xero!$E:$E,Heron!$A77)+SUMIFS(Xero!$F:$F,Xero!$B:$B,Heron!BA$9,Xero!$A:$A,Heron!$A$5,Xero!$E:$E,Heron!$A77)</f>
        <v/>
      </c>
      <c r="BB77" s="66">
        <f>SUMIFS(Xero!$F:$F,Xero!$B:$B,Heron!BB$9,Xero!$A:$A,Heron!$A$4,Xero!$E:$E,Heron!$A77)+SUMIFS(Xero!$F:$F,Xero!$B:$B,Heron!BB$9,Xero!$A:$A,Heron!$A$5,Xero!$E:$E,Heron!$A77)</f>
        <v/>
      </c>
      <c r="BC77" s="66">
        <f>SUMIFS(Xero!$F:$F,Xero!$B:$B,Heron!BC$9,Xero!$A:$A,Heron!$A$4,Xero!$E:$E,Heron!$A77)+SUMIFS(Xero!$F:$F,Xero!$B:$B,Heron!BC$9,Xero!$A:$A,Heron!$A$5,Xero!$E:$E,Heron!$A77)</f>
        <v/>
      </c>
      <c r="BD77" s="66">
        <f>SUMIFS(Xero!$F:$F,Xero!$B:$B,Heron!BD$9,Xero!$A:$A,Heron!$A$4,Xero!$E:$E,Heron!$A77)+SUMIFS(Xero!$F:$F,Xero!$B:$B,Heron!BD$9,Xero!$A:$A,Heron!$A$5,Xero!$E:$E,Heron!$A77)</f>
        <v/>
      </c>
      <c r="BE77" s="66">
        <f>SUMIFS(Xero!$F:$F,Xero!$B:$B,Heron!BE$9,Xero!$A:$A,Heron!$A$4,Xero!$E:$E,Heron!$A77)+SUMIFS(Xero!$F:$F,Xero!$B:$B,Heron!BE$9,Xero!$A:$A,Heron!$A$5,Xero!$E:$E,Heron!$A77)</f>
        <v/>
      </c>
      <c r="BF77" s="66">
        <f>SUMIFS(Xero!$F:$F,Xero!$B:$B,Heron!BF$9,Xero!$A:$A,Heron!$A$4,Xero!$E:$E,Heron!$A77)+SUMIFS(Xero!$F:$F,Xero!$B:$B,Heron!BF$9,Xero!$A:$A,Heron!$A$5,Xero!$E:$E,Heron!$A77)</f>
        <v/>
      </c>
      <c r="BG77" s="66">
        <f>SUMIFS(Xero!$F:$F,Xero!$B:$B,Heron!BG$9,Xero!$A:$A,Heron!$A$4,Xero!$E:$E,Heron!$A77)+SUMIFS(Xero!$F:$F,Xero!$B:$B,Heron!BG$9,Xero!$A:$A,Heron!$A$5,Xero!$E:$E,Heron!$A77)</f>
        <v/>
      </c>
      <c r="BH77" s="66">
        <f>sum(D77:BG77)</f>
        <v/>
      </c>
    </row>
    <row r="78">
      <c r="A78" s="65" t="inlineStr">
        <is>
          <t>Interest Paid - Investors @ 7%</t>
        </is>
      </c>
      <c r="D78" s="66">
        <f>SUMIFS(Xero!$F:$F,Xero!$B:$B,Heron!D$9,Xero!$A:$A,Heron!$A$4,Xero!$E:$E,Heron!$A78)+SUMIFS(Xero!$F:$F,Xero!$B:$B,Heron!D$9,Xero!$A:$A,Heron!$A$5,Xero!$E:$E,Heron!$A78)</f>
        <v/>
      </c>
      <c r="E78" s="66">
        <f>SUMIFS(Xero!$F:$F,Xero!$B:$B,Heron!E$9,Xero!$A:$A,Heron!$A$4,Xero!$E:$E,Heron!$A78)+SUMIFS(Xero!$F:$F,Xero!$B:$B,Heron!E$9,Xero!$A:$A,Heron!$A$5,Xero!$E:$E,Heron!$A78)</f>
        <v/>
      </c>
      <c r="F78" s="66">
        <f>SUMIFS(Xero!$F:$F,Xero!$B:$B,Heron!F$9,Xero!$A:$A,Heron!$A$4,Xero!$E:$E,Heron!$A78)+SUMIFS(Xero!$F:$F,Xero!$B:$B,Heron!F$9,Xero!$A:$A,Heron!$A$5,Xero!$E:$E,Heron!$A78)</f>
        <v/>
      </c>
      <c r="G78" s="66">
        <f>SUMIFS(Xero!$F:$F,Xero!$B:$B,Heron!G$9,Xero!$A:$A,Heron!$A$4,Xero!$E:$E,Heron!$A78)+SUMIFS(Xero!$F:$F,Xero!$B:$B,Heron!G$9,Xero!$A:$A,Heron!$A$5,Xero!$E:$E,Heron!$A78)</f>
        <v/>
      </c>
      <c r="H78" s="66">
        <f>SUMIFS(Xero!$F:$F,Xero!$B:$B,Heron!H$9,Xero!$A:$A,Heron!$A$4,Xero!$E:$E,Heron!$A78)+SUMIFS(Xero!$F:$F,Xero!$B:$B,Heron!H$9,Xero!$A:$A,Heron!$A$5,Xero!$E:$E,Heron!$A78)</f>
        <v/>
      </c>
      <c r="I78" s="66">
        <f>SUMIFS(Xero!$F:$F,Xero!$B:$B,Heron!I$9,Xero!$A:$A,Heron!$A$4,Xero!$E:$E,Heron!$A78)+SUMIFS(Xero!$F:$F,Xero!$B:$B,Heron!I$9,Xero!$A:$A,Heron!$A$5,Xero!$E:$E,Heron!$A78)</f>
        <v/>
      </c>
      <c r="J78" s="66">
        <f>SUMIFS(Xero!$F:$F,Xero!$B:$B,Heron!J$9,Xero!$A:$A,Heron!$A$4,Xero!$E:$E,Heron!$A78)+SUMIFS(Xero!$F:$F,Xero!$B:$B,Heron!J$9,Xero!$A:$A,Heron!$A$5,Xero!$E:$E,Heron!$A78)</f>
        <v/>
      </c>
      <c r="K78" s="66">
        <f>SUMIFS(Xero!$F:$F,Xero!$B:$B,Heron!K$9,Xero!$A:$A,Heron!$A$4,Xero!$E:$E,Heron!$A78)+SUMIFS(Xero!$F:$F,Xero!$B:$B,Heron!K$9,Xero!$A:$A,Heron!$A$5,Xero!$E:$E,Heron!$A78)</f>
        <v/>
      </c>
      <c r="L78" s="66">
        <f>SUMIFS(Xero!$F:$F,Xero!$B:$B,Heron!L$9,Xero!$A:$A,Heron!$A$4,Xero!$E:$E,Heron!$A78)+SUMIFS(Xero!$F:$F,Xero!$B:$B,Heron!L$9,Xero!$A:$A,Heron!$A$5,Xero!$E:$E,Heron!$A78)</f>
        <v/>
      </c>
      <c r="M78" s="66">
        <f>SUMIFS(Xero!$F:$F,Xero!$B:$B,Heron!M$9,Xero!$A:$A,Heron!$A$4,Xero!$E:$E,Heron!$A78)+SUMIFS(Xero!$F:$F,Xero!$B:$B,Heron!M$9,Xero!$A:$A,Heron!$A$5,Xero!$E:$E,Heron!$A78)</f>
        <v/>
      </c>
      <c r="N78" s="66">
        <f>SUMIFS(Xero!$F:$F,Xero!$B:$B,Heron!N$9,Xero!$A:$A,Heron!$A$4,Xero!$E:$E,Heron!$A78)+SUMIFS(Xero!$F:$F,Xero!$B:$B,Heron!N$9,Xero!$A:$A,Heron!$A$5,Xero!$E:$E,Heron!$A78)</f>
        <v/>
      </c>
      <c r="O78" s="66">
        <f>SUMIFS(Xero!$F:$F,Xero!$B:$B,Heron!O$9,Xero!$A:$A,Heron!$A$4,Xero!$E:$E,Heron!$A78)+SUMIFS(Xero!$F:$F,Xero!$B:$B,Heron!O$9,Xero!$A:$A,Heron!$A$5,Xero!$E:$E,Heron!$A78)</f>
        <v/>
      </c>
      <c r="P78" s="66">
        <f>SUMIFS(Xero!$F:$F,Xero!$B:$B,Heron!P$9,Xero!$A:$A,Heron!$A$4,Xero!$E:$E,Heron!$A78)+SUMIFS(Xero!$F:$F,Xero!$B:$B,Heron!P$9,Xero!$A:$A,Heron!$A$5,Xero!$E:$E,Heron!$A78)</f>
        <v/>
      </c>
      <c r="Q78" s="66">
        <f>SUMIFS(Xero!$F:$F,Xero!$B:$B,Heron!Q$9,Xero!$A:$A,Heron!$A$4,Xero!$E:$E,Heron!$A78)+SUMIFS(Xero!$F:$F,Xero!$B:$B,Heron!Q$9,Xero!$A:$A,Heron!$A$5,Xero!$E:$E,Heron!$A78)</f>
        <v/>
      </c>
      <c r="R78" s="66">
        <f>SUMIFS(Xero!$F:$F,Xero!$B:$B,Heron!R$9,Xero!$A:$A,Heron!$A$4,Xero!$E:$E,Heron!$A78)+SUMIFS(Xero!$F:$F,Xero!$B:$B,Heron!R$9,Xero!$A:$A,Heron!$A$5,Xero!$E:$E,Heron!$A78)</f>
        <v/>
      </c>
      <c r="S78" s="66">
        <f>SUMIFS(Xero!$F:$F,Xero!$B:$B,Heron!S$9,Xero!$A:$A,Heron!$A$4,Xero!$E:$E,Heron!$A78)+SUMIFS(Xero!$F:$F,Xero!$B:$B,Heron!S$9,Xero!$A:$A,Heron!$A$5,Xero!$E:$E,Heron!$A78)</f>
        <v/>
      </c>
      <c r="T78" s="66">
        <f>SUMIFS(Xero!$F:$F,Xero!$B:$B,Heron!T$9,Xero!$A:$A,Heron!$A$4,Xero!$E:$E,Heron!$A78)+SUMIFS(Xero!$F:$F,Xero!$B:$B,Heron!T$9,Xero!$A:$A,Heron!$A$5,Xero!$E:$E,Heron!$A78)</f>
        <v/>
      </c>
      <c r="U78" s="66">
        <f>SUMIFS(Xero!$F:$F,Xero!$B:$B,Heron!U$9,Xero!$A:$A,Heron!$A$4,Xero!$E:$E,Heron!$A78)+SUMIFS(Xero!$F:$F,Xero!$B:$B,Heron!U$9,Xero!$A:$A,Heron!$A$5,Xero!$E:$E,Heron!$A78)</f>
        <v/>
      </c>
      <c r="V78" s="66">
        <f>SUMIFS(Xero!$F:$F,Xero!$B:$B,Heron!V$9,Xero!$A:$A,Heron!$A$4,Xero!$E:$E,Heron!$A78)+SUMIFS(Xero!$F:$F,Xero!$B:$B,Heron!V$9,Xero!$A:$A,Heron!$A$5,Xero!$E:$E,Heron!$A78)</f>
        <v/>
      </c>
      <c r="W78" s="66">
        <f>SUMIFS(Xero!$F:$F,Xero!$B:$B,Heron!W$9,Xero!$A:$A,Heron!$A$4,Xero!$E:$E,Heron!$A78)+SUMIFS(Xero!$F:$F,Xero!$B:$B,Heron!W$9,Xero!$A:$A,Heron!$A$5,Xero!$E:$E,Heron!$A78)</f>
        <v/>
      </c>
      <c r="X78" s="66">
        <f>SUMIFS(Xero!$F:$F,Xero!$B:$B,Heron!X$9,Xero!$A:$A,Heron!$A$4,Xero!$E:$E,Heron!$A78)+SUMIFS(Xero!$F:$F,Xero!$B:$B,Heron!X$9,Xero!$A:$A,Heron!$A$5,Xero!$E:$E,Heron!$A78)</f>
        <v/>
      </c>
      <c r="Y78" s="66">
        <f>SUMIFS(Xero!$F:$F,Xero!$B:$B,Heron!Y$9,Xero!$A:$A,Heron!$A$4,Xero!$E:$E,Heron!$A78)+SUMIFS(Xero!$F:$F,Xero!$B:$B,Heron!Y$9,Xero!$A:$A,Heron!$A$5,Xero!$E:$E,Heron!$A78)</f>
        <v/>
      </c>
      <c r="Z78" s="66">
        <f>SUMIFS(Xero!$F:$F,Xero!$B:$B,Heron!Z$9,Xero!$A:$A,Heron!$A$4,Xero!$E:$E,Heron!$A78)+SUMIFS(Xero!$F:$F,Xero!$B:$B,Heron!Z$9,Xero!$A:$A,Heron!$A$5,Xero!$E:$E,Heron!$A78)</f>
        <v/>
      </c>
      <c r="AA78" s="66">
        <f>SUMIFS(Xero!$F:$F,Xero!$B:$B,Heron!AA$9,Xero!$A:$A,Heron!$A$4,Xero!$E:$E,Heron!$A78)+SUMIFS(Xero!$F:$F,Xero!$B:$B,Heron!AA$9,Xero!$A:$A,Heron!$A$5,Xero!$E:$E,Heron!$A78)</f>
        <v/>
      </c>
      <c r="AB78" s="66">
        <f>SUMIFS(Xero!$F:$F,Xero!$B:$B,Heron!AB$9,Xero!$A:$A,Heron!$A$4,Xero!$E:$E,Heron!$A78)+SUMIFS(Xero!$F:$F,Xero!$B:$B,Heron!AB$9,Xero!$A:$A,Heron!$A$5,Xero!$E:$E,Heron!$A78)</f>
        <v/>
      </c>
      <c r="AC78" s="66">
        <f>SUMIFS(Xero!$F:$F,Xero!$B:$B,Heron!AC$9,Xero!$A:$A,Heron!$A$4,Xero!$E:$E,Heron!$A78)+SUMIFS(Xero!$F:$F,Xero!$B:$B,Heron!AC$9,Xero!$A:$A,Heron!$A$5,Xero!$E:$E,Heron!$A78)</f>
        <v/>
      </c>
      <c r="AD78" s="66">
        <f>SUMIFS(Xero!$F:$F,Xero!$B:$B,Heron!AD$9,Xero!$A:$A,Heron!$A$4,Xero!$E:$E,Heron!$A78)+SUMIFS(Xero!$F:$F,Xero!$B:$B,Heron!AD$9,Xero!$A:$A,Heron!$A$5,Xero!$E:$E,Heron!$A78)</f>
        <v/>
      </c>
      <c r="AE78" s="66">
        <f>SUMIFS(Xero!$F:$F,Xero!$B:$B,Heron!AE$9,Xero!$A:$A,Heron!$A$4,Xero!$E:$E,Heron!$A78)+SUMIFS(Xero!$F:$F,Xero!$B:$B,Heron!AE$9,Xero!$A:$A,Heron!$A$5,Xero!$E:$E,Heron!$A78)</f>
        <v/>
      </c>
      <c r="AF78" s="66">
        <f>SUMIFS(Xero!$F:$F,Xero!$B:$B,Heron!AF$9,Xero!$A:$A,Heron!$A$4,Xero!$E:$E,Heron!$A78)+SUMIFS(Xero!$F:$F,Xero!$B:$B,Heron!AF$9,Xero!$A:$A,Heron!$A$5,Xero!$E:$E,Heron!$A78)</f>
        <v/>
      </c>
      <c r="AG78" s="66">
        <f>SUMIFS(Xero!$F:$F,Xero!$B:$B,Heron!AG$9,Xero!$A:$A,Heron!$A$4,Xero!$E:$E,Heron!$A78)+SUMIFS(Xero!$F:$F,Xero!$B:$B,Heron!AG$9,Xero!$A:$A,Heron!$A$5,Xero!$E:$E,Heron!$A78)</f>
        <v/>
      </c>
      <c r="AH78" s="66">
        <f>SUMIFS(Xero!$F:$F,Xero!$B:$B,Heron!AH$9,Xero!$A:$A,Heron!$A$4,Xero!$E:$E,Heron!$A78)+SUMIFS(Xero!$F:$F,Xero!$B:$B,Heron!AH$9,Xero!$A:$A,Heron!$A$5,Xero!$E:$E,Heron!$A78)</f>
        <v/>
      </c>
      <c r="AI78" s="66">
        <f>SUMIFS(Xero!$F:$F,Xero!$B:$B,Heron!AI$9,Xero!$A:$A,Heron!$A$4,Xero!$E:$E,Heron!$A78)+SUMIFS(Xero!$F:$F,Xero!$B:$B,Heron!AI$9,Xero!$A:$A,Heron!$A$5,Xero!$E:$E,Heron!$A78)</f>
        <v/>
      </c>
      <c r="AJ78" s="66">
        <f>SUMIFS(Xero!$F:$F,Xero!$B:$B,Heron!AJ$9,Xero!$A:$A,Heron!$A$4,Xero!$E:$E,Heron!$A78)+SUMIFS(Xero!$F:$F,Xero!$B:$B,Heron!AJ$9,Xero!$A:$A,Heron!$A$5,Xero!$E:$E,Heron!$A78)</f>
        <v/>
      </c>
      <c r="AK78" s="66">
        <f>SUMIFS(Xero!$F:$F,Xero!$B:$B,Heron!AK$9,Xero!$A:$A,Heron!$A$4,Xero!$E:$E,Heron!$A78)+SUMIFS(Xero!$F:$F,Xero!$B:$B,Heron!AK$9,Xero!$A:$A,Heron!$A$5,Xero!$E:$E,Heron!$A78)</f>
        <v/>
      </c>
      <c r="AL78" s="66">
        <f>SUMIFS(Xero!$F:$F,Xero!$B:$B,Heron!AL$9,Xero!$A:$A,Heron!$A$4,Xero!$E:$E,Heron!$A78)+SUMIFS(Xero!$F:$F,Xero!$B:$B,Heron!AL$9,Xero!$A:$A,Heron!$A$5,Xero!$E:$E,Heron!$A78)</f>
        <v/>
      </c>
      <c r="AM78" s="66">
        <f>SUMIFS(Xero!$F:$F,Xero!$B:$B,Heron!AM$9,Xero!$A:$A,Heron!$A$4,Xero!$E:$E,Heron!$A78)+SUMIFS(Xero!$F:$F,Xero!$B:$B,Heron!AM$9,Xero!$A:$A,Heron!$A$5,Xero!$E:$E,Heron!$A78)</f>
        <v/>
      </c>
      <c r="AN78" s="66">
        <f>SUMIFS(Xero!$F:$F,Xero!$B:$B,Heron!AN$9,Xero!$A:$A,Heron!$A$4,Xero!$E:$E,Heron!$A78)+SUMIFS(Xero!$F:$F,Xero!$B:$B,Heron!AN$9,Xero!$A:$A,Heron!$A$5,Xero!$E:$E,Heron!$A78)</f>
        <v/>
      </c>
      <c r="AO78" s="66">
        <f>SUMIFS(Xero!$F:$F,Xero!$B:$B,Heron!AO$9,Xero!$A:$A,Heron!$A$4,Xero!$E:$E,Heron!$A78)+SUMIFS(Xero!$F:$F,Xero!$B:$B,Heron!AO$9,Xero!$A:$A,Heron!$A$5,Xero!$E:$E,Heron!$A78)</f>
        <v/>
      </c>
      <c r="AP78" s="66">
        <f>SUMIFS(Xero!$F:$F,Xero!$B:$B,Heron!AP$9,Xero!$A:$A,Heron!$A$4,Xero!$E:$E,Heron!$A78)+SUMIFS(Xero!$F:$F,Xero!$B:$B,Heron!AP$9,Xero!$A:$A,Heron!$A$5,Xero!$E:$E,Heron!$A78)</f>
        <v/>
      </c>
      <c r="AQ78" s="66">
        <f>SUMIFS(Xero!$F:$F,Xero!$B:$B,Heron!AQ$9,Xero!$A:$A,Heron!$A$4,Xero!$E:$E,Heron!$A78)+SUMIFS(Xero!$F:$F,Xero!$B:$B,Heron!AQ$9,Xero!$A:$A,Heron!$A$5,Xero!$E:$E,Heron!$A78)</f>
        <v/>
      </c>
      <c r="AR78" s="66">
        <f>SUMIFS(Xero!$F:$F,Xero!$B:$B,Heron!AR$9,Xero!$A:$A,Heron!$A$4,Xero!$E:$E,Heron!$A78)+SUMIFS(Xero!$F:$F,Xero!$B:$B,Heron!AR$9,Xero!$A:$A,Heron!$A$5,Xero!$E:$E,Heron!$A78)</f>
        <v/>
      </c>
      <c r="AS78" s="66">
        <f>SUMIFS(Xero!$F:$F,Xero!$B:$B,Heron!AS$9,Xero!$A:$A,Heron!$A$4,Xero!$E:$E,Heron!$A78)+SUMIFS(Xero!$F:$F,Xero!$B:$B,Heron!AS$9,Xero!$A:$A,Heron!$A$5,Xero!$E:$E,Heron!$A78)</f>
        <v/>
      </c>
      <c r="AT78" s="66">
        <f>SUMIFS(Xero!$F:$F,Xero!$B:$B,Heron!AT$9,Xero!$A:$A,Heron!$A$4,Xero!$E:$E,Heron!$A78)+SUMIFS(Xero!$F:$F,Xero!$B:$B,Heron!AT$9,Xero!$A:$A,Heron!$A$5,Xero!$E:$E,Heron!$A78)</f>
        <v/>
      </c>
      <c r="AU78" s="66">
        <f>SUMIFS(Xero!$F:$F,Xero!$B:$B,Heron!AU$9,Xero!$A:$A,Heron!$A$4,Xero!$E:$E,Heron!$A78)+SUMIFS(Xero!$F:$F,Xero!$B:$B,Heron!AU$9,Xero!$A:$A,Heron!$A$5,Xero!$E:$E,Heron!$A78)</f>
        <v/>
      </c>
      <c r="AV78" s="66">
        <f>SUMIFS(Xero!$F:$F,Xero!$B:$B,Heron!AV$9,Xero!$A:$A,Heron!$A$4,Xero!$E:$E,Heron!$A78)+SUMIFS(Xero!$F:$F,Xero!$B:$B,Heron!AV$9,Xero!$A:$A,Heron!$A$5,Xero!$E:$E,Heron!$A78)</f>
        <v/>
      </c>
      <c r="AW78" s="66">
        <f>SUMIFS(Xero!$F:$F,Xero!$B:$B,Heron!AW$9,Xero!$A:$A,Heron!$A$4,Xero!$E:$E,Heron!$A78)+SUMIFS(Xero!$F:$F,Xero!$B:$B,Heron!AW$9,Xero!$A:$A,Heron!$A$5,Xero!$E:$E,Heron!$A78)</f>
        <v/>
      </c>
      <c r="AX78" s="66">
        <f>SUMIFS(Xero!$F:$F,Xero!$B:$B,Heron!AX$9,Xero!$A:$A,Heron!$A$4,Xero!$E:$E,Heron!$A78)+SUMIFS(Xero!$F:$F,Xero!$B:$B,Heron!AX$9,Xero!$A:$A,Heron!$A$5,Xero!$E:$E,Heron!$A78)</f>
        <v/>
      </c>
      <c r="AY78" s="66">
        <f>SUMIFS(Xero!$F:$F,Xero!$B:$B,Heron!AY$9,Xero!$A:$A,Heron!$A$4,Xero!$E:$E,Heron!$A78)+SUMIFS(Xero!$F:$F,Xero!$B:$B,Heron!AY$9,Xero!$A:$A,Heron!$A$5,Xero!$E:$E,Heron!$A78)</f>
        <v/>
      </c>
      <c r="AZ78" s="66">
        <f>SUMIFS(Xero!$F:$F,Xero!$B:$B,Heron!AZ$9,Xero!$A:$A,Heron!$A$4,Xero!$E:$E,Heron!$A78)+SUMIFS(Xero!$F:$F,Xero!$B:$B,Heron!AZ$9,Xero!$A:$A,Heron!$A$5,Xero!$E:$E,Heron!$A78)</f>
        <v/>
      </c>
      <c r="BA78" s="66">
        <f>SUMIFS(Xero!$F:$F,Xero!$B:$B,Heron!BA$9,Xero!$A:$A,Heron!$A$4,Xero!$E:$E,Heron!$A78)+SUMIFS(Xero!$F:$F,Xero!$B:$B,Heron!BA$9,Xero!$A:$A,Heron!$A$5,Xero!$E:$E,Heron!$A78)</f>
        <v/>
      </c>
      <c r="BB78" s="66">
        <f>SUMIFS(Xero!$F:$F,Xero!$B:$B,Heron!BB$9,Xero!$A:$A,Heron!$A$4,Xero!$E:$E,Heron!$A78)+SUMIFS(Xero!$F:$F,Xero!$B:$B,Heron!BB$9,Xero!$A:$A,Heron!$A$5,Xero!$E:$E,Heron!$A78)</f>
        <v/>
      </c>
      <c r="BC78" s="66">
        <f>SUMIFS(Xero!$F:$F,Xero!$B:$B,Heron!BC$9,Xero!$A:$A,Heron!$A$4,Xero!$E:$E,Heron!$A78)+SUMIFS(Xero!$F:$F,Xero!$B:$B,Heron!BC$9,Xero!$A:$A,Heron!$A$5,Xero!$E:$E,Heron!$A78)</f>
        <v/>
      </c>
      <c r="BD78" s="66">
        <f>SUMIFS(Xero!$F:$F,Xero!$B:$B,Heron!BD$9,Xero!$A:$A,Heron!$A$4,Xero!$E:$E,Heron!$A78)+SUMIFS(Xero!$F:$F,Xero!$B:$B,Heron!BD$9,Xero!$A:$A,Heron!$A$5,Xero!$E:$E,Heron!$A78)</f>
        <v/>
      </c>
      <c r="BE78" s="66">
        <f>SUMIFS(Xero!$F:$F,Xero!$B:$B,Heron!BE$9,Xero!$A:$A,Heron!$A$4,Xero!$E:$E,Heron!$A78)+SUMIFS(Xero!$F:$F,Xero!$B:$B,Heron!BE$9,Xero!$A:$A,Heron!$A$5,Xero!$E:$E,Heron!$A78)</f>
        <v/>
      </c>
      <c r="BF78" s="66">
        <f>SUMIFS(Xero!$F:$F,Xero!$B:$B,Heron!BF$9,Xero!$A:$A,Heron!$A$4,Xero!$E:$E,Heron!$A78)+SUMIFS(Xero!$F:$F,Xero!$B:$B,Heron!BF$9,Xero!$A:$A,Heron!$A$5,Xero!$E:$E,Heron!$A78)</f>
        <v/>
      </c>
      <c r="BG78" s="66">
        <f>SUMIFS(Xero!$F:$F,Xero!$B:$B,Heron!BG$9,Xero!$A:$A,Heron!$A$4,Xero!$E:$E,Heron!$A78)+SUMIFS(Xero!$F:$F,Xero!$B:$B,Heron!BG$9,Xero!$A:$A,Heron!$A$5,Xero!$E:$E,Heron!$A78)</f>
        <v/>
      </c>
      <c r="BH78" s="66">
        <f>sum(D78:BG78)</f>
        <v/>
      </c>
    </row>
    <row r="79">
      <c r="A79" s="65" t="inlineStr">
        <is>
          <t>Interest Paid - Investors @ 7.5%</t>
        </is>
      </c>
      <c r="D79" s="66">
        <f>SUMIFS(Xero!$F:$F,Xero!$B:$B,Heron!D$9,Xero!$A:$A,Heron!$A$4,Xero!$E:$E,Heron!$A79)+SUMIFS(Xero!$F:$F,Xero!$B:$B,Heron!D$9,Xero!$A:$A,Heron!$A$5,Xero!$E:$E,Heron!$A79)</f>
        <v/>
      </c>
      <c r="E79" s="66">
        <f>SUMIFS(Xero!$F:$F,Xero!$B:$B,Heron!E$9,Xero!$A:$A,Heron!$A$4,Xero!$E:$E,Heron!$A79)+SUMIFS(Xero!$F:$F,Xero!$B:$B,Heron!E$9,Xero!$A:$A,Heron!$A$5,Xero!$E:$E,Heron!$A79)</f>
        <v/>
      </c>
      <c r="F79" s="66">
        <f>SUMIFS(Xero!$F:$F,Xero!$B:$B,Heron!F$9,Xero!$A:$A,Heron!$A$4,Xero!$E:$E,Heron!$A79)+SUMIFS(Xero!$F:$F,Xero!$B:$B,Heron!F$9,Xero!$A:$A,Heron!$A$5,Xero!$E:$E,Heron!$A79)</f>
        <v/>
      </c>
      <c r="G79" s="66">
        <f>SUMIFS(Xero!$F:$F,Xero!$B:$B,Heron!G$9,Xero!$A:$A,Heron!$A$4,Xero!$E:$E,Heron!$A79)+SUMIFS(Xero!$F:$F,Xero!$B:$B,Heron!G$9,Xero!$A:$A,Heron!$A$5,Xero!$E:$E,Heron!$A79)</f>
        <v/>
      </c>
      <c r="H79" s="66">
        <f>SUMIFS(Xero!$F:$F,Xero!$B:$B,Heron!H$9,Xero!$A:$A,Heron!$A$4,Xero!$E:$E,Heron!$A79)+SUMIFS(Xero!$F:$F,Xero!$B:$B,Heron!H$9,Xero!$A:$A,Heron!$A$5,Xero!$E:$E,Heron!$A79)</f>
        <v/>
      </c>
      <c r="I79" s="66">
        <f>SUMIFS(Xero!$F:$F,Xero!$B:$B,Heron!I$9,Xero!$A:$A,Heron!$A$4,Xero!$E:$E,Heron!$A79)+SUMIFS(Xero!$F:$F,Xero!$B:$B,Heron!I$9,Xero!$A:$A,Heron!$A$5,Xero!$E:$E,Heron!$A79)</f>
        <v/>
      </c>
      <c r="J79" s="66">
        <f>SUMIFS(Xero!$F:$F,Xero!$B:$B,Heron!J$9,Xero!$A:$A,Heron!$A$4,Xero!$E:$E,Heron!$A79)+SUMIFS(Xero!$F:$F,Xero!$B:$B,Heron!J$9,Xero!$A:$A,Heron!$A$5,Xero!$E:$E,Heron!$A79)</f>
        <v/>
      </c>
      <c r="K79" s="66">
        <f>SUMIFS(Xero!$F:$F,Xero!$B:$B,Heron!K$9,Xero!$A:$A,Heron!$A$4,Xero!$E:$E,Heron!$A79)+SUMIFS(Xero!$F:$F,Xero!$B:$B,Heron!K$9,Xero!$A:$A,Heron!$A$5,Xero!$E:$E,Heron!$A79)</f>
        <v/>
      </c>
      <c r="L79" s="66">
        <f>SUMIFS(Xero!$F:$F,Xero!$B:$B,Heron!L$9,Xero!$A:$A,Heron!$A$4,Xero!$E:$E,Heron!$A79)+SUMIFS(Xero!$F:$F,Xero!$B:$B,Heron!L$9,Xero!$A:$A,Heron!$A$5,Xero!$E:$E,Heron!$A79)</f>
        <v/>
      </c>
      <c r="M79" s="66">
        <f>SUMIFS(Xero!$F:$F,Xero!$B:$B,Heron!M$9,Xero!$A:$A,Heron!$A$4,Xero!$E:$E,Heron!$A79)+SUMIFS(Xero!$F:$F,Xero!$B:$B,Heron!M$9,Xero!$A:$A,Heron!$A$5,Xero!$E:$E,Heron!$A79)</f>
        <v/>
      </c>
      <c r="N79" s="66">
        <f>SUMIFS(Xero!$F:$F,Xero!$B:$B,Heron!N$9,Xero!$A:$A,Heron!$A$4,Xero!$E:$E,Heron!$A79)+SUMIFS(Xero!$F:$F,Xero!$B:$B,Heron!N$9,Xero!$A:$A,Heron!$A$5,Xero!$E:$E,Heron!$A79)</f>
        <v/>
      </c>
      <c r="O79" s="66">
        <f>SUMIFS(Xero!$F:$F,Xero!$B:$B,Heron!O$9,Xero!$A:$A,Heron!$A$4,Xero!$E:$E,Heron!$A79)+SUMIFS(Xero!$F:$F,Xero!$B:$B,Heron!O$9,Xero!$A:$A,Heron!$A$5,Xero!$E:$E,Heron!$A79)</f>
        <v/>
      </c>
      <c r="P79" s="66">
        <f>SUMIFS(Xero!$F:$F,Xero!$B:$B,Heron!P$9,Xero!$A:$A,Heron!$A$4,Xero!$E:$E,Heron!$A79)+SUMIFS(Xero!$F:$F,Xero!$B:$B,Heron!P$9,Xero!$A:$A,Heron!$A$5,Xero!$E:$E,Heron!$A79)</f>
        <v/>
      </c>
      <c r="Q79" s="66">
        <f>SUMIFS(Xero!$F:$F,Xero!$B:$B,Heron!Q$9,Xero!$A:$A,Heron!$A$4,Xero!$E:$E,Heron!$A79)+SUMIFS(Xero!$F:$F,Xero!$B:$B,Heron!Q$9,Xero!$A:$A,Heron!$A$5,Xero!$E:$E,Heron!$A79)</f>
        <v/>
      </c>
      <c r="R79" s="66">
        <f>SUMIFS(Xero!$F:$F,Xero!$B:$B,Heron!R$9,Xero!$A:$A,Heron!$A$4,Xero!$E:$E,Heron!$A79)+SUMIFS(Xero!$F:$F,Xero!$B:$B,Heron!R$9,Xero!$A:$A,Heron!$A$5,Xero!$E:$E,Heron!$A79)</f>
        <v/>
      </c>
      <c r="S79" s="66">
        <f>SUMIFS(Xero!$F:$F,Xero!$B:$B,Heron!S$9,Xero!$A:$A,Heron!$A$4,Xero!$E:$E,Heron!$A79)+SUMIFS(Xero!$F:$F,Xero!$B:$B,Heron!S$9,Xero!$A:$A,Heron!$A$5,Xero!$E:$E,Heron!$A79)</f>
        <v/>
      </c>
      <c r="T79" s="66">
        <f>SUMIFS(Xero!$F:$F,Xero!$B:$B,Heron!T$9,Xero!$A:$A,Heron!$A$4,Xero!$E:$E,Heron!$A79)+SUMIFS(Xero!$F:$F,Xero!$B:$B,Heron!T$9,Xero!$A:$A,Heron!$A$5,Xero!$E:$E,Heron!$A79)</f>
        <v/>
      </c>
      <c r="U79" s="66">
        <f>SUMIFS(Xero!$F:$F,Xero!$B:$B,Heron!U$9,Xero!$A:$A,Heron!$A$4,Xero!$E:$E,Heron!$A79)+SUMIFS(Xero!$F:$F,Xero!$B:$B,Heron!U$9,Xero!$A:$A,Heron!$A$5,Xero!$E:$E,Heron!$A79)</f>
        <v/>
      </c>
      <c r="V79" s="66">
        <f>SUMIFS(Xero!$F:$F,Xero!$B:$B,Heron!V$9,Xero!$A:$A,Heron!$A$4,Xero!$E:$E,Heron!$A79)+SUMIFS(Xero!$F:$F,Xero!$B:$B,Heron!V$9,Xero!$A:$A,Heron!$A$5,Xero!$E:$E,Heron!$A79)</f>
        <v/>
      </c>
      <c r="W79" s="66">
        <f>SUMIFS(Xero!$F:$F,Xero!$B:$B,Heron!W$9,Xero!$A:$A,Heron!$A$4,Xero!$E:$E,Heron!$A79)+SUMIFS(Xero!$F:$F,Xero!$B:$B,Heron!W$9,Xero!$A:$A,Heron!$A$5,Xero!$E:$E,Heron!$A79)</f>
        <v/>
      </c>
      <c r="X79" s="66">
        <f>SUMIFS(Xero!$F:$F,Xero!$B:$B,Heron!X$9,Xero!$A:$A,Heron!$A$4,Xero!$E:$E,Heron!$A79)+SUMIFS(Xero!$F:$F,Xero!$B:$B,Heron!X$9,Xero!$A:$A,Heron!$A$5,Xero!$E:$E,Heron!$A79)</f>
        <v/>
      </c>
      <c r="Y79" s="66">
        <f>SUMIFS(Xero!$F:$F,Xero!$B:$B,Heron!Y$9,Xero!$A:$A,Heron!$A$4,Xero!$E:$E,Heron!$A79)+SUMIFS(Xero!$F:$F,Xero!$B:$B,Heron!Y$9,Xero!$A:$A,Heron!$A$5,Xero!$E:$E,Heron!$A79)</f>
        <v/>
      </c>
      <c r="Z79" s="66">
        <f>SUMIFS(Xero!$F:$F,Xero!$B:$B,Heron!Z$9,Xero!$A:$A,Heron!$A$4,Xero!$E:$E,Heron!$A79)+SUMIFS(Xero!$F:$F,Xero!$B:$B,Heron!Z$9,Xero!$A:$A,Heron!$A$5,Xero!$E:$E,Heron!$A79)</f>
        <v/>
      </c>
      <c r="AA79" s="66">
        <f>SUMIFS(Xero!$F:$F,Xero!$B:$B,Heron!AA$9,Xero!$A:$A,Heron!$A$4,Xero!$E:$E,Heron!$A79)+SUMIFS(Xero!$F:$F,Xero!$B:$B,Heron!AA$9,Xero!$A:$A,Heron!$A$5,Xero!$E:$E,Heron!$A79)</f>
        <v/>
      </c>
      <c r="AB79" s="66">
        <f>SUMIFS(Xero!$F:$F,Xero!$B:$B,Heron!AB$9,Xero!$A:$A,Heron!$A$4,Xero!$E:$E,Heron!$A79)+SUMIFS(Xero!$F:$F,Xero!$B:$B,Heron!AB$9,Xero!$A:$A,Heron!$A$5,Xero!$E:$E,Heron!$A79)</f>
        <v/>
      </c>
      <c r="AC79" s="66">
        <f>SUMIFS(Xero!$F:$F,Xero!$B:$B,Heron!AC$9,Xero!$A:$A,Heron!$A$4,Xero!$E:$E,Heron!$A79)+SUMIFS(Xero!$F:$F,Xero!$B:$B,Heron!AC$9,Xero!$A:$A,Heron!$A$5,Xero!$E:$E,Heron!$A79)</f>
        <v/>
      </c>
      <c r="AD79" s="66">
        <f>SUMIFS(Xero!$F:$F,Xero!$B:$B,Heron!AD$9,Xero!$A:$A,Heron!$A$4,Xero!$E:$E,Heron!$A79)+SUMIFS(Xero!$F:$F,Xero!$B:$B,Heron!AD$9,Xero!$A:$A,Heron!$A$5,Xero!$E:$E,Heron!$A79)</f>
        <v/>
      </c>
      <c r="AE79" s="66">
        <f>SUMIFS(Xero!$F:$F,Xero!$B:$B,Heron!AE$9,Xero!$A:$A,Heron!$A$4,Xero!$E:$E,Heron!$A79)+SUMIFS(Xero!$F:$F,Xero!$B:$B,Heron!AE$9,Xero!$A:$A,Heron!$A$5,Xero!$E:$E,Heron!$A79)</f>
        <v/>
      </c>
      <c r="AF79" s="66">
        <f>SUMIFS(Xero!$F:$F,Xero!$B:$B,Heron!AF$9,Xero!$A:$A,Heron!$A$4,Xero!$E:$E,Heron!$A79)+SUMIFS(Xero!$F:$F,Xero!$B:$B,Heron!AF$9,Xero!$A:$A,Heron!$A$5,Xero!$E:$E,Heron!$A79)</f>
        <v/>
      </c>
      <c r="AG79" s="66">
        <f>SUMIFS(Xero!$F:$F,Xero!$B:$B,Heron!AG$9,Xero!$A:$A,Heron!$A$4,Xero!$E:$E,Heron!$A79)+SUMIFS(Xero!$F:$F,Xero!$B:$B,Heron!AG$9,Xero!$A:$A,Heron!$A$5,Xero!$E:$E,Heron!$A79)</f>
        <v/>
      </c>
      <c r="AH79" s="66">
        <f>SUMIFS(Xero!$F:$F,Xero!$B:$B,Heron!AH$9,Xero!$A:$A,Heron!$A$4,Xero!$E:$E,Heron!$A79)+SUMIFS(Xero!$F:$F,Xero!$B:$B,Heron!AH$9,Xero!$A:$A,Heron!$A$5,Xero!$E:$E,Heron!$A79)</f>
        <v/>
      </c>
      <c r="AI79" s="66">
        <f>SUMIFS(Xero!$F:$F,Xero!$B:$B,Heron!AI$9,Xero!$A:$A,Heron!$A$4,Xero!$E:$E,Heron!$A79)+SUMIFS(Xero!$F:$F,Xero!$B:$B,Heron!AI$9,Xero!$A:$A,Heron!$A$5,Xero!$E:$E,Heron!$A79)</f>
        <v/>
      </c>
      <c r="AJ79" s="66">
        <f>SUMIFS(Xero!$F:$F,Xero!$B:$B,Heron!AJ$9,Xero!$A:$A,Heron!$A$4,Xero!$E:$E,Heron!$A79)+SUMIFS(Xero!$F:$F,Xero!$B:$B,Heron!AJ$9,Xero!$A:$A,Heron!$A$5,Xero!$E:$E,Heron!$A79)</f>
        <v/>
      </c>
      <c r="AK79" s="66">
        <f>SUMIFS(Xero!$F:$F,Xero!$B:$B,Heron!AK$9,Xero!$A:$A,Heron!$A$4,Xero!$E:$E,Heron!$A79)+SUMIFS(Xero!$F:$F,Xero!$B:$B,Heron!AK$9,Xero!$A:$A,Heron!$A$5,Xero!$E:$E,Heron!$A79)</f>
        <v/>
      </c>
      <c r="AL79" s="66">
        <f>SUMIFS(Xero!$F:$F,Xero!$B:$B,Heron!AL$9,Xero!$A:$A,Heron!$A$4,Xero!$E:$E,Heron!$A79)+SUMIFS(Xero!$F:$F,Xero!$B:$B,Heron!AL$9,Xero!$A:$A,Heron!$A$5,Xero!$E:$E,Heron!$A79)</f>
        <v/>
      </c>
      <c r="AM79" s="66">
        <f>SUMIFS(Xero!$F:$F,Xero!$B:$B,Heron!AM$9,Xero!$A:$A,Heron!$A$4,Xero!$E:$E,Heron!$A79)+SUMIFS(Xero!$F:$F,Xero!$B:$B,Heron!AM$9,Xero!$A:$A,Heron!$A$5,Xero!$E:$E,Heron!$A79)</f>
        <v/>
      </c>
      <c r="AN79" s="66">
        <f>SUMIFS(Xero!$F:$F,Xero!$B:$B,Heron!AN$9,Xero!$A:$A,Heron!$A$4,Xero!$E:$E,Heron!$A79)+SUMIFS(Xero!$F:$F,Xero!$B:$B,Heron!AN$9,Xero!$A:$A,Heron!$A$5,Xero!$E:$E,Heron!$A79)</f>
        <v/>
      </c>
      <c r="AO79" s="66">
        <f>SUMIFS(Xero!$F:$F,Xero!$B:$B,Heron!AO$9,Xero!$A:$A,Heron!$A$4,Xero!$E:$E,Heron!$A79)+SUMIFS(Xero!$F:$F,Xero!$B:$B,Heron!AO$9,Xero!$A:$A,Heron!$A$5,Xero!$E:$E,Heron!$A79)</f>
        <v/>
      </c>
      <c r="AP79" s="66">
        <f>SUMIFS(Xero!$F:$F,Xero!$B:$B,Heron!AP$9,Xero!$A:$A,Heron!$A$4,Xero!$E:$E,Heron!$A79)+SUMIFS(Xero!$F:$F,Xero!$B:$B,Heron!AP$9,Xero!$A:$A,Heron!$A$5,Xero!$E:$E,Heron!$A79)</f>
        <v/>
      </c>
      <c r="AQ79" s="66">
        <f>SUMIFS(Xero!$F:$F,Xero!$B:$B,Heron!AQ$9,Xero!$A:$A,Heron!$A$4,Xero!$E:$E,Heron!$A79)+SUMIFS(Xero!$F:$F,Xero!$B:$B,Heron!AQ$9,Xero!$A:$A,Heron!$A$5,Xero!$E:$E,Heron!$A79)</f>
        <v/>
      </c>
      <c r="AR79" s="66">
        <f>SUMIFS(Xero!$F:$F,Xero!$B:$B,Heron!AR$9,Xero!$A:$A,Heron!$A$4,Xero!$E:$E,Heron!$A79)+SUMIFS(Xero!$F:$F,Xero!$B:$B,Heron!AR$9,Xero!$A:$A,Heron!$A$5,Xero!$E:$E,Heron!$A79)</f>
        <v/>
      </c>
      <c r="AS79" s="66">
        <f>SUMIFS(Xero!$F:$F,Xero!$B:$B,Heron!AS$9,Xero!$A:$A,Heron!$A$4,Xero!$E:$E,Heron!$A79)+SUMIFS(Xero!$F:$F,Xero!$B:$B,Heron!AS$9,Xero!$A:$A,Heron!$A$5,Xero!$E:$E,Heron!$A79)</f>
        <v/>
      </c>
      <c r="AT79" s="66">
        <f>SUMIFS(Xero!$F:$F,Xero!$B:$B,Heron!AT$9,Xero!$A:$A,Heron!$A$4,Xero!$E:$E,Heron!$A79)+SUMIFS(Xero!$F:$F,Xero!$B:$B,Heron!AT$9,Xero!$A:$A,Heron!$A$5,Xero!$E:$E,Heron!$A79)</f>
        <v/>
      </c>
      <c r="AU79" s="66">
        <f>SUMIFS(Xero!$F:$F,Xero!$B:$B,Heron!AU$9,Xero!$A:$A,Heron!$A$4,Xero!$E:$E,Heron!$A79)+SUMIFS(Xero!$F:$F,Xero!$B:$B,Heron!AU$9,Xero!$A:$A,Heron!$A$5,Xero!$E:$E,Heron!$A79)</f>
        <v/>
      </c>
      <c r="AV79" s="66">
        <f>SUMIFS(Xero!$F:$F,Xero!$B:$B,Heron!AV$9,Xero!$A:$A,Heron!$A$4,Xero!$E:$E,Heron!$A79)+SUMIFS(Xero!$F:$F,Xero!$B:$B,Heron!AV$9,Xero!$A:$A,Heron!$A$5,Xero!$E:$E,Heron!$A79)</f>
        <v/>
      </c>
      <c r="AW79" s="66">
        <f>SUMIFS(Xero!$F:$F,Xero!$B:$B,Heron!AW$9,Xero!$A:$A,Heron!$A$4,Xero!$E:$E,Heron!$A79)+SUMIFS(Xero!$F:$F,Xero!$B:$B,Heron!AW$9,Xero!$A:$A,Heron!$A$5,Xero!$E:$E,Heron!$A79)</f>
        <v/>
      </c>
      <c r="AX79" s="66">
        <f>SUMIFS(Xero!$F:$F,Xero!$B:$B,Heron!AX$9,Xero!$A:$A,Heron!$A$4,Xero!$E:$E,Heron!$A79)+SUMIFS(Xero!$F:$F,Xero!$B:$B,Heron!AX$9,Xero!$A:$A,Heron!$A$5,Xero!$E:$E,Heron!$A79)</f>
        <v/>
      </c>
      <c r="AY79" s="66">
        <f>SUMIFS(Xero!$F:$F,Xero!$B:$B,Heron!AY$9,Xero!$A:$A,Heron!$A$4,Xero!$E:$E,Heron!$A79)+SUMIFS(Xero!$F:$F,Xero!$B:$B,Heron!AY$9,Xero!$A:$A,Heron!$A$5,Xero!$E:$E,Heron!$A79)</f>
        <v/>
      </c>
      <c r="AZ79" s="66">
        <f>SUMIFS(Xero!$F:$F,Xero!$B:$B,Heron!AZ$9,Xero!$A:$A,Heron!$A$4,Xero!$E:$E,Heron!$A79)+SUMIFS(Xero!$F:$F,Xero!$B:$B,Heron!AZ$9,Xero!$A:$A,Heron!$A$5,Xero!$E:$E,Heron!$A79)</f>
        <v/>
      </c>
      <c r="BA79" s="66">
        <f>SUMIFS(Xero!$F:$F,Xero!$B:$B,Heron!BA$9,Xero!$A:$A,Heron!$A$4,Xero!$E:$E,Heron!$A79)+SUMIFS(Xero!$F:$F,Xero!$B:$B,Heron!BA$9,Xero!$A:$A,Heron!$A$5,Xero!$E:$E,Heron!$A79)</f>
        <v/>
      </c>
      <c r="BB79" s="66">
        <f>SUMIFS(Xero!$F:$F,Xero!$B:$B,Heron!BB$9,Xero!$A:$A,Heron!$A$4,Xero!$E:$E,Heron!$A79)+SUMIFS(Xero!$F:$F,Xero!$B:$B,Heron!BB$9,Xero!$A:$A,Heron!$A$5,Xero!$E:$E,Heron!$A79)</f>
        <v/>
      </c>
      <c r="BC79" s="66">
        <f>SUMIFS(Xero!$F:$F,Xero!$B:$B,Heron!BC$9,Xero!$A:$A,Heron!$A$4,Xero!$E:$E,Heron!$A79)+SUMIFS(Xero!$F:$F,Xero!$B:$B,Heron!BC$9,Xero!$A:$A,Heron!$A$5,Xero!$E:$E,Heron!$A79)</f>
        <v/>
      </c>
      <c r="BD79" s="66">
        <f>SUMIFS(Xero!$F:$F,Xero!$B:$B,Heron!BD$9,Xero!$A:$A,Heron!$A$4,Xero!$E:$E,Heron!$A79)+SUMIFS(Xero!$F:$F,Xero!$B:$B,Heron!BD$9,Xero!$A:$A,Heron!$A$5,Xero!$E:$E,Heron!$A79)</f>
        <v/>
      </c>
      <c r="BE79" s="66">
        <f>SUMIFS(Xero!$F:$F,Xero!$B:$B,Heron!BE$9,Xero!$A:$A,Heron!$A$4,Xero!$E:$E,Heron!$A79)+SUMIFS(Xero!$F:$F,Xero!$B:$B,Heron!BE$9,Xero!$A:$A,Heron!$A$5,Xero!$E:$E,Heron!$A79)</f>
        <v/>
      </c>
      <c r="BF79" s="66">
        <f>SUMIFS(Xero!$F:$F,Xero!$B:$B,Heron!BF$9,Xero!$A:$A,Heron!$A$4,Xero!$E:$E,Heron!$A79)+SUMIFS(Xero!$F:$F,Xero!$B:$B,Heron!BF$9,Xero!$A:$A,Heron!$A$5,Xero!$E:$E,Heron!$A79)</f>
        <v/>
      </c>
      <c r="BG79" s="66">
        <f>SUMIFS(Xero!$F:$F,Xero!$B:$B,Heron!BG$9,Xero!$A:$A,Heron!$A$4,Xero!$E:$E,Heron!$A79)+SUMIFS(Xero!$F:$F,Xero!$B:$B,Heron!BG$9,Xero!$A:$A,Heron!$A$5,Xero!$E:$E,Heron!$A79)</f>
        <v/>
      </c>
      <c r="BH79" s="66">
        <f>sum(D79:BG79)</f>
        <v/>
      </c>
    </row>
    <row r="80">
      <c r="A80" s="65" t="inlineStr">
        <is>
          <t>Interest Paid - Investors @ 8.25%</t>
        </is>
      </c>
      <c r="D80" s="66">
        <f>SUMIFS(Xero!$F:$F,Xero!$B:$B,Heron!D$9,Xero!$A:$A,Heron!$A$4,Xero!$E:$E,Heron!$A80)+SUMIFS(Xero!$F:$F,Xero!$B:$B,Heron!D$9,Xero!$A:$A,Heron!$A$5,Xero!$E:$E,Heron!$A80)</f>
        <v/>
      </c>
      <c r="E80" s="66">
        <f>SUMIFS(Xero!$F:$F,Xero!$B:$B,Heron!E$9,Xero!$A:$A,Heron!$A$4,Xero!$E:$E,Heron!$A80)+SUMIFS(Xero!$F:$F,Xero!$B:$B,Heron!E$9,Xero!$A:$A,Heron!$A$5,Xero!$E:$E,Heron!$A80)</f>
        <v/>
      </c>
      <c r="F80" s="66">
        <f>SUMIFS(Xero!$F:$F,Xero!$B:$B,Heron!F$9,Xero!$A:$A,Heron!$A$4,Xero!$E:$E,Heron!$A80)+SUMIFS(Xero!$F:$F,Xero!$B:$B,Heron!F$9,Xero!$A:$A,Heron!$A$5,Xero!$E:$E,Heron!$A80)</f>
        <v/>
      </c>
      <c r="G80" s="66">
        <f>SUMIFS(Xero!$F:$F,Xero!$B:$B,Heron!G$9,Xero!$A:$A,Heron!$A$4,Xero!$E:$E,Heron!$A80)+SUMIFS(Xero!$F:$F,Xero!$B:$B,Heron!G$9,Xero!$A:$A,Heron!$A$5,Xero!$E:$E,Heron!$A80)</f>
        <v/>
      </c>
      <c r="H80" s="66">
        <f>SUMIFS(Xero!$F:$F,Xero!$B:$B,Heron!H$9,Xero!$A:$A,Heron!$A$4,Xero!$E:$E,Heron!$A80)+SUMIFS(Xero!$F:$F,Xero!$B:$B,Heron!H$9,Xero!$A:$A,Heron!$A$5,Xero!$E:$E,Heron!$A80)</f>
        <v/>
      </c>
      <c r="I80" s="66">
        <f>SUMIFS(Xero!$F:$F,Xero!$B:$B,Heron!I$9,Xero!$A:$A,Heron!$A$4,Xero!$E:$E,Heron!$A80)+SUMIFS(Xero!$F:$F,Xero!$B:$B,Heron!I$9,Xero!$A:$A,Heron!$A$5,Xero!$E:$E,Heron!$A80)</f>
        <v/>
      </c>
      <c r="J80" s="66">
        <f>SUMIFS(Xero!$F:$F,Xero!$B:$B,Heron!J$9,Xero!$A:$A,Heron!$A$4,Xero!$E:$E,Heron!$A80)+SUMIFS(Xero!$F:$F,Xero!$B:$B,Heron!J$9,Xero!$A:$A,Heron!$A$5,Xero!$E:$E,Heron!$A80)</f>
        <v/>
      </c>
      <c r="K80" s="66">
        <f>SUMIFS(Xero!$F:$F,Xero!$B:$B,Heron!K$9,Xero!$A:$A,Heron!$A$4,Xero!$E:$E,Heron!$A80)+SUMIFS(Xero!$F:$F,Xero!$B:$B,Heron!K$9,Xero!$A:$A,Heron!$A$5,Xero!$E:$E,Heron!$A80)</f>
        <v/>
      </c>
      <c r="L80" s="66">
        <f>SUMIFS(Xero!$F:$F,Xero!$B:$B,Heron!L$9,Xero!$A:$A,Heron!$A$4,Xero!$E:$E,Heron!$A80)+SUMIFS(Xero!$F:$F,Xero!$B:$B,Heron!L$9,Xero!$A:$A,Heron!$A$5,Xero!$E:$E,Heron!$A80)</f>
        <v/>
      </c>
      <c r="M80" s="66">
        <f>SUMIFS(Xero!$F:$F,Xero!$B:$B,Heron!M$9,Xero!$A:$A,Heron!$A$4,Xero!$E:$E,Heron!$A80)+SUMIFS(Xero!$F:$F,Xero!$B:$B,Heron!M$9,Xero!$A:$A,Heron!$A$5,Xero!$E:$E,Heron!$A80)</f>
        <v/>
      </c>
      <c r="N80" s="66">
        <f>SUMIFS(Xero!$F:$F,Xero!$B:$B,Heron!N$9,Xero!$A:$A,Heron!$A$4,Xero!$E:$E,Heron!$A80)+SUMIFS(Xero!$F:$F,Xero!$B:$B,Heron!N$9,Xero!$A:$A,Heron!$A$5,Xero!$E:$E,Heron!$A80)</f>
        <v/>
      </c>
      <c r="O80" s="66">
        <f>SUMIFS(Xero!$F:$F,Xero!$B:$B,Heron!O$9,Xero!$A:$A,Heron!$A$4,Xero!$E:$E,Heron!$A80)+SUMIFS(Xero!$F:$F,Xero!$B:$B,Heron!O$9,Xero!$A:$A,Heron!$A$5,Xero!$E:$E,Heron!$A80)</f>
        <v/>
      </c>
      <c r="P80" s="66">
        <f>SUMIFS(Xero!$F:$F,Xero!$B:$B,Heron!P$9,Xero!$A:$A,Heron!$A$4,Xero!$E:$E,Heron!$A80)+SUMIFS(Xero!$F:$F,Xero!$B:$B,Heron!P$9,Xero!$A:$A,Heron!$A$5,Xero!$E:$E,Heron!$A80)</f>
        <v/>
      </c>
      <c r="Q80" s="66">
        <f>SUMIFS(Xero!$F:$F,Xero!$B:$B,Heron!Q$9,Xero!$A:$A,Heron!$A$4,Xero!$E:$E,Heron!$A80)+SUMIFS(Xero!$F:$F,Xero!$B:$B,Heron!Q$9,Xero!$A:$A,Heron!$A$5,Xero!$E:$E,Heron!$A80)</f>
        <v/>
      </c>
      <c r="R80" s="66">
        <f>SUMIFS(Xero!$F:$F,Xero!$B:$B,Heron!R$9,Xero!$A:$A,Heron!$A$4,Xero!$E:$E,Heron!$A80)+SUMIFS(Xero!$F:$F,Xero!$B:$B,Heron!R$9,Xero!$A:$A,Heron!$A$5,Xero!$E:$E,Heron!$A80)</f>
        <v/>
      </c>
      <c r="S80" s="66">
        <f>SUMIFS(Xero!$F:$F,Xero!$B:$B,Heron!S$9,Xero!$A:$A,Heron!$A$4,Xero!$E:$E,Heron!$A80)+SUMIFS(Xero!$F:$F,Xero!$B:$B,Heron!S$9,Xero!$A:$A,Heron!$A$5,Xero!$E:$E,Heron!$A80)</f>
        <v/>
      </c>
      <c r="T80" s="66">
        <f>SUMIFS(Xero!$F:$F,Xero!$B:$B,Heron!T$9,Xero!$A:$A,Heron!$A$4,Xero!$E:$E,Heron!$A80)+SUMIFS(Xero!$F:$F,Xero!$B:$B,Heron!T$9,Xero!$A:$A,Heron!$A$5,Xero!$E:$E,Heron!$A80)</f>
        <v/>
      </c>
      <c r="U80" s="66">
        <f>SUMIFS(Xero!$F:$F,Xero!$B:$B,Heron!U$9,Xero!$A:$A,Heron!$A$4,Xero!$E:$E,Heron!$A80)+SUMIFS(Xero!$F:$F,Xero!$B:$B,Heron!U$9,Xero!$A:$A,Heron!$A$5,Xero!$E:$E,Heron!$A80)</f>
        <v/>
      </c>
      <c r="V80" s="66">
        <f>SUMIFS(Xero!$F:$F,Xero!$B:$B,Heron!V$9,Xero!$A:$A,Heron!$A$4,Xero!$E:$E,Heron!$A80)+SUMIFS(Xero!$F:$F,Xero!$B:$B,Heron!V$9,Xero!$A:$A,Heron!$A$5,Xero!$E:$E,Heron!$A80)</f>
        <v/>
      </c>
      <c r="W80" s="66">
        <f>SUMIFS(Xero!$F:$F,Xero!$B:$B,Heron!W$9,Xero!$A:$A,Heron!$A$4,Xero!$E:$E,Heron!$A80)+SUMIFS(Xero!$F:$F,Xero!$B:$B,Heron!W$9,Xero!$A:$A,Heron!$A$5,Xero!$E:$E,Heron!$A80)</f>
        <v/>
      </c>
      <c r="X80" s="66">
        <f>SUMIFS(Xero!$F:$F,Xero!$B:$B,Heron!X$9,Xero!$A:$A,Heron!$A$4,Xero!$E:$E,Heron!$A80)+SUMIFS(Xero!$F:$F,Xero!$B:$B,Heron!X$9,Xero!$A:$A,Heron!$A$5,Xero!$E:$E,Heron!$A80)</f>
        <v/>
      </c>
      <c r="Y80" s="66">
        <f>SUMIFS(Xero!$F:$F,Xero!$B:$B,Heron!Y$9,Xero!$A:$A,Heron!$A$4,Xero!$E:$E,Heron!$A80)+SUMIFS(Xero!$F:$F,Xero!$B:$B,Heron!Y$9,Xero!$A:$A,Heron!$A$5,Xero!$E:$E,Heron!$A80)</f>
        <v/>
      </c>
      <c r="Z80" s="66">
        <f>SUMIFS(Xero!$F:$F,Xero!$B:$B,Heron!Z$9,Xero!$A:$A,Heron!$A$4,Xero!$E:$E,Heron!$A80)+SUMIFS(Xero!$F:$F,Xero!$B:$B,Heron!Z$9,Xero!$A:$A,Heron!$A$5,Xero!$E:$E,Heron!$A80)</f>
        <v/>
      </c>
      <c r="AA80" s="66">
        <f>SUMIFS(Xero!$F:$F,Xero!$B:$B,Heron!AA$9,Xero!$A:$A,Heron!$A$4,Xero!$E:$E,Heron!$A80)+SUMIFS(Xero!$F:$F,Xero!$B:$B,Heron!AA$9,Xero!$A:$A,Heron!$A$5,Xero!$E:$E,Heron!$A80)</f>
        <v/>
      </c>
      <c r="AB80" s="66">
        <f>SUMIFS(Xero!$F:$F,Xero!$B:$B,Heron!AB$9,Xero!$A:$A,Heron!$A$4,Xero!$E:$E,Heron!$A80)+SUMIFS(Xero!$F:$F,Xero!$B:$B,Heron!AB$9,Xero!$A:$A,Heron!$A$5,Xero!$E:$E,Heron!$A80)</f>
        <v/>
      </c>
      <c r="AC80" s="66">
        <f>SUMIFS(Xero!$F:$F,Xero!$B:$B,Heron!AC$9,Xero!$A:$A,Heron!$A$4,Xero!$E:$E,Heron!$A80)+SUMIFS(Xero!$F:$F,Xero!$B:$B,Heron!AC$9,Xero!$A:$A,Heron!$A$5,Xero!$E:$E,Heron!$A80)</f>
        <v/>
      </c>
      <c r="AD80" s="66">
        <f>SUMIFS(Xero!$F:$F,Xero!$B:$B,Heron!AD$9,Xero!$A:$A,Heron!$A$4,Xero!$E:$E,Heron!$A80)+SUMIFS(Xero!$F:$F,Xero!$B:$B,Heron!AD$9,Xero!$A:$A,Heron!$A$5,Xero!$E:$E,Heron!$A80)</f>
        <v/>
      </c>
      <c r="AE80" s="66">
        <f>SUMIFS(Xero!$F:$F,Xero!$B:$B,Heron!AE$9,Xero!$A:$A,Heron!$A$4,Xero!$E:$E,Heron!$A80)+SUMIFS(Xero!$F:$F,Xero!$B:$B,Heron!AE$9,Xero!$A:$A,Heron!$A$5,Xero!$E:$E,Heron!$A80)</f>
        <v/>
      </c>
      <c r="AF80" s="66">
        <f>SUMIFS(Xero!$F:$F,Xero!$B:$B,Heron!AF$9,Xero!$A:$A,Heron!$A$4,Xero!$E:$E,Heron!$A80)+SUMIFS(Xero!$F:$F,Xero!$B:$B,Heron!AF$9,Xero!$A:$A,Heron!$A$5,Xero!$E:$E,Heron!$A80)</f>
        <v/>
      </c>
      <c r="AG80" s="66">
        <f>SUMIFS(Xero!$F:$F,Xero!$B:$B,Heron!AG$9,Xero!$A:$A,Heron!$A$4,Xero!$E:$E,Heron!$A80)+SUMIFS(Xero!$F:$F,Xero!$B:$B,Heron!AG$9,Xero!$A:$A,Heron!$A$5,Xero!$E:$E,Heron!$A80)</f>
        <v/>
      </c>
      <c r="AH80" s="66">
        <f>SUMIFS(Xero!$F:$F,Xero!$B:$B,Heron!AH$9,Xero!$A:$A,Heron!$A$4,Xero!$E:$E,Heron!$A80)+SUMIFS(Xero!$F:$F,Xero!$B:$B,Heron!AH$9,Xero!$A:$A,Heron!$A$5,Xero!$E:$E,Heron!$A80)</f>
        <v/>
      </c>
      <c r="AI80" s="66">
        <f>SUMIFS(Xero!$F:$F,Xero!$B:$B,Heron!AI$9,Xero!$A:$A,Heron!$A$4,Xero!$E:$E,Heron!$A80)+SUMIFS(Xero!$F:$F,Xero!$B:$B,Heron!AI$9,Xero!$A:$A,Heron!$A$5,Xero!$E:$E,Heron!$A80)</f>
        <v/>
      </c>
      <c r="AJ80" s="66">
        <f>SUMIFS(Xero!$F:$F,Xero!$B:$B,Heron!AJ$9,Xero!$A:$A,Heron!$A$4,Xero!$E:$E,Heron!$A80)+SUMIFS(Xero!$F:$F,Xero!$B:$B,Heron!AJ$9,Xero!$A:$A,Heron!$A$5,Xero!$E:$E,Heron!$A80)</f>
        <v/>
      </c>
      <c r="AK80" s="66">
        <f>SUMIFS(Xero!$F:$F,Xero!$B:$B,Heron!AK$9,Xero!$A:$A,Heron!$A$4,Xero!$E:$E,Heron!$A80)+SUMIFS(Xero!$F:$F,Xero!$B:$B,Heron!AK$9,Xero!$A:$A,Heron!$A$5,Xero!$E:$E,Heron!$A80)</f>
        <v/>
      </c>
      <c r="AL80" s="66">
        <f>SUMIFS(Xero!$F:$F,Xero!$B:$B,Heron!AL$9,Xero!$A:$A,Heron!$A$4,Xero!$E:$E,Heron!$A80)+SUMIFS(Xero!$F:$F,Xero!$B:$B,Heron!AL$9,Xero!$A:$A,Heron!$A$5,Xero!$E:$E,Heron!$A80)</f>
        <v/>
      </c>
      <c r="AM80" s="66">
        <f>SUMIFS(Xero!$F:$F,Xero!$B:$B,Heron!AM$9,Xero!$A:$A,Heron!$A$4,Xero!$E:$E,Heron!$A80)+SUMIFS(Xero!$F:$F,Xero!$B:$B,Heron!AM$9,Xero!$A:$A,Heron!$A$5,Xero!$E:$E,Heron!$A80)</f>
        <v/>
      </c>
      <c r="AN80" s="66">
        <f>SUMIFS(Xero!$F:$F,Xero!$B:$B,Heron!AN$9,Xero!$A:$A,Heron!$A$4,Xero!$E:$E,Heron!$A80)+SUMIFS(Xero!$F:$F,Xero!$B:$B,Heron!AN$9,Xero!$A:$A,Heron!$A$5,Xero!$E:$E,Heron!$A80)</f>
        <v/>
      </c>
      <c r="AO80" s="66">
        <f>SUMIFS(Xero!$F:$F,Xero!$B:$B,Heron!AO$9,Xero!$A:$A,Heron!$A$4,Xero!$E:$E,Heron!$A80)+SUMIFS(Xero!$F:$F,Xero!$B:$B,Heron!AO$9,Xero!$A:$A,Heron!$A$5,Xero!$E:$E,Heron!$A80)</f>
        <v/>
      </c>
      <c r="AP80" s="66">
        <f>SUMIFS(Xero!$F:$F,Xero!$B:$B,Heron!AP$9,Xero!$A:$A,Heron!$A$4,Xero!$E:$E,Heron!$A80)+SUMIFS(Xero!$F:$F,Xero!$B:$B,Heron!AP$9,Xero!$A:$A,Heron!$A$5,Xero!$E:$E,Heron!$A80)</f>
        <v/>
      </c>
      <c r="AQ80" s="66">
        <f>SUMIFS(Xero!$F:$F,Xero!$B:$B,Heron!AQ$9,Xero!$A:$A,Heron!$A$4,Xero!$E:$E,Heron!$A80)+SUMIFS(Xero!$F:$F,Xero!$B:$B,Heron!AQ$9,Xero!$A:$A,Heron!$A$5,Xero!$E:$E,Heron!$A80)</f>
        <v/>
      </c>
      <c r="AR80" s="66">
        <f>SUMIFS(Xero!$F:$F,Xero!$B:$B,Heron!AR$9,Xero!$A:$A,Heron!$A$4,Xero!$E:$E,Heron!$A80)+SUMIFS(Xero!$F:$F,Xero!$B:$B,Heron!AR$9,Xero!$A:$A,Heron!$A$5,Xero!$E:$E,Heron!$A80)</f>
        <v/>
      </c>
      <c r="AS80" s="66">
        <f>SUMIFS(Xero!$F:$F,Xero!$B:$B,Heron!AS$9,Xero!$A:$A,Heron!$A$4,Xero!$E:$E,Heron!$A80)+SUMIFS(Xero!$F:$F,Xero!$B:$B,Heron!AS$9,Xero!$A:$A,Heron!$A$5,Xero!$E:$E,Heron!$A80)</f>
        <v/>
      </c>
      <c r="AT80" s="66">
        <f>SUMIFS(Xero!$F:$F,Xero!$B:$B,Heron!AT$9,Xero!$A:$A,Heron!$A$4,Xero!$E:$E,Heron!$A80)+SUMIFS(Xero!$F:$F,Xero!$B:$B,Heron!AT$9,Xero!$A:$A,Heron!$A$5,Xero!$E:$E,Heron!$A80)</f>
        <v/>
      </c>
      <c r="AU80" s="66">
        <f>SUMIFS(Xero!$F:$F,Xero!$B:$B,Heron!AU$9,Xero!$A:$A,Heron!$A$4,Xero!$E:$E,Heron!$A80)+SUMIFS(Xero!$F:$F,Xero!$B:$B,Heron!AU$9,Xero!$A:$A,Heron!$A$5,Xero!$E:$E,Heron!$A80)</f>
        <v/>
      </c>
      <c r="AV80" s="66">
        <f>SUMIFS(Xero!$F:$F,Xero!$B:$B,Heron!AV$9,Xero!$A:$A,Heron!$A$4,Xero!$E:$E,Heron!$A80)+SUMIFS(Xero!$F:$F,Xero!$B:$B,Heron!AV$9,Xero!$A:$A,Heron!$A$5,Xero!$E:$E,Heron!$A80)</f>
        <v/>
      </c>
      <c r="AW80" s="66">
        <f>SUMIFS(Xero!$F:$F,Xero!$B:$B,Heron!AW$9,Xero!$A:$A,Heron!$A$4,Xero!$E:$E,Heron!$A80)+SUMIFS(Xero!$F:$F,Xero!$B:$B,Heron!AW$9,Xero!$A:$A,Heron!$A$5,Xero!$E:$E,Heron!$A80)</f>
        <v/>
      </c>
      <c r="AX80" s="66">
        <f>SUMIFS(Xero!$F:$F,Xero!$B:$B,Heron!AX$9,Xero!$A:$A,Heron!$A$4,Xero!$E:$E,Heron!$A80)+SUMIFS(Xero!$F:$F,Xero!$B:$B,Heron!AX$9,Xero!$A:$A,Heron!$A$5,Xero!$E:$E,Heron!$A80)</f>
        <v/>
      </c>
      <c r="AY80" s="66">
        <f>SUMIFS(Xero!$F:$F,Xero!$B:$B,Heron!AY$9,Xero!$A:$A,Heron!$A$4,Xero!$E:$E,Heron!$A80)+SUMIFS(Xero!$F:$F,Xero!$B:$B,Heron!AY$9,Xero!$A:$A,Heron!$A$5,Xero!$E:$E,Heron!$A80)</f>
        <v/>
      </c>
      <c r="AZ80" s="66">
        <f>SUMIFS(Xero!$F:$F,Xero!$B:$B,Heron!AZ$9,Xero!$A:$A,Heron!$A$4,Xero!$E:$E,Heron!$A80)+SUMIFS(Xero!$F:$F,Xero!$B:$B,Heron!AZ$9,Xero!$A:$A,Heron!$A$5,Xero!$E:$E,Heron!$A80)</f>
        <v/>
      </c>
      <c r="BA80" s="66">
        <f>SUMIFS(Xero!$F:$F,Xero!$B:$B,Heron!BA$9,Xero!$A:$A,Heron!$A$4,Xero!$E:$E,Heron!$A80)+SUMIFS(Xero!$F:$F,Xero!$B:$B,Heron!BA$9,Xero!$A:$A,Heron!$A$5,Xero!$E:$E,Heron!$A80)</f>
        <v/>
      </c>
      <c r="BB80" s="66">
        <f>SUMIFS(Xero!$F:$F,Xero!$B:$B,Heron!BB$9,Xero!$A:$A,Heron!$A$4,Xero!$E:$E,Heron!$A80)+SUMIFS(Xero!$F:$F,Xero!$B:$B,Heron!BB$9,Xero!$A:$A,Heron!$A$5,Xero!$E:$E,Heron!$A80)</f>
        <v/>
      </c>
      <c r="BC80" s="66">
        <f>SUMIFS(Xero!$F:$F,Xero!$B:$B,Heron!BC$9,Xero!$A:$A,Heron!$A$4,Xero!$E:$E,Heron!$A80)+SUMIFS(Xero!$F:$F,Xero!$B:$B,Heron!BC$9,Xero!$A:$A,Heron!$A$5,Xero!$E:$E,Heron!$A80)</f>
        <v/>
      </c>
      <c r="BD80" s="66">
        <f>SUMIFS(Xero!$F:$F,Xero!$B:$B,Heron!BD$9,Xero!$A:$A,Heron!$A$4,Xero!$E:$E,Heron!$A80)+SUMIFS(Xero!$F:$F,Xero!$B:$B,Heron!BD$9,Xero!$A:$A,Heron!$A$5,Xero!$E:$E,Heron!$A80)</f>
        <v/>
      </c>
      <c r="BE80" s="66">
        <f>SUMIFS(Xero!$F:$F,Xero!$B:$B,Heron!BE$9,Xero!$A:$A,Heron!$A$4,Xero!$E:$E,Heron!$A80)+SUMIFS(Xero!$F:$F,Xero!$B:$B,Heron!BE$9,Xero!$A:$A,Heron!$A$5,Xero!$E:$E,Heron!$A80)</f>
        <v/>
      </c>
      <c r="BF80" s="66">
        <f>SUMIFS(Xero!$F:$F,Xero!$B:$B,Heron!BF$9,Xero!$A:$A,Heron!$A$4,Xero!$E:$E,Heron!$A80)+SUMIFS(Xero!$F:$F,Xero!$B:$B,Heron!BF$9,Xero!$A:$A,Heron!$A$5,Xero!$E:$E,Heron!$A80)</f>
        <v/>
      </c>
      <c r="BG80" s="66">
        <f>SUMIFS(Xero!$F:$F,Xero!$B:$B,Heron!BG$9,Xero!$A:$A,Heron!$A$4,Xero!$E:$E,Heron!$A80)+SUMIFS(Xero!$F:$F,Xero!$B:$B,Heron!BG$9,Xero!$A:$A,Heron!$A$5,Xero!$E:$E,Heron!$A80)</f>
        <v/>
      </c>
      <c r="BH80" s="66">
        <f>sum(D80:BG80)</f>
        <v/>
      </c>
    </row>
    <row r="81">
      <c r="A81" s="65" t="inlineStr">
        <is>
          <t>Interest Paid - Investors @ 9%</t>
        </is>
      </c>
      <c r="D81" s="66">
        <f>SUMIFS(Xero!$F:$F,Xero!$B:$B,Heron!D$9,Xero!$A:$A,Heron!$A$4,Xero!$E:$E,Heron!$A81)+SUMIFS(Xero!$F:$F,Xero!$B:$B,Heron!D$9,Xero!$A:$A,Heron!$A$5,Xero!$E:$E,Heron!$A81)</f>
        <v/>
      </c>
      <c r="E81" s="66">
        <f>SUMIFS(Xero!$F:$F,Xero!$B:$B,Heron!E$9,Xero!$A:$A,Heron!$A$4,Xero!$E:$E,Heron!$A81)+SUMIFS(Xero!$F:$F,Xero!$B:$B,Heron!E$9,Xero!$A:$A,Heron!$A$5,Xero!$E:$E,Heron!$A81)</f>
        <v/>
      </c>
      <c r="F81" s="66">
        <f>SUMIFS(Xero!$F:$F,Xero!$B:$B,Heron!F$9,Xero!$A:$A,Heron!$A$4,Xero!$E:$E,Heron!$A81)+SUMIFS(Xero!$F:$F,Xero!$B:$B,Heron!F$9,Xero!$A:$A,Heron!$A$5,Xero!$E:$E,Heron!$A81)</f>
        <v/>
      </c>
      <c r="G81" s="66">
        <f>SUMIFS(Xero!$F:$F,Xero!$B:$B,Heron!G$9,Xero!$A:$A,Heron!$A$4,Xero!$E:$E,Heron!$A81)+SUMIFS(Xero!$F:$F,Xero!$B:$B,Heron!G$9,Xero!$A:$A,Heron!$A$5,Xero!$E:$E,Heron!$A81)</f>
        <v/>
      </c>
      <c r="H81" s="66">
        <f>SUMIFS(Xero!$F:$F,Xero!$B:$B,Heron!H$9,Xero!$A:$A,Heron!$A$4,Xero!$E:$E,Heron!$A81)+SUMIFS(Xero!$F:$F,Xero!$B:$B,Heron!H$9,Xero!$A:$A,Heron!$A$5,Xero!$E:$E,Heron!$A81)</f>
        <v/>
      </c>
      <c r="I81" s="66">
        <f>SUMIFS(Xero!$F:$F,Xero!$B:$B,Heron!I$9,Xero!$A:$A,Heron!$A$4,Xero!$E:$E,Heron!$A81)+SUMIFS(Xero!$F:$F,Xero!$B:$B,Heron!I$9,Xero!$A:$A,Heron!$A$5,Xero!$E:$E,Heron!$A81)</f>
        <v/>
      </c>
      <c r="J81" s="66">
        <f>SUMIFS(Xero!$F:$F,Xero!$B:$B,Heron!J$9,Xero!$A:$A,Heron!$A$4,Xero!$E:$E,Heron!$A81)+SUMIFS(Xero!$F:$F,Xero!$B:$B,Heron!J$9,Xero!$A:$A,Heron!$A$5,Xero!$E:$E,Heron!$A81)</f>
        <v/>
      </c>
      <c r="K81" s="66">
        <f>SUMIFS(Xero!$F:$F,Xero!$B:$B,Heron!K$9,Xero!$A:$A,Heron!$A$4,Xero!$E:$E,Heron!$A81)+SUMIFS(Xero!$F:$F,Xero!$B:$B,Heron!K$9,Xero!$A:$A,Heron!$A$5,Xero!$E:$E,Heron!$A81)</f>
        <v/>
      </c>
      <c r="L81" s="66">
        <f>SUMIFS(Xero!$F:$F,Xero!$B:$B,Heron!L$9,Xero!$A:$A,Heron!$A$4,Xero!$E:$E,Heron!$A81)+SUMIFS(Xero!$F:$F,Xero!$B:$B,Heron!L$9,Xero!$A:$A,Heron!$A$5,Xero!$E:$E,Heron!$A81)</f>
        <v/>
      </c>
      <c r="M81" s="66">
        <f>SUMIFS(Xero!$F:$F,Xero!$B:$B,Heron!M$9,Xero!$A:$A,Heron!$A$4,Xero!$E:$E,Heron!$A81)+SUMIFS(Xero!$F:$F,Xero!$B:$B,Heron!M$9,Xero!$A:$A,Heron!$A$5,Xero!$E:$E,Heron!$A81)</f>
        <v/>
      </c>
      <c r="N81" s="66">
        <f>SUMIFS(Xero!$F:$F,Xero!$B:$B,Heron!N$9,Xero!$A:$A,Heron!$A$4,Xero!$E:$E,Heron!$A81)+SUMIFS(Xero!$F:$F,Xero!$B:$B,Heron!N$9,Xero!$A:$A,Heron!$A$5,Xero!$E:$E,Heron!$A81)</f>
        <v/>
      </c>
      <c r="O81" s="66">
        <f>SUMIFS(Xero!$F:$F,Xero!$B:$B,Heron!O$9,Xero!$A:$A,Heron!$A$4,Xero!$E:$E,Heron!$A81)+SUMIFS(Xero!$F:$F,Xero!$B:$B,Heron!O$9,Xero!$A:$A,Heron!$A$5,Xero!$E:$E,Heron!$A81)</f>
        <v/>
      </c>
      <c r="P81" s="66">
        <f>SUMIFS(Xero!$F:$F,Xero!$B:$B,Heron!P$9,Xero!$A:$A,Heron!$A$4,Xero!$E:$E,Heron!$A81)+SUMIFS(Xero!$F:$F,Xero!$B:$B,Heron!P$9,Xero!$A:$A,Heron!$A$5,Xero!$E:$E,Heron!$A81)</f>
        <v/>
      </c>
      <c r="Q81" s="66">
        <f>SUMIFS(Xero!$F:$F,Xero!$B:$B,Heron!Q$9,Xero!$A:$A,Heron!$A$4,Xero!$E:$E,Heron!$A81)+SUMIFS(Xero!$F:$F,Xero!$B:$B,Heron!Q$9,Xero!$A:$A,Heron!$A$5,Xero!$E:$E,Heron!$A81)</f>
        <v/>
      </c>
      <c r="R81" s="66">
        <f>SUMIFS(Xero!$F:$F,Xero!$B:$B,Heron!R$9,Xero!$A:$A,Heron!$A$4,Xero!$E:$E,Heron!$A81)+SUMIFS(Xero!$F:$F,Xero!$B:$B,Heron!R$9,Xero!$A:$A,Heron!$A$5,Xero!$E:$E,Heron!$A81)</f>
        <v/>
      </c>
      <c r="S81" s="66">
        <f>SUMIFS(Xero!$F:$F,Xero!$B:$B,Heron!S$9,Xero!$A:$A,Heron!$A$4,Xero!$E:$E,Heron!$A81)+SUMIFS(Xero!$F:$F,Xero!$B:$B,Heron!S$9,Xero!$A:$A,Heron!$A$5,Xero!$E:$E,Heron!$A81)</f>
        <v/>
      </c>
      <c r="T81" s="66">
        <f>SUMIFS(Xero!$F:$F,Xero!$B:$B,Heron!T$9,Xero!$A:$A,Heron!$A$4,Xero!$E:$E,Heron!$A81)+SUMIFS(Xero!$F:$F,Xero!$B:$B,Heron!T$9,Xero!$A:$A,Heron!$A$5,Xero!$E:$E,Heron!$A81)</f>
        <v/>
      </c>
      <c r="U81" s="66">
        <f>SUMIFS(Xero!$F:$F,Xero!$B:$B,Heron!U$9,Xero!$A:$A,Heron!$A$4,Xero!$E:$E,Heron!$A81)+SUMIFS(Xero!$F:$F,Xero!$B:$B,Heron!U$9,Xero!$A:$A,Heron!$A$5,Xero!$E:$E,Heron!$A81)</f>
        <v/>
      </c>
      <c r="V81" s="66">
        <f>SUMIFS(Xero!$F:$F,Xero!$B:$B,Heron!V$9,Xero!$A:$A,Heron!$A$4,Xero!$E:$E,Heron!$A81)+SUMIFS(Xero!$F:$F,Xero!$B:$B,Heron!V$9,Xero!$A:$A,Heron!$A$5,Xero!$E:$E,Heron!$A81)</f>
        <v/>
      </c>
      <c r="W81" s="66">
        <f>SUMIFS(Xero!$F:$F,Xero!$B:$B,Heron!W$9,Xero!$A:$A,Heron!$A$4,Xero!$E:$E,Heron!$A81)+SUMIFS(Xero!$F:$F,Xero!$B:$B,Heron!W$9,Xero!$A:$A,Heron!$A$5,Xero!$E:$E,Heron!$A81)</f>
        <v/>
      </c>
      <c r="X81" s="66">
        <f>SUMIFS(Xero!$F:$F,Xero!$B:$B,Heron!X$9,Xero!$A:$A,Heron!$A$4,Xero!$E:$E,Heron!$A81)+SUMIFS(Xero!$F:$F,Xero!$B:$B,Heron!X$9,Xero!$A:$A,Heron!$A$5,Xero!$E:$E,Heron!$A81)</f>
        <v/>
      </c>
      <c r="Y81" s="66">
        <f>SUMIFS(Xero!$F:$F,Xero!$B:$B,Heron!Y$9,Xero!$A:$A,Heron!$A$4,Xero!$E:$E,Heron!$A81)+SUMIFS(Xero!$F:$F,Xero!$B:$B,Heron!Y$9,Xero!$A:$A,Heron!$A$5,Xero!$E:$E,Heron!$A81)</f>
        <v/>
      </c>
      <c r="Z81" s="66">
        <f>SUMIFS(Xero!$F:$F,Xero!$B:$B,Heron!Z$9,Xero!$A:$A,Heron!$A$4,Xero!$E:$E,Heron!$A81)+SUMIFS(Xero!$F:$F,Xero!$B:$B,Heron!Z$9,Xero!$A:$A,Heron!$A$5,Xero!$E:$E,Heron!$A81)</f>
        <v/>
      </c>
      <c r="AA81" s="66">
        <f>SUMIFS(Xero!$F:$F,Xero!$B:$B,Heron!AA$9,Xero!$A:$A,Heron!$A$4,Xero!$E:$E,Heron!$A81)+SUMIFS(Xero!$F:$F,Xero!$B:$B,Heron!AA$9,Xero!$A:$A,Heron!$A$5,Xero!$E:$E,Heron!$A81)</f>
        <v/>
      </c>
      <c r="AB81" s="66">
        <f>SUMIFS(Xero!$F:$F,Xero!$B:$B,Heron!AB$9,Xero!$A:$A,Heron!$A$4,Xero!$E:$E,Heron!$A81)+SUMIFS(Xero!$F:$F,Xero!$B:$B,Heron!AB$9,Xero!$A:$A,Heron!$A$5,Xero!$E:$E,Heron!$A81)</f>
        <v/>
      </c>
      <c r="AC81" s="66">
        <f>SUMIFS(Xero!$F:$F,Xero!$B:$B,Heron!AC$9,Xero!$A:$A,Heron!$A$4,Xero!$E:$E,Heron!$A81)+SUMIFS(Xero!$F:$F,Xero!$B:$B,Heron!AC$9,Xero!$A:$A,Heron!$A$5,Xero!$E:$E,Heron!$A81)</f>
        <v/>
      </c>
      <c r="AD81" s="66">
        <f>SUMIFS(Xero!$F:$F,Xero!$B:$B,Heron!AD$9,Xero!$A:$A,Heron!$A$4,Xero!$E:$E,Heron!$A81)+SUMIFS(Xero!$F:$F,Xero!$B:$B,Heron!AD$9,Xero!$A:$A,Heron!$A$5,Xero!$E:$E,Heron!$A81)</f>
        <v/>
      </c>
      <c r="AE81" s="66">
        <f>SUMIFS(Xero!$F:$F,Xero!$B:$B,Heron!AE$9,Xero!$A:$A,Heron!$A$4,Xero!$E:$E,Heron!$A81)+SUMIFS(Xero!$F:$F,Xero!$B:$B,Heron!AE$9,Xero!$A:$A,Heron!$A$5,Xero!$E:$E,Heron!$A81)</f>
        <v/>
      </c>
      <c r="AF81" s="66">
        <f>SUMIFS(Xero!$F:$F,Xero!$B:$B,Heron!AF$9,Xero!$A:$A,Heron!$A$4,Xero!$E:$E,Heron!$A81)+SUMIFS(Xero!$F:$F,Xero!$B:$B,Heron!AF$9,Xero!$A:$A,Heron!$A$5,Xero!$E:$E,Heron!$A81)</f>
        <v/>
      </c>
      <c r="AG81" s="66">
        <f>SUMIFS(Xero!$F:$F,Xero!$B:$B,Heron!AG$9,Xero!$A:$A,Heron!$A$4,Xero!$E:$E,Heron!$A81)+SUMIFS(Xero!$F:$F,Xero!$B:$B,Heron!AG$9,Xero!$A:$A,Heron!$A$5,Xero!$E:$E,Heron!$A81)</f>
        <v/>
      </c>
      <c r="AH81" s="66">
        <f>SUMIFS(Xero!$F:$F,Xero!$B:$B,Heron!AH$9,Xero!$A:$A,Heron!$A$4,Xero!$E:$E,Heron!$A81)+SUMIFS(Xero!$F:$F,Xero!$B:$B,Heron!AH$9,Xero!$A:$A,Heron!$A$5,Xero!$E:$E,Heron!$A81)</f>
        <v/>
      </c>
      <c r="AI81" s="66">
        <f>SUMIFS(Xero!$F:$F,Xero!$B:$B,Heron!AI$9,Xero!$A:$A,Heron!$A$4,Xero!$E:$E,Heron!$A81)+SUMIFS(Xero!$F:$F,Xero!$B:$B,Heron!AI$9,Xero!$A:$A,Heron!$A$5,Xero!$E:$E,Heron!$A81)</f>
        <v/>
      </c>
      <c r="AJ81" s="66">
        <f>SUMIFS(Xero!$F:$F,Xero!$B:$B,Heron!AJ$9,Xero!$A:$A,Heron!$A$4,Xero!$E:$E,Heron!$A81)+SUMIFS(Xero!$F:$F,Xero!$B:$B,Heron!AJ$9,Xero!$A:$A,Heron!$A$5,Xero!$E:$E,Heron!$A81)</f>
        <v/>
      </c>
      <c r="AK81" s="66">
        <f>SUMIFS(Xero!$F:$F,Xero!$B:$B,Heron!AK$9,Xero!$A:$A,Heron!$A$4,Xero!$E:$E,Heron!$A81)+SUMIFS(Xero!$F:$F,Xero!$B:$B,Heron!AK$9,Xero!$A:$A,Heron!$A$5,Xero!$E:$E,Heron!$A81)</f>
        <v/>
      </c>
      <c r="AL81" s="66">
        <f>SUMIFS(Xero!$F:$F,Xero!$B:$B,Heron!AL$9,Xero!$A:$A,Heron!$A$4,Xero!$E:$E,Heron!$A81)+SUMIFS(Xero!$F:$F,Xero!$B:$B,Heron!AL$9,Xero!$A:$A,Heron!$A$5,Xero!$E:$E,Heron!$A81)</f>
        <v/>
      </c>
      <c r="AM81" s="66">
        <f>SUMIFS(Xero!$F:$F,Xero!$B:$B,Heron!AM$9,Xero!$A:$A,Heron!$A$4,Xero!$E:$E,Heron!$A81)+SUMIFS(Xero!$F:$F,Xero!$B:$B,Heron!AM$9,Xero!$A:$A,Heron!$A$5,Xero!$E:$E,Heron!$A81)</f>
        <v/>
      </c>
      <c r="AN81" s="66">
        <f>SUMIFS(Xero!$F:$F,Xero!$B:$B,Heron!AN$9,Xero!$A:$A,Heron!$A$4,Xero!$E:$E,Heron!$A81)+SUMIFS(Xero!$F:$F,Xero!$B:$B,Heron!AN$9,Xero!$A:$A,Heron!$A$5,Xero!$E:$E,Heron!$A81)</f>
        <v/>
      </c>
      <c r="AO81" s="66">
        <f>SUMIFS(Xero!$F:$F,Xero!$B:$B,Heron!AO$9,Xero!$A:$A,Heron!$A$4,Xero!$E:$E,Heron!$A81)+SUMIFS(Xero!$F:$F,Xero!$B:$B,Heron!AO$9,Xero!$A:$A,Heron!$A$5,Xero!$E:$E,Heron!$A81)</f>
        <v/>
      </c>
      <c r="AP81" s="66">
        <f>SUMIFS(Xero!$F:$F,Xero!$B:$B,Heron!AP$9,Xero!$A:$A,Heron!$A$4,Xero!$E:$E,Heron!$A81)+SUMIFS(Xero!$F:$F,Xero!$B:$B,Heron!AP$9,Xero!$A:$A,Heron!$A$5,Xero!$E:$E,Heron!$A81)</f>
        <v/>
      </c>
      <c r="AQ81" s="66">
        <f>SUMIFS(Xero!$F:$F,Xero!$B:$B,Heron!AQ$9,Xero!$A:$A,Heron!$A$4,Xero!$E:$E,Heron!$A81)+SUMIFS(Xero!$F:$F,Xero!$B:$B,Heron!AQ$9,Xero!$A:$A,Heron!$A$5,Xero!$E:$E,Heron!$A81)</f>
        <v/>
      </c>
      <c r="AR81" s="66">
        <f>SUMIFS(Xero!$F:$F,Xero!$B:$B,Heron!AR$9,Xero!$A:$A,Heron!$A$4,Xero!$E:$E,Heron!$A81)+SUMIFS(Xero!$F:$F,Xero!$B:$B,Heron!AR$9,Xero!$A:$A,Heron!$A$5,Xero!$E:$E,Heron!$A81)</f>
        <v/>
      </c>
      <c r="AS81" s="66">
        <f>SUMIFS(Xero!$F:$F,Xero!$B:$B,Heron!AS$9,Xero!$A:$A,Heron!$A$4,Xero!$E:$E,Heron!$A81)+SUMIFS(Xero!$F:$F,Xero!$B:$B,Heron!AS$9,Xero!$A:$A,Heron!$A$5,Xero!$E:$E,Heron!$A81)</f>
        <v/>
      </c>
      <c r="AT81" s="66">
        <f>SUMIFS(Xero!$F:$F,Xero!$B:$B,Heron!AT$9,Xero!$A:$A,Heron!$A$4,Xero!$E:$E,Heron!$A81)+SUMIFS(Xero!$F:$F,Xero!$B:$B,Heron!AT$9,Xero!$A:$A,Heron!$A$5,Xero!$E:$E,Heron!$A81)</f>
        <v/>
      </c>
      <c r="AU81" s="66">
        <f>SUMIFS(Xero!$F:$F,Xero!$B:$B,Heron!AU$9,Xero!$A:$A,Heron!$A$4,Xero!$E:$E,Heron!$A81)+SUMIFS(Xero!$F:$F,Xero!$B:$B,Heron!AU$9,Xero!$A:$A,Heron!$A$5,Xero!$E:$E,Heron!$A81)</f>
        <v/>
      </c>
      <c r="AV81" s="66">
        <f>SUMIFS(Xero!$F:$F,Xero!$B:$B,Heron!AV$9,Xero!$A:$A,Heron!$A$4,Xero!$E:$E,Heron!$A81)+SUMIFS(Xero!$F:$F,Xero!$B:$B,Heron!AV$9,Xero!$A:$A,Heron!$A$5,Xero!$E:$E,Heron!$A81)</f>
        <v/>
      </c>
      <c r="AW81" s="66">
        <f>SUMIFS(Xero!$F:$F,Xero!$B:$B,Heron!AW$9,Xero!$A:$A,Heron!$A$4,Xero!$E:$E,Heron!$A81)+SUMIFS(Xero!$F:$F,Xero!$B:$B,Heron!AW$9,Xero!$A:$A,Heron!$A$5,Xero!$E:$E,Heron!$A81)</f>
        <v/>
      </c>
      <c r="AX81" s="66">
        <f>SUMIFS(Xero!$F:$F,Xero!$B:$B,Heron!AX$9,Xero!$A:$A,Heron!$A$4,Xero!$E:$E,Heron!$A81)+SUMIFS(Xero!$F:$F,Xero!$B:$B,Heron!AX$9,Xero!$A:$A,Heron!$A$5,Xero!$E:$E,Heron!$A81)</f>
        <v/>
      </c>
      <c r="AY81" s="66">
        <f>SUMIFS(Xero!$F:$F,Xero!$B:$B,Heron!AY$9,Xero!$A:$A,Heron!$A$4,Xero!$E:$E,Heron!$A81)+SUMIFS(Xero!$F:$F,Xero!$B:$B,Heron!AY$9,Xero!$A:$A,Heron!$A$5,Xero!$E:$E,Heron!$A81)</f>
        <v/>
      </c>
      <c r="AZ81" s="66">
        <f>SUMIFS(Xero!$F:$F,Xero!$B:$B,Heron!AZ$9,Xero!$A:$A,Heron!$A$4,Xero!$E:$E,Heron!$A81)+SUMIFS(Xero!$F:$F,Xero!$B:$B,Heron!AZ$9,Xero!$A:$A,Heron!$A$5,Xero!$E:$E,Heron!$A81)</f>
        <v/>
      </c>
      <c r="BA81" s="66">
        <f>SUMIFS(Xero!$F:$F,Xero!$B:$B,Heron!BA$9,Xero!$A:$A,Heron!$A$4,Xero!$E:$E,Heron!$A81)+SUMIFS(Xero!$F:$F,Xero!$B:$B,Heron!BA$9,Xero!$A:$A,Heron!$A$5,Xero!$E:$E,Heron!$A81)</f>
        <v/>
      </c>
      <c r="BB81" s="66">
        <f>SUMIFS(Xero!$F:$F,Xero!$B:$B,Heron!BB$9,Xero!$A:$A,Heron!$A$4,Xero!$E:$E,Heron!$A81)+SUMIFS(Xero!$F:$F,Xero!$B:$B,Heron!BB$9,Xero!$A:$A,Heron!$A$5,Xero!$E:$E,Heron!$A81)</f>
        <v/>
      </c>
      <c r="BC81" s="66">
        <f>SUMIFS(Xero!$F:$F,Xero!$B:$B,Heron!BC$9,Xero!$A:$A,Heron!$A$4,Xero!$E:$E,Heron!$A81)+SUMIFS(Xero!$F:$F,Xero!$B:$B,Heron!BC$9,Xero!$A:$A,Heron!$A$5,Xero!$E:$E,Heron!$A81)</f>
        <v/>
      </c>
      <c r="BD81" s="66">
        <f>SUMIFS(Xero!$F:$F,Xero!$B:$B,Heron!BD$9,Xero!$A:$A,Heron!$A$4,Xero!$E:$E,Heron!$A81)+SUMIFS(Xero!$F:$F,Xero!$B:$B,Heron!BD$9,Xero!$A:$A,Heron!$A$5,Xero!$E:$E,Heron!$A81)</f>
        <v/>
      </c>
      <c r="BE81" s="66">
        <f>SUMIFS(Xero!$F:$F,Xero!$B:$B,Heron!BE$9,Xero!$A:$A,Heron!$A$4,Xero!$E:$E,Heron!$A81)+SUMIFS(Xero!$F:$F,Xero!$B:$B,Heron!BE$9,Xero!$A:$A,Heron!$A$5,Xero!$E:$E,Heron!$A81)</f>
        <v/>
      </c>
      <c r="BF81" s="66">
        <f>SUMIFS(Xero!$F:$F,Xero!$B:$B,Heron!BF$9,Xero!$A:$A,Heron!$A$4,Xero!$E:$E,Heron!$A81)+SUMIFS(Xero!$F:$F,Xero!$B:$B,Heron!BF$9,Xero!$A:$A,Heron!$A$5,Xero!$E:$E,Heron!$A81)</f>
        <v/>
      </c>
      <c r="BG81" s="66">
        <f>SUMIFS(Xero!$F:$F,Xero!$B:$B,Heron!BG$9,Xero!$A:$A,Heron!$A$4,Xero!$E:$E,Heron!$A81)+SUMIFS(Xero!$F:$F,Xero!$B:$B,Heron!BG$9,Xero!$A:$A,Heron!$A$5,Xero!$E:$E,Heron!$A81)</f>
        <v/>
      </c>
      <c r="BH81" s="66">
        <f>sum(D81:BG81)</f>
        <v/>
      </c>
    </row>
    <row r="82">
      <c r="A82" s="65" t="inlineStr">
        <is>
          <t>Interest Paid - Investors @ 9.75%</t>
        </is>
      </c>
      <c r="D82" s="66">
        <f>SUMIFS(Xero!$F:$F,Xero!$B:$B,Heron!D$9,Xero!$A:$A,Heron!$A$4,Xero!$E:$E,Heron!$A82)+SUMIFS(Xero!$F:$F,Xero!$B:$B,Heron!D$9,Xero!$A:$A,Heron!$A$5,Xero!$E:$E,Heron!$A82)</f>
        <v/>
      </c>
      <c r="E82" s="66">
        <f>SUMIFS(Xero!$F:$F,Xero!$B:$B,Heron!E$9,Xero!$A:$A,Heron!$A$4,Xero!$E:$E,Heron!$A82)+SUMIFS(Xero!$F:$F,Xero!$B:$B,Heron!E$9,Xero!$A:$A,Heron!$A$5,Xero!$E:$E,Heron!$A82)</f>
        <v/>
      </c>
      <c r="F82" s="66">
        <f>SUMIFS(Xero!$F:$F,Xero!$B:$B,Heron!F$9,Xero!$A:$A,Heron!$A$4,Xero!$E:$E,Heron!$A82)+SUMIFS(Xero!$F:$F,Xero!$B:$B,Heron!F$9,Xero!$A:$A,Heron!$A$5,Xero!$E:$E,Heron!$A82)</f>
        <v/>
      </c>
      <c r="G82" s="66">
        <f>SUMIFS(Xero!$F:$F,Xero!$B:$B,Heron!G$9,Xero!$A:$A,Heron!$A$4,Xero!$E:$E,Heron!$A82)+SUMIFS(Xero!$F:$F,Xero!$B:$B,Heron!G$9,Xero!$A:$A,Heron!$A$5,Xero!$E:$E,Heron!$A82)</f>
        <v/>
      </c>
      <c r="H82" s="66">
        <f>SUMIFS(Xero!$F:$F,Xero!$B:$B,Heron!H$9,Xero!$A:$A,Heron!$A$4,Xero!$E:$E,Heron!$A82)+SUMIFS(Xero!$F:$F,Xero!$B:$B,Heron!H$9,Xero!$A:$A,Heron!$A$5,Xero!$E:$E,Heron!$A82)</f>
        <v/>
      </c>
      <c r="I82" s="66">
        <f>SUMIFS(Xero!$F:$F,Xero!$B:$B,Heron!I$9,Xero!$A:$A,Heron!$A$4,Xero!$E:$E,Heron!$A82)+SUMIFS(Xero!$F:$F,Xero!$B:$B,Heron!I$9,Xero!$A:$A,Heron!$A$5,Xero!$E:$E,Heron!$A82)</f>
        <v/>
      </c>
      <c r="J82" s="66">
        <f>SUMIFS(Xero!$F:$F,Xero!$B:$B,Heron!J$9,Xero!$A:$A,Heron!$A$4,Xero!$E:$E,Heron!$A82)+SUMIFS(Xero!$F:$F,Xero!$B:$B,Heron!J$9,Xero!$A:$A,Heron!$A$5,Xero!$E:$E,Heron!$A82)</f>
        <v/>
      </c>
      <c r="K82" s="66">
        <f>SUMIFS(Xero!$F:$F,Xero!$B:$B,Heron!K$9,Xero!$A:$A,Heron!$A$4,Xero!$E:$E,Heron!$A82)+SUMIFS(Xero!$F:$F,Xero!$B:$B,Heron!K$9,Xero!$A:$A,Heron!$A$5,Xero!$E:$E,Heron!$A82)</f>
        <v/>
      </c>
      <c r="L82" s="66">
        <f>SUMIFS(Xero!$F:$F,Xero!$B:$B,Heron!L$9,Xero!$A:$A,Heron!$A$4,Xero!$E:$E,Heron!$A82)+SUMIFS(Xero!$F:$F,Xero!$B:$B,Heron!L$9,Xero!$A:$A,Heron!$A$5,Xero!$E:$E,Heron!$A82)</f>
        <v/>
      </c>
      <c r="M82" s="66">
        <f>SUMIFS(Xero!$F:$F,Xero!$B:$B,Heron!M$9,Xero!$A:$A,Heron!$A$4,Xero!$E:$E,Heron!$A82)+SUMIFS(Xero!$F:$F,Xero!$B:$B,Heron!M$9,Xero!$A:$A,Heron!$A$5,Xero!$E:$E,Heron!$A82)</f>
        <v/>
      </c>
      <c r="N82" s="66">
        <f>SUMIFS(Xero!$F:$F,Xero!$B:$B,Heron!N$9,Xero!$A:$A,Heron!$A$4,Xero!$E:$E,Heron!$A82)+SUMIFS(Xero!$F:$F,Xero!$B:$B,Heron!N$9,Xero!$A:$A,Heron!$A$5,Xero!$E:$E,Heron!$A82)</f>
        <v/>
      </c>
      <c r="O82" s="66">
        <f>SUMIFS(Xero!$F:$F,Xero!$B:$B,Heron!O$9,Xero!$A:$A,Heron!$A$4,Xero!$E:$E,Heron!$A82)+SUMIFS(Xero!$F:$F,Xero!$B:$B,Heron!O$9,Xero!$A:$A,Heron!$A$5,Xero!$E:$E,Heron!$A82)</f>
        <v/>
      </c>
      <c r="P82" s="66">
        <f>SUMIFS(Xero!$F:$F,Xero!$B:$B,Heron!P$9,Xero!$A:$A,Heron!$A$4,Xero!$E:$E,Heron!$A82)+SUMIFS(Xero!$F:$F,Xero!$B:$B,Heron!P$9,Xero!$A:$A,Heron!$A$5,Xero!$E:$E,Heron!$A82)</f>
        <v/>
      </c>
      <c r="Q82" s="66">
        <f>SUMIFS(Xero!$F:$F,Xero!$B:$B,Heron!Q$9,Xero!$A:$A,Heron!$A$4,Xero!$E:$E,Heron!$A82)+SUMIFS(Xero!$F:$F,Xero!$B:$B,Heron!Q$9,Xero!$A:$A,Heron!$A$5,Xero!$E:$E,Heron!$A82)</f>
        <v/>
      </c>
      <c r="R82" s="66">
        <f>SUMIFS(Xero!$F:$F,Xero!$B:$B,Heron!R$9,Xero!$A:$A,Heron!$A$4,Xero!$E:$E,Heron!$A82)+SUMIFS(Xero!$F:$F,Xero!$B:$B,Heron!R$9,Xero!$A:$A,Heron!$A$5,Xero!$E:$E,Heron!$A82)</f>
        <v/>
      </c>
      <c r="S82" s="66">
        <f>SUMIFS(Xero!$F:$F,Xero!$B:$B,Heron!S$9,Xero!$A:$A,Heron!$A$4,Xero!$E:$E,Heron!$A82)+SUMIFS(Xero!$F:$F,Xero!$B:$B,Heron!S$9,Xero!$A:$A,Heron!$A$5,Xero!$E:$E,Heron!$A82)</f>
        <v/>
      </c>
      <c r="T82" s="66">
        <f>SUMIFS(Xero!$F:$F,Xero!$B:$B,Heron!T$9,Xero!$A:$A,Heron!$A$4,Xero!$E:$E,Heron!$A82)+SUMIFS(Xero!$F:$F,Xero!$B:$B,Heron!T$9,Xero!$A:$A,Heron!$A$5,Xero!$E:$E,Heron!$A82)</f>
        <v/>
      </c>
      <c r="U82" s="66">
        <f>SUMIFS(Xero!$F:$F,Xero!$B:$B,Heron!U$9,Xero!$A:$A,Heron!$A$4,Xero!$E:$E,Heron!$A82)+SUMIFS(Xero!$F:$F,Xero!$B:$B,Heron!U$9,Xero!$A:$A,Heron!$A$5,Xero!$E:$E,Heron!$A82)</f>
        <v/>
      </c>
      <c r="V82" s="66">
        <f>SUMIFS(Xero!$F:$F,Xero!$B:$B,Heron!V$9,Xero!$A:$A,Heron!$A$4,Xero!$E:$E,Heron!$A82)+SUMIFS(Xero!$F:$F,Xero!$B:$B,Heron!V$9,Xero!$A:$A,Heron!$A$5,Xero!$E:$E,Heron!$A82)</f>
        <v/>
      </c>
      <c r="W82" s="66">
        <f>SUMIFS(Xero!$F:$F,Xero!$B:$B,Heron!W$9,Xero!$A:$A,Heron!$A$4,Xero!$E:$E,Heron!$A82)+SUMIFS(Xero!$F:$F,Xero!$B:$B,Heron!W$9,Xero!$A:$A,Heron!$A$5,Xero!$E:$E,Heron!$A82)</f>
        <v/>
      </c>
      <c r="X82" s="66">
        <f>SUMIFS(Xero!$F:$F,Xero!$B:$B,Heron!X$9,Xero!$A:$A,Heron!$A$4,Xero!$E:$E,Heron!$A82)+SUMIFS(Xero!$F:$F,Xero!$B:$B,Heron!X$9,Xero!$A:$A,Heron!$A$5,Xero!$E:$E,Heron!$A82)</f>
        <v/>
      </c>
      <c r="Y82" s="66">
        <f>SUMIFS(Xero!$F:$F,Xero!$B:$B,Heron!Y$9,Xero!$A:$A,Heron!$A$4,Xero!$E:$E,Heron!$A82)+SUMIFS(Xero!$F:$F,Xero!$B:$B,Heron!Y$9,Xero!$A:$A,Heron!$A$5,Xero!$E:$E,Heron!$A82)</f>
        <v/>
      </c>
      <c r="Z82" s="66">
        <f>SUMIFS(Xero!$F:$F,Xero!$B:$B,Heron!Z$9,Xero!$A:$A,Heron!$A$4,Xero!$E:$E,Heron!$A82)+SUMIFS(Xero!$F:$F,Xero!$B:$B,Heron!Z$9,Xero!$A:$A,Heron!$A$5,Xero!$E:$E,Heron!$A82)</f>
        <v/>
      </c>
      <c r="AA82" s="66">
        <f>SUMIFS(Xero!$F:$F,Xero!$B:$B,Heron!AA$9,Xero!$A:$A,Heron!$A$4,Xero!$E:$E,Heron!$A82)+SUMIFS(Xero!$F:$F,Xero!$B:$B,Heron!AA$9,Xero!$A:$A,Heron!$A$5,Xero!$E:$E,Heron!$A82)</f>
        <v/>
      </c>
      <c r="AB82" s="66">
        <f>SUMIFS(Xero!$F:$F,Xero!$B:$B,Heron!AB$9,Xero!$A:$A,Heron!$A$4,Xero!$E:$E,Heron!$A82)+SUMIFS(Xero!$F:$F,Xero!$B:$B,Heron!AB$9,Xero!$A:$A,Heron!$A$5,Xero!$E:$E,Heron!$A82)</f>
        <v/>
      </c>
      <c r="AC82" s="66">
        <f>SUMIFS(Xero!$F:$F,Xero!$B:$B,Heron!AC$9,Xero!$A:$A,Heron!$A$4,Xero!$E:$E,Heron!$A82)+SUMIFS(Xero!$F:$F,Xero!$B:$B,Heron!AC$9,Xero!$A:$A,Heron!$A$5,Xero!$E:$E,Heron!$A82)</f>
        <v/>
      </c>
      <c r="AD82" s="66">
        <f>SUMIFS(Xero!$F:$F,Xero!$B:$B,Heron!AD$9,Xero!$A:$A,Heron!$A$4,Xero!$E:$E,Heron!$A82)+SUMIFS(Xero!$F:$F,Xero!$B:$B,Heron!AD$9,Xero!$A:$A,Heron!$A$5,Xero!$E:$E,Heron!$A82)</f>
        <v/>
      </c>
      <c r="AE82" s="66">
        <f>SUMIFS(Xero!$F:$F,Xero!$B:$B,Heron!AE$9,Xero!$A:$A,Heron!$A$4,Xero!$E:$E,Heron!$A82)+SUMIFS(Xero!$F:$F,Xero!$B:$B,Heron!AE$9,Xero!$A:$A,Heron!$A$5,Xero!$E:$E,Heron!$A82)</f>
        <v/>
      </c>
      <c r="AF82" s="66">
        <f>SUMIFS(Xero!$F:$F,Xero!$B:$B,Heron!AF$9,Xero!$A:$A,Heron!$A$4,Xero!$E:$E,Heron!$A82)+SUMIFS(Xero!$F:$F,Xero!$B:$B,Heron!AF$9,Xero!$A:$A,Heron!$A$5,Xero!$E:$E,Heron!$A82)</f>
        <v/>
      </c>
      <c r="AG82" s="66">
        <f>SUMIFS(Xero!$F:$F,Xero!$B:$B,Heron!AG$9,Xero!$A:$A,Heron!$A$4,Xero!$E:$E,Heron!$A82)+SUMIFS(Xero!$F:$F,Xero!$B:$B,Heron!AG$9,Xero!$A:$A,Heron!$A$5,Xero!$E:$E,Heron!$A82)</f>
        <v/>
      </c>
      <c r="AH82" s="66">
        <f>SUMIFS(Xero!$F:$F,Xero!$B:$B,Heron!AH$9,Xero!$A:$A,Heron!$A$4,Xero!$E:$E,Heron!$A82)+SUMIFS(Xero!$F:$F,Xero!$B:$B,Heron!AH$9,Xero!$A:$A,Heron!$A$5,Xero!$E:$E,Heron!$A82)</f>
        <v/>
      </c>
      <c r="AI82" s="66">
        <f>SUMIFS(Xero!$F:$F,Xero!$B:$B,Heron!AI$9,Xero!$A:$A,Heron!$A$4,Xero!$E:$E,Heron!$A82)+SUMIFS(Xero!$F:$F,Xero!$B:$B,Heron!AI$9,Xero!$A:$A,Heron!$A$5,Xero!$E:$E,Heron!$A82)</f>
        <v/>
      </c>
      <c r="AJ82" s="66">
        <f>SUMIFS(Xero!$F:$F,Xero!$B:$B,Heron!AJ$9,Xero!$A:$A,Heron!$A$4,Xero!$E:$E,Heron!$A82)+SUMIFS(Xero!$F:$F,Xero!$B:$B,Heron!AJ$9,Xero!$A:$A,Heron!$A$5,Xero!$E:$E,Heron!$A82)</f>
        <v/>
      </c>
      <c r="AK82" s="66">
        <f>SUMIFS(Xero!$F:$F,Xero!$B:$B,Heron!AK$9,Xero!$A:$A,Heron!$A$4,Xero!$E:$E,Heron!$A82)+SUMIFS(Xero!$F:$F,Xero!$B:$B,Heron!AK$9,Xero!$A:$A,Heron!$A$5,Xero!$E:$E,Heron!$A82)</f>
        <v/>
      </c>
      <c r="AL82" s="66">
        <f>SUMIFS(Xero!$F:$F,Xero!$B:$B,Heron!AL$9,Xero!$A:$A,Heron!$A$4,Xero!$E:$E,Heron!$A82)+SUMIFS(Xero!$F:$F,Xero!$B:$B,Heron!AL$9,Xero!$A:$A,Heron!$A$5,Xero!$E:$E,Heron!$A82)</f>
        <v/>
      </c>
      <c r="AM82" s="66">
        <f>SUMIFS(Xero!$F:$F,Xero!$B:$B,Heron!AM$9,Xero!$A:$A,Heron!$A$4,Xero!$E:$E,Heron!$A82)+SUMIFS(Xero!$F:$F,Xero!$B:$B,Heron!AM$9,Xero!$A:$A,Heron!$A$5,Xero!$E:$E,Heron!$A82)</f>
        <v/>
      </c>
      <c r="AN82" s="66">
        <f>SUMIFS(Xero!$F:$F,Xero!$B:$B,Heron!AN$9,Xero!$A:$A,Heron!$A$4,Xero!$E:$E,Heron!$A82)+SUMIFS(Xero!$F:$F,Xero!$B:$B,Heron!AN$9,Xero!$A:$A,Heron!$A$5,Xero!$E:$E,Heron!$A82)</f>
        <v/>
      </c>
      <c r="AO82" s="66">
        <f>SUMIFS(Xero!$F:$F,Xero!$B:$B,Heron!AO$9,Xero!$A:$A,Heron!$A$4,Xero!$E:$E,Heron!$A82)+SUMIFS(Xero!$F:$F,Xero!$B:$B,Heron!AO$9,Xero!$A:$A,Heron!$A$5,Xero!$E:$E,Heron!$A82)</f>
        <v/>
      </c>
      <c r="AP82" s="66">
        <f>SUMIFS(Xero!$F:$F,Xero!$B:$B,Heron!AP$9,Xero!$A:$A,Heron!$A$4,Xero!$E:$E,Heron!$A82)+SUMIFS(Xero!$F:$F,Xero!$B:$B,Heron!AP$9,Xero!$A:$A,Heron!$A$5,Xero!$E:$E,Heron!$A82)</f>
        <v/>
      </c>
      <c r="AQ82" s="66">
        <f>SUMIFS(Xero!$F:$F,Xero!$B:$B,Heron!AQ$9,Xero!$A:$A,Heron!$A$4,Xero!$E:$E,Heron!$A82)+SUMIFS(Xero!$F:$F,Xero!$B:$B,Heron!AQ$9,Xero!$A:$A,Heron!$A$5,Xero!$E:$E,Heron!$A82)</f>
        <v/>
      </c>
      <c r="AR82" s="66">
        <f>SUMIFS(Xero!$F:$F,Xero!$B:$B,Heron!AR$9,Xero!$A:$A,Heron!$A$4,Xero!$E:$E,Heron!$A82)+SUMIFS(Xero!$F:$F,Xero!$B:$B,Heron!AR$9,Xero!$A:$A,Heron!$A$5,Xero!$E:$E,Heron!$A82)</f>
        <v/>
      </c>
      <c r="AS82" s="66">
        <f>SUMIFS(Xero!$F:$F,Xero!$B:$B,Heron!AS$9,Xero!$A:$A,Heron!$A$4,Xero!$E:$E,Heron!$A82)+SUMIFS(Xero!$F:$F,Xero!$B:$B,Heron!AS$9,Xero!$A:$A,Heron!$A$5,Xero!$E:$E,Heron!$A82)</f>
        <v/>
      </c>
      <c r="AT82" s="66">
        <f>SUMIFS(Xero!$F:$F,Xero!$B:$B,Heron!AT$9,Xero!$A:$A,Heron!$A$4,Xero!$E:$E,Heron!$A82)+SUMIFS(Xero!$F:$F,Xero!$B:$B,Heron!AT$9,Xero!$A:$A,Heron!$A$5,Xero!$E:$E,Heron!$A82)</f>
        <v/>
      </c>
      <c r="AU82" s="66">
        <f>SUMIFS(Xero!$F:$F,Xero!$B:$B,Heron!AU$9,Xero!$A:$A,Heron!$A$4,Xero!$E:$E,Heron!$A82)+SUMIFS(Xero!$F:$F,Xero!$B:$B,Heron!AU$9,Xero!$A:$A,Heron!$A$5,Xero!$E:$E,Heron!$A82)</f>
        <v/>
      </c>
      <c r="AV82" s="66">
        <f>SUMIFS(Xero!$F:$F,Xero!$B:$B,Heron!AV$9,Xero!$A:$A,Heron!$A$4,Xero!$E:$E,Heron!$A82)+SUMIFS(Xero!$F:$F,Xero!$B:$B,Heron!AV$9,Xero!$A:$A,Heron!$A$5,Xero!$E:$E,Heron!$A82)</f>
        <v/>
      </c>
      <c r="AW82" s="66">
        <f>SUMIFS(Xero!$F:$F,Xero!$B:$B,Heron!AW$9,Xero!$A:$A,Heron!$A$4,Xero!$E:$E,Heron!$A82)+SUMIFS(Xero!$F:$F,Xero!$B:$B,Heron!AW$9,Xero!$A:$A,Heron!$A$5,Xero!$E:$E,Heron!$A82)</f>
        <v/>
      </c>
      <c r="AX82" s="66">
        <f>SUMIFS(Xero!$F:$F,Xero!$B:$B,Heron!AX$9,Xero!$A:$A,Heron!$A$4,Xero!$E:$E,Heron!$A82)+SUMIFS(Xero!$F:$F,Xero!$B:$B,Heron!AX$9,Xero!$A:$A,Heron!$A$5,Xero!$E:$E,Heron!$A82)</f>
        <v/>
      </c>
      <c r="AY82" s="66">
        <f>SUMIFS(Xero!$F:$F,Xero!$B:$B,Heron!AY$9,Xero!$A:$A,Heron!$A$4,Xero!$E:$E,Heron!$A82)+SUMIFS(Xero!$F:$F,Xero!$B:$B,Heron!AY$9,Xero!$A:$A,Heron!$A$5,Xero!$E:$E,Heron!$A82)</f>
        <v/>
      </c>
      <c r="AZ82" s="66">
        <f>SUMIFS(Xero!$F:$F,Xero!$B:$B,Heron!AZ$9,Xero!$A:$A,Heron!$A$4,Xero!$E:$E,Heron!$A82)+SUMIFS(Xero!$F:$F,Xero!$B:$B,Heron!AZ$9,Xero!$A:$A,Heron!$A$5,Xero!$E:$E,Heron!$A82)</f>
        <v/>
      </c>
      <c r="BA82" s="66">
        <f>SUMIFS(Xero!$F:$F,Xero!$B:$B,Heron!BA$9,Xero!$A:$A,Heron!$A$4,Xero!$E:$E,Heron!$A82)+SUMIFS(Xero!$F:$F,Xero!$B:$B,Heron!BA$9,Xero!$A:$A,Heron!$A$5,Xero!$E:$E,Heron!$A82)</f>
        <v/>
      </c>
      <c r="BB82" s="66">
        <f>SUMIFS(Xero!$F:$F,Xero!$B:$B,Heron!BB$9,Xero!$A:$A,Heron!$A$4,Xero!$E:$E,Heron!$A82)+SUMIFS(Xero!$F:$F,Xero!$B:$B,Heron!BB$9,Xero!$A:$A,Heron!$A$5,Xero!$E:$E,Heron!$A82)</f>
        <v/>
      </c>
      <c r="BC82" s="66">
        <f>SUMIFS(Xero!$F:$F,Xero!$B:$B,Heron!BC$9,Xero!$A:$A,Heron!$A$4,Xero!$E:$E,Heron!$A82)+SUMIFS(Xero!$F:$F,Xero!$B:$B,Heron!BC$9,Xero!$A:$A,Heron!$A$5,Xero!$E:$E,Heron!$A82)</f>
        <v/>
      </c>
      <c r="BD82" s="66">
        <f>SUMIFS(Xero!$F:$F,Xero!$B:$B,Heron!BD$9,Xero!$A:$A,Heron!$A$4,Xero!$E:$E,Heron!$A82)+SUMIFS(Xero!$F:$F,Xero!$B:$B,Heron!BD$9,Xero!$A:$A,Heron!$A$5,Xero!$E:$E,Heron!$A82)</f>
        <v/>
      </c>
      <c r="BE82" s="66">
        <f>SUMIFS(Xero!$F:$F,Xero!$B:$B,Heron!BE$9,Xero!$A:$A,Heron!$A$4,Xero!$E:$E,Heron!$A82)+SUMIFS(Xero!$F:$F,Xero!$B:$B,Heron!BE$9,Xero!$A:$A,Heron!$A$5,Xero!$E:$E,Heron!$A82)</f>
        <v/>
      </c>
      <c r="BF82" s="66">
        <f>SUMIFS(Xero!$F:$F,Xero!$B:$B,Heron!BF$9,Xero!$A:$A,Heron!$A$4,Xero!$E:$E,Heron!$A82)+SUMIFS(Xero!$F:$F,Xero!$B:$B,Heron!BF$9,Xero!$A:$A,Heron!$A$5,Xero!$E:$E,Heron!$A82)</f>
        <v/>
      </c>
      <c r="BG82" s="66">
        <f>SUMIFS(Xero!$F:$F,Xero!$B:$B,Heron!BG$9,Xero!$A:$A,Heron!$A$4,Xero!$E:$E,Heron!$A82)+SUMIFS(Xero!$F:$F,Xero!$B:$B,Heron!BG$9,Xero!$A:$A,Heron!$A$5,Xero!$E:$E,Heron!$A82)</f>
        <v/>
      </c>
      <c r="BH82" s="66">
        <f>sum(D82:BG82)</f>
        <v/>
      </c>
    </row>
    <row r="83">
      <c r="A83" s="65" t="inlineStr">
        <is>
          <t>Levies</t>
        </is>
      </c>
      <c r="D83" s="66">
        <f>SUMIFS(Xero!$F:$F,Xero!$B:$B,Heron!D$9,Xero!$A:$A,Heron!$A$4,Xero!$E:$E,Heron!$A83)+SUMIFS(Xero!$F:$F,Xero!$B:$B,Heron!D$9,Xero!$A:$A,Heron!$A$5,Xero!$E:$E,Heron!$A83)</f>
        <v/>
      </c>
      <c r="E83" s="66">
        <f>SUMIFS(Xero!$F:$F,Xero!$B:$B,Heron!E$9,Xero!$A:$A,Heron!$A$4,Xero!$E:$E,Heron!$A83)+SUMIFS(Xero!$F:$F,Xero!$B:$B,Heron!E$9,Xero!$A:$A,Heron!$A$5,Xero!$E:$E,Heron!$A83)</f>
        <v/>
      </c>
      <c r="F83" s="66">
        <f>SUMIFS(Xero!$F:$F,Xero!$B:$B,Heron!F$9,Xero!$A:$A,Heron!$A$4,Xero!$E:$E,Heron!$A83)+SUMIFS(Xero!$F:$F,Xero!$B:$B,Heron!F$9,Xero!$A:$A,Heron!$A$5,Xero!$E:$E,Heron!$A83)</f>
        <v/>
      </c>
      <c r="G83" s="66">
        <f>SUMIFS(Xero!$F:$F,Xero!$B:$B,Heron!G$9,Xero!$A:$A,Heron!$A$4,Xero!$E:$E,Heron!$A83)+SUMIFS(Xero!$F:$F,Xero!$B:$B,Heron!G$9,Xero!$A:$A,Heron!$A$5,Xero!$E:$E,Heron!$A83)</f>
        <v/>
      </c>
      <c r="H83" s="66">
        <f>SUMIFS(Xero!$F:$F,Xero!$B:$B,Heron!H$9,Xero!$A:$A,Heron!$A$4,Xero!$E:$E,Heron!$A83)+SUMIFS(Xero!$F:$F,Xero!$B:$B,Heron!H$9,Xero!$A:$A,Heron!$A$5,Xero!$E:$E,Heron!$A83)</f>
        <v/>
      </c>
      <c r="I83" s="66">
        <f>SUMIFS(Xero!$F:$F,Xero!$B:$B,Heron!I$9,Xero!$A:$A,Heron!$A$4,Xero!$E:$E,Heron!$A83)+SUMIFS(Xero!$F:$F,Xero!$B:$B,Heron!I$9,Xero!$A:$A,Heron!$A$5,Xero!$E:$E,Heron!$A83)</f>
        <v/>
      </c>
      <c r="J83" s="66">
        <f>SUMIFS(Xero!$F:$F,Xero!$B:$B,Heron!J$9,Xero!$A:$A,Heron!$A$4,Xero!$E:$E,Heron!$A83)+SUMIFS(Xero!$F:$F,Xero!$B:$B,Heron!J$9,Xero!$A:$A,Heron!$A$5,Xero!$E:$E,Heron!$A83)</f>
        <v/>
      </c>
      <c r="K83" s="66">
        <f>SUMIFS(Xero!$F:$F,Xero!$B:$B,Heron!K$9,Xero!$A:$A,Heron!$A$4,Xero!$E:$E,Heron!$A83)+SUMIFS(Xero!$F:$F,Xero!$B:$B,Heron!K$9,Xero!$A:$A,Heron!$A$5,Xero!$E:$E,Heron!$A83)</f>
        <v/>
      </c>
      <c r="L83" s="66">
        <f>SUMIFS(Xero!$F:$F,Xero!$B:$B,Heron!L$9,Xero!$A:$A,Heron!$A$4,Xero!$E:$E,Heron!$A83)+SUMIFS(Xero!$F:$F,Xero!$B:$B,Heron!L$9,Xero!$A:$A,Heron!$A$5,Xero!$E:$E,Heron!$A83)</f>
        <v/>
      </c>
      <c r="M83" s="66">
        <f>SUMIFS(Xero!$F:$F,Xero!$B:$B,Heron!M$9,Xero!$A:$A,Heron!$A$4,Xero!$E:$E,Heron!$A83)+SUMIFS(Xero!$F:$F,Xero!$B:$B,Heron!M$9,Xero!$A:$A,Heron!$A$5,Xero!$E:$E,Heron!$A83)</f>
        <v/>
      </c>
      <c r="N83" s="66">
        <f>SUMIFS(Xero!$F:$F,Xero!$B:$B,Heron!N$9,Xero!$A:$A,Heron!$A$4,Xero!$E:$E,Heron!$A83)+SUMIFS(Xero!$F:$F,Xero!$B:$B,Heron!N$9,Xero!$A:$A,Heron!$A$5,Xero!$E:$E,Heron!$A83)</f>
        <v/>
      </c>
      <c r="O83" s="66">
        <f>SUMIFS(Xero!$F:$F,Xero!$B:$B,Heron!O$9,Xero!$A:$A,Heron!$A$4,Xero!$E:$E,Heron!$A83)+SUMIFS(Xero!$F:$F,Xero!$B:$B,Heron!O$9,Xero!$A:$A,Heron!$A$5,Xero!$E:$E,Heron!$A83)</f>
        <v/>
      </c>
      <c r="P83" s="66">
        <f>SUMIFS(Xero!$F:$F,Xero!$B:$B,Heron!P$9,Xero!$A:$A,Heron!$A$4,Xero!$E:$E,Heron!$A83)+SUMIFS(Xero!$F:$F,Xero!$B:$B,Heron!P$9,Xero!$A:$A,Heron!$A$5,Xero!$E:$E,Heron!$A83)</f>
        <v/>
      </c>
      <c r="Q83" s="66">
        <f>SUMIFS(Xero!$F:$F,Xero!$B:$B,Heron!Q$9,Xero!$A:$A,Heron!$A$4,Xero!$E:$E,Heron!$A83)+SUMIFS(Xero!$F:$F,Xero!$B:$B,Heron!Q$9,Xero!$A:$A,Heron!$A$5,Xero!$E:$E,Heron!$A83)</f>
        <v/>
      </c>
      <c r="R83" s="66">
        <f>SUMIFS(Xero!$F:$F,Xero!$B:$B,Heron!R$9,Xero!$A:$A,Heron!$A$4,Xero!$E:$E,Heron!$A83)+SUMIFS(Xero!$F:$F,Xero!$B:$B,Heron!R$9,Xero!$A:$A,Heron!$A$5,Xero!$E:$E,Heron!$A83)</f>
        <v/>
      </c>
      <c r="S83" s="66">
        <f>SUMIFS(Xero!$F:$F,Xero!$B:$B,Heron!S$9,Xero!$A:$A,Heron!$A$4,Xero!$E:$E,Heron!$A83)+SUMIFS(Xero!$F:$F,Xero!$B:$B,Heron!S$9,Xero!$A:$A,Heron!$A$5,Xero!$E:$E,Heron!$A83)</f>
        <v/>
      </c>
      <c r="T83" s="66">
        <f>SUMIFS(Xero!$F:$F,Xero!$B:$B,Heron!T$9,Xero!$A:$A,Heron!$A$4,Xero!$E:$E,Heron!$A83)+SUMIFS(Xero!$F:$F,Xero!$B:$B,Heron!T$9,Xero!$A:$A,Heron!$A$5,Xero!$E:$E,Heron!$A83)</f>
        <v/>
      </c>
      <c r="U83" s="66">
        <f>SUMIFS(Xero!$F:$F,Xero!$B:$B,Heron!U$9,Xero!$A:$A,Heron!$A$4,Xero!$E:$E,Heron!$A83)+SUMIFS(Xero!$F:$F,Xero!$B:$B,Heron!U$9,Xero!$A:$A,Heron!$A$5,Xero!$E:$E,Heron!$A83)</f>
        <v/>
      </c>
      <c r="V83" s="66">
        <f>SUMIFS(Xero!$F:$F,Xero!$B:$B,Heron!V$9,Xero!$A:$A,Heron!$A$4,Xero!$E:$E,Heron!$A83)+SUMIFS(Xero!$F:$F,Xero!$B:$B,Heron!V$9,Xero!$A:$A,Heron!$A$5,Xero!$E:$E,Heron!$A83)</f>
        <v/>
      </c>
      <c r="W83" s="66">
        <f>SUMIFS(Xero!$F:$F,Xero!$B:$B,Heron!W$9,Xero!$A:$A,Heron!$A$4,Xero!$E:$E,Heron!$A83)+SUMIFS(Xero!$F:$F,Xero!$B:$B,Heron!W$9,Xero!$A:$A,Heron!$A$5,Xero!$E:$E,Heron!$A83)</f>
        <v/>
      </c>
      <c r="X83" s="66">
        <f>SUMIFS(Xero!$F:$F,Xero!$B:$B,Heron!X$9,Xero!$A:$A,Heron!$A$4,Xero!$E:$E,Heron!$A83)+SUMIFS(Xero!$F:$F,Xero!$B:$B,Heron!X$9,Xero!$A:$A,Heron!$A$5,Xero!$E:$E,Heron!$A83)</f>
        <v/>
      </c>
      <c r="Y83" s="66">
        <f>SUMIFS(Xero!$F:$F,Xero!$B:$B,Heron!Y$9,Xero!$A:$A,Heron!$A$4,Xero!$E:$E,Heron!$A83)+SUMIFS(Xero!$F:$F,Xero!$B:$B,Heron!Y$9,Xero!$A:$A,Heron!$A$5,Xero!$E:$E,Heron!$A83)</f>
        <v/>
      </c>
      <c r="Z83" s="66">
        <f>SUMIFS(Xero!$F:$F,Xero!$B:$B,Heron!Z$9,Xero!$A:$A,Heron!$A$4,Xero!$E:$E,Heron!$A83)+SUMIFS(Xero!$F:$F,Xero!$B:$B,Heron!Z$9,Xero!$A:$A,Heron!$A$5,Xero!$E:$E,Heron!$A83)</f>
        <v/>
      </c>
      <c r="AA83" s="66">
        <f>SUMIFS(Xero!$F:$F,Xero!$B:$B,Heron!AA$9,Xero!$A:$A,Heron!$A$4,Xero!$E:$E,Heron!$A83)+SUMIFS(Xero!$F:$F,Xero!$B:$B,Heron!AA$9,Xero!$A:$A,Heron!$A$5,Xero!$E:$E,Heron!$A83)</f>
        <v/>
      </c>
      <c r="AB83" s="66">
        <f>SUMIFS(Xero!$F:$F,Xero!$B:$B,Heron!AB$9,Xero!$A:$A,Heron!$A$4,Xero!$E:$E,Heron!$A83)+SUMIFS(Xero!$F:$F,Xero!$B:$B,Heron!AB$9,Xero!$A:$A,Heron!$A$5,Xero!$E:$E,Heron!$A83)</f>
        <v/>
      </c>
      <c r="AC83" s="66">
        <f>SUMIFS(Xero!$F:$F,Xero!$B:$B,Heron!AC$9,Xero!$A:$A,Heron!$A$4,Xero!$E:$E,Heron!$A83)+SUMIFS(Xero!$F:$F,Xero!$B:$B,Heron!AC$9,Xero!$A:$A,Heron!$A$5,Xero!$E:$E,Heron!$A83)</f>
        <v/>
      </c>
      <c r="AD83" s="66">
        <f>SUMIFS(Xero!$F:$F,Xero!$B:$B,Heron!AD$9,Xero!$A:$A,Heron!$A$4,Xero!$E:$E,Heron!$A83)+SUMIFS(Xero!$F:$F,Xero!$B:$B,Heron!AD$9,Xero!$A:$A,Heron!$A$5,Xero!$E:$E,Heron!$A83)</f>
        <v/>
      </c>
      <c r="AE83" s="66">
        <f>SUMIFS(Xero!$F:$F,Xero!$B:$B,Heron!AE$9,Xero!$A:$A,Heron!$A$4,Xero!$E:$E,Heron!$A83)+SUMIFS(Xero!$F:$F,Xero!$B:$B,Heron!AE$9,Xero!$A:$A,Heron!$A$5,Xero!$E:$E,Heron!$A83)</f>
        <v/>
      </c>
      <c r="AF83" s="66">
        <f>SUMIFS(Xero!$F:$F,Xero!$B:$B,Heron!AF$9,Xero!$A:$A,Heron!$A$4,Xero!$E:$E,Heron!$A83)+SUMIFS(Xero!$F:$F,Xero!$B:$B,Heron!AF$9,Xero!$A:$A,Heron!$A$5,Xero!$E:$E,Heron!$A83)</f>
        <v/>
      </c>
      <c r="AG83" s="66">
        <f>SUMIFS(Xero!$F:$F,Xero!$B:$B,Heron!AG$9,Xero!$A:$A,Heron!$A$4,Xero!$E:$E,Heron!$A83)+SUMIFS(Xero!$F:$F,Xero!$B:$B,Heron!AG$9,Xero!$A:$A,Heron!$A$5,Xero!$E:$E,Heron!$A83)</f>
        <v/>
      </c>
      <c r="AH83" s="66">
        <f>SUMIFS(Xero!$F:$F,Xero!$B:$B,Heron!AH$9,Xero!$A:$A,Heron!$A$4,Xero!$E:$E,Heron!$A83)+SUMIFS(Xero!$F:$F,Xero!$B:$B,Heron!AH$9,Xero!$A:$A,Heron!$A$5,Xero!$E:$E,Heron!$A83)</f>
        <v/>
      </c>
      <c r="AI83" s="66">
        <f>SUMIFS(Xero!$F:$F,Xero!$B:$B,Heron!AI$9,Xero!$A:$A,Heron!$A$4,Xero!$E:$E,Heron!$A83)+SUMIFS(Xero!$F:$F,Xero!$B:$B,Heron!AI$9,Xero!$A:$A,Heron!$A$5,Xero!$E:$E,Heron!$A83)</f>
        <v/>
      </c>
      <c r="AJ83" s="66">
        <f>SUMIFS(Xero!$F:$F,Xero!$B:$B,Heron!AJ$9,Xero!$A:$A,Heron!$A$4,Xero!$E:$E,Heron!$A83)+SUMIFS(Xero!$F:$F,Xero!$B:$B,Heron!AJ$9,Xero!$A:$A,Heron!$A$5,Xero!$E:$E,Heron!$A83)</f>
        <v/>
      </c>
      <c r="AK83" s="66">
        <f>SUMIFS(Xero!$F:$F,Xero!$B:$B,Heron!AK$9,Xero!$A:$A,Heron!$A$4,Xero!$E:$E,Heron!$A83)+SUMIFS(Xero!$F:$F,Xero!$B:$B,Heron!AK$9,Xero!$A:$A,Heron!$A$5,Xero!$E:$E,Heron!$A83)</f>
        <v/>
      </c>
      <c r="AL83" s="66">
        <f>SUMIFS(Xero!$F:$F,Xero!$B:$B,Heron!AL$9,Xero!$A:$A,Heron!$A$4,Xero!$E:$E,Heron!$A83)+SUMIFS(Xero!$F:$F,Xero!$B:$B,Heron!AL$9,Xero!$A:$A,Heron!$A$5,Xero!$E:$E,Heron!$A83)</f>
        <v/>
      </c>
      <c r="AM83" s="66">
        <f>SUMIFS(Xero!$F:$F,Xero!$B:$B,Heron!AM$9,Xero!$A:$A,Heron!$A$4,Xero!$E:$E,Heron!$A83)+SUMIFS(Xero!$F:$F,Xero!$B:$B,Heron!AM$9,Xero!$A:$A,Heron!$A$5,Xero!$E:$E,Heron!$A83)</f>
        <v/>
      </c>
      <c r="AN83" s="66">
        <f>SUMIFS(Xero!$F:$F,Xero!$B:$B,Heron!AN$9,Xero!$A:$A,Heron!$A$4,Xero!$E:$E,Heron!$A83)+SUMIFS(Xero!$F:$F,Xero!$B:$B,Heron!AN$9,Xero!$A:$A,Heron!$A$5,Xero!$E:$E,Heron!$A83)</f>
        <v/>
      </c>
      <c r="AO83" s="66">
        <f>SUMIFS(Xero!$F:$F,Xero!$B:$B,Heron!AO$9,Xero!$A:$A,Heron!$A$4,Xero!$E:$E,Heron!$A83)+SUMIFS(Xero!$F:$F,Xero!$B:$B,Heron!AO$9,Xero!$A:$A,Heron!$A$5,Xero!$E:$E,Heron!$A83)</f>
        <v/>
      </c>
      <c r="AP83" s="66">
        <f>SUMIFS(Xero!$F:$F,Xero!$B:$B,Heron!AP$9,Xero!$A:$A,Heron!$A$4,Xero!$E:$E,Heron!$A83)+SUMIFS(Xero!$F:$F,Xero!$B:$B,Heron!AP$9,Xero!$A:$A,Heron!$A$5,Xero!$E:$E,Heron!$A83)</f>
        <v/>
      </c>
      <c r="AQ83" s="66">
        <f>SUMIFS(Xero!$F:$F,Xero!$B:$B,Heron!AQ$9,Xero!$A:$A,Heron!$A$4,Xero!$E:$E,Heron!$A83)+SUMIFS(Xero!$F:$F,Xero!$B:$B,Heron!AQ$9,Xero!$A:$A,Heron!$A$5,Xero!$E:$E,Heron!$A83)</f>
        <v/>
      </c>
      <c r="AR83" s="66">
        <f>SUMIFS(Xero!$F:$F,Xero!$B:$B,Heron!AR$9,Xero!$A:$A,Heron!$A$4,Xero!$E:$E,Heron!$A83)+SUMIFS(Xero!$F:$F,Xero!$B:$B,Heron!AR$9,Xero!$A:$A,Heron!$A$5,Xero!$E:$E,Heron!$A83)</f>
        <v/>
      </c>
      <c r="AS83" s="66">
        <f>SUMIFS(Xero!$F:$F,Xero!$B:$B,Heron!AS$9,Xero!$A:$A,Heron!$A$4,Xero!$E:$E,Heron!$A83)+SUMIFS(Xero!$F:$F,Xero!$B:$B,Heron!AS$9,Xero!$A:$A,Heron!$A$5,Xero!$E:$E,Heron!$A83)</f>
        <v/>
      </c>
      <c r="AT83" s="66">
        <f>SUMIFS(Xero!$F:$F,Xero!$B:$B,Heron!AT$9,Xero!$A:$A,Heron!$A$4,Xero!$E:$E,Heron!$A83)+SUMIFS(Xero!$F:$F,Xero!$B:$B,Heron!AT$9,Xero!$A:$A,Heron!$A$5,Xero!$E:$E,Heron!$A83)</f>
        <v/>
      </c>
      <c r="AU83" s="66">
        <f>SUMIFS(Xero!$F:$F,Xero!$B:$B,Heron!AU$9,Xero!$A:$A,Heron!$A$4,Xero!$E:$E,Heron!$A83)+SUMIFS(Xero!$F:$F,Xero!$B:$B,Heron!AU$9,Xero!$A:$A,Heron!$A$5,Xero!$E:$E,Heron!$A83)</f>
        <v/>
      </c>
      <c r="AV83" s="66">
        <f>SUMIFS(Xero!$F:$F,Xero!$B:$B,Heron!AV$9,Xero!$A:$A,Heron!$A$4,Xero!$E:$E,Heron!$A83)+SUMIFS(Xero!$F:$F,Xero!$B:$B,Heron!AV$9,Xero!$A:$A,Heron!$A$5,Xero!$E:$E,Heron!$A83)</f>
        <v/>
      </c>
      <c r="AW83" s="66">
        <f>SUMIFS(Xero!$F:$F,Xero!$B:$B,Heron!AW$9,Xero!$A:$A,Heron!$A$4,Xero!$E:$E,Heron!$A83)+SUMIFS(Xero!$F:$F,Xero!$B:$B,Heron!AW$9,Xero!$A:$A,Heron!$A$5,Xero!$E:$E,Heron!$A83)</f>
        <v/>
      </c>
      <c r="AX83" s="66">
        <f>SUMIFS(Xero!$F:$F,Xero!$B:$B,Heron!AX$9,Xero!$A:$A,Heron!$A$4,Xero!$E:$E,Heron!$A83)+SUMIFS(Xero!$F:$F,Xero!$B:$B,Heron!AX$9,Xero!$A:$A,Heron!$A$5,Xero!$E:$E,Heron!$A83)</f>
        <v/>
      </c>
      <c r="AY83" s="66">
        <f>SUMIFS(Xero!$F:$F,Xero!$B:$B,Heron!AY$9,Xero!$A:$A,Heron!$A$4,Xero!$E:$E,Heron!$A83)+SUMIFS(Xero!$F:$F,Xero!$B:$B,Heron!AY$9,Xero!$A:$A,Heron!$A$5,Xero!$E:$E,Heron!$A83)</f>
        <v/>
      </c>
      <c r="AZ83" s="66">
        <f>SUMIFS(Xero!$F:$F,Xero!$B:$B,Heron!AZ$9,Xero!$A:$A,Heron!$A$4,Xero!$E:$E,Heron!$A83)+SUMIFS(Xero!$F:$F,Xero!$B:$B,Heron!AZ$9,Xero!$A:$A,Heron!$A$5,Xero!$E:$E,Heron!$A83)</f>
        <v/>
      </c>
      <c r="BA83" s="66">
        <f>SUMIFS(Xero!$F:$F,Xero!$B:$B,Heron!BA$9,Xero!$A:$A,Heron!$A$4,Xero!$E:$E,Heron!$A83)+SUMIFS(Xero!$F:$F,Xero!$B:$B,Heron!BA$9,Xero!$A:$A,Heron!$A$5,Xero!$E:$E,Heron!$A83)</f>
        <v/>
      </c>
      <c r="BB83" s="66">
        <f>SUMIFS(Xero!$F:$F,Xero!$B:$B,Heron!BB$9,Xero!$A:$A,Heron!$A$4,Xero!$E:$E,Heron!$A83)+SUMIFS(Xero!$F:$F,Xero!$B:$B,Heron!BB$9,Xero!$A:$A,Heron!$A$5,Xero!$E:$E,Heron!$A83)</f>
        <v/>
      </c>
      <c r="BC83" s="66">
        <f>SUMIFS(Xero!$F:$F,Xero!$B:$B,Heron!BC$9,Xero!$A:$A,Heron!$A$4,Xero!$E:$E,Heron!$A83)+SUMIFS(Xero!$F:$F,Xero!$B:$B,Heron!BC$9,Xero!$A:$A,Heron!$A$5,Xero!$E:$E,Heron!$A83)</f>
        <v/>
      </c>
      <c r="BD83" s="66">
        <f>SUMIFS(Xero!$F:$F,Xero!$B:$B,Heron!BD$9,Xero!$A:$A,Heron!$A$4,Xero!$E:$E,Heron!$A83)+SUMIFS(Xero!$F:$F,Xero!$B:$B,Heron!BD$9,Xero!$A:$A,Heron!$A$5,Xero!$E:$E,Heron!$A83)</f>
        <v/>
      </c>
      <c r="BE83" s="66">
        <f>SUMIFS(Xero!$F:$F,Xero!$B:$B,Heron!BE$9,Xero!$A:$A,Heron!$A$4,Xero!$E:$E,Heron!$A83)+SUMIFS(Xero!$F:$F,Xero!$B:$B,Heron!BE$9,Xero!$A:$A,Heron!$A$5,Xero!$E:$E,Heron!$A83)</f>
        <v/>
      </c>
      <c r="BF83" s="66">
        <f>SUMIFS(Xero!$F:$F,Xero!$B:$B,Heron!BF$9,Xero!$A:$A,Heron!$A$4,Xero!$E:$E,Heron!$A83)+SUMIFS(Xero!$F:$F,Xero!$B:$B,Heron!BF$9,Xero!$A:$A,Heron!$A$5,Xero!$E:$E,Heron!$A83)</f>
        <v/>
      </c>
      <c r="BG83" s="66">
        <f>SUMIFS(Xero!$F:$F,Xero!$B:$B,Heron!BG$9,Xero!$A:$A,Heron!$A$4,Xero!$E:$E,Heron!$A83)+SUMIFS(Xero!$F:$F,Xero!$B:$B,Heron!BG$9,Xero!$A:$A,Heron!$A$5,Xero!$E:$E,Heron!$A83)</f>
        <v/>
      </c>
      <c r="BH83" s="66">
        <f>sum(D83:BG83)</f>
        <v/>
      </c>
    </row>
    <row r="84">
      <c r="A84" s="65" t="inlineStr">
        <is>
          <t>Levies - Amari</t>
        </is>
      </c>
      <c r="D84" s="66">
        <f>SUMIFS(Xero!$F:$F,Xero!$B:$B,Heron!D$9,Xero!$A:$A,Heron!$A$4,Xero!$E:$E,Heron!$A84)+SUMIFS(Xero!$F:$F,Xero!$B:$B,Heron!D$9,Xero!$A:$A,Heron!$A$5,Xero!$E:$E,Heron!$A84)</f>
        <v/>
      </c>
      <c r="E84" s="66">
        <f>SUMIFS(Xero!$F:$F,Xero!$B:$B,Heron!E$9,Xero!$A:$A,Heron!$A$4,Xero!$E:$E,Heron!$A84)+SUMIFS(Xero!$F:$F,Xero!$B:$B,Heron!E$9,Xero!$A:$A,Heron!$A$5,Xero!$E:$E,Heron!$A84)</f>
        <v/>
      </c>
      <c r="F84" s="66">
        <f>SUMIFS(Xero!$F:$F,Xero!$B:$B,Heron!F$9,Xero!$A:$A,Heron!$A$4,Xero!$E:$E,Heron!$A84)+SUMIFS(Xero!$F:$F,Xero!$B:$B,Heron!F$9,Xero!$A:$A,Heron!$A$5,Xero!$E:$E,Heron!$A84)</f>
        <v/>
      </c>
      <c r="G84" s="66">
        <f>SUMIFS(Xero!$F:$F,Xero!$B:$B,Heron!G$9,Xero!$A:$A,Heron!$A$4,Xero!$E:$E,Heron!$A84)+SUMIFS(Xero!$F:$F,Xero!$B:$B,Heron!G$9,Xero!$A:$A,Heron!$A$5,Xero!$E:$E,Heron!$A84)</f>
        <v/>
      </c>
      <c r="H84" s="66">
        <f>SUMIFS(Xero!$F:$F,Xero!$B:$B,Heron!H$9,Xero!$A:$A,Heron!$A$4,Xero!$E:$E,Heron!$A84)+SUMIFS(Xero!$F:$F,Xero!$B:$B,Heron!H$9,Xero!$A:$A,Heron!$A$5,Xero!$E:$E,Heron!$A84)</f>
        <v/>
      </c>
      <c r="I84" s="66">
        <f>SUMIFS(Xero!$F:$F,Xero!$B:$B,Heron!I$9,Xero!$A:$A,Heron!$A$4,Xero!$E:$E,Heron!$A84)+SUMIFS(Xero!$F:$F,Xero!$B:$B,Heron!I$9,Xero!$A:$A,Heron!$A$5,Xero!$E:$E,Heron!$A84)</f>
        <v/>
      </c>
      <c r="J84" s="66">
        <f>SUMIFS(Xero!$F:$F,Xero!$B:$B,Heron!J$9,Xero!$A:$A,Heron!$A$4,Xero!$E:$E,Heron!$A84)+SUMIFS(Xero!$F:$F,Xero!$B:$B,Heron!J$9,Xero!$A:$A,Heron!$A$5,Xero!$E:$E,Heron!$A84)</f>
        <v/>
      </c>
      <c r="K84" s="66">
        <f>SUMIFS(Xero!$F:$F,Xero!$B:$B,Heron!K$9,Xero!$A:$A,Heron!$A$4,Xero!$E:$E,Heron!$A84)+SUMIFS(Xero!$F:$F,Xero!$B:$B,Heron!K$9,Xero!$A:$A,Heron!$A$5,Xero!$E:$E,Heron!$A84)</f>
        <v/>
      </c>
      <c r="L84" s="66">
        <f>SUMIFS(Xero!$F:$F,Xero!$B:$B,Heron!L$9,Xero!$A:$A,Heron!$A$4,Xero!$E:$E,Heron!$A84)+SUMIFS(Xero!$F:$F,Xero!$B:$B,Heron!L$9,Xero!$A:$A,Heron!$A$5,Xero!$E:$E,Heron!$A84)</f>
        <v/>
      </c>
      <c r="M84" s="66">
        <f>SUMIFS(Xero!$F:$F,Xero!$B:$B,Heron!M$9,Xero!$A:$A,Heron!$A$4,Xero!$E:$E,Heron!$A84)+SUMIFS(Xero!$F:$F,Xero!$B:$B,Heron!M$9,Xero!$A:$A,Heron!$A$5,Xero!$E:$E,Heron!$A84)</f>
        <v/>
      </c>
      <c r="N84" s="66">
        <f>SUMIFS(Xero!$F:$F,Xero!$B:$B,Heron!N$9,Xero!$A:$A,Heron!$A$4,Xero!$E:$E,Heron!$A84)+SUMIFS(Xero!$F:$F,Xero!$B:$B,Heron!N$9,Xero!$A:$A,Heron!$A$5,Xero!$E:$E,Heron!$A84)</f>
        <v/>
      </c>
      <c r="O84" s="66">
        <f>SUMIFS(Xero!$F:$F,Xero!$B:$B,Heron!O$9,Xero!$A:$A,Heron!$A$4,Xero!$E:$E,Heron!$A84)+SUMIFS(Xero!$F:$F,Xero!$B:$B,Heron!O$9,Xero!$A:$A,Heron!$A$5,Xero!$E:$E,Heron!$A84)</f>
        <v/>
      </c>
      <c r="P84" s="66">
        <f>SUMIFS(Xero!$F:$F,Xero!$B:$B,Heron!P$9,Xero!$A:$A,Heron!$A$4,Xero!$E:$E,Heron!$A84)+SUMIFS(Xero!$F:$F,Xero!$B:$B,Heron!P$9,Xero!$A:$A,Heron!$A$5,Xero!$E:$E,Heron!$A84)</f>
        <v/>
      </c>
      <c r="Q84" s="66">
        <f>SUMIFS(Xero!$F:$F,Xero!$B:$B,Heron!Q$9,Xero!$A:$A,Heron!$A$4,Xero!$E:$E,Heron!$A84)+SUMIFS(Xero!$F:$F,Xero!$B:$B,Heron!Q$9,Xero!$A:$A,Heron!$A$5,Xero!$E:$E,Heron!$A84)</f>
        <v/>
      </c>
      <c r="R84" s="66">
        <f>SUMIFS(Xero!$F:$F,Xero!$B:$B,Heron!R$9,Xero!$A:$A,Heron!$A$4,Xero!$E:$E,Heron!$A84)+SUMIFS(Xero!$F:$F,Xero!$B:$B,Heron!R$9,Xero!$A:$A,Heron!$A$5,Xero!$E:$E,Heron!$A84)</f>
        <v/>
      </c>
      <c r="S84" s="66">
        <f>SUMIFS(Xero!$F:$F,Xero!$B:$B,Heron!S$9,Xero!$A:$A,Heron!$A$4,Xero!$E:$E,Heron!$A84)+SUMIFS(Xero!$F:$F,Xero!$B:$B,Heron!S$9,Xero!$A:$A,Heron!$A$5,Xero!$E:$E,Heron!$A84)</f>
        <v/>
      </c>
      <c r="T84" s="66">
        <f>SUMIFS(Xero!$F:$F,Xero!$B:$B,Heron!T$9,Xero!$A:$A,Heron!$A$4,Xero!$E:$E,Heron!$A84)+SUMIFS(Xero!$F:$F,Xero!$B:$B,Heron!T$9,Xero!$A:$A,Heron!$A$5,Xero!$E:$E,Heron!$A84)</f>
        <v/>
      </c>
      <c r="U84" s="66">
        <f>SUMIFS(Xero!$F:$F,Xero!$B:$B,Heron!U$9,Xero!$A:$A,Heron!$A$4,Xero!$E:$E,Heron!$A84)+SUMIFS(Xero!$F:$F,Xero!$B:$B,Heron!U$9,Xero!$A:$A,Heron!$A$5,Xero!$E:$E,Heron!$A84)</f>
        <v/>
      </c>
      <c r="V84" s="66">
        <f>SUMIFS(Xero!$F:$F,Xero!$B:$B,Heron!V$9,Xero!$A:$A,Heron!$A$4,Xero!$E:$E,Heron!$A84)+SUMIFS(Xero!$F:$F,Xero!$B:$B,Heron!V$9,Xero!$A:$A,Heron!$A$5,Xero!$E:$E,Heron!$A84)</f>
        <v/>
      </c>
      <c r="W84" s="66">
        <f>SUMIFS(Xero!$F:$F,Xero!$B:$B,Heron!W$9,Xero!$A:$A,Heron!$A$4,Xero!$E:$E,Heron!$A84)+SUMIFS(Xero!$F:$F,Xero!$B:$B,Heron!W$9,Xero!$A:$A,Heron!$A$5,Xero!$E:$E,Heron!$A84)</f>
        <v/>
      </c>
      <c r="X84" s="66">
        <f>SUMIFS(Xero!$F:$F,Xero!$B:$B,Heron!X$9,Xero!$A:$A,Heron!$A$4,Xero!$E:$E,Heron!$A84)+SUMIFS(Xero!$F:$F,Xero!$B:$B,Heron!X$9,Xero!$A:$A,Heron!$A$5,Xero!$E:$E,Heron!$A84)</f>
        <v/>
      </c>
      <c r="Y84" s="66">
        <f>SUMIFS(Xero!$F:$F,Xero!$B:$B,Heron!Y$9,Xero!$A:$A,Heron!$A$4,Xero!$E:$E,Heron!$A84)+SUMIFS(Xero!$F:$F,Xero!$B:$B,Heron!Y$9,Xero!$A:$A,Heron!$A$5,Xero!$E:$E,Heron!$A84)</f>
        <v/>
      </c>
      <c r="Z84" s="66">
        <f>SUMIFS(Xero!$F:$F,Xero!$B:$B,Heron!Z$9,Xero!$A:$A,Heron!$A$4,Xero!$E:$E,Heron!$A84)+SUMIFS(Xero!$F:$F,Xero!$B:$B,Heron!Z$9,Xero!$A:$A,Heron!$A$5,Xero!$E:$E,Heron!$A84)</f>
        <v/>
      </c>
      <c r="AA84" s="66">
        <f>SUMIFS(Xero!$F:$F,Xero!$B:$B,Heron!AA$9,Xero!$A:$A,Heron!$A$4,Xero!$E:$E,Heron!$A84)+SUMIFS(Xero!$F:$F,Xero!$B:$B,Heron!AA$9,Xero!$A:$A,Heron!$A$5,Xero!$E:$E,Heron!$A84)</f>
        <v/>
      </c>
      <c r="AB84" s="66">
        <f>SUMIFS(Xero!$F:$F,Xero!$B:$B,Heron!AB$9,Xero!$A:$A,Heron!$A$4,Xero!$E:$E,Heron!$A84)+SUMIFS(Xero!$F:$F,Xero!$B:$B,Heron!AB$9,Xero!$A:$A,Heron!$A$5,Xero!$E:$E,Heron!$A84)</f>
        <v/>
      </c>
      <c r="AC84" s="66">
        <f>SUMIFS(Xero!$F:$F,Xero!$B:$B,Heron!AC$9,Xero!$A:$A,Heron!$A$4,Xero!$E:$E,Heron!$A84)+SUMIFS(Xero!$F:$F,Xero!$B:$B,Heron!AC$9,Xero!$A:$A,Heron!$A$5,Xero!$E:$E,Heron!$A84)</f>
        <v/>
      </c>
      <c r="AD84" s="66">
        <f>SUMIFS(Xero!$F:$F,Xero!$B:$B,Heron!AD$9,Xero!$A:$A,Heron!$A$4,Xero!$E:$E,Heron!$A84)+SUMIFS(Xero!$F:$F,Xero!$B:$B,Heron!AD$9,Xero!$A:$A,Heron!$A$5,Xero!$E:$E,Heron!$A84)</f>
        <v/>
      </c>
      <c r="AE84" s="66">
        <f>SUMIFS(Xero!$F:$F,Xero!$B:$B,Heron!AE$9,Xero!$A:$A,Heron!$A$4,Xero!$E:$E,Heron!$A84)+SUMIFS(Xero!$F:$F,Xero!$B:$B,Heron!AE$9,Xero!$A:$A,Heron!$A$5,Xero!$E:$E,Heron!$A84)</f>
        <v/>
      </c>
      <c r="AF84" s="66">
        <f>SUMIFS(Xero!$F:$F,Xero!$B:$B,Heron!AF$9,Xero!$A:$A,Heron!$A$4,Xero!$E:$E,Heron!$A84)+SUMIFS(Xero!$F:$F,Xero!$B:$B,Heron!AF$9,Xero!$A:$A,Heron!$A$5,Xero!$E:$E,Heron!$A84)</f>
        <v/>
      </c>
      <c r="AG84" s="66">
        <f>SUMIFS(Xero!$F:$F,Xero!$B:$B,Heron!AG$9,Xero!$A:$A,Heron!$A$4,Xero!$E:$E,Heron!$A84)+SUMIFS(Xero!$F:$F,Xero!$B:$B,Heron!AG$9,Xero!$A:$A,Heron!$A$5,Xero!$E:$E,Heron!$A84)</f>
        <v/>
      </c>
      <c r="AH84" s="66">
        <f>SUMIFS(Xero!$F:$F,Xero!$B:$B,Heron!AH$9,Xero!$A:$A,Heron!$A$4,Xero!$E:$E,Heron!$A84)+SUMIFS(Xero!$F:$F,Xero!$B:$B,Heron!AH$9,Xero!$A:$A,Heron!$A$5,Xero!$E:$E,Heron!$A84)</f>
        <v/>
      </c>
      <c r="AI84" s="66">
        <f>SUMIFS(Xero!$F:$F,Xero!$B:$B,Heron!AI$9,Xero!$A:$A,Heron!$A$4,Xero!$E:$E,Heron!$A84)+SUMIFS(Xero!$F:$F,Xero!$B:$B,Heron!AI$9,Xero!$A:$A,Heron!$A$5,Xero!$E:$E,Heron!$A84)</f>
        <v/>
      </c>
      <c r="AJ84" s="66">
        <f>SUMIFS(Xero!$F:$F,Xero!$B:$B,Heron!AJ$9,Xero!$A:$A,Heron!$A$4,Xero!$E:$E,Heron!$A84)+SUMIFS(Xero!$F:$F,Xero!$B:$B,Heron!AJ$9,Xero!$A:$A,Heron!$A$5,Xero!$E:$E,Heron!$A84)</f>
        <v/>
      </c>
      <c r="AK84" s="66">
        <f>SUMIFS(Xero!$F:$F,Xero!$B:$B,Heron!AK$9,Xero!$A:$A,Heron!$A$4,Xero!$E:$E,Heron!$A84)+SUMIFS(Xero!$F:$F,Xero!$B:$B,Heron!AK$9,Xero!$A:$A,Heron!$A$5,Xero!$E:$E,Heron!$A84)</f>
        <v/>
      </c>
      <c r="AL84" s="66">
        <f>SUMIFS(Xero!$F:$F,Xero!$B:$B,Heron!AL$9,Xero!$A:$A,Heron!$A$4,Xero!$E:$E,Heron!$A84)+SUMIFS(Xero!$F:$F,Xero!$B:$B,Heron!AL$9,Xero!$A:$A,Heron!$A$5,Xero!$E:$E,Heron!$A84)</f>
        <v/>
      </c>
      <c r="AM84" s="66">
        <f>SUMIFS(Xero!$F:$F,Xero!$B:$B,Heron!AM$9,Xero!$A:$A,Heron!$A$4,Xero!$E:$E,Heron!$A84)+SUMIFS(Xero!$F:$F,Xero!$B:$B,Heron!AM$9,Xero!$A:$A,Heron!$A$5,Xero!$E:$E,Heron!$A84)</f>
        <v/>
      </c>
      <c r="AN84" s="66">
        <f>SUMIFS(Xero!$F:$F,Xero!$B:$B,Heron!AN$9,Xero!$A:$A,Heron!$A$4,Xero!$E:$E,Heron!$A84)+SUMIFS(Xero!$F:$F,Xero!$B:$B,Heron!AN$9,Xero!$A:$A,Heron!$A$5,Xero!$E:$E,Heron!$A84)</f>
        <v/>
      </c>
      <c r="AO84" s="66">
        <f>SUMIFS(Xero!$F:$F,Xero!$B:$B,Heron!AO$9,Xero!$A:$A,Heron!$A$4,Xero!$E:$E,Heron!$A84)+SUMIFS(Xero!$F:$F,Xero!$B:$B,Heron!AO$9,Xero!$A:$A,Heron!$A$5,Xero!$E:$E,Heron!$A84)</f>
        <v/>
      </c>
      <c r="AP84" s="66">
        <f>SUMIFS(Xero!$F:$F,Xero!$B:$B,Heron!AP$9,Xero!$A:$A,Heron!$A$4,Xero!$E:$E,Heron!$A84)+SUMIFS(Xero!$F:$F,Xero!$B:$B,Heron!AP$9,Xero!$A:$A,Heron!$A$5,Xero!$E:$E,Heron!$A84)</f>
        <v/>
      </c>
      <c r="AQ84" s="66">
        <f>SUMIFS(Xero!$F:$F,Xero!$B:$B,Heron!AQ$9,Xero!$A:$A,Heron!$A$4,Xero!$E:$E,Heron!$A84)+SUMIFS(Xero!$F:$F,Xero!$B:$B,Heron!AQ$9,Xero!$A:$A,Heron!$A$5,Xero!$E:$E,Heron!$A84)</f>
        <v/>
      </c>
      <c r="AR84" s="66">
        <f>SUMIFS(Xero!$F:$F,Xero!$B:$B,Heron!AR$9,Xero!$A:$A,Heron!$A$4,Xero!$E:$E,Heron!$A84)+SUMIFS(Xero!$F:$F,Xero!$B:$B,Heron!AR$9,Xero!$A:$A,Heron!$A$5,Xero!$E:$E,Heron!$A84)</f>
        <v/>
      </c>
      <c r="AS84" s="66">
        <f>SUMIFS(Xero!$F:$F,Xero!$B:$B,Heron!AS$9,Xero!$A:$A,Heron!$A$4,Xero!$E:$E,Heron!$A84)+SUMIFS(Xero!$F:$F,Xero!$B:$B,Heron!AS$9,Xero!$A:$A,Heron!$A$5,Xero!$E:$E,Heron!$A84)</f>
        <v/>
      </c>
      <c r="AT84" s="66">
        <f>SUMIFS(Xero!$F:$F,Xero!$B:$B,Heron!AT$9,Xero!$A:$A,Heron!$A$4,Xero!$E:$E,Heron!$A84)+SUMIFS(Xero!$F:$F,Xero!$B:$B,Heron!AT$9,Xero!$A:$A,Heron!$A$5,Xero!$E:$E,Heron!$A84)</f>
        <v/>
      </c>
      <c r="AU84" s="66">
        <f>SUMIFS(Xero!$F:$F,Xero!$B:$B,Heron!AU$9,Xero!$A:$A,Heron!$A$4,Xero!$E:$E,Heron!$A84)+SUMIFS(Xero!$F:$F,Xero!$B:$B,Heron!AU$9,Xero!$A:$A,Heron!$A$5,Xero!$E:$E,Heron!$A84)</f>
        <v/>
      </c>
      <c r="AV84" s="66">
        <f>SUMIFS(Xero!$F:$F,Xero!$B:$B,Heron!AV$9,Xero!$A:$A,Heron!$A$4,Xero!$E:$E,Heron!$A84)+SUMIFS(Xero!$F:$F,Xero!$B:$B,Heron!AV$9,Xero!$A:$A,Heron!$A$5,Xero!$E:$E,Heron!$A84)</f>
        <v/>
      </c>
      <c r="AW84" s="66">
        <f>SUMIFS(Xero!$F:$F,Xero!$B:$B,Heron!AW$9,Xero!$A:$A,Heron!$A$4,Xero!$E:$E,Heron!$A84)+SUMIFS(Xero!$F:$F,Xero!$B:$B,Heron!AW$9,Xero!$A:$A,Heron!$A$5,Xero!$E:$E,Heron!$A84)</f>
        <v/>
      </c>
      <c r="AX84" s="66">
        <f>SUMIFS(Xero!$F:$F,Xero!$B:$B,Heron!AX$9,Xero!$A:$A,Heron!$A$4,Xero!$E:$E,Heron!$A84)+SUMIFS(Xero!$F:$F,Xero!$B:$B,Heron!AX$9,Xero!$A:$A,Heron!$A$5,Xero!$E:$E,Heron!$A84)</f>
        <v/>
      </c>
      <c r="AY84" s="66">
        <f>SUMIFS(Xero!$F:$F,Xero!$B:$B,Heron!AY$9,Xero!$A:$A,Heron!$A$4,Xero!$E:$E,Heron!$A84)+SUMIFS(Xero!$F:$F,Xero!$B:$B,Heron!AY$9,Xero!$A:$A,Heron!$A$5,Xero!$E:$E,Heron!$A84)</f>
        <v/>
      </c>
      <c r="AZ84" s="66">
        <f>SUMIFS(Xero!$F:$F,Xero!$B:$B,Heron!AZ$9,Xero!$A:$A,Heron!$A$4,Xero!$E:$E,Heron!$A84)+SUMIFS(Xero!$F:$F,Xero!$B:$B,Heron!AZ$9,Xero!$A:$A,Heron!$A$5,Xero!$E:$E,Heron!$A84)</f>
        <v/>
      </c>
      <c r="BA84" s="66">
        <f>SUMIFS(Xero!$F:$F,Xero!$B:$B,Heron!BA$9,Xero!$A:$A,Heron!$A$4,Xero!$E:$E,Heron!$A84)+SUMIFS(Xero!$F:$F,Xero!$B:$B,Heron!BA$9,Xero!$A:$A,Heron!$A$5,Xero!$E:$E,Heron!$A84)</f>
        <v/>
      </c>
      <c r="BB84" s="66">
        <f>SUMIFS(Xero!$F:$F,Xero!$B:$B,Heron!BB$9,Xero!$A:$A,Heron!$A$4,Xero!$E:$E,Heron!$A84)+SUMIFS(Xero!$F:$F,Xero!$B:$B,Heron!BB$9,Xero!$A:$A,Heron!$A$5,Xero!$E:$E,Heron!$A84)</f>
        <v/>
      </c>
      <c r="BC84" s="66">
        <f>SUMIFS(Xero!$F:$F,Xero!$B:$B,Heron!BC$9,Xero!$A:$A,Heron!$A$4,Xero!$E:$E,Heron!$A84)+SUMIFS(Xero!$F:$F,Xero!$B:$B,Heron!BC$9,Xero!$A:$A,Heron!$A$5,Xero!$E:$E,Heron!$A84)</f>
        <v/>
      </c>
      <c r="BD84" s="66">
        <f>SUMIFS(Xero!$F:$F,Xero!$B:$B,Heron!BD$9,Xero!$A:$A,Heron!$A$4,Xero!$E:$E,Heron!$A84)+SUMIFS(Xero!$F:$F,Xero!$B:$B,Heron!BD$9,Xero!$A:$A,Heron!$A$5,Xero!$E:$E,Heron!$A84)</f>
        <v/>
      </c>
      <c r="BE84" s="66">
        <f>SUMIFS(Xero!$F:$F,Xero!$B:$B,Heron!BE$9,Xero!$A:$A,Heron!$A$4,Xero!$E:$E,Heron!$A84)+SUMIFS(Xero!$F:$F,Xero!$B:$B,Heron!BE$9,Xero!$A:$A,Heron!$A$5,Xero!$E:$E,Heron!$A84)</f>
        <v/>
      </c>
      <c r="BF84" s="66">
        <f>SUMIFS(Xero!$F:$F,Xero!$B:$B,Heron!BF$9,Xero!$A:$A,Heron!$A$4,Xero!$E:$E,Heron!$A84)+SUMIFS(Xero!$F:$F,Xero!$B:$B,Heron!BF$9,Xero!$A:$A,Heron!$A$5,Xero!$E:$E,Heron!$A84)</f>
        <v/>
      </c>
      <c r="BG84" s="66">
        <f>SUMIFS(Xero!$F:$F,Xero!$B:$B,Heron!BG$9,Xero!$A:$A,Heron!$A$4,Xero!$E:$E,Heron!$A84)+SUMIFS(Xero!$F:$F,Xero!$B:$B,Heron!BG$9,Xero!$A:$A,Heron!$A$5,Xero!$E:$E,Heron!$A84)</f>
        <v/>
      </c>
      <c r="BH84" s="66">
        <f>sum(D84:BG84)</f>
        <v/>
      </c>
    </row>
    <row r="85">
      <c r="A85" s="65" t="inlineStr">
        <is>
          <t>Levies - Developer</t>
        </is>
      </c>
      <c r="D85" s="66">
        <f>SUMIFS(Xero!$F:$F,Xero!$B:$B,Heron!D$9,Xero!$A:$A,Heron!$A$4,Xero!$E:$E,Heron!$A85)+SUMIFS(Xero!$F:$F,Xero!$B:$B,Heron!D$9,Xero!$A:$A,Heron!$A$5,Xero!$E:$E,Heron!$A85)</f>
        <v/>
      </c>
      <c r="E85" s="66">
        <f>SUMIFS(Xero!$F:$F,Xero!$B:$B,Heron!E$9,Xero!$A:$A,Heron!$A$4,Xero!$E:$E,Heron!$A85)+SUMIFS(Xero!$F:$F,Xero!$B:$B,Heron!E$9,Xero!$A:$A,Heron!$A$5,Xero!$E:$E,Heron!$A85)</f>
        <v/>
      </c>
      <c r="F85" s="66">
        <f>SUMIFS(Xero!$F:$F,Xero!$B:$B,Heron!F$9,Xero!$A:$A,Heron!$A$4,Xero!$E:$E,Heron!$A85)+SUMIFS(Xero!$F:$F,Xero!$B:$B,Heron!F$9,Xero!$A:$A,Heron!$A$5,Xero!$E:$E,Heron!$A85)</f>
        <v/>
      </c>
      <c r="G85" s="66">
        <f>SUMIFS(Xero!$F:$F,Xero!$B:$B,Heron!G$9,Xero!$A:$A,Heron!$A$4,Xero!$E:$E,Heron!$A85)+SUMIFS(Xero!$F:$F,Xero!$B:$B,Heron!G$9,Xero!$A:$A,Heron!$A$5,Xero!$E:$E,Heron!$A85)</f>
        <v/>
      </c>
      <c r="H85" s="66">
        <f>SUMIFS(Xero!$F:$F,Xero!$B:$B,Heron!H$9,Xero!$A:$A,Heron!$A$4,Xero!$E:$E,Heron!$A85)+SUMIFS(Xero!$F:$F,Xero!$B:$B,Heron!H$9,Xero!$A:$A,Heron!$A$5,Xero!$E:$E,Heron!$A85)</f>
        <v/>
      </c>
      <c r="I85" s="66">
        <f>SUMIFS(Xero!$F:$F,Xero!$B:$B,Heron!I$9,Xero!$A:$A,Heron!$A$4,Xero!$E:$E,Heron!$A85)+SUMIFS(Xero!$F:$F,Xero!$B:$B,Heron!I$9,Xero!$A:$A,Heron!$A$5,Xero!$E:$E,Heron!$A85)</f>
        <v/>
      </c>
      <c r="J85" s="66">
        <f>SUMIFS(Xero!$F:$F,Xero!$B:$B,Heron!J$9,Xero!$A:$A,Heron!$A$4,Xero!$E:$E,Heron!$A85)+SUMIFS(Xero!$F:$F,Xero!$B:$B,Heron!J$9,Xero!$A:$A,Heron!$A$5,Xero!$E:$E,Heron!$A85)</f>
        <v/>
      </c>
      <c r="K85" s="66">
        <f>SUMIFS(Xero!$F:$F,Xero!$B:$B,Heron!K$9,Xero!$A:$A,Heron!$A$4,Xero!$E:$E,Heron!$A85)+SUMIFS(Xero!$F:$F,Xero!$B:$B,Heron!K$9,Xero!$A:$A,Heron!$A$5,Xero!$E:$E,Heron!$A85)</f>
        <v/>
      </c>
      <c r="L85" s="66">
        <f>SUMIFS(Xero!$F:$F,Xero!$B:$B,Heron!L$9,Xero!$A:$A,Heron!$A$4,Xero!$E:$E,Heron!$A85)+SUMIFS(Xero!$F:$F,Xero!$B:$B,Heron!L$9,Xero!$A:$A,Heron!$A$5,Xero!$E:$E,Heron!$A85)</f>
        <v/>
      </c>
      <c r="M85" s="66">
        <f>SUMIFS(Xero!$F:$F,Xero!$B:$B,Heron!M$9,Xero!$A:$A,Heron!$A$4,Xero!$E:$E,Heron!$A85)+SUMIFS(Xero!$F:$F,Xero!$B:$B,Heron!M$9,Xero!$A:$A,Heron!$A$5,Xero!$E:$E,Heron!$A85)</f>
        <v/>
      </c>
      <c r="N85" s="66">
        <f>SUMIFS(Xero!$F:$F,Xero!$B:$B,Heron!N$9,Xero!$A:$A,Heron!$A$4,Xero!$E:$E,Heron!$A85)+SUMIFS(Xero!$F:$F,Xero!$B:$B,Heron!N$9,Xero!$A:$A,Heron!$A$5,Xero!$E:$E,Heron!$A85)</f>
        <v/>
      </c>
      <c r="O85" s="66">
        <f>SUMIFS(Xero!$F:$F,Xero!$B:$B,Heron!O$9,Xero!$A:$A,Heron!$A$4,Xero!$E:$E,Heron!$A85)+SUMIFS(Xero!$F:$F,Xero!$B:$B,Heron!O$9,Xero!$A:$A,Heron!$A$5,Xero!$E:$E,Heron!$A85)</f>
        <v/>
      </c>
      <c r="P85" s="66">
        <f>SUMIFS(Xero!$F:$F,Xero!$B:$B,Heron!P$9,Xero!$A:$A,Heron!$A$4,Xero!$E:$E,Heron!$A85)+SUMIFS(Xero!$F:$F,Xero!$B:$B,Heron!P$9,Xero!$A:$A,Heron!$A$5,Xero!$E:$E,Heron!$A85)</f>
        <v/>
      </c>
      <c r="Q85" s="66">
        <f>SUMIFS(Xero!$F:$F,Xero!$B:$B,Heron!Q$9,Xero!$A:$A,Heron!$A$4,Xero!$E:$E,Heron!$A85)+SUMIFS(Xero!$F:$F,Xero!$B:$B,Heron!Q$9,Xero!$A:$A,Heron!$A$5,Xero!$E:$E,Heron!$A85)</f>
        <v/>
      </c>
      <c r="R85" s="66">
        <f>SUMIFS(Xero!$F:$F,Xero!$B:$B,Heron!R$9,Xero!$A:$A,Heron!$A$4,Xero!$E:$E,Heron!$A85)+SUMIFS(Xero!$F:$F,Xero!$B:$B,Heron!R$9,Xero!$A:$A,Heron!$A$5,Xero!$E:$E,Heron!$A85)</f>
        <v/>
      </c>
      <c r="S85" s="66">
        <f>SUMIFS(Xero!$F:$F,Xero!$B:$B,Heron!S$9,Xero!$A:$A,Heron!$A$4,Xero!$E:$E,Heron!$A85)+SUMIFS(Xero!$F:$F,Xero!$B:$B,Heron!S$9,Xero!$A:$A,Heron!$A$5,Xero!$E:$E,Heron!$A85)</f>
        <v/>
      </c>
      <c r="T85" s="66">
        <f>SUMIFS(Xero!$F:$F,Xero!$B:$B,Heron!T$9,Xero!$A:$A,Heron!$A$4,Xero!$E:$E,Heron!$A85)+SUMIFS(Xero!$F:$F,Xero!$B:$B,Heron!T$9,Xero!$A:$A,Heron!$A$5,Xero!$E:$E,Heron!$A85)</f>
        <v/>
      </c>
      <c r="U85" s="66">
        <f>SUMIFS(Xero!$F:$F,Xero!$B:$B,Heron!U$9,Xero!$A:$A,Heron!$A$4,Xero!$E:$E,Heron!$A85)+SUMIFS(Xero!$F:$F,Xero!$B:$B,Heron!U$9,Xero!$A:$A,Heron!$A$5,Xero!$E:$E,Heron!$A85)</f>
        <v/>
      </c>
      <c r="V85" s="66">
        <f>SUMIFS(Xero!$F:$F,Xero!$B:$B,Heron!V$9,Xero!$A:$A,Heron!$A$4,Xero!$E:$E,Heron!$A85)+SUMIFS(Xero!$F:$F,Xero!$B:$B,Heron!V$9,Xero!$A:$A,Heron!$A$5,Xero!$E:$E,Heron!$A85)</f>
        <v/>
      </c>
      <c r="W85" s="66">
        <f>SUMIFS(Xero!$F:$F,Xero!$B:$B,Heron!W$9,Xero!$A:$A,Heron!$A$4,Xero!$E:$E,Heron!$A85)+SUMIFS(Xero!$F:$F,Xero!$B:$B,Heron!W$9,Xero!$A:$A,Heron!$A$5,Xero!$E:$E,Heron!$A85)</f>
        <v/>
      </c>
      <c r="X85" s="66">
        <f>SUMIFS(Xero!$F:$F,Xero!$B:$B,Heron!X$9,Xero!$A:$A,Heron!$A$4,Xero!$E:$E,Heron!$A85)+SUMIFS(Xero!$F:$F,Xero!$B:$B,Heron!X$9,Xero!$A:$A,Heron!$A$5,Xero!$E:$E,Heron!$A85)</f>
        <v/>
      </c>
      <c r="Y85" s="66">
        <f>SUMIFS(Xero!$F:$F,Xero!$B:$B,Heron!Y$9,Xero!$A:$A,Heron!$A$4,Xero!$E:$E,Heron!$A85)+SUMIFS(Xero!$F:$F,Xero!$B:$B,Heron!Y$9,Xero!$A:$A,Heron!$A$5,Xero!$E:$E,Heron!$A85)</f>
        <v/>
      </c>
      <c r="Z85" s="66">
        <f>SUMIFS(Xero!$F:$F,Xero!$B:$B,Heron!Z$9,Xero!$A:$A,Heron!$A$4,Xero!$E:$E,Heron!$A85)+SUMIFS(Xero!$F:$F,Xero!$B:$B,Heron!Z$9,Xero!$A:$A,Heron!$A$5,Xero!$E:$E,Heron!$A85)</f>
        <v/>
      </c>
      <c r="AA85" s="66">
        <f>SUMIFS(Xero!$F:$F,Xero!$B:$B,Heron!AA$9,Xero!$A:$A,Heron!$A$4,Xero!$E:$E,Heron!$A85)+SUMIFS(Xero!$F:$F,Xero!$B:$B,Heron!AA$9,Xero!$A:$A,Heron!$A$5,Xero!$E:$E,Heron!$A85)</f>
        <v/>
      </c>
      <c r="AB85" s="66">
        <f>SUMIFS(Xero!$F:$F,Xero!$B:$B,Heron!AB$9,Xero!$A:$A,Heron!$A$4,Xero!$E:$E,Heron!$A85)+SUMIFS(Xero!$F:$F,Xero!$B:$B,Heron!AB$9,Xero!$A:$A,Heron!$A$5,Xero!$E:$E,Heron!$A85)</f>
        <v/>
      </c>
      <c r="AC85" s="66">
        <f>SUMIFS(Xero!$F:$F,Xero!$B:$B,Heron!AC$9,Xero!$A:$A,Heron!$A$4,Xero!$E:$E,Heron!$A85)+SUMIFS(Xero!$F:$F,Xero!$B:$B,Heron!AC$9,Xero!$A:$A,Heron!$A$5,Xero!$E:$E,Heron!$A85)</f>
        <v/>
      </c>
      <c r="AD85" s="66">
        <f>SUMIFS(Xero!$F:$F,Xero!$B:$B,Heron!AD$9,Xero!$A:$A,Heron!$A$4,Xero!$E:$E,Heron!$A85)+SUMIFS(Xero!$F:$F,Xero!$B:$B,Heron!AD$9,Xero!$A:$A,Heron!$A$5,Xero!$E:$E,Heron!$A85)</f>
        <v/>
      </c>
      <c r="AE85" s="66">
        <f>SUMIFS(Xero!$F:$F,Xero!$B:$B,Heron!AE$9,Xero!$A:$A,Heron!$A$4,Xero!$E:$E,Heron!$A85)+SUMIFS(Xero!$F:$F,Xero!$B:$B,Heron!AE$9,Xero!$A:$A,Heron!$A$5,Xero!$E:$E,Heron!$A85)</f>
        <v/>
      </c>
      <c r="AF85" s="66">
        <f>SUMIFS(Xero!$F:$F,Xero!$B:$B,Heron!AF$9,Xero!$A:$A,Heron!$A$4,Xero!$E:$E,Heron!$A85)+SUMIFS(Xero!$F:$F,Xero!$B:$B,Heron!AF$9,Xero!$A:$A,Heron!$A$5,Xero!$E:$E,Heron!$A85)</f>
        <v/>
      </c>
      <c r="AG85" s="66">
        <f>SUMIFS(Xero!$F:$F,Xero!$B:$B,Heron!AG$9,Xero!$A:$A,Heron!$A$4,Xero!$E:$E,Heron!$A85)+SUMIFS(Xero!$F:$F,Xero!$B:$B,Heron!AG$9,Xero!$A:$A,Heron!$A$5,Xero!$E:$E,Heron!$A85)</f>
        <v/>
      </c>
      <c r="AH85" s="66">
        <f>SUMIFS(Xero!$F:$F,Xero!$B:$B,Heron!AH$9,Xero!$A:$A,Heron!$A$4,Xero!$E:$E,Heron!$A85)+SUMIFS(Xero!$F:$F,Xero!$B:$B,Heron!AH$9,Xero!$A:$A,Heron!$A$5,Xero!$E:$E,Heron!$A85)</f>
        <v/>
      </c>
      <c r="AI85" s="66">
        <f>SUMIFS(Xero!$F:$F,Xero!$B:$B,Heron!AI$9,Xero!$A:$A,Heron!$A$4,Xero!$E:$E,Heron!$A85)+SUMIFS(Xero!$F:$F,Xero!$B:$B,Heron!AI$9,Xero!$A:$A,Heron!$A$5,Xero!$E:$E,Heron!$A85)</f>
        <v/>
      </c>
      <c r="AJ85" s="66">
        <f>SUMIFS(Xero!$F:$F,Xero!$B:$B,Heron!AJ$9,Xero!$A:$A,Heron!$A$4,Xero!$E:$E,Heron!$A85)+SUMIFS(Xero!$F:$F,Xero!$B:$B,Heron!AJ$9,Xero!$A:$A,Heron!$A$5,Xero!$E:$E,Heron!$A85)</f>
        <v/>
      </c>
      <c r="AK85" s="66">
        <f>SUMIFS(Xero!$F:$F,Xero!$B:$B,Heron!AK$9,Xero!$A:$A,Heron!$A$4,Xero!$E:$E,Heron!$A85)+SUMIFS(Xero!$F:$F,Xero!$B:$B,Heron!AK$9,Xero!$A:$A,Heron!$A$5,Xero!$E:$E,Heron!$A85)</f>
        <v/>
      </c>
      <c r="AL85" s="66">
        <f>SUMIFS(Xero!$F:$F,Xero!$B:$B,Heron!AL$9,Xero!$A:$A,Heron!$A$4,Xero!$E:$E,Heron!$A85)+SUMIFS(Xero!$F:$F,Xero!$B:$B,Heron!AL$9,Xero!$A:$A,Heron!$A$5,Xero!$E:$E,Heron!$A85)</f>
        <v/>
      </c>
      <c r="AM85" s="66">
        <f>SUMIFS(Xero!$F:$F,Xero!$B:$B,Heron!AM$9,Xero!$A:$A,Heron!$A$4,Xero!$E:$E,Heron!$A85)+SUMIFS(Xero!$F:$F,Xero!$B:$B,Heron!AM$9,Xero!$A:$A,Heron!$A$5,Xero!$E:$E,Heron!$A85)</f>
        <v/>
      </c>
      <c r="AN85" s="66">
        <f>SUMIFS(Xero!$F:$F,Xero!$B:$B,Heron!AN$9,Xero!$A:$A,Heron!$A$4,Xero!$E:$E,Heron!$A85)+SUMIFS(Xero!$F:$F,Xero!$B:$B,Heron!AN$9,Xero!$A:$A,Heron!$A$5,Xero!$E:$E,Heron!$A85)</f>
        <v/>
      </c>
      <c r="AO85" s="66">
        <f>SUMIFS(Xero!$F:$F,Xero!$B:$B,Heron!AO$9,Xero!$A:$A,Heron!$A$4,Xero!$E:$E,Heron!$A85)+SUMIFS(Xero!$F:$F,Xero!$B:$B,Heron!AO$9,Xero!$A:$A,Heron!$A$5,Xero!$E:$E,Heron!$A85)</f>
        <v/>
      </c>
      <c r="AP85" s="66">
        <f>SUMIFS(Xero!$F:$F,Xero!$B:$B,Heron!AP$9,Xero!$A:$A,Heron!$A$4,Xero!$E:$E,Heron!$A85)+SUMIFS(Xero!$F:$F,Xero!$B:$B,Heron!AP$9,Xero!$A:$A,Heron!$A$5,Xero!$E:$E,Heron!$A85)</f>
        <v/>
      </c>
      <c r="AQ85" s="66">
        <f>SUMIFS(Xero!$F:$F,Xero!$B:$B,Heron!AQ$9,Xero!$A:$A,Heron!$A$4,Xero!$E:$E,Heron!$A85)+SUMIFS(Xero!$F:$F,Xero!$B:$B,Heron!AQ$9,Xero!$A:$A,Heron!$A$5,Xero!$E:$E,Heron!$A85)</f>
        <v/>
      </c>
      <c r="AR85" s="66">
        <f>SUMIFS(Xero!$F:$F,Xero!$B:$B,Heron!AR$9,Xero!$A:$A,Heron!$A$4,Xero!$E:$E,Heron!$A85)+SUMIFS(Xero!$F:$F,Xero!$B:$B,Heron!AR$9,Xero!$A:$A,Heron!$A$5,Xero!$E:$E,Heron!$A85)</f>
        <v/>
      </c>
      <c r="AS85" s="66">
        <f>SUMIFS(Xero!$F:$F,Xero!$B:$B,Heron!AS$9,Xero!$A:$A,Heron!$A$4,Xero!$E:$E,Heron!$A85)+SUMIFS(Xero!$F:$F,Xero!$B:$B,Heron!AS$9,Xero!$A:$A,Heron!$A$5,Xero!$E:$E,Heron!$A85)</f>
        <v/>
      </c>
      <c r="AT85" s="66">
        <f>SUMIFS(Xero!$F:$F,Xero!$B:$B,Heron!AT$9,Xero!$A:$A,Heron!$A$4,Xero!$E:$E,Heron!$A85)+SUMIFS(Xero!$F:$F,Xero!$B:$B,Heron!AT$9,Xero!$A:$A,Heron!$A$5,Xero!$E:$E,Heron!$A85)</f>
        <v/>
      </c>
      <c r="AU85" s="66">
        <f>SUMIFS(Xero!$F:$F,Xero!$B:$B,Heron!AU$9,Xero!$A:$A,Heron!$A$4,Xero!$E:$E,Heron!$A85)+SUMIFS(Xero!$F:$F,Xero!$B:$B,Heron!AU$9,Xero!$A:$A,Heron!$A$5,Xero!$E:$E,Heron!$A85)</f>
        <v/>
      </c>
      <c r="AV85" s="66">
        <f>SUMIFS(Xero!$F:$F,Xero!$B:$B,Heron!AV$9,Xero!$A:$A,Heron!$A$4,Xero!$E:$E,Heron!$A85)+SUMIFS(Xero!$F:$F,Xero!$B:$B,Heron!AV$9,Xero!$A:$A,Heron!$A$5,Xero!$E:$E,Heron!$A85)</f>
        <v/>
      </c>
      <c r="AW85" s="66">
        <f>SUMIFS(Xero!$F:$F,Xero!$B:$B,Heron!AW$9,Xero!$A:$A,Heron!$A$4,Xero!$E:$E,Heron!$A85)+SUMIFS(Xero!$F:$F,Xero!$B:$B,Heron!AW$9,Xero!$A:$A,Heron!$A$5,Xero!$E:$E,Heron!$A85)</f>
        <v/>
      </c>
      <c r="AX85" s="66">
        <f>SUMIFS(Xero!$F:$F,Xero!$B:$B,Heron!AX$9,Xero!$A:$A,Heron!$A$4,Xero!$E:$E,Heron!$A85)+SUMIFS(Xero!$F:$F,Xero!$B:$B,Heron!AX$9,Xero!$A:$A,Heron!$A$5,Xero!$E:$E,Heron!$A85)</f>
        <v/>
      </c>
      <c r="AY85" s="66">
        <f>SUMIFS(Xero!$F:$F,Xero!$B:$B,Heron!AY$9,Xero!$A:$A,Heron!$A$4,Xero!$E:$E,Heron!$A85)+SUMIFS(Xero!$F:$F,Xero!$B:$B,Heron!AY$9,Xero!$A:$A,Heron!$A$5,Xero!$E:$E,Heron!$A85)</f>
        <v/>
      </c>
      <c r="AZ85" s="66">
        <f>SUMIFS(Xero!$F:$F,Xero!$B:$B,Heron!AZ$9,Xero!$A:$A,Heron!$A$4,Xero!$E:$E,Heron!$A85)+SUMIFS(Xero!$F:$F,Xero!$B:$B,Heron!AZ$9,Xero!$A:$A,Heron!$A$5,Xero!$E:$E,Heron!$A85)</f>
        <v/>
      </c>
      <c r="BA85" s="66">
        <f>SUMIFS(Xero!$F:$F,Xero!$B:$B,Heron!BA$9,Xero!$A:$A,Heron!$A$4,Xero!$E:$E,Heron!$A85)+SUMIFS(Xero!$F:$F,Xero!$B:$B,Heron!BA$9,Xero!$A:$A,Heron!$A$5,Xero!$E:$E,Heron!$A85)</f>
        <v/>
      </c>
      <c r="BB85" s="66">
        <f>SUMIFS(Xero!$F:$F,Xero!$B:$B,Heron!BB$9,Xero!$A:$A,Heron!$A$4,Xero!$E:$E,Heron!$A85)+SUMIFS(Xero!$F:$F,Xero!$B:$B,Heron!BB$9,Xero!$A:$A,Heron!$A$5,Xero!$E:$E,Heron!$A85)</f>
        <v/>
      </c>
      <c r="BC85" s="66">
        <f>SUMIFS(Xero!$F:$F,Xero!$B:$B,Heron!BC$9,Xero!$A:$A,Heron!$A$4,Xero!$E:$E,Heron!$A85)+SUMIFS(Xero!$F:$F,Xero!$B:$B,Heron!BC$9,Xero!$A:$A,Heron!$A$5,Xero!$E:$E,Heron!$A85)</f>
        <v/>
      </c>
      <c r="BD85" s="66">
        <f>SUMIFS(Xero!$F:$F,Xero!$B:$B,Heron!BD$9,Xero!$A:$A,Heron!$A$4,Xero!$E:$E,Heron!$A85)+SUMIFS(Xero!$F:$F,Xero!$B:$B,Heron!BD$9,Xero!$A:$A,Heron!$A$5,Xero!$E:$E,Heron!$A85)</f>
        <v/>
      </c>
      <c r="BE85" s="66">
        <f>SUMIFS(Xero!$F:$F,Xero!$B:$B,Heron!BE$9,Xero!$A:$A,Heron!$A$4,Xero!$E:$E,Heron!$A85)+SUMIFS(Xero!$F:$F,Xero!$B:$B,Heron!BE$9,Xero!$A:$A,Heron!$A$5,Xero!$E:$E,Heron!$A85)</f>
        <v/>
      </c>
      <c r="BF85" s="66">
        <f>SUMIFS(Xero!$F:$F,Xero!$B:$B,Heron!BF$9,Xero!$A:$A,Heron!$A$4,Xero!$E:$E,Heron!$A85)+SUMIFS(Xero!$F:$F,Xero!$B:$B,Heron!BF$9,Xero!$A:$A,Heron!$A$5,Xero!$E:$E,Heron!$A85)</f>
        <v/>
      </c>
      <c r="BG85" s="66">
        <f>SUMIFS(Xero!$F:$F,Xero!$B:$B,Heron!BG$9,Xero!$A:$A,Heron!$A$4,Xero!$E:$E,Heron!$A85)+SUMIFS(Xero!$F:$F,Xero!$B:$B,Heron!BG$9,Xero!$A:$A,Heron!$A$5,Xero!$E:$E,Heron!$A85)</f>
        <v/>
      </c>
      <c r="BH85" s="66">
        <f>sum(D85:BG85)</f>
        <v/>
      </c>
    </row>
    <row r="86">
      <c r="A86" s="65" t="inlineStr">
        <is>
          <t>Levies - Special Levies</t>
        </is>
      </c>
      <c r="D86" s="66">
        <f>SUMIFS(Xero!$F:$F,Xero!$B:$B,Heron!D$9,Xero!$A:$A,Heron!$A$4,Xero!$E:$E,Heron!$A86)+SUMIFS(Xero!$F:$F,Xero!$B:$B,Heron!D$9,Xero!$A:$A,Heron!$A$5,Xero!$E:$E,Heron!$A86)</f>
        <v/>
      </c>
      <c r="E86" s="66">
        <f>SUMIFS(Xero!$F:$F,Xero!$B:$B,Heron!E$9,Xero!$A:$A,Heron!$A$4,Xero!$E:$E,Heron!$A86)+SUMIFS(Xero!$F:$F,Xero!$B:$B,Heron!E$9,Xero!$A:$A,Heron!$A$5,Xero!$E:$E,Heron!$A86)</f>
        <v/>
      </c>
      <c r="F86" s="66">
        <f>SUMIFS(Xero!$F:$F,Xero!$B:$B,Heron!F$9,Xero!$A:$A,Heron!$A$4,Xero!$E:$E,Heron!$A86)+SUMIFS(Xero!$F:$F,Xero!$B:$B,Heron!F$9,Xero!$A:$A,Heron!$A$5,Xero!$E:$E,Heron!$A86)</f>
        <v/>
      </c>
      <c r="G86" s="66">
        <f>SUMIFS(Xero!$F:$F,Xero!$B:$B,Heron!G$9,Xero!$A:$A,Heron!$A$4,Xero!$E:$E,Heron!$A86)+SUMIFS(Xero!$F:$F,Xero!$B:$B,Heron!G$9,Xero!$A:$A,Heron!$A$5,Xero!$E:$E,Heron!$A86)</f>
        <v/>
      </c>
      <c r="H86" s="66">
        <f>SUMIFS(Xero!$F:$F,Xero!$B:$B,Heron!H$9,Xero!$A:$A,Heron!$A$4,Xero!$E:$E,Heron!$A86)+SUMIFS(Xero!$F:$F,Xero!$B:$B,Heron!H$9,Xero!$A:$A,Heron!$A$5,Xero!$E:$E,Heron!$A86)</f>
        <v/>
      </c>
      <c r="I86" s="66">
        <f>SUMIFS(Xero!$F:$F,Xero!$B:$B,Heron!I$9,Xero!$A:$A,Heron!$A$4,Xero!$E:$E,Heron!$A86)+SUMIFS(Xero!$F:$F,Xero!$B:$B,Heron!I$9,Xero!$A:$A,Heron!$A$5,Xero!$E:$E,Heron!$A86)</f>
        <v/>
      </c>
      <c r="J86" s="66">
        <f>SUMIFS(Xero!$F:$F,Xero!$B:$B,Heron!J$9,Xero!$A:$A,Heron!$A$4,Xero!$E:$E,Heron!$A86)+SUMIFS(Xero!$F:$F,Xero!$B:$B,Heron!J$9,Xero!$A:$A,Heron!$A$5,Xero!$E:$E,Heron!$A86)</f>
        <v/>
      </c>
      <c r="K86" s="66">
        <f>SUMIFS(Xero!$F:$F,Xero!$B:$B,Heron!K$9,Xero!$A:$A,Heron!$A$4,Xero!$E:$E,Heron!$A86)+SUMIFS(Xero!$F:$F,Xero!$B:$B,Heron!K$9,Xero!$A:$A,Heron!$A$5,Xero!$E:$E,Heron!$A86)</f>
        <v/>
      </c>
      <c r="L86" s="66">
        <f>SUMIFS(Xero!$F:$F,Xero!$B:$B,Heron!L$9,Xero!$A:$A,Heron!$A$4,Xero!$E:$E,Heron!$A86)+SUMIFS(Xero!$F:$F,Xero!$B:$B,Heron!L$9,Xero!$A:$A,Heron!$A$5,Xero!$E:$E,Heron!$A86)</f>
        <v/>
      </c>
      <c r="M86" s="66">
        <f>SUMIFS(Xero!$F:$F,Xero!$B:$B,Heron!M$9,Xero!$A:$A,Heron!$A$4,Xero!$E:$E,Heron!$A86)+SUMIFS(Xero!$F:$F,Xero!$B:$B,Heron!M$9,Xero!$A:$A,Heron!$A$5,Xero!$E:$E,Heron!$A86)</f>
        <v/>
      </c>
      <c r="N86" s="66">
        <f>SUMIFS(Xero!$F:$F,Xero!$B:$B,Heron!N$9,Xero!$A:$A,Heron!$A$4,Xero!$E:$E,Heron!$A86)+SUMIFS(Xero!$F:$F,Xero!$B:$B,Heron!N$9,Xero!$A:$A,Heron!$A$5,Xero!$E:$E,Heron!$A86)</f>
        <v/>
      </c>
      <c r="O86" s="66">
        <f>SUMIFS(Xero!$F:$F,Xero!$B:$B,Heron!O$9,Xero!$A:$A,Heron!$A$4,Xero!$E:$E,Heron!$A86)+SUMIFS(Xero!$F:$F,Xero!$B:$B,Heron!O$9,Xero!$A:$A,Heron!$A$5,Xero!$E:$E,Heron!$A86)</f>
        <v/>
      </c>
      <c r="P86" s="66">
        <f>SUMIFS(Xero!$F:$F,Xero!$B:$B,Heron!P$9,Xero!$A:$A,Heron!$A$4,Xero!$E:$E,Heron!$A86)+SUMIFS(Xero!$F:$F,Xero!$B:$B,Heron!P$9,Xero!$A:$A,Heron!$A$5,Xero!$E:$E,Heron!$A86)</f>
        <v/>
      </c>
      <c r="Q86" s="66">
        <f>SUMIFS(Xero!$F:$F,Xero!$B:$B,Heron!Q$9,Xero!$A:$A,Heron!$A$4,Xero!$E:$E,Heron!$A86)+SUMIFS(Xero!$F:$F,Xero!$B:$B,Heron!Q$9,Xero!$A:$A,Heron!$A$5,Xero!$E:$E,Heron!$A86)</f>
        <v/>
      </c>
      <c r="R86" s="66">
        <f>SUMIFS(Xero!$F:$F,Xero!$B:$B,Heron!R$9,Xero!$A:$A,Heron!$A$4,Xero!$E:$E,Heron!$A86)+SUMIFS(Xero!$F:$F,Xero!$B:$B,Heron!R$9,Xero!$A:$A,Heron!$A$5,Xero!$E:$E,Heron!$A86)</f>
        <v/>
      </c>
      <c r="S86" s="66">
        <f>SUMIFS(Xero!$F:$F,Xero!$B:$B,Heron!S$9,Xero!$A:$A,Heron!$A$4,Xero!$E:$E,Heron!$A86)+SUMIFS(Xero!$F:$F,Xero!$B:$B,Heron!S$9,Xero!$A:$A,Heron!$A$5,Xero!$E:$E,Heron!$A86)</f>
        <v/>
      </c>
      <c r="T86" s="66">
        <f>SUMIFS(Xero!$F:$F,Xero!$B:$B,Heron!T$9,Xero!$A:$A,Heron!$A$4,Xero!$E:$E,Heron!$A86)+SUMIFS(Xero!$F:$F,Xero!$B:$B,Heron!T$9,Xero!$A:$A,Heron!$A$5,Xero!$E:$E,Heron!$A86)</f>
        <v/>
      </c>
      <c r="U86" s="66">
        <f>SUMIFS(Xero!$F:$F,Xero!$B:$B,Heron!U$9,Xero!$A:$A,Heron!$A$4,Xero!$E:$E,Heron!$A86)+SUMIFS(Xero!$F:$F,Xero!$B:$B,Heron!U$9,Xero!$A:$A,Heron!$A$5,Xero!$E:$E,Heron!$A86)</f>
        <v/>
      </c>
      <c r="V86" s="66">
        <f>SUMIFS(Xero!$F:$F,Xero!$B:$B,Heron!V$9,Xero!$A:$A,Heron!$A$4,Xero!$E:$E,Heron!$A86)+SUMIFS(Xero!$F:$F,Xero!$B:$B,Heron!V$9,Xero!$A:$A,Heron!$A$5,Xero!$E:$E,Heron!$A86)</f>
        <v/>
      </c>
      <c r="W86" s="66">
        <f>SUMIFS(Xero!$F:$F,Xero!$B:$B,Heron!W$9,Xero!$A:$A,Heron!$A$4,Xero!$E:$E,Heron!$A86)+SUMIFS(Xero!$F:$F,Xero!$B:$B,Heron!W$9,Xero!$A:$A,Heron!$A$5,Xero!$E:$E,Heron!$A86)</f>
        <v/>
      </c>
      <c r="X86" s="66">
        <f>SUMIFS(Xero!$F:$F,Xero!$B:$B,Heron!X$9,Xero!$A:$A,Heron!$A$4,Xero!$E:$E,Heron!$A86)+SUMIFS(Xero!$F:$F,Xero!$B:$B,Heron!X$9,Xero!$A:$A,Heron!$A$5,Xero!$E:$E,Heron!$A86)</f>
        <v/>
      </c>
      <c r="Y86" s="66">
        <f>SUMIFS(Xero!$F:$F,Xero!$B:$B,Heron!Y$9,Xero!$A:$A,Heron!$A$4,Xero!$E:$E,Heron!$A86)+SUMIFS(Xero!$F:$F,Xero!$B:$B,Heron!Y$9,Xero!$A:$A,Heron!$A$5,Xero!$E:$E,Heron!$A86)</f>
        <v/>
      </c>
      <c r="Z86" s="66">
        <f>SUMIFS(Xero!$F:$F,Xero!$B:$B,Heron!Z$9,Xero!$A:$A,Heron!$A$4,Xero!$E:$E,Heron!$A86)+SUMIFS(Xero!$F:$F,Xero!$B:$B,Heron!Z$9,Xero!$A:$A,Heron!$A$5,Xero!$E:$E,Heron!$A86)</f>
        <v/>
      </c>
      <c r="AA86" s="66">
        <f>SUMIFS(Xero!$F:$F,Xero!$B:$B,Heron!AA$9,Xero!$A:$A,Heron!$A$4,Xero!$E:$E,Heron!$A86)+SUMIFS(Xero!$F:$F,Xero!$B:$B,Heron!AA$9,Xero!$A:$A,Heron!$A$5,Xero!$E:$E,Heron!$A86)</f>
        <v/>
      </c>
      <c r="AB86" s="66">
        <f>SUMIFS(Xero!$F:$F,Xero!$B:$B,Heron!AB$9,Xero!$A:$A,Heron!$A$4,Xero!$E:$E,Heron!$A86)+SUMIFS(Xero!$F:$F,Xero!$B:$B,Heron!AB$9,Xero!$A:$A,Heron!$A$5,Xero!$E:$E,Heron!$A86)</f>
        <v/>
      </c>
      <c r="AC86" s="66">
        <f>SUMIFS(Xero!$F:$F,Xero!$B:$B,Heron!AC$9,Xero!$A:$A,Heron!$A$4,Xero!$E:$E,Heron!$A86)+SUMIFS(Xero!$F:$F,Xero!$B:$B,Heron!AC$9,Xero!$A:$A,Heron!$A$5,Xero!$E:$E,Heron!$A86)</f>
        <v/>
      </c>
      <c r="AD86" s="66">
        <f>SUMIFS(Xero!$F:$F,Xero!$B:$B,Heron!AD$9,Xero!$A:$A,Heron!$A$4,Xero!$E:$E,Heron!$A86)+SUMIFS(Xero!$F:$F,Xero!$B:$B,Heron!AD$9,Xero!$A:$A,Heron!$A$5,Xero!$E:$E,Heron!$A86)</f>
        <v/>
      </c>
      <c r="AE86" s="66">
        <f>SUMIFS(Xero!$F:$F,Xero!$B:$B,Heron!AE$9,Xero!$A:$A,Heron!$A$4,Xero!$E:$E,Heron!$A86)+SUMIFS(Xero!$F:$F,Xero!$B:$B,Heron!AE$9,Xero!$A:$A,Heron!$A$5,Xero!$E:$E,Heron!$A86)</f>
        <v/>
      </c>
      <c r="AF86" s="66">
        <f>SUMIFS(Xero!$F:$F,Xero!$B:$B,Heron!AF$9,Xero!$A:$A,Heron!$A$4,Xero!$E:$E,Heron!$A86)+SUMIFS(Xero!$F:$F,Xero!$B:$B,Heron!AF$9,Xero!$A:$A,Heron!$A$5,Xero!$E:$E,Heron!$A86)</f>
        <v/>
      </c>
      <c r="AG86" s="66">
        <f>SUMIFS(Xero!$F:$F,Xero!$B:$B,Heron!AG$9,Xero!$A:$A,Heron!$A$4,Xero!$E:$E,Heron!$A86)+SUMIFS(Xero!$F:$F,Xero!$B:$B,Heron!AG$9,Xero!$A:$A,Heron!$A$5,Xero!$E:$E,Heron!$A86)</f>
        <v/>
      </c>
      <c r="AH86" s="66">
        <f>SUMIFS(Xero!$F:$F,Xero!$B:$B,Heron!AH$9,Xero!$A:$A,Heron!$A$4,Xero!$E:$E,Heron!$A86)+SUMIFS(Xero!$F:$F,Xero!$B:$B,Heron!AH$9,Xero!$A:$A,Heron!$A$5,Xero!$E:$E,Heron!$A86)</f>
        <v/>
      </c>
      <c r="AI86" s="66">
        <f>SUMIFS(Xero!$F:$F,Xero!$B:$B,Heron!AI$9,Xero!$A:$A,Heron!$A$4,Xero!$E:$E,Heron!$A86)+SUMIFS(Xero!$F:$F,Xero!$B:$B,Heron!AI$9,Xero!$A:$A,Heron!$A$5,Xero!$E:$E,Heron!$A86)</f>
        <v/>
      </c>
      <c r="AJ86" s="66">
        <f>SUMIFS(Xero!$F:$F,Xero!$B:$B,Heron!AJ$9,Xero!$A:$A,Heron!$A$4,Xero!$E:$E,Heron!$A86)+SUMIFS(Xero!$F:$F,Xero!$B:$B,Heron!AJ$9,Xero!$A:$A,Heron!$A$5,Xero!$E:$E,Heron!$A86)</f>
        <v/>
      </c>
      <c r="AK86" s="66">
        <f>SUMIFS(Xero!$F:$F,Xero!$B:$B,Heron!AK$9,Xero!$A:$A,Heron!$A$4,Xero!$E:$E,Heron!$A86)+SUMIFS(Xero!$F:$F,Xero!$B:$B,Heron!AK$9,Xero!$A:$A,Heron!$A$5,Xero!$E:$E,Heron!$A86)</f>
        <v/>
      </c>
      <c r="AL86" s="66">
        <f>SUMIFS(Xero!$F:$F,Xero!$B:$B,Heron!AL$9,Xero!$A:$A,Heron!$A$4,Xero!$E:$E,Heron!$A86)+SUMIFS(Xero!$F:$F,Xero!$B:$B,Heron!AL$9,Xero!$A:$A,Heron!$A$5,Xero!$E:$E,Heron!$A86)</f>
        <v/>
      </c>
      <c r="AM86" s="66">
        <f>SUMIFS(Xero!$F:$F,Xero!$B:$B,Heron!AM$9,Xero!$A:$A,Heron!$A$4,Xero!$E:$E,Heron!$A86)+SUMIFS(Xero!$F:$F,Xero!$B:$B,Heron!AM$9,Xero!$A:$A,Heron!$A$5,Xero!$E:$E,Heron!$A86)</f>
        <v/>
      </c>
      <c r="AN86" s="66">
        <f>SUMIFS(Xero!$F:$F,Xero!$B:$B,Heron!AN$9,Xero!$A:$A,Heron!$A$4,Xero!$E:$E,Heron!$A86)+SUMIFS(Xero!$F:$F,Xero!$B:$B,Heron!AN$9,Xero!$A:$A,Heron!$A$5,Xero!$E:$E,Heron!$A86)</f>
        <v/>
      </c>
      <c r="AO86" s="66">
        <f>SUMIFS(Xero!$F:$F,Xero!$B:$B,Heron!AO$9,Xero!$A:$A,Heron!$A$4,Xero!$E:$E,Heron!$A86)+SUMIFS(Xero!$F:$F,Xero!$B:$B,Heron!AO$9,Xero!$A:$A,Heron!$A$5,Xero!$E:$E,Heron!$A86)</f>
        <v/>
      </c>
      <c r="AP86" s="66">
        <f>SUMIFS(Xero!$F:$F,Xero!$B:$B,Heron!AP$9,Xero!$A:$A,Heron!$A$4,Xero!$E:$E,Heron!$A86)+SUMIFS(Xero!$F:$F,Xero!$B:$B,Heron!AP$9,Xero!$A:$A,Heron!$A$5,Xero!$E:$E,Heron!$A86)</f>
        <v/>
      </c>
      <c r="AQ86" s="66">
        <f>SUMIFS(Xero!$F:$F,Xero!$B:$B,Heron!AQ$9,Xero!$A:$A,Heron!$A$4,Xero!$E:$E,Heron!$A86)+SUMIFS(Xero!$F:$F,Xero!$B:$B,Heron!AQ$9,Xero!$A:$A,Heron!$A$5,Xero!$E:$E,Heron!$A86)</f>
        <v/>
      </c>
      <c r="AR86" s="66">
        <f>SUMIFS(Xero!$F:$F,Xero!$B:$B,Heron!AR$9,Xero!$A:$A,Heron!$A$4,Xero!$E:$E,Heron!$A86)+SUMIFS(Xero!$F:$F,Xero!$B:$B,Heron!AR$9,Xero!$A:$A,Heron!$A$5,Xero!$E:$E,Heron!$A86)</f>
        <v/>
      </c>
      <c r="AS86" s="66">
        <f>SUMIFS(Xero!$F:$F,Xero!$B:$B,Heron!AS$9,Xero!$A:$A,Heron!$A$4,Xero!$E:$E,Heron!$A86)+SUMIFS(Xero!$F:$F,Xero!$B:$B,Heron!AS$9,Xero!$A:$A,Heron!$A$5,Xero!$E:$E,Heron!$A86)</f>
        <v/>
      </c>
      <c r="AT86" s="66">
        <f>SUMIFS(Xero!$F:$F,Xero!$B:$B,Heron!AT$9,Xero!$A:$A,Heron!$A$4,Xero!$E:$E,Heron!$A86)+SUMIFS(Xero!$F:$F,Xero!$B:$B,Heron!AT$9,Xero!$A:$A,Heron!$A$5,Xero!$E:$E,Heron!$A86)</f>
        <v/>
      </c>
      <c r="AU86" s="66">
        <f>SUMIFS(Xero!$F:$F,Xero!$B:$B,Heron!AU$9,Xero!$A:$A,Heron!$A$4,Xero!$E:$E,Heron!$A86)+SUMIFS(Xero!$F:$F,Xero!$B:$B,Heron!AU$9,Xero!$A:$A,Heron!$A$5,Xero!$E:$E,Heron!$A86)</f>
        <v/>
      </c>
      <c r="AV86" s="66">
        <f>SUMIFS(Xero!$F:$F,Xero!$B:$B,Heron!AV$9,Xero!$A:$A,Heron!$A$4,Xero!$E:$E,Heron!$A86)+SUMIFS(Xero!$F:$F,Xero!$B:$B,Heron!AV$9,Xero!$A:$A,Heron!$A$5,Xero!$E:$E,Heron!$A86)</f>
        <v/>
      </c>
      <c r="AW86" s="66">
        <f>SUMIFS(Xero!$F:$F,Xero!$B:$B,Heron!AW$9,Xero!$A:$A,Heron!$A$4,Xero!$E:$E,Heron!$A86)+SUMIFS(Xero!$F:$F,Xero!$B:$B,Heron!AW$9,Xero!$A:$A,Heron!$A$5,Xero!$E:$E,Heron!$A86)</f>
        <v/>
      </c>
      <c r="AX86" s="66">
        <f>SUMIFS(Xero!$F:$F,Xero!$B:$B,Heron!AX$9,Xero!$A:$A,Heron!$A$4,Xero!$E:$E,Heron!$A86)+SUMIFS(Xero!$F:$F,Xero!$B:$B,Heron!AX$9,Xero!$A:$A,Heron!$A$5,Xero!$E:$E,Heron!$A86)</f>
        <v/>
      </c>
      <c r="AY86" s="66">
        <f>SUMIFS(Xero!$F:$F,Xero!$B:$B,Heron!AY$9,Xero!$A:$A,Heron!$A$4,Xero!$E:$E,Heron!$A86)+SUMIFS(Xero!$F:$F,Xero!$B:$B,Heron!AY$9,Xero!$A:$A,Heron!$A$5,Xero!$E:$E,Heron!$A86)</f>
        <v/>
      </c>
      <c r="AZ86" s="66">
        <f>SUMIFS(Xero!$F:$F,Xero!$B:$B,Heron!AZ$9,Xero!$A:$A,Heron!$A$4,Xero!$E:$E,Heron!$A86)+SUMIFS(Xero!$F:$F,Xero!$B:$B,Heron!AZ$9,Xero!$A:$A,Heron!$A$5,Xero!$E:$E,Heron!$A86)</f>
        <v/>
      </c>
      <c r="BA86" s="66">
        <f>SUMIFS(Xero!$F:$F,Xero!$B:$B,Heron!BA$9,Xero!$A:$A,Heron!$A$4,Xero!$E:$E,Heron!$A86)+SUMIFS(Xero!$F:$F,Xero!$B:$B,Heron!BA$9,Xero!$A:$A,Heron!$A$5,Xero!$E:$E,Heron!$A86)</f>
        <v/>
      </c>
      <c r="BB86" s="66">
        <f>SUMIFS(Xero!$F:$F,Xero!$B:$B,Heron!BB$9,Xero!$A:$A,Heron!$A$4,Xero!$E:$E,Heron!$A86)+SUMIFS(Xero!$F:$F,Xero!$B:$B,Heron!BB$9,Xero!$A:$A,Heron!$A$5,Xero!$E:$E,Heron!$A86)</f>
        <v/>
      </c>
      <c r="BC86" s="66">
        <f>SUMIFS(Xero!$F:$F,Xero!$B:$B,Heron!BC$9,Xero!$A:$A,Heron!$A$4,Xero!$E:$E,Heron!$A86)+SUMIFS(Xero!$F:$F,Xero!$B:$B,Heron!BC$9,Xero!$A:$A,Heron!$A$5,Xero!$E:$E,Heron!$A86)</f>
        <v/>
      </c>
      <c r="BD86" s="66">
        <f>SUMIFS(Xero!$F:$F,Xero!$B:$B,Heron!BD$9,Xero!$A:$A,Heron!$A$4,Xero!$E:$E,Heron!$A86)+SUMIFS(Xero!$F:$F,Xero!$B:$B,Heron!BD$9,Xero!$A:$A,Heron!$A$5,Xero!$E:$E,Heron!$A86)</f>
        <v/>
      </c>
      <c r="BE86" s="66">
        <f>SUMIFS(Xero!$F:$F,Xero!$B:$B,Heron!BE$9,Xero!$A:$A,Heron!$A$4,Xero!$E:$E,Heron!$A86)+SUMIFS(Xero!$F:$F,Xero!$B:$B,Heron!BE$9,Xero!$A:$A,Heron!$A$5,Xero!$E:$E,Heron!$A86)</f>
        <v/>
      </c>
      <c r="BF86" s="66">
        <f>SUMIFS(Xero!$F:$F,Xero!$B:$B,Heron!BF$9,Xero!$A:$A,Heron!$A$4,Xero!$E:$E,Heron!$A86)+SUMIFS(Xero!$F:$F,Xero!$B:$B,Heron!BF$9,Xero!$A:$A,Heron!$A$5,Xero!$E:$E,Heron!$A86)</f>
        <v/>
      </c>
      <c r="BG86" s="66">
        <f>SUMIFS(Xero!$F:$F,Xero!$B:$B,Heron!BG$9,Xero!$A:$A,Heron!$A$4,Xero!$E:$E,Heron!$A86)+SUMIFS(Xero!$F:$F,Xero!$B:$B,Heron!BG$9,Xero!$A:$A,Heron!$A$5,Xero!$E:$E,Heron!$A86)</f>
        <v/>
      </c>
      <c r="BH86" s="66">
        <f>sum(D86:BG86)</f>
        <v/>
      </c>
    </row>
    <row r="87">
      <c r="A87" s="65" t="inlineStr">
        <is>
          <t>Management fees - OMH</t>
        </is>
      </c>
      <c r="D87" s="66">
        <f>SUMIFS(Xero!$F:$F,Xero!$B:$B,Heron!D$9,Xero!$A:$A,Heron!$A$4,Xero!$E:$E,Heron!$A87)+SUMIFS(Xero!$F:$F,Xero!$B:$B,Heron!D$9,Xero!$A:$A,Heron!$A$5,Xero!$E:$E,Heron!$A87)</f>
        <v/>
      </c>
      <c r="E87" s="66">
        <f>SUMIFS(Xero!$F:$F,Xero!$B:$B,Heron!E$9,Xero!$A:$A,Heron!$A$4,Xero!$E:$E,Heron!$A87)+SUMIFS(Xero!$F:$F,Xero!$B:$B,Heron!E$9,Xero!$A:$A,Heron!$A$5,Xero!$E:$E,Heron!$A87)</f>
        <v/>
      </c>
      <c r="F87" s="66">
        <f>SUMIFS(Xero!$F:$F,Xero!$B:$B,Heron!F$9,Xero!$A:$A,Heron!$A$4,Xero!$E:$E,Heron!$A87)+SUMIFS(Xero!$F:$F,Xero!$B:$B,Heron!F$9,Xero!$A:$A,Heron!$A$5,Xero!$E:$E,Heron!$A87)</f>
        <v/>
      </c>
      <c r="G87" s="66">
        <f>SUMIFS(Xero!$F:$F,Xero!$B:$B,Heron!G$9,Xero!$A:$A,Heron!$A$4,Xero!$E:$E,Heron!$A87)+SUMIFS(Xero!$F:$F,Xero!$B:$B,Heron!G$9,Xero!$A:$A,Heron!$A$5,Xero!$E:$E,Heron!$A87)</f>
        <v/>
      </c>
      <c r="H87" s="66">
        <f>SUMIFS(Xero!$F:$F,Xero!$B:$B,Heron!H$9,Xero!$A:$A,Heron!$A$4,Xero!$E:$E,Heron!$A87)+SUMIFS(Xero!$F:$F,Xero!$B:$B,Heron!H$9,Xero!$A:$A,Heron!$A$5,Xero!$E:$E,Heron!$A87)</f>
        <v/>
      </c>
      <c r="I87" s="66">
        <f>SUMIFS(Xero!$F:$F,Xero!$B:$B,Heron!I$9,Xero!$A:$A,Heron!$A$4,Xero!$E:$E,Heron!$A87)+SUMIFS(Xero!$F:$F,Xero!$B:$B,Heron!I$9,Xero!$A:$A,Heron!$A$5,Xero!$E:$E,Heron!$A87)</f>
        <v/>
      </c>
      <c r="J87" s="66">
        <f>SUMIFS(Xero!$F:$F,Xero!$B:$B,Heron!J$9,Xero!$A:$A,Heron!$A$4,Xero!$E:$E,Heron!$A87)+SUMIFS(Xero!$F:$F,Xero!$B:$B,Heron!J$9,Xero!$A:$A,Heron!$A$5,Xero!$E:$E,Heron!$A87)</f>
        <v/>
      </c>
      <c r="K87" s="66">
        <f>SUMIFS(Xero!$F:$F,Xero!$B:$B,Heron!K$9,Xero!$A:$A,Heron!$A$4,Xero!$E:$E,Heron!$A87)+SUMIFS(Xero!$F:$F,Xero!$B:$B,Heron!K$9,Xero!$A:$A,Heron!$A$5,Xero!$E:$E,Heron!$A87)</f>
        <v/>
      </c>
      <c r="L87" s="66">
        <f>SUMIFS(Xero!$F:$F,Xero!$B:$B,Heron!L$9,Xero!$A:$A,Heron!$A$4,Xero!$E:$E,Heron!$A87)+SUMIFS(Xero!$F:$F,Xero!$B:$B,Heron!L$9,Xero!$A:$A,Heron!$A$5,Xero!$E:$E,Heron!$A87)</f>
        <v/>
      </c>
      <c r="M87" s="66">
        <f>SUMIFS(Xero!$F:$F,Xero!$B:$B,Heron!M$9,Xero!$A:$A,Heron!$A$4,Xero!$E:$E,Heron!$A87)+SUMIFS(Xero!$F:$F,Xero!$B:$B,Heron!M$9,Xero!$A:$A,Heron!$A$5,Xero!$E:$E,Heron!$A87)</f>
        <v/>
      </c>
      <c r="N87" s="66">
        <f>SUMIFS(Xero!$F:$F,Xero!$B:$B,Heron!N$9,Xero!$A:$A,Heron!$A$4,Xero!$E:$E,Heron!$A87)+SUMIFS(Xero!$F:$F,Xero!$B:$B,Heron!N$9,Xero!$A:$A,Heron!$A$5,Xero!$E:$E,Heron!$A87)</f>
        <v/>
      </c>
      <c r="O87" s="66">
        <f>SUMIFS(Xero!$F:$F,Xero!$B:$B,Heron!O$9,Xero!$A:$A,Heron!$A$4,Xero!$E:$E,Heron!$A87)+SUMIFS(Xero!$F:$F,Xero!$B:$B,Heron!O$9,Xero!$A:$A,Heron!$A$5,Xero!$E:$E,Heron!$A87)</f>
        <v/>
      </c>
      <c r="P87" s="66">
        <f>SUMIFS(Xero!$F:$F,Xero!$B:$B,Heron!P$9,Xero!$A:$A,Heron!$A$4,Xero!$E:$E,Heron!$A87)+SUMIFS(Xero!$F:$F,Xero!$B:$B,Heron!P$9,Xero!$A:$A,Heron!$A$5,Xero!$E:$E,Heron!$A87)</f>
        <v/>
      </c>
      <c r="Q87" s="66">
        <f>SUMIFS(Xero!$F:$F,Xero!$B:$B,Heron!Q$9,Xero!$A:$A,Heron!$A$4,Xero!$E:$E,Heron!$A87)+SUMIFS(Xero!$F:$F,Xero!$B:$B,Heron!Q$9,Xero!$A:$A,Heron!$A$5,Xero!$E:$E,Heron!$A87)</f>
        <v/>
      </c>
      <c r="R87" s="66">
        <f>SUMIFS(Xero!$F:$F,Xero!$B:$B,Heron!R$9,Xero!$A:$A,Heron!$A$4,Xero!$E:$E,Heron!$A87)+SUMIFS(Xero!$F:$F,Xero!$B:$B,Heron!R$9,Xero!$A:$A,Heron!$A$5,Xero!$E:$E,Heron!$A87)</f>
        <v/>
      </c>
      <c r="S87" s="66">
        <f>SUMIFS(Xero!$F:$F,Xero!$B:$B,Heron!S$9,Xero!$A:$A,Heron!$A$4,Xero!$E:$E,Heron!$A87)+SUMIFS(Xero!$F:$F,Xero!$B:$B,Heron!S$9,Xero!$A:$A,Heron!$A$5,Xero!$E:$E,Heron!$A87)</f>
        <v/>
      </c>
      <c r="T87" s="66">
        <f>SUMIFS(Xero!$F:$F,Xero!$B:$B,Heron!T$9,Xero!$A:$A,Heron!$A$4,Xero!$E:$E,Heron!$A87)+SUMIFS(Xero!$F:$F,Xero!$B:$B,Heron!T$9,Xero!$A:$A,Heron!$A$5,Xero!$E:$E,Heron!$A87)</f>
        <v/>
      </c>
      <c r="U87" s="66">
        <f>SUMIFS(Xero!$F:$F,Xero!$B:$B,Heron!U$9,Xero!$A:$A,Heron!$A$4,Xero!$E:$E,Heron!$A87)+SUMIFS(Xero!$F:$F,Xero!$B:$B,Heron!U$9,Xero!$A:$A,Heron!$A$5,Xero!$E:$E,Heron!$A87)</f>
        <v/>
      </c>
      <c r="V87" s="66">
        <f>SUMIFS(Xero!$F:$F,Xero!$B:$B,Heron!V$9,Xero!$A:$A,Heron!$A$4,Xero!$E:$E,Heron!$A87)+SUMIFS(Xero!$F:$F,Xero!$B:$B,Heron!V$9,Xero!$A:$A,Heron!$A$5,Xero!$E:$E,Heron!$A87)</f>
        <v/>
      </c>
      <c r="W87" s="66">
        <f>SUMIFS(Xero!$F:$F,Xero!$B:$B,Heron!W$9,Xero!$A:$A,Heron!$A$4,Xero!$E:$E,Heron!$A87)+SUMIFS(Xero!$F:$F,Xero!$B:$B,Heron!W$9,Xero!$A:$A,Heron!$A$5,Xero!$E:$E,Heron!$A87)</f>
        <v/>
      </c>
      <c r="X87" s="66">
        <f>SUMIFS(Xero!$F:$F,Xero!$B:$B,Heron!X$9,Xero!$A:$A,Heron!$A$4,Xero!$E:$E,Heron!$A87)+SUMIFS(Xero!$F:$F,Xero!$B:$B,Heron!X$9,Xero!$A:$A,Heron!$A$5,Xero!$E:$E,Heron!$A87)</f>
        <v/>
      </c>
      <c r="Y87" s="66">
        <f>SUMIFS(Xero!$F:$F,Xero!$B:$B,Heron!Y$9,Xero!$A:$A,Heron!$A$4,Xero!$E:$E,Heron!$A87)+SUMIFS(Xero!$F:$F,Xero!$B:$B,Heron!Y$9,Xero!$A:$A,Heron!$A$5,Xero!$E:$E,Heron!$A87)</f>
        <v/>
      </c>
      <c r="Z87" s="66">
        <f>SUMIFS(Xero!$F:$F,Xero!$B:$B,Heron!Z$9,Xero!$A:$A,Heron!$A$4,Xero!$E:$E,Heron!$A87)+SUMIFS(Xero!$F:$F,Xero!$B:$B,Heron!Z$9,Xero!$A:$A,Heron!$A$5,Xero!$E:$E,Heron!$A87)</f>
        <v/>
      </c>
      <c r="AA87" s="66">
        <f>SUMIFS(Xero!$F:$F,Xero!$B:$B,Heron!AA$9,Xero!$A:$A,Heron!$A$4,Xero!$E:$E,Heron!$A87)+SUMIFS(Xero!$F:$F,Xero!$B:$B,Heron!AA$9,Xero!$A:$A,Heron!$A$5,Xero!$E:$E,Heron!$A87)</f>
        <v/>
      </c>
      <c r="AB87" s="66">
        <f>SUMIFS(Xero!$F:$F,Xero!$B:$B,Heron!AB$9,Xero!$A:$A,Heron!$A$4,Xero!$E:$E,Heron!$A87)+SUMIFS(Xero!$F:$F,Xero!$B:$B,Heron!AB$9,Xero!$A:$A,Heron!$A$5,Xero!$E:$E,Heron!$A87)</f>
        <v/>
      </c>
      <c r="AC87" s="66">
        <f>SUMIFS(Xero!$F:$F,Xero!$B:$B,Heron!AC$9,Xero!$A:$A,Heron!$A$4,Xero!$E:$E,Heron!$A87)+SUMIFS(Xero!$F:$F,Xero!$B:$B,Heron!AC$9,Xero!$A:$A,Heron!$A$5,Xero!$E:$E,Heron!$A87)</f>
        <v/>
      </c>
      <c r="AD87" s="66">
        <f>SUMIFS(Xero!$F:$F,Xero!$B:$B,Heron!AD$9,Xero!$A:$A,Heron!$A$4,Xero!$E:$E,Heron!$A87)+SUMIFS(Xero!$F:$F,Xero!$B:$B,Heron!AD$9,Xero!$A:$A,Heron!$A$5,Xero!$E:$E,Heron!$A87)</f>
        <v/>
      </c>
      <c r="AE87" s="66">
        <f>SUMIFS(Xero!$F:$F,Xero!$B:$B,Heron!AE$9,Xero!$A:$A,Heron!$A$4,Xero!$E:$E,Heron!$A87)+SUMIFS(Xero!$F:$F,Xero!$B:$B,Heron!AE$9,Xero!$A:$A,Heron!$A$5,Xero!$E:$E,Heron!$A87)</f>
        <v/>
      </c>
      <c r="AF87" s="66">
        <f>SUMIFS(Xero!$F:$F,Xero!$B:$B,Heron!AF$9,Xero!$A:$A,Heron!$A$4,Xero!$E:$E,Heron!$A87)+SUMIFS(Xero!$F:$F,Xero!$B:$B,Heron!AF$9,Xero!$A:$A,Heron!$A$5,Xero!$E:$E,Heron!$A87)</f>
        <v/>
      </c>
      <c r="AG87" s="66">
        <f>SUMIFS(Xero!$F:$F,Xero!$B:$B,Heron!AG$9,Xero!$A:$A,Heron!$A$4,Xero!$E:$E,Heron!$A87)+SUMIFS(Xero!$F:$F,Xero!$B:$B,Heron!AG$9,Xero!$A:$A,Heron!$A$5,Xero!$E:$E,Heron!$A87)</f>
        <v/>
      </c>
      <c r="AH87" s="66">
        <f>SUMIFS(Xero!$F:$F,Xero!$B:$B,Heron!AH$9,Xero!$A:$A,Heron!$A$4,Xero!$E:$E,Heron!$A87)+SUMIFS(Xero!$F:$F,Xero!$B:$B,Heron!AH$9,Xero!$A:$A,Heron!$A$5,Xero!$E:$E,Heron!$A87)</f>
        <v/>
      </c>
      <c r="AI87" s="66">
        <f>SUMIFS(Xero!$F:$F,Xero!$B:$B,Heron!AI$9,Xero!$A:$A,Heron!$A$4,Xero!$E:$E,Heron!$A87)+SUMIFS(Xero!$F:$F,Xero!$B:$B,Heron!AI$9,Xero!$A:$A,Heron!$A$5,Xero!$E:$E,Heron!$A87)</f>
        <v/>
      </c>
      <c r="AJ87" s="66">
        <f>SUMIFS(Xero!$F:$F,Xero!$B:$B,Heron!AJ$9,Xero!$A:$A,Heron!$A$4,Xero!$E:$E,Heron!$A87)+SUMIFS(Xero!$F:$F,Xero!$B:$B,Heron!AJ$9,Xero!$A:$A,Heron!$A$5,Xero!$E:$E,Heron!$A87)</f>
        <v/>
      </c>
      <c r="AK87" s="66">
        <f>SUMIFS(Xero!$F:$F,Xero!$B:$B,Heron!AK$9,Xero!$A:$A,Heron!$A$4,Xero!$E:$E,Heron!$A87)+SUMIFS(Xero!$F:$F,Xero!$B:$B,Heron!AK$9,Xero!$A:$A,Heron!$A$5,Xero!$E:$E,Heron!$A87)</f>
        <v/>
      </c>
      <c r="AL87" s="66">
        <f>SUMIFS(Xero!$F:$F,Xero!$B:$B,Heron!AL$9,Xero!$A:$A,Heron!$A$4,Xero!$E:$E,Heron!$A87)+SUMIFS(Xero!$F:$F,Xero!$B:$B,Heron!AL$9,Xero!$A:$A,Heron!$A$5,Xero!$E:$E,Heron!$A87)</f>
        <v/>
      </c>
      <c r="AM87" s="66">
        <f>SUMIFS(Xero!$F:$F,Xero!$B:$B,Heron!AM$9,Xero!$A:$A,Heron!$A$4,Xero!$E:$E,Heron!$A87)+SUMIFS(Xero!$F:$F,Xero!$B:$B,Heron!AM$9,Xero!$A:$A,Heron!$A$5,Xero!$E:$E,Heron!$A87)</f>
        <v/>
      </c>
      <c r="AN87" s="66">
        <f>SUMIFS(Xero!$F:$F,Xero!$B:$B,Heron!AN$9,Xero!$A:$A,Heron!$A$4,Xero!$E:$E,Heron!$A87)+SUMIFS(Xero!$F:$F,Xero!$B:$B,Heron!AN$9,Xero!$A:$A,Heron!$A$5,Xero!$E:$E,Heron!$A87)</f>
        <v/>
      </c>
      <c r="AO87" s="66">
        <f>SUMIFS(Xero!$F:$F,Xero!$B:$B,Heron!AO$9,Xero!$A:$A,Heron!$A$4,Xero!$E:$E,Heron!$A87)+SUMIFS(Xero!$F:$F,Xero!$B:$B,Heron!AO$9,Xero!$A:$A,Heron!$A$5,Xero!$E:$E,Heron!$A87)</f>
        <v/>
      </c>
      <c r="AP87" s="66">
        <f>SUMIFS(Xero!$F:$F,Xero!$B:$B,Heron!AP$9,Xero!$A:$A,Heron!$A$4,Xero!$E:$E,Heron!$A87)+SUMIFS(Xero!$F:$F,Xero!$B:$B,Heron!AP$9,Xero!$A:$A,Heron!$A$5,Xero!$E:$E,Heron!$A87)</f>
        <v/>
      </c>
      <c r="AQ87" s="66">
        <f>SUMIFS(Xero!$F:$F,Xero!$B:$B,Heron!AQ$9,Xero!$A:$A,Heron!$A$4,Xero!$E:$E,Heron!$A87)+SUMIFS(Xero!$F:$F,Xero!$B:$B,Heron!AQ$9,Xero!$A:$A,Heron!$A$5,Xero!$E:$E,Heron!$A87)</f>
        <v/>
      </c>
      <c r="AR87" s="66">
        <f>SUMIFS(Xero!$F:$F,Xero!$B:$B,Heron!AR$9,Xero!$A:$A,Heron!$A$4,Xero!$E:$E,Heron!$A87)+SUMIFS(Xero!$F:$F,Xero!$B:$B,Heron!AR$9,Xero!$A:$A,Heron!$A$5,Xero!$E:$E,Heron!$A87)</f>
        <v/>
      </c>
      <c r="AS87" s="66">
        <f>SUMIFS(Xero!$F:$F,Xero!$B:$B,Heron!AS$9,Xero!$A:$A,Heron!$A$4,Xero!$E:$E,Heron!$A87)+SUMIFS(Xero!$F:$F,Xero!$B:$B,Heron!AS$9,Xero!$A:$A,Heron!$A$5,Xero!$E:$E,Heron!$A87)</f>
        <v/>
      </c>
      <c r="AT87" s="66">
        <f>SUMIFS(Xero!$F:$F,Xero!$B:$B,Heron!AT$9,Xero!$A:$A,Heron!$A$4,Xero!$E:$E,Heron!$A87)+SUMIFS(Xero!$F:$F,Xero!$B:$B,Heron!AT$9,Xero!$A:$A,Heron!$A$5,Xero!$E:$E,Heron!$A87)</f>
        <v/>
      </c>
      <c r="AU87" s="66">
        <f>SUMIFS(Xero!$F:$F,Xero!$B:$B,Heron!AU$9,Xero!$A:$A,Heron!$A$4,Xero!$E:$E,Heron!$A87)+SUMIFS(Xero!$F:$F,Xero!$B:$B,Heron!AU$9,Xero!$A:$A,Heron!$A$5,Xero!$E:$E,Heron!$A87)</f>
        <v/>
      </c>
      <c r="AV87" s="66">
        <f>SUMIFS(Xero!$F:$F,Xero!$B:$B,Heron!AV$9,Xero!$A:$A,Heron!$A$4,Xero!$E:$E,Heron!$A87)+SUMIFS(Xero!$F:$F,Xero!$B:$B,Heron!AV$9,Xero!$A:$A,Heron!$A$5,Xero!$E:$E,Heron!$A87)</f>
        <v/>
      </c>
      <c r="AW87" s="66">
        <f>SUMIFS(Xero!$F:$F,Xero!$B:$B,Heron!AW$9,Xero!$A:$A,Heron!$A$4,Xero!$E:$E,Heron!$A87)+SUMIFS(Xero!$F:$F,Xero!$B:$B,Heron!AW$9,Xero!$A:$A,Heron!$A$5,Xero!$E:$E,Heron!$A87)</f>
        <v/>
      </c>
      <c r="AX87" s="66">
        <f>SUMIFS(Xero!$F:$F,Xero!$B:$B,Heron!AX$9,Xero!$A:$A,Heron!$A$4,Xero!$E:$E,Heron!$A87)+SUMIFS(Xero!$F:$F,Xero!$B:$B,Heron!AX$9,Xero!$A:$A,Heron!$A$5,Xero!$E:$E,Heron!$A87)</f>
        <v/>
      </c>
      <c r="AY87" s="66">
        <f>SUMIFS(Xero!$F:$F,Xero!$B:$B,Heron!AY$9,Xero!$A:$A,Heron!$A$4,Xero!$E:$E,Heron!$A87)+SUMIFS(Xero!$F:$F,Xero!$B:$B,Heron!AY$9,Xero!$A:$A,Heron!$A$5,Xero!$E:$E,Heron!$A87)</f>
        <v/>
      </c>
      <c r="AZ87" s="66">
        <f>SUMIFS(Xero!$F:$F,Xero!$B:$B,Heron!AZ$9,Xero!$A:$A,Heron!$A$4,Xero!$E:$E,Heron!$A87)+SUMIFS(Xero!$F:$F,Xero!$B:$B,Heron!AZ$9,Xero!$A:$A,Heron!$A$5,Xero!$E:$E,Heron!$A87)</f>
        <v/>
      </c>
      <c r="BA87" s="66">
        <f>SUMIFS(Xero!$F:$F,Xero!$B:$B,Heron!BA$9,Xero!$A:$A,Heron!$A$4,Xero!$E:$E,Heron!$A87)+SUMIFS(Xero!$F:$F,Xero!$B:$B,Heron!BA$9,Xero!$A:$A,Heron!$A$5,Xero!$E:$E,Heron!$A87)</f>
        <v/>
      </c>
      <c r="BB87" s="66">
        <f>SUMIFS(Xero!$F:$F,Xero!$B:$B,Heron!BB$9,Xero!$A:$A,Heron!$A$4,Xero!$E:$E,Heron!$A87)+SUMIFS(Xero!$F:$F,Xero!$B:$B,Heron!BB$9,Xero!$A:$A,Heron!$A$5,Xero!$E:$E,Heron!$A87)</f>
        <v/>
      </c>
      <c r="BC87" s="66">
        <f>SUMIFS(Xero!$F:$F,Xero!$B:$B,Heron!BC$9,Xero!$A:$A,Heron!$A$4,Xero!$E:$E,Heron!$A87)+SUMIFS(Xero!$F:$F,Xero!$B:$B,Heron!BC$9,Xero!$A:$A,Heron!$A$5,Xero!$E:$E,Heron!$A87)</f>
        <v/>
      </c>
      <c r="BD87" s="66">
        <f>SUMIFS(Xero!$F:$F,Xero!$B:$B,Heron!BD$9,Xero!$A:$A,Heron!$A$4,Xero!$E:$E,Heron!$A87)+SUMIFS(Xero!$F:$F,Xero!$B:$B,Heron!BD$9,Xero!$A:$A,Heron!$A$5,Xero!$E:$E,Heron!$A87)</f>
        <v/>
      </c>
      <c r="BE87" s="66">
        <f>SUMIFS(Xero!$F:$F,Xero!$B:$B,Heron!BE$9,Xero!$A:$A,Heron!$A$4,Xero!$E:$E,Heron!$A87)+SUMIFS(Xero!$F:$F,Xero!$B:$B,Heron!BE$9,Xero!$A:$A,Heron!$A$5,Xero!$E:$E,Heron!$A87)</f>
        <v/>
      </c>
      <c r="BF87" s="66">
        <f>SUMIFS(Xero!$F:$F,Xero!$B:$B,Heron!BF$9,Xero!$A:$A,Heron!$A$4,Xero!$E:$E,Heron!$A87)+SUMIFS(Xero!$F:$F,Xero!$B:$B,Heron!BF$9,Xero!$A:$A,Heron!$A$5,Xero!$E:$E,Heron!$A87)</f>
        <v/>
      </c>
      <c r="BG87" s="66">
        <f>SUMIFS(Xero!$F:$F,Xero!$B:$B,Heron!BG$9,Xero!$A:$A,Heron!$A$4,Xero!$E:$E,Heron!$A87)+SUMIFS(Xero!$F:$F,Xero!$B:$B,Heron!BG$9,Xero!$A:$A,Heron!$A$5,Xero!$E:$E,Heron!$A87)</f>
        <v/>
      </c>
      <c r="BH87" s="66">
        <f>sum(D87:BG87)</f>
        <v/>
      </c>
    </row>
    <row r="88">
      <c r="A88" s="65" t="inlineStr">
        <is>
          <t>Momentum Admin Fee</t>
        </is>
      </c>
      <c r="D88" s="66">
        <f>SUMIFS(Xero!$F:$F,Xero!$B:$B,Heron!D$9,Xero!$A:$A,Heron!$A$4,Xero!$E:$E,Heron!$A88)+SUMIFS(Xero!$F:$F,Xero!$B:$B,Heron!D$9,Xero!$A:$A,Heron!$A$5,Xero!$E:$E,Heron!$A88)</f>
        <v/>
      </c>
      <c r="E88" s="66">
        <f>SUMIFS(Xero!$F:$F,Xero!$B:$B,Heron!E$9,Xero!$A:$A,Heron!$A$4,Xero!$E:$E,Heron!$A88)+SUMIFS(Xero!$F:$F,Xero!$B:$B,Heron!E$9,Xero!$A:$A,Heron!$A$5,Xero!$E:$E,Heron!$A88)</f>
        <v/>
      </c>
      <c r="F88" s="66">
        <f>SUMIFS(Xero!$F:$F,Xero!$B:$B,Heron!F$9,Xero!$A:$A,Heron!$A$4,Xero!$E:$E,Heron!$A88)+SUMIFS(Xero!$F:$F,Xero!$B:$B,Heron!F$9,Xero!$A:$A,Heron!$A$5,Xero!$E:$E,Heron!$A88)</f>
        <v/>
      </c>
      <c r="G88" s="66">
        <f>SUMIFS(Xero!$F:$F,Xero!$B:$B,Heron!G$9,Xero!$A:$A,Heron!$A$4,Xero!$E:$E,Heron!$A88)+SUMIFS(Xero!$F:$F,Xero!$B:$B,Heron!G$9,Xero!$A:$A,Heron!$A$5,Xero!$E:$E,Heron!$A88)</f>
        <v/>
      </c>
      <c r="H88" s="66">
        <f>SUMIFS(Xero!$F:$F,Xero!$B:$B,Heron!H$9,Xero!$A:$A,Heron!$A$4,Xero!$E:$E,Heron!$A88)+SUMIFS(Xero!$F:$F,Xero!$B:$B,Heron!H$9,Xero!$A:$A,Heron!$A$5,Xero!$E:$E,Heron!$A88)</f>
        <v/>
      </c>
      <c r="I88" s="66">
        <f>SUMIFS(Xero!$F:$F,Xero!$B:$B,Heron!I$9,Xero!$A:$A,Heron!$A$4,Xero!$E:$E,Heron!$A88)+SUMIFS(Xero!$F:$F,Xero!$B:$B,Heron!I$9,Xero!$A:$A,Heron!$A$5,Xero!$E:$E,Heron!$A88)</f>
        <v/>
      </c>
      <c r="J88" s="66">
        <f>SUMIFS(Xero!$F:$F,Xero!$B:$B,Heron!J$9,Xero!$A:$A,Heron!$A$4,Xero!$E:$E,Heron!$A88)+SUMIFS(Xero!$F:$F,Xero!$B:$B,Heron!J$9,Xero!$A:$A,Heron!$A$5,Xero!$E:$E,Heron!$A88)</f>
        <v/>
      </c>
      <c r="K88" s="66">
        <f>SUMIFS(Xero!$F:$F,Xero!$B:$B,Heron!K$9,Xero!$A:$A,Heron!$A$4,Xero!$E:$E,Heron!$A88)+SUMIFS(Xero!$F:$F,Xero!$B:$B,Heron!K$9,Xero!$A:$A,Heron!$A$5,Xero!$E:$E,Heron!$A88)</f>
        <v/>
      </c>
      <c r="L88" s="66">
        <f>SUMIFS(Xero!$F:$F,Xero!$B:$B,Heron!L$9,Xero!$A:$A,Heron!$A$4,Xero!$E:$E,Heron!$A88)+SUMIFS(Xero!$F:$F,Xero!$B:$B,Heron!L$9,Xero!$A:$A,Heron!$A$5,Xero!$E:$E,Heron!$A88)</f>
        <v/>
      </c>
      <c r="M88" s="66">
        <f>SUMIFS(Xero!$F:$F,Xero!$B:$B,Heron!M$9,Xero!$A:$A,Heron!$A$4,Xero!$E:$E,Heron!$A88)+SUMIFS(Xero!$F:$F,Xero!$B:$B,Heron!M$9,Xero!$A:$A,Heron!$A$5,Xero!$E:$E,Heron!$A88)</f>
        <v/>
      </c>
      <c r="N88" s="66">
        <f>SUMIFS(Xero!$F:$F,Xero!$B:$B,Heron!N$9,Xero!$A:$A,Heron!$A$4,Xero!$E:$E,Heron!$A88)+SUMIFS(Xero!$F:$F,Xero!$B:$B,Heron!N$9,Xero!$A:$A,Heron!$A$5,Xero!$E:$E,Heron!$A88)</f>
        <v/>
      </c>
      <c r="O88" s="66">
        <f>SUMIFS(Xero!$F:$F,Xero!$B:$B,Heron!O$9,Xero!$A:$A,Heron!$A$4,Xero!$E:$E,Heron!$A88)+SUMIFS(Xero!$F:$F,Xero!$B:$B,Heron!O$9,Xero!$A:$A,Heron!$A$5,Xero!$E:$E,Heron!$A88)</f>
        <v/>
      </c>
      <c r="P88" s="66">
        <f>SUMIFS(Xero!$F:$F,Xero!$B:$B,Heron!P$9,Xero!$A:$A,Heron!$A$4,Xero!$E:$E,Heron!$A88)+SUMIFS(Xero!$F:$F,Xero!$B:$B,Heron!P$9,Xero!$A:$A,Heron!$A$5,Xero!$E:$E,Heron!$A88)</f>
        <v/>
      </c>
      <c r="Q88" s="66">
        <f>SUMIFS(Xero!$F:$F,Xero!$B:$B,Heron!Q$9,Xero!$A:$A,Heron!$A$4,Xero!$E:$E,Heron!$A88)+SUMIFS(Xero!$F:$F,Xero!$B:$B,Heron!Q$9,Xero!$A:$A,Heron!$A$5,Xero!$E:$E,Heron!$A88)</f>
        <v/>
      </c>
      <c r="R88" s="66">
        <f>SUMIFS(Xero!$F:$F,Xero!$B:$B,Heron!R$9,Xero!$A:$A,Heron!$A$4,Xero!$E:$E,Heron!$A88)+SUMIFS(Xero!$F:$F,Xero!$B:$B,Heron!R$9,Xero!$A:$A,Heron!$A$5,Xero!$E:$E,Heron!$A88)</f>
        <v/>
      </c>
      <c r="S88" s="66">
        <f>SUMIFS(Xero!$F:$F,Xero!$B:$B,Heron!S$9,Xero!$A:$A,Heron!$A$4,Xero!$E:$E,Heron!$A88)+SUMIFS(Xero!$F:$F,Xero!$B:$B,Heron!S$9,Xero!$A:$A,Heron!$A$5,Xero!$E:$E,Heron!$A88)</f>
        <v/>
      </c>
      <c r="T88" s="66">
        <f>SUMIFS(Xero!$F:$F,Xero!$B:$B,Heron!T$9,Xero!$A:$A,Heron!$A$4,Xero!$E:$E,Heron!$A88)+SUMIFS(Xero!$F:$F,Xero!$B:$B,Heron!T$9,Xero!$A:$A,Heron!$A$5,Xero!$E:$E,Heron!$A88)</f>
        <v/>
      </c>
      <c r="U88" s="66">
        <f>SUMIFS(Xero!$F:$F,Xero!$B:$B,Heron!U$9,Xero!$A:$A,Heron!$A$4,Xero!$E:$E,Heron!$A88)+SUMIFS(Xero!$F:$F,Xero!$B:$B,Heron!U$9,Xero!$A:$A,Heron!$A$5,Xero!$E:$E,Heron!$A88)</f>
        <v/>
      </c>
      <c r="V88" s="66">
        <f>SUMIFS(Xero!$F:$F,Xero!$B:$B,Heron!V$9,Xero!$A:$A,Heron!$A$4,Xero!$E:$E,Heron!$A88)+SUMIFS(Xero!$F:$F,Xero!$B:$B,Heron!V$9,Xero!$A:$A,Heron!$A$5,Xero!$E:$E,Heron!$A88)</f>
        <v/>
      </c>
      <c r="W88" s="66">
        <f>SUMIFS(Xero!$F:$F,Xero!$B:$B,Heron!W$9,Xero!$A:$A,Heron!$A$4,Xero!$E:$E,Heron!$A88)+SUMIFS(Xero!$F:$F,Xero!$B:$B,Heron!W$9,Xero!$A:$A,Heron!$A$5,Xero!$E:$E,Heron!$A88)</f>
        <v/>
      </c>
      <c r="X88" s="66">
        <f>SUMIFS(Xero!$F:$F,Xero!$B:$B,Heron!X$9,Xero!$A:$A,Heron!$A$4,Xero!$E:$E,Heron!$A88)+SUMIFS(Xero!$F:$F,Xero!$B:$B,Heron!X$9,Xero!$A:$A,Heron!$A$5,Xero!$E:$E,Heron!$A88)</f>
        <v/>
      </c>
      <c r="Y88" s="66">
        <f>SUMIFS(Xero!$F:$F,Xero!$B:$B,Heron!Y$9,Xero!$A:$A,Heron!$A$4,Xero!$E:$E,Heron!$A88)+SUMIFS(Xero!$F:$F,Xero!$B:$B,Heron!Y$9,Xero!$A:$A,Heron!$A$5,Xero!$E:$E,Heron!$A88)</f>
        <v/>
      </c>
      <c r="Z88" s="66">
        <f>SUMIFS(Xero!$F:$F,Xero!$B:$B,Heron!Z$9,Xero!$A:$A,Heron!$A$4,Xero!$E:$E,Heron!$A88)+SUMIFS(Xero!$F:$F,Xero!$B:$B,Heron!Z$9,Xero!$A:$A,Heron!$A$5,Xero!$E:$E,Heron!$A88)</f>
        <v/>
      </c>
      <c r="AA88" s="66">
        <f>SUMIFS(Xero!$F:$F,Xero!$B:$B,Heron!AA$9,Xero!$A:$A,Heron!$A$4,Xero!$E:$E,Heron!$A88)+SUMIFS(Xero!$F:$F,Xero!$B:$B,Heron!AA$9,Xero!$A:$A,Heron!$A$5,Xero!$E:$E,Heron!$A88)</f>
        <v/>
      </c>
      <c r="AB88" s="66">
        <f>SUMIFS(Xero!$F:$F,Xero!$B:$B,Heron!AB$9,Xero!$A:$A,Heron!$A$4,Xero!$E:$E,Heron!$A88)+SUMIFS(Xero!$F:$F,Xero!$B:$B,Heron!AB$9,Xero!$A:$A,Heron!$A$5,Xero!$E:$E,Heron!$A88)</f>
        <v/>
      </c>
      <c r="AC88" s="66">
        <f>SUMIFS(Xero!$F:$F,Xero!$B:$B,Heron!AC$9,Xero!$A:$A,Heron!$A$4,Xero!$E:$E,Heron!$A88)+SUMIFS(Xero!$F:$F,Xero!$B:$B,Heron!AC$9,Xero!$A:$A,Heron!$A$5,Xero!$E:$E,Heron!$A88)</f>
        <v/>
      </c>
      <c r="AD88" s="66">
        <f>SUMIFS(Xero!$F:$F,Xero!$B:$B,Heron!AD$9,Xero!$A:$A,Heron!$A$4,Xero!$E:$E,Heron!$A88)+SUMIFS(Xero!$F:$F,Xero!$B:$B,Heron!AD$9,Xero!$A:$A,Heron!$A$5,Xero!$E:$E,Heron!$A88)</f>
        <v/>
      </c>
      <c r="AE88" s="66">
        <f>SUMIFS(Xero!$F:$F,Xero!$B:$B,Heron!AE$9,Xero!$A:$A,Heron!$A$4,Xero!$E:$E,Heron!$A88)+SUMIFS(Xero!$F:$F,Xero!$B:$B,Heron!AE$9,Xero!$A:$A,Heron!$A$5,Xero!$E:$E,Heron!$A88)</f>
        <v/>
      </c>
      <c r="AF88" s="66">
        <f>SUMIFS(Xero!$F:$F,Xero!$B:$B,Heron!AF$9,Xero!$A:$A,Heron!$A$4,Xero!$E:$E,Heron!$A88)+SUMIFS(Xero!$F:$F,Xero!$B:$B,Heron!AF$9,Xero!$A:$A,Heron!$A$5,Xero!$E:$E,Heron!$A88)</f>
        <v/>
      </c>
      <c r="AG88" s="66">
        <f>SUMIFS(Xero!$F:$F,Xero!$B:$B,Heron!AG$9,Xero!$A:$A,Heron!$A$4,Xero!$E:$E,Heron!$A88)+SUMIFS(Xero!$F:$F,Xero!$B:$B,Heron!AG$9,Xero!$A:$A,Heron!$A$5,Xero!$E:$E,Heron!$A88)</f>
        <v/>
      </c>
      <c r="AH88" s="66">
        <f>SUMIFS(Xero!$F:$F,Xero!$B:$B,Heron!AH$9,Xero!$A:$A,Heron!$A$4,Xero!$E:$E,Heron!$A88)+SUMIFS(Xero!$F:$F,Xero!$B:$B,Heron!AH$9,Xero!$A:$A,Heron!$A$5,Xero!$E:$E,Heron!$A88)</f>
        <v/>
      </c>
      <c r="AI88" s="66">
        <f>SUMIFS(Xero!$F:$F,Xero!$B:$B,Heron!AI$9,Xero!$A:$A,Heron!$A$4,Xero!$E:$E,Heron!$A88)+SUMIFS(Xero!$F:$F,Xero!$B:$B,Heron!AI$9,Xero!$A:$A,Heron!$A$5,Xero!$E:$E,Heron!$A88)</f>
        <v/>
      </c>
      <c r="AJ88" s="66">
        <f>SUMIFS(Xero!$F:$F,Xero!$B:$B,Heron!AJ$9,Xero!$A:$A,Heron!$A$4,Xero!$E:$E,Heron!$A88)+SUMIFS(Xero!$F:$F,Xero!$B:$B,Heron!AJ$9,Xero!$A:$A,Heron!$A$5,Xero!$E:$E,Heron!$A88)</f>
        <v/>
      </c>
      <c r="AK88" s="66">
        <f>SUMIFS(Xero!$F:$F,Xero!$B:$B,Heron!AK$9,Xero!$A:$A,Heron!$A$4,Xero!$E:$E,Heron!$A88)+SUMIFS(Xero!$F:$F,Xero!$B:$B,Heron!AK$9,Xero!$A:$A,Heron!$A$5,Xero!$E:$E,Heron!$A88)</f>
        <v/>
      </c>
      <c r="AL88" s="66">
        <f>SUMIFS(Xero!$F:$F,Xero!$B:$B,Heron!AL$9,Xero!$A:$A,Heron!$A$4,Xero!$E:$E,Heron!$A88)+SUMIFS(Xero!$F:$F,Xero!$B:$B,Heron!AL$9,Xero!$A:$A,Heron!$A$5,Xero!$E:$E,Heron!$A88)</f>
        <v/>
      </c>
      <c r="AM88" s="66">
        <f>SUMIFS(Xero!$F:$F,Xero!$B:$B,Heron!AM$9,Xero!$A:$A,Heron!$A$4,Xero!$E:$E,Heron!$A88)+SUMIFS(Xero!$F:$F,Xero!$B:$B,Heron!AM$9,Xero!$A:$A,Heron!$A$5,Xero!$E:$E,Heron!$A88)</f>
        <v/>
      </c>
      <c r="AN88" s="66">
        <f>SUMIFS(Xero!$F:$F,Xero!$B:$B,Heron!AN$9,Xero!$A:$A,Heron!$A$4,Xero!$E:$E,Heron!$A88)+SUMIFS(Xero!$F:$F,Xero!$B:$B,Heron!AN$9,Xero!$A:$A,Heron!$A$5,Xero!$E:$E,Heron!$A88)</f>
        <v/>
      </c>
      <c r="AO88" s="66">
        <f>SUMIFS(Xero!$F:$F,Xero!$B:$B,Heron!AO$9,Xero!$A:$A,Heron!$A$4,Xero!$E:$E,Heron!$A88)+SUMIFS(Xero!$F:$F,Xero!$B:$B,Heron!AO$9,Xero!$A:$A,Heron!$A$5,Xero!$E:$E,Heron!$A88)</f>
        <v/>
      </c>
      <c r="AP88" s="66">
        <f>SUMIFS(Xero!$F:$F,Xero!$B:$B,Heron!AP$9,Xero!$A:$A,Heron!$A$4,Xero!$E:$E,Heron!$A88)+SUMIFS(Xero!$F:$F,Xero!$B:$B,Heron!AP$9,Xero!$A:$A,Heron!$A$5,Xero!$E:$E,Heron!$A88)</f>
        <v/>
      </c>
      <c r="AQ88" s="66">
        <f>SUMIFS(Xero!$F:$F,Xero!$B:$B,Heron!AQ$9,Xero!$A:$A,Heron!$A$4,Xero!$E:$E,Heron!$A88)+SUMIFS(Xero!$F:$F,Xero!$B:$B,Heron!AQ$9,Xero!$A:$A,Heron!$A$5,Xero!$E:$E,Heron!$A88)</f>
        <v/>
      </c>
      <c r="AR88" s="66">
        <f>SUMIFS(Xero!$F:$F,Xero!$B:$B,Heron!AR$9,Xero!$A:$A,Heron!$A$4,Xero!$E:$E,Heron!$A88)+SUMIFS(Xero!$F:$F,Xero!$B:$B,Heron!AR$9,Xero!$A:$A,Heron!$A$5,Xero!$E:$E,Heron!$A88)</f>
        <v/>
      </c>
      <c r="AS88" s="66">
        <f>SUMIFS(Xero!$F:$F,Xero!$B:$B,Heron!AS$9,Xero!$A:$A,Heron!$A$4,Xero!$E:$E,Heron!$A88)+SUMIFS(Xero!$F:$F,Xero!$B:$B,Heron!AS$9,Xero!$A:$A,Heron!$A$5,Xero!$E:$E,Heron!$A88)</f>
        <v/>
      </c>
      <c r="AT88" s="66">
        <f>SUMIFS(Xero!$F:$F,Xero!$B:$B,Heron!AT$9,Xero!$A:$A,Heron!$A$4,Xero!$E:$E,Heron!$A88)+SUMIFS(Xero!$F:$F,Xero!$B:$B,Heron!AT$9,Xero!$A:$A,Heron!$A$5,Xero!$E:$E,Heron!$A88)</f>
        <v/>
      </c>
      <c r="AU88" s="66">
        <f>SUMIFS(Xero!$F:$F,Xero!$B:$B,Heron!AU$9,Xero!$A:$A,Heron!$A$4,Xero!$E:$E,Heron!$A88)+SUMIFS(Xero!$F:$F,Xero!$B:$B,Heron!AU$9,Xero!$A:$A,Heron!$A$5,Xero!$E:$E,Heron!$A88)</f>
        <v/>
      </c>
      <c r="AV88" s="66">
        <f>SUMIFS(Xero!$F:$F,Xero!$B:$B,Heron!AV$9,Xero!$A:$A,Heron!$A$4,Xero!$E:$E,Heron!$A88)+SUMIFS(Xero!$F:$F,Xero!$B:$B,Heron!AV$9,Xero!$A:$A,Heron!$A$5,Xero!$E:$E,Heron!$A88)</f>
        <v/>
      </c>
      <c r="AW88" s="66">
        <f>SUMIFS(Xero!$F:$F,Xero!$B:$B,Heron!AW$9,Xero!$A:$A,Heron!$A$4,Xero!$E:$E,Heron!$A88)+SUMIFS(Xero!$F:$F,Xero!$B:$B,Heron!AW$9,Xero!$A:$A,Heron!$A$5,Xero!$E:$E,Heron!$A88)</f>
        <v/>
      </c>
      <c r="AX88" s="66">
        <f>SUMIFS(Xero!$F:$F,Xero!$B:$B,Heron!AX$9,Xero!$A:$A,Heron!$A$4,Xero!$E:$E,Heron!$A88)+SUMIFS(Xero!$F:$F,Xero!$B:$B,Heron!AX$9,Xero!$A:$A,Heron!$A$5,Xero!$E:$E,Heron!$A88)</f>
        <v/>
      </c>
      <c r="AY88" s="66">
        <f>SUMIFS(Xero!$F:$F,Xero!$B:$B,Heron!AY$9,Xero!$A:$A,Heron!$A$4,Xero!$E:$E,Heron!$A88)+SUMIFS(Xero!$F:$F,Xero!$B:$B,Heron!AY$9,Xero!$A:$A,Heron!$A$5,Xero!$E:$E,Heron!$A88)</f>
        <v/>
      </c>
      <c r="AZ88" s="66">
        <f>SUMIFS(Xero!$F:$F,Xero!$B:$B,Heron!AZ$9,Xero!$A:$A,Heron!$A$4,Xero!$E:$E,Heron!$A88)+SUMIFS(Xero!$F:$F,Xero!$B:$B,Heron!AZ$9,Xero!$A:$A,Heron!$A$5,Xero!$E:$E,Heron!$A88)</f>
        <v/>
      </c>
      <c r="BA88" s="66">
        <f>SUMIFS(Xero!$F:$F,Xero!$B:$B,Heron!BA$9,Xero!$A:$A,Heron!$A$4,Xero!$E:$E,Heron!$A88)+SUMIFS(Xero!$F:$F,Xero!$B:$B,Heron!BA$9,Xero!$A:$A,Heron!$A$5,Xero!$E:$E,Heron!$A88)</f>
        <v/>
      </c>
      <c r="BB88" s="66">
        <f>SUMIFS(Xero!$F:$F,Xero!$B:$B,Heron!BB$9,Xero!$A:$A,Heron!$A$4,Xero!$E:$E,Heron!$A88)+SUMIFS(Xero!$F:$F,Xero!$B:$B,Heron!BB$9,Xero!$A:$A,Heron!$A$5,Xero!$E:$E,Heron!$A88)</f>
        <v/>
      </c>
      <c r="BC88" s="66">
        <f>SUMIFS(Xero!$F:$F,Xero!$B:$B,Heron!BC$9,Xero!$A:$A,Heron!$A$4,Xero!$E:$E,Heron!$A88)+SUMIFS(Xero!$F:$F,Xero!$B:$B,Heron!BC$9,Xero!$A:$A,Heron!$A$5,Xero!$E:$E,Heron!$A88)</f>
        <v/>
      </c>
      <c r="BD88" s="66">
        <f>SUMIFS(Xero!$F:$F,Xero!$B:$B,Heron!BD$9,Xero!$A:$A,Heron!$A$4,Xero!$E:$E,Heron!$A88)+SUMIFS(Xero!$F:$F,Xero!$B:$B,Heron!BD$9,Xero!$A:$A,Heron!$A$5,Xero!$E:$E,Heron!$A88)</f>
        <v/>
      </c>
      <c r="BE88" s="66">
        <f>SUMIFS(Xero!$F:$F,Xero!$B:$B,Heron!BE$9,Xero!$A:$A,Heron!$A$4,Xero!$E:$E,Heron!$A88)+SUMIFS(Xero!$F:$F,Xero!$B:$B,Heron!BE$9,Xero!$A:$A,Heron!$A$5,Xero!$E:$E,Heron!$A88)</f>
        <v/>
      </c>
      <c r="BF88" s="66">
        <f>SUMIFS(Xero!$F:$F,Xero!$B:$B,Heron!BF$9,Xero!$A:$A,Heron!$A$4,Xero!$E:$E,Heron!$A88)+SUMIFS(Xero!$F:$F,Xero!$B:$B,Heron!BF$9,Xero!$A:$A,Heron!$A$5,Xero!$E:$E,Heron!$A88)</f>
        <v/>
      </c>
      <c r="BG88" s="66">
        <f>SUMIFS(Xero!$F:$F,Xero!$B:$B,Heron!BG$9,Xero!$A:$A,Heron!$A$4,Xero!$E:$E,Heron!$A88)+SUMIFS(Xero!$F:$F,Xero!$B:$B,Heron!BG$9,Xero!$A:$A,Heron!$A$5,Xero!$E:$E,Heron!$A88)</f>
        <v/>
      </c>
      <c r="BH88" s="66">
        <f>sum(D88:BG88)</f>
        <v/>
      </c>
    </row>
    <row r="89">
      <c r="A89" s="65" t="inlineStr">
        <is>
          <t>Motor Vehicle Expenses</t>
        </is>
      </c>
      <c r="D89" s="66">
        <f>SUMIFS(Xero!$F:$F,Xero!$B:$B,Heron!D$9,Xero!$A:$A,Heron!$A$4,Xero!$E:$E,Heron!$A89)+SUMIFS(Xero!$F:$F,Xero!$B:$B,Heron!D$9,Xero!$A:$A,Heron!$A$5,Xero!$E:$E,Heron!$A89)</f>
        <v/>
      </c>
      <c r="E89" s="66">
        <f>SUMIFS(Xero!$F:$F,Xero!$B:$B,Heron!E$9,Xero!$A:$A,Heron!$A$4,Xero!$E:$E,Heron!$A89)+SUMIFS(Xero!$F:$F,Xero!$B:$B,Heron!E$9,Xero!$A:$A,Heron!$A$5,Xero!$E:$E,Heron!$A89)</f>
        <v/>
      </c>
      <c r="F89" s="66">
        <f>SUMIFS(Xero!$F:$F,Xero!$B:$B,Heron!F$9,Xero!$A:$A,Heron!$A$4,Xero!$E:$E,Heron!$A89)+SUMIFS(Xero!$F:$F,Xero!$B:$B,Heron!F$9,Xero!$A:$A,Heron!$A$5,Xero!$E:$E,Heron!$A89)</f>
        <v/>
      </c>
      <c r="G89" s="66">
        <f>SUMIFS(Xero!$F:$F,Xero!$B:$B,Heron!G$9,Xero!$A:$A,Heron!$A$4,Xero!$E:$E,Heron!$A89)+SUMIFS(Xero!$F:$F,Xero!$B:$B,Heron!G$9,Xero!$A:$A,Heron!$A$5,Xero!$E:$E,Heron!$A89)</f>
        <v/>
      </c>
      <c r="H89" s="66">
        <f>SUMIFS(Xero!$F:$F,Xero!$B:$B,Heron!H$9,Xero!$A:$A,Heron!$A$4,Xero!$E:$E,Heron!$A89)+SUMIFS(Xero!$F:$F,Xero!$B:$B,Heron!H$9,Xero!$A:$A,Heron!$A$5,Xero!$E:$E,Heron!$A89)</f>
        <v/>
      </c>
      <c r="I89" s="66">
        <f>SUMIFS(Xero!$F:$F,Xero!$B:$B,Heron!I$9,Xero!$A:$A,Heron!$A$4,Xero!$E:$E,Heron!$A89)+SUMIFS(Xero!$F:$F,Xero!$B:$B,Heron!I$9,Xero!$A:$A,Heron!$A$5,Xero!$E:$E,Heron!$A89)</f>
        <v/>
      </c>
      <c r="J89" s="66">
        <f>SUMIFS(Xero!$F:$F,Xero!$B:$B,Heron!J$9,Xero!$A:$A,Heron!$A$4,Xero!$E:$E,Heron!$A89)+SUMIFS(Xero!$F:$F,Xero!$B:$B,Heron!J$9,Xero!$A:$A,Heron!$A$5,Xero!$E:$E,Heron!$A89)</f>
        <v/>
      </c>
      <c r="K89" s="66">
        <f>SUMIFS(Xero!$F:$F,Xero!$B:$B,Heron!K$9,Xero!$A:$A,Heron!$A$4,Xero!$E:$E,Heron!$A89)+SUMIFS(Xero!$F:$F,Xero!$B:$B,Heron!K$9,Xero!$A:$A,Heron!$A$5,Xero!$E:$E,Heron!$A89)</f>
        <v/>
      </c>
      <c r="L89" s="66">
        <f>SUMIFS(Xero!$F:$F,Xero!$B:$B,Heron!L$9,Xero!$A:$A,Heron!$A$4,Xero!$E:$E,Heron!$A89)+SUMIFS(Xero!$F:$F,Xero!$B:$B,Heron!L$9,Xero!$A:$A,Heron!$A$5,Xero!$E:$E,Heron!$A89)</f>
        <v/>
      </c>
      <c r="M89" s="66">
        <f>SUMIFS(Xero!$F:$F,Xero!$B:$B,Heron!M$9,Xero!$A:$A,Heron!$A$4,Xero!$E:$E,Heron!$A89)+SUMIFS(Xero!$F:$F,Xero!$B:$B,Heron!M$9,Xero!$A:$A,Heron!$A$5,Xero!$E:$E,Heron!$A89)</f>
        <v/>
      </c>
      <c r="N89" s="66">
        <f>SUMIFS(Xero!$F:$F,Xero!$B:$B,Heron!N$9,Xero!$A:$A,Heron!$A$4,Xero!$E:$E,Heron!$A89)+SUMIFS(Xero!$F:$F,Xero!$B:$B,Heron!N$9,Xero!$A:$A,Heron!$A$5,Xero!$E:$E,Heron!$A89)</f>
        <v/>
      </c>
      <c r="O89" s="66">
        <f>SUMIFS(Xero!$F:$F,Xero!$B:$B,Heron!O$9,Xero!$A:$A,Heron!$A$4,Xero!$E:$E,Heron!$A89)+SUMIFS(Xero!$F:$F,Xero!$B:$B,Heron!O$9,Xero!$A:$A,Heron!$A$5,Xero!$E:$E,Heron!$A89)</f>
        <v/>
      </c>
      <c r="P89" s="66">
        <f>SUMIFS(Xero!$F:$F,Xero!$B:$B,Heron!P$9,Xero!$A:$A,Heron!$A$4,Xero!$E:$E,Heron!$A89)+SUMIFS(Xero!$F:$F,Xero!$B:$B,Heron!P$9,Xero!$A:$A,Heron!$A$5,Xero!$E:$E,Heron!$A89)</f>
        <v/>
      </c>
      <c r="Q89" s="66">
        <f>SUMIFS(Xero!$F:$F,Xero!$B:$B,Heron!Q$9,Xero!$A:$A,Heron!$A$4,Xero!$E:$E,Heron!$A89)+SUMIFS(Xero!$F:$F,Xero!$B:$B,Heron!Q$9,Xero!$A:$A,Heron!$A$5,Xero!$E:$E,Heron!$A89)</f>
        <v/>
      </c>
      <c r="R89" s="66">
        <f>SUMIFS(Xero!$F:$F,Xero!$B:$B,Heron!R$9,Xero!$A:$A,Heron!$A$4,Xero!$E:$E,Heron!$A89)+SUMIFS(Xero!$F:$F,Xero!$B:$B,Heron!R$9,Xero!$A:$A,Heron!$A$5,Xero!$E:$E,Heron!$A89)</f>
        <v/>
      </c>
      <c r="S89" s="66">
        <f>SUMIFS(Xero!$F:$F,Xero!$B:$B,Heron!S$9,Xero!$A:$A,Heron!$A$4,Xero!$E:$E,Heron!$A89)+SUMIFS(Xero!$F:$F,Xero!$B:$B,Heron!S$9,Xero!$A:$A,Heron!$A$5,Xero!$E:$E,Heron!$A89)</f>
        <v/>
      </c>
      <c r="T89" s="66">
        <f>SUMIFS(Xero!$F:$F,Xero!$B:$B,Heron!T$9,Xero!$A:$A,Heron!$A$4,Xero!$E:$E,Heron!$A89)+SUMIFS(Xero!$F:$F,Xero!$B:$B,Heron!T$9,Xero!$A:$A,Heron!$A$5,Xero!$E:$E,Heron!$A89)</f>
        <v/>
      </c>
      <c r="U89" s="66">
        <f>SUMIFS(Xero!$F:$F,Xero!$B:$B,Heron!U$9,Xero!$A:$A,Heron!$A$4,Xero!$E:$E,Heron!$A89)+SUMIFS(Xero!$F:$F,Xero!$B:$B,Heron!U$9,Xero!$A:$A,Heron!$A$5,Xero!$E:$E,Heron!$A89)</f>
        <v/>
      </c>
      <c r="V89" s="66">
        <f>SUMIFS(Xero!$F:$F,Xero!$B:$B,Heron!V$9,Xero!$A:$A,Heron!$A$4,Xero!$E:$E,Heron!$A89)+SUMIFS(Xero!$F:$F,Xero!$B:$B,Heron!V$9,Xero!$A:$A,Heron!$A$5,Xero!$E:$E,Heron!$A89)</f>
        <v/>
      </c>
      <c r="W89" s="66">
        <f>SUMIFS(Xero!$F:$F,Xero!$B:$B,Heron!W$9,Xero!$A:$A,Heron!$A$4,Xero!$E:$E,Heron!$A89)+SUMIFS(Xero!$F:$F,Xero!$B:$B,Heron!W$9,Xero!$A:$A,Heron!$A$5,Xero!$E:$E,Heron!$A89)</f>
        <v/>
      </c>
      <c r="X89" s="66">
        <f>SUMIFS(Xero!$F:$F,Xero!$B:$B,Heron!X$9,Xero!$A:$A,Heron!$A$4,Xero!$E:$E,Heron!$A89)+SUMIFS(Xero!$F:$F,Xero!$B:$B,Heron!X$9,Xero!$A:$A,Heron!$A$5,Xero!$E:$E,Heron!$A89)</f>
        <v/>
      </c>
      <c r="Y89" s="66">
        <f>SUMIFS(Xero!$F:$F,Xero!$B:$B,Heron!Y$9,Xero!$A:$A,Heron!$A$4,Xero!$E:$E,Heron!$A89)+SUMIFS(Xero!$F:$F,Xero!$B:$B,Heron!Y$9,Xero!$A:$A,Heron!$A$5,Xero!$E:$E,Heron!$A89)</f>
        <v/>
      </c>
      <c r="Z89" s="66">
        <f>SUMIFS(Xero!$F:$F,Xero!$B:$B,Heron!Z$9,Xero!$A:$A,Heron!$A$4,Xero!$E:$E,Heron!$A89)+SUMIFS(Xero!$F:$F,Xero!$B:$B,Heron!Z$9,Xero!$A:$A,Heron!$A$5,Xero!$E:$E,Heron!$A89)</f>
        <v/>
      </c>
      <c r="AA89" s="66">
        <f>SUMIFS(Xero!$F:$F,Xero!$B:$B,Heron!AA$9,Xero!$A:$A,Heron!$A$4,Xero!$E:$E,Heron!$A89)+SUMIFS(Xero!$F:$F,Xero!$B:$B,Heron!AA$9,Xero!$A:$A,Heron!$A$5,Xero!$E:$E,Heron!$A89)</f>
        <v/>
      </c>
      <c r="AB89" s="66">
        <f>SUMIFS(Xero!$F:$F,Xero!$B:$B,Heron!AB$9,Xero!$A:$A,Heron!$A$4,Xero!$E:$E,Heron!$A89)+SUMIFS(Xero!$F:$F,Xero!$B:$B,Heron!AB$9,Xero!$A:$A,Heron!$A$5,Xero!$E:$E,Heron!$A89)</f>
        <v/>
      </c>
      <c r="AC89" s="66">
        <f>SUMIFS(Xero!$F:$F,Xero!$B:$B,Heron!AC$9,Xero!$A:$A,Heron!$A$4,Xero!$E:$E,Heron!$A89)+SUMIFS(Xero!$F:$F,Xero!$B:$B,Heron!AC$9,Xero!$A:$A,Heron!$A$5,Xero!$E:$E,Heron!$A89)</f>
        <v/>
      </c>
      <c r="AD89" s="66">
        <f>SUMIFS(Xero!$F:$F,Xero!$B:$B,Heron!AD$9,Xero!$A:$A,Heron!$A$4,Xero!$E:$E,Heron!$A89)+SUMIFS(Xero!$F:$F,Xero!$B:$B,Heron!AD$9,Xero!$A:$A,Heron!$A$5,Xero!$E:$E,Heron!$A89)</f>
        <v/>
      </c>
      <c r="AE89" s="66">
        <f>SUMIFS(Xero!$F:$F,Xero!$B:$B,Heron!AE$9,Xero!$A:$A,Heron!$A$4,Xero!$E:$E,Heron!$A89)+SUMIFS(Xero!$F:$F,Xero!$B:$B,Heron!AE$9,Xero!$A:$A,Heron!$A$5,Xero!$E:$E,Heron!$A89)</f>
        <v/>
      </c>
      <c r="AF89" s="66">
        <f>SUMIFS(Xero!$F:$F,Xero!$B:$B,Heron!AF$9,Xero!$A:$A,Heron!$A$4,Xero!$E:$E,Heron!$A89)+SUMIFS(Xero!$F:$F,Xero!$B:$B,Heron!AF$9,Xero!$A:$A,Heron!$A$5,Xero!$E:$E,Heron!$A89)</f>
        <v/>
      </c>
      <c r="AG89" s="66">
        <f>SUMIFS(Xero!$F:$F,Xero!$B:$B,Heron!AG$9,Xero!$A:$A,Heron!$A$4,Xero!$E:$E,Heron!$A89)+SUMIFS(Xero!$F:$F,Xero!$B:$B,Heron!AG$9,Xero!$A:$A,Heron!$A$5,Xero!$E:$E,Heron!$A89)</f>
        <v/>
      </c>
      <c r="AH89" s="66">
        <f>SUMIFS(Xero!$F:$F,Xero!$B:$B,Heron!AH$9,Xero!$A:$A,Heron!$A$4,Xero!$E:$E,Heron!$A89)+SUMIFS(Xero!$F:$F,Xero!$B:$B,Heron!AH$9,Xero!$A:$A,Heron!$A$5,Xero!$E:$E,Heron!$A89)</f>
        <v/>
      </c>
      <c r="AI89" s="66">
        <f>SUMIFS(Xero!$F:$F,Xero!$B:$B,Heron!AI$9,Xero!$A:$A,Heron!$A$4,Xero!$E:$E,Heron!$A89)+SUMIFS(Xero!$F:$F,Xero!$B:$B,Heron!AI$9,Xero!$A:$A,Heron!$A$5,Xero!$E:$E,Heron!$A89)</f>
        <v/>
      </c>
      <c r="AJ89" s="66">
        <f>SUMIFS(Xero!$F:$F,Xero!$B:$B,Heron!AJ$9,Xero!$A:$A,Heron!$A$4,Xero!$E:$E,Heron!$A89)+SUMIFS(Xero!$F:$F,Xero!$B:$B,Heron!AJ$9,Xero!$A:$A,Heron!$A$5,Xero!$E:$E,Heron!$A89)</f>
        <v/>
      </c>
      <c r="AK89" s="66">
        <f>SUMIFS(Xero!$F:$F,Xero!$B:$B,Heron!AK$9,Xero!$A:$A,Heron!$A$4,Xero!$E:$E,Heron!$A89)+SUMIFS(Xero!$F:$F,Xero!$B:$B,Heron!AK$9,Xero!$A:$A,Heron!$A$5,Xero!$E:$E,Heron!$A89)</f>
        <v/>
      </c>
      <c r="AL89" s="66">
        <f>SUMIFS(Xero!$F:$F,Xero!$B:$B,Heron!AL$9,Xero!$A:$A,Heron!$A$4,Xero!$E:$E,Heron!$A89)+SUMIFS(Xero!$F:$F,Xero!$B:$B,Heron!AL$9,Xero!$A:$A,Heron!$A$5,Xero!$E:$E,Heron!$A89)</f>
        <v/>
      </c>
      <c r="AM89" s="66">
        <f>SUMIFS(Xero!$F:$F,Xero!$B:$B,Heron!AM$9,Xero!$A:$A,Heron!$A$4,Xero!$E:$E,Heron!$A89)+SUMIFS(Xero!$F:$F,Xero!$B:$B,Heron!AM$9,Xero!$A:$A,Heron!$A$5,Xero!$E:$E,Heron!$A89)</f>
        <v/>
      </c>
      <c r="AN89" s="66">
        <f>SUMIFS(Xero!$F:$F,Xero!$B:$B,Heron!AN$9,Xero!$A:$A,Heron!$A$4,Xero!$E:$E,Heron!$A89)+SUMIFS(Xero!$F:$F,Xero!$B:$B,Heron!AN$9,Xero!$A:$A,Heron!$A$5,Xero!$E:$E,Heron!$A89)</f>
        <v/>
      </c>
      <c r="AO89" s="66">
        <f>SUMIFS(Xero!$F:$F,Xero!$B:$B,Heron!AO$9,Xero!$A:$A,Heron!$A$4,Xero!$E:$E,Heron!$A89)+SUMIFS(Xero!$F:$F,Xero!$B:$B,Heron!AO$9,Xero!$A:$A,Heron!$A$5,Xero!$E:$E,Heron!$A89)</f>
        <v/>
      </c>
      <c r="AP89" s="66">
        <f>SUMIFS(Xero!$F:$F,Xero!$B:$B,Heron!AP$9,Xero!$A:$A,Heron!$A$4,Xero!$E:$E,Heron!$A89)+SUMIFS(Xero!$F:$F,Xero!$B:$B,Heron!AP$9,Xero!$A:$A,Heron!$A$5,Xero!$E:$E,Heron!$A89)</f>
        <v/>
      </c>
      <c r="AQ89" s="66">
        <f>SUMIFS(Xero!$F:$F,Xero!$B:$B,Heron!AQ$9,Xero!$A:$A,Heron!$A$4,Xero!$E:$E,Heron!$A89)+SUMIFS(Xero!$F:$F,Xero!$B:$B,Heron!AQ$9,Xero!$A:$A,Heron!$A$5,Xero!$E:$E,Heron!$A89)</f>
        <v/>
      </c>
      <c r="AR89" s="66">
        <f>SUMIFS(Xero!$F:$F,Xero!$B:$B,Heron!AR$9,Xero!$A:$A,Heron!$A$4,Xero!$E:$E,Heron!$A89)+SUMIFS(Xero!$F:$F,Xero!$B:$B,Heron!AR$9,Xero!$A:$A,Heron!$A$5,Xero!$E:$E,Heron!$A89)</f>
        <v/>
      </c>
      <c r="AS89" s="66">
        <f>SUMIFS(Xero!$F:$F,Xero!$B:$B,Heron!AS$9,Xero!$A:$A,Heron!$A$4,Xero!$E:$E,Heron!$A89)+SUMIFS(Xero!$F:$F,Xero!$B:$B,Heron!AS$9,Xero!$A:$A,Heron!$A$5,Xero!$E:$E,Heron!$A89)</f>
        <v/>
      </c>
      <c r="AT89" s="66">
        <f>SUMIFS(Xero!$F:$F,Xero!$B:$B,Heron!AT$9,Xero!$A:$A,Heron!$A$4,Xero!$E:$E,Heron!$A89)+SUMIFS(Xero!$F:$F,Xero!$B:$B,Heron!AT$9,Xero!$A:$A,Heron!$A$5,Xero!$E:$E,Heron!$A89)</f>
        <v/>
      </c>
      <c r="AU89" s="66">
        <f>SUMIFS(Xero!$F:$F,Xero!$B:$B,Heron!AU$9,Xero!$A:$A,Heron!$A$4,Xero!$E:$E,Heron!$A89)+SUMIFS(Xero!$F:$F,Xero!$B:$B,Heron!AU$9,Xero!$A:$A,Heron!$A$5,Xero!$E:$E,Heron!$A89)</f>
        <v/>
      </c>
      <c r="AV89" s="66">
        <f>SUMIFS(Xero!$F:$F,Xero!$B:$B,Heron!AV$9,Xero!$A:$A,Heron!$A$4,Xero!$E:$E,Heron!$A89)+SUMIFS(Xero!$F:$F,Xero!$B:$B,Heron!AV$9,Xero!$A:$A,Heron!$A$5,Xero!$E:$E,Heron!$A89)</f>
        <v/>
      </c>
      <c r="AW89" s="66">
        <f>SUMIFS(Xero!$F:$F,Xero!$B:$B,Heron!AW$9,Xero!$A:$A,Heron!$A$4,Xero!$E:$E,Heron!$A89)+SUMIFS(Xero!$F:$F,Xero!$B:$B,Heron!AW$9,Xero!$A:$A,Heron!$A$5,Xero!$E:$E,Heron!$A89)</f>
        <v/>
      </c>
      <c r="AX89" s="66">
        <f>SUMIFS(Xero!$F:$F,Xero!$B:$B,Heron!AX$9,Xero!$A:$A,Heron!$A$4,Xero!$E:$E,Heron!$A89)+SUMIFS(Xero!$F:$F,Xero!$B:$B,Heron!AX$9,Xero!$A:$A,Heron!$A$5,Xero!$E:$E,Heron!$A89)</f>
        <v/>
      </c>
      <c r="AY89" s="66">
        <f>SUMIFS(Xero!$F:$F,Xero!$B:$B,Heron!AY$9,Xero!$A:$A,Heron!$A$4,Xero!$E:$E,Heron!$A89)+SUMIFS(Xero!$F:$F,Xero!$B:$B,Heron!AY$9,Xero!$A:$A,Heron!$A$5,Xero!$E:$E,Heron!$A89)</f>
        <v/>
      </c>
      <c r="AZ89" s="66">
        <f>SUMIFS(Xero!$F:$F,Xero!$B:$B,Heron!AZ$9,Xero!$A:$A,Heron!$A$4,Xero!$E:$E,Heron!$A89)+SUMIFS(Xero!$F:$F,Xero!$B:$B,Heron!AZ$9,Xero!$A:$A,Heron!$A$5,Xero!$E:$E,Heron!$A89)</f>
        <v/>
      </c>
      <c r="BA89" s="66">
        <f>SUMIFS(Xero!$F:$F,Xero!$B:$B,Heron!BA$9,Xero!$A:$A,Heron!$A$4,Xero!$E:$E,Heron!$A89)+SUMIFS(Xero!$F:$F,Xero!$B:$B,Heron!BA$9,Xero!$A:$A,Heron!$A$5,Xero!$E:$E,Heron!$A89)</f>
        <v/>
      </c>
      <c r="BB89" s="66">
        <f>SUMIFS(Xero!$F:$F,Xero!$B:$B,Heron!BB$9,Xero!$A:$A,Heron!$A$4,Xero!$E:$E,Heron!$A89)+SUMIFS(Xero!$F:$F,Xero!$B:$B,Heron!BB$9,Xero!$A:$A,Heron!$A$5,Xero!$E:$E,Heron!$A89)</f>
        <v/>
      </c>
      <c r="BC89" s="66">
        <f>SUMIFS(Xero!$F:$F,Xero!$B:$B,Heron!BC$9,Xero!$A:$A,Heron!$A$4,Xero!$E:$E,Heron!$A89)+SUMIFS(Xero!$F:$F,Xero!$B:$B,Heron!BC$9,Xero!$A:$A,Heron!$A$5,Xero!$E:$E,Heron!$A89)</f>
        <v/>
      </c>
      <c r="BD89" s="66">
        <f>SUMIFS(Xero!$F:$F,Xero!$B:$B,Heron!BD$9,Xero!$A:$A,Heron!$A$4,Xero!$E:$E,Heron!$A89)+SUMIFS(Xero!$F:$F,Xero!$B:$B,Heron!BD$9,Xero!$A:$A,Heron!$A$5,Xero!$E:$E,Heron!$A89)</f>
        <v/>
      </c>
      <c r="BE89" s="66">
        <f>SUMIFS(Xero!$F:$F,Xero!$B:$B,Heron!BE$9,Xero!$A:$A,Heron!$A$4,Xero!$E:$E,Heron!$A89)+SUMIFS(Xero!$F:$F,Xero!$B:$B,Heron!BE$9,Xero!$A:$A,Heron!$A$5,Xero!$E:$E,Heron!$A89)</f>
        <v/>
      </c>
      <c r="BF89" s="66">
        <f>SUMIFS(Xero!$F:$F,Xero!$B:$B,Heron!BF$9,Xero!$A:$A,Heron!$A$4,Xero!$E:$E,Heron!$A89)+SUMIFS(Xero!$F:$F,Xero!$B:$B,Heron!BF$9,Xero!$A:$A,Heron!$A$5,Xero!$E:$E,Heron!$A89)</f>
        <v/>
      </c>
      <c r="BG89" s="66">
        <f>SUMIFS(Xero!$F:$F,Xero!$B:$B,Heron!BG$9,Xero!$A:$A,Heron!$A$4,Xero!$E:$E,Heron!$A89)+SUMIFS(Xero!$F:$F,Xero!$B:$B,Heron!BG$9,Xero!$A:$A,Heron!$A$5,Xero!$E:$E,Heron!$A89)</f>
        <v/>
      </c>
      <c r="BH89" s="66">
        <f>sum(D89:BG89)</f>
        <v/>
      </c>
    </row>
    <row r="90">
      <c r="A90" s="65" t="inlineStr">
        <is>
          <t>Printing _AND_ Stationery</t>
        </is>
      </c>
      <c r="D90" s="66">
        <f>SUMIFS(Xero!$F:$F,Xero!$B:$B,Heron!D$9,Xero!$A:$A,Heron!$A$4,Xero!$E:$E,Heron!$A90)+SUMIFS(Xero!$F:$F,Xero!$B:$B,Heron!D$9,Xero!$A:$A,Heron!$A$5,Xero!$E:$E,Heron!$A90)</f>
        <v/>
      </c>
      <c r="E90" s="66">
        <f>SUMIFS(Xero!$F:$F,Xero!$B:$B,Heron!E$9,Xero!$A:$A,Heron!$A$4,Xero!$E:$E,Heron!$A90)+SUMIFS(Xero!$F:$F,Xero!$B:$B,Heron!E$9,Xero!$A:$A,Heron!$A$5,Xero!$E:$E,Heron!$A90)</f>
        <v/>
      </c>
      <c r="F90" s="66">
        <f>SUMIFS(Xero!$F:$F,Xero!$B:$B,Heron!F$9,Xero!$A:$A,Heron!$A$4,Xero!$E:$E,Heron!$A90)+SUMIFS(Xero!$F:$F,Xero!$B:$B,Heron!F$9,Xero!$A:$A,Heron!$A$5,Xero!$E:$E,Heron!$A90)</f>
        <v/>
      </c>
      <c r="G90" s="66">
        <f>SUMIFS(Xero!$F:$F,Xero!$B:$B,Heron!G$9,Xero!$A:$A,Heron!$A$4,Xero!$E:$E,Heron!$A90)+SUMIFS(Xero!$F:$F,Xero!$B:$B,Heron!G$9,Xero!$A:$A,Heron!$A$5,Xero!$E:$E,Heron!$A90)</f>
        <v/>
      </c>
      <c r="H90" s="66">
        <f>SUMIFS(Xero!$F:$F,Xero!$B:$B,Heron!H$9,Xero!$A:$A,Heron!$A$4,Xero!$E:$E,Heron!$A90)+SUMIFS(Xero!$F:$F,Xero!$B:$B,Heron!H$9,Xero!$A:$A,Heron!$A$5,Xero!$E:$E,Heron!$A90)</f>
        <v/>
      </c>
      <c r="I90" s="66">
        <f>SUMIFS(Xero!$F:$F,Xero!$B:$B,Heron!I$9,Xero!$A:$A,Heron!$A$4,Xero!$E:$E,Heron!$A90)+SUMIFS(Xero!$F:$F,Xero!$B:$B,Heron!I$9,Xero!$A:$A,Heron!$A$5,Xero!$E:$E,Heron!$A90)</f>
        <v/>
      </c>
      <c r="J90" s="66">
        <f>SUMIFS(Xero!$F:$F,Xero!$B:$B,Heron!J$9,Xero!$A:$A,Heron!$A$4,Xero!$E:$E,Heron!$A90)+SUMIFS(Xero!$F:$F,Xero!$B:$B,Heron!J$9,Xero!$A:$A,Heron!$A$5,Xero!$E:$E,Heron!$A90)</f>
        <v/>
      </c>
      <c r="K90" s="66">
        <f>SUMIFS(Xero!$F:$F,Xero!$B:$B,Heron!K$9,Xero!$A:$A,Heron!$A$4,Xero!$E:$E,Heron!$A90)+SUMIFS(Xero!$F:$F,Xero!$B:$B,Heron!K$9,Xero!$A:$A,Heron!$A$5,Xero!$E:$E,Heron!$A90)</f>
        <v/>
      </c>
      <c r="L90" s="66">
        <f>SUMIFS(Xero!$F:$F,Xero!$B:$B,Heron!L$9,Xero!$A:$A,Heron!$A$4,Xero!$E:$E,Heron!$A90)+SUMIFS(Xero!$F:$F,Xero!$B:$B,Heron!L$9,Xero!$A:$A,Heron!$A$5,Xero!$E:$E,Heron!$A90)</f>
        <v/>
      </c>
      <c r="M90" s="66">
        <f>SUMIFS(Xero!$F:$F,Xero!$B:$B,Heron!M$9,Xero!$A:$A,Heron!$A$4,Xero!$E:$E,Heron!$A90)+SUMIFS(Xero!$F:$F,Xero!$B:$B,Heron!M$9,Xero!$A:$A,Heron!$A$5,Xero!$E:$E,Heron!$A90)</f>
        <v/>
      </c>
      <c r="N90" s="66">
        <f>SUMIFS(Xero!$F:$F,Xero!$B:$B,Heron!N$9,Xero!$A:$A,Heron!$A$4,Xero!$E:$E,Heron!$A90)+SUMIFS(Xero!$F:$F,Xero!$B:$B,Heron!N$9,Xero!$A:$A,Heron!$A$5,Xero!$E:$E,Heron!$A90)</f>
        <v/>
      </c>
      <c r="O90" s="66">
        <f>SUMIFS(Xero!$F:$F,Xero!$B:$B,Heron!O$9,Xero!$A:$A,Heron!$A$4,Xero!$E:$E,Heron!$A90)+SUMIFS(Xero!$F:$F,Xero!$B:$B,Heron!O$9,Xero!$A:$A,Heron!$A$5,Xero!$E:$E,Heron!$A90)</f>
        <v/>
      </c>
      <c r="P90" s="66">
        <f>SUMIFS(Xero!$F:$F,Xero!$B:$B,Heron!P$9,Xero!$A:$A,Heron!$A$4,Xero!$E:$E,Heron!$A90)+SUMIFS(Xero!$F:$F,Xero!$B:$B,Heron!P$9,Xero!$A:$A,Heron!$A$5,Xero!$E:$E,Heron!$A90)</f>
        <v/>
      </c>
      <c r="Q90" s="66">
        <f>SUMIFS(Xero!$F:$F,Xero!$B:$B,Heron!Q$9,Xero!$A:$A,Heron!$A$4,Xero!$E:$E,Heron!$A90)+SUMIFS(Xero!$F:$F,Xero!$B:$B,Heron!Q$9,Xero!$A:$A,Heron!$A$5,Xero!$E:$E,Heron!$A90)</f>
        <v/>
      </c>
      <c r="R90" s="66">
        <f>SUMIFS(Xero!$F:$F,Xero!$B:$B,Heron!R$9,Xero!$A:$A,Heron!$A$4,Xero!$E:$E,Heron!$A90)+SUMIFS(Xero!$F:$F,Xero!$B:$B,Heron!R$9,Xero!$A:$A,Heron!$A$5,Xero!$E:$E,Heron!$A90)</f>
        <v/>
      </c>
      <c r="S90" s="66">
        <f>SUMIFS(Xero!$F:$F,Xero!$B:$B,Heron!S$9,Xero!$A:$A,Heron!$A$4,Xero!$E:$E,Heron!$A90)+SUMIFS(Xero!$F:$F,Xero!$B:$B,Heron!S$9,Xero!$A:$A,Heron!$A$5,Xero!$E:$E,Heron!$A90)</f>
        <v/>
      </c>
      <c r="T90" s="66">
        <f>SUMIFS(Xero!$F:$F,Xero!$B:$B,Heron!T$9,Xero!$A:$A,Heron!$A$4,Xero!$E:$E,Heron!$A90)+SUMIFS(Xero!$F:$F,Xero!$B:$B,Heron!T$9,Xero!$A:$A,Heron!$A$5,Xero!$E:$E,Heron!$A90)</f>
        <v/>
      </c>
      <c r="U90" s="66">
        <f>SUMIFS(Xero!$F:$F,Xero!$B:$B,Heron!U$9,Xero!$A:$A,Heron!$A$4,Xero!$E:$E,Heron!$A90)+SUMIFS(Xero!$F:$F,Xero!$B:$B,Heron!U$9,Xero!$A:$A,Heron!$A$5,Xero!$E:$E,Heron!$A90)</f>
        <v/>
      </c>
      <c r="V90" s="66">
        <f>SUMIFS(Xero!$F:$F,Xero!$B:$B,Heron!V$9,Xero!$A:$A,Heron!$A$4,Xero!$E:$E,Heron!$A90)+SUMIFS(Xero!$F:$F,Xero!$B:$B,Heron!V$9,Xero!$A:$A,Heron!$A$5,Xero!$E:$E,Heron!$A90)</f>
        <v/>
      </c>
      <c r="W90" s="66">
        <f>SUMIFS(Xero!$F:$F,Xero!$B:$B,Heron!W$9,Xero!$A:$A,Heron!$A$4,Xero!$E:$E,Heron!$A90)+SUMIFS(Xero!$F:$F,Xero!$B:$B,Heron!W$9,Xero!$A:$A,Heron!$A$5,Xero!$E:$E,Heron!$A90)</f>
        <v/>
      </c>
      <c r="X90" s="66">
        <f>SUMIFS(Xero!$F:$F,Xero!$B:$B,Heron!X$9,Xero!$A:$A,Heron!$A$4,Xero!$E:$E,Heron!$A90)+SUMIFS(Xero!$F:$F,Xero!$B:$B,Heron!X$9,Xero!$A:$A,Heron!$A$5,Xero!$E:$E,Heron!$A90)</f>
        <v/>
      </c>
      <c r="Y90" s="66">
        <f>SUMIFS(Xero!$F:$F,Xero!$B:$B,Heron!Y$9,Xero!$A:$A,Heron!$A$4,Xero!$E:$E,Heron!$A90)+SUMIFS(Xero!$F:$F,Xero!$B:$B,Heron!Y$9,Xero!$A:$A,Heron!$A$5,Xero!$E:$E,Heron!$A90)</f>
        <v/>
      </c>
      <c r="Z90" s="66">
        <f>SUMIFS(Xero!$F:$F,Xero!$B:$B,Heron!Z$9,Xero!$A:$A,Heron!$A$4,Xero!$E:$E,Heron!$A90)+SUMIFS(Xero!$F:$F,Xero!$B:$B,Heron!Z$9,Xero!$A:$A,Heron!$A$5,Xero!$E:$E,Heron!$A90)</f>
        <v/>
      </c>
      <c r="AA90" s="66">
        <f>SUMIFS(Xero!$F:$F,Xero!$B:$B,Heron!AA$9,Xero!$A:$A,Heron!$A$4,Xero!$E:$E,Heron!$A90)+SUMIFS(Xero!$F:$F,Xero!$B:$B,Heron!AA$9,Xero!$A:$A,Heron!$A$5,Xero!$E:$E,Heron!$A90)</f>
        <v/>
      </c>
      <c r="AB90" s="66">
        <f>SUMIFS(Xero!$F:$F,Xero!$B:$B,Heron!AB$9,Xero!$A:$A,Heron!$A$4,Xero!$E:$E,Heron!$A90)+SUMIFS(Xero!$F:$F,Xero!$B:$B,Heron!AB$9,Xero!$A:$A,Heron!$A$5,Xero!$E:$E,Heron!$A90)</f>
        <v/>
      </c>
      <c r="AC90" s="66">
        <f>SUMIFS(Xero!$F:$F,Xero!$B:$B,Heron!AC$9,Xero!$A:$A,Heron!$A$4,Xero!$E:$E,Heron!$A90)+SUMIFS(Xero!$F:$F,Xero!$B:$B,Heron!AC$9,Xero!$A:$A,Heron!$A$5,Xero!$E:$E,Heron!$A90)</f>
        <v/>
      </c>
      <c r="AD90" s="66">
        <f>SUMIFS(Xero!$F:$F,Xero!$B:$B,Heron!AD$9,Xero!$A:$A,Heron!$A$4,Xero!$E:$E,Heron!$A90)+SUMIFS(Xero!$F:$F,Xero!$B:$B,Heron!AD$9,Xero!$A:$A,Heron!$A$5,Xero!$E:$E,Heron!$A90)</f>
        <v/>
      </c>
      <c r="AE90" s="66">
        <f>SUMIFS(Xero!$F:$F,Xero!$B:$B,Heron!AE$9,Xero!$A:$A,Heron!$A$4,Xero!$E:$E,Heron!$A90)+SUMIFS(Xero!$F:$F,Xero!$B:$B,Heron!AE$9,Xero!$A:$A,Heron!$A$5,Xero!$E:$E,Heron!$A90)</f>
        <v/>
      </c>
      <c r="AF90" s="66">
        <f>SUMIFS(Xero!$F:$F,Xero!$B:$B,Heron!AF$9,Xero!$A:$A,Heron!$A$4,Xero!$E:$E,Heron!$A90)+SUMIFS(Xero!$F:$F,Xero!$B:$B,Heron!AF$9,Xero!$A:$A,Heron!$A$5,Xero!$E:$E,Heron!$A90)</f>
        <v/>
      </c>
      <c r="AG90" s="66">
        <f>SUMIFS(Xero!$F:$F,Xero!$B:$B,Heron!AG$9,Xero!$A:$A,Heron!$A$4,Xero!$E:$E,Heron!$A90)+SUMIFS(Xero!$F:$F,Xero!$B:$B,Heron!AG$9,Xero!$A:$A,Heron!$A$5,Xero!$E:$E,Heron!$A90)</f>
        <v/>
      </c>
      <c r="AH90" s="66">
        <f>SUMIFS(Xero!$F:$F,Xero!$B:$B,Heron!AH$9,Xero!$A:$A,Heron!$A$4,Xero!$E:$E,Heron!$A90)+SUMIFS(Xero!$F:$F,Xero!$B:$B,Heron!AH$9,Xero!$A:$A,Heron!$A$5,Xero!$E:$E,Heron!$A90)</f>
        <v/>
      </c>
      <c r="AI90" s="66">
        <f>SUMIFS(Xero!$F:$F,Xero!$B:$B,Heron!AI$9,Xero!$A:$A,Heron!$A$4,Xero!$E:$E,Heron!$A90)+SUMIFS(Xero!$F:$F,Xero!$B:$B,Heron!AI$9,Xero!$A:$A,Heron!$A$5,Xero!$E:$E,Heron!$A90)</f>
        <v/>
      </c>
      <c r="AJ90" s="66">
        <f>SUMIFS(Xero!$F:$F,Xero!$B:$B,Heron!AJ$9,Xero!$A:$A,Heron!$A$4,Xero!$E:$E,Heron!$A90)+SUMIFS(Xero!$F:$F,Xero!$B:$B,Heron!AJ$9,Xero!$A:$A,Heron!$A$5,Xero!$E:$E,Heron!$A90)</f>
        <v/>
      </c>
      <c r="AK90" s="66">
        <f>SUMIFS(Xero!$F:$F,Xero!$B:$B,Heron!AK$9,Xero!$A:$A,Heron!$A$4,Xero!$E:$E,Heron!$A90)+SUMIFS(Xero!$F:$F,Xero!$B:$B,Heron!AK$9,Xero!$A:$A,Heron!$A$5,Xero!$E:$E,Heron!$A90)</f>
        <v/>
      </c>
      <c r="AL90" s="66">
        <f>SUMIFS(Xero!$F:$F,Xero!$B:$B,Heron!AL$9,Xero!$A:$A,Heron!$A$4,Xero!$E:$E,Heron!$A90)+SUMIFS(Xero!$F:$F,Xero!$B:$B,Heron!AL$9,Xero!$A:$A,Heron!$A$5,Xero!$E:$E,Heron!$A90)</f>
        <v/>
      </c>
      <c r="AM90" s="66">
        <f>SUMIFS(Xero!$F:$F,Xero!$B:$B,Heron!AM$9,Xero!$A:$A,Heron!$A$4,Xero!$E:$E,Heron!$A90)+SUMIFS(Xero!$F:$F,Xero!$B:$B,Heron!AM$9,Xero!$A:$A,Heron!$A$5,Xero!$E:$E,Heron!$A90)</f>
        <v/>
      </c>
      <c r="AN90" s="66">
        <f>SUMIFS(Xero!$F:$F,Xero!$B:$B,Heron!AN$9,Xero!$A:$A,Heron!$A$4,Xero!$E:$E,Heron!$A90)+SUMIFS(Xero!$F:$F,Xero!$B:$B,Heron!AN$9,Xero!$A:$A,Heron!$A$5,Xero!$E:$E,Heron!$A90)</f>
        <v/>
      </c>
      <c r="AO90" s="66">
        <f>SUMIFS(Xero!$F:$F,Xero!$B:$B,Heron!AO$9,Xero!$A:$A,Heron!$A$4,Xero!$E:$E,Heron!$A90)+SUMIFS(Xero!$F:$F,Xero!$B:$B,Heron!AO$9,Xero!$A:$A,Heron!$A$5,Xero!$E:$E,Heron!$A90)</f>
        <v/>
      </c>
      <c r="AP90" s="66">
        <f>SUMIFS(Xero!$F:$F,Xero!$B:$B,Heron!AP$9,Xero!$A:$A,Heron!$A$4,Xero!$E:$E,Heron!$A90)+SUMIFS(Xero!$F:$F,Xero!$B:$B,Heron!AP$9,Xero!$A:$A,Heron!$A$5,Xero!$E:$E,Heron!$A90)</f>
        <v/>
      </c>
      <c r="AQ90" s="66">
        <f>SUMIFS(Xero!$F:$F,Xero!$B:$B,Heron!AQ$9,Xero!$A:$A,Heron!$A$4,Xero!$E:$E,Heron!$A90)+SUMIFS(Xero!$F:$F,Xero!$B:$B,Heron!AQ$9,Xero!$A:$A,Heron!$A$5,Xero!$E:$E,Heron!$A90)</f>
        <v/>
      </c>
      <c r="AR90" s="66">
        <f>SUMIFS(Xero!$F:$F,Xero!$B:$B,Heron!AR$9,Xero!$A:$A,Heron!$A$4,Xero!$E:$E,Heron!$A90)+SUMIFS(Xero!$F:$F,Xero!$B:$B,Heron!AR$9,Xero!$A:$A,Heron!$A$5,Xero!$E:$E,Heron!$A90)</f>
        <v/>
      </c>
      <c r="AS90" s="66">
        <f>SUMIFS(Xero!$F:$F,Xero!$B:$B,Heron!AS$9,Xero!$A:$A,Heron!$A$4,Xero!$E:$E,Heron!$A90)+SUMIFS(Xero!$F:$F,Xero!$B:$B,Heron!AS$9,Xero!$A:$A,Heron!$A$5,Xero!$E:$E,Heron!$A90)</f>
        <v/>
      </c>
      <c r="AT90" s="66">
        <f>SUMIFS(Xero!$F:$F,Xero!$B:$B,Heron!AT$9,Xero!$A:$A,Heron!$A$4,Xero!$E:$E,Heron!$A90)+SUMIFS(Xero!$F:$F,Xero!$B:$B,Heron!AT$9,Xero!$A:$A,Heron!$A$5,Xero!$E:$E,Heron!$A90)</f>
        <v/>
      </c>
      <c r="AU90" s="66">
        <f>SUMIFS(Xero!$F:$F,Xero!$B:$B,Heron!AU$9,Xero!$A:$A,Heron!$A$4,Xero!$E:$E,Heron!$A90)+SUMIFS(Xero!$F:$F,Xero!$B:$B,Heron!AU$9,Xero!$A:$A,Heron!$A$5,Xero!$E:$E,Heron!$A90)</f>
        <v/>
      </c>
      <c r="AV90" s="66">
        <f>SUMIFS(Xero!$F:$F,Xero!$B:$B,Heron!AV$9,Xero!$A:$A,Heron!$A$4,Xero!$E:$E,Heron!$A90)+SUMIFS(Xero!$F:$F,Xero!$B:$B,Heron!AV$9,Xero!$A:$A,Heron!$A$5,Xero!$E:$E,Heron!$A90)</f>
        <v/>
      </c>
      <c r="AW90" s="66">
        <f>SUMIFS(Xero!$F:$F,Xero!$B:$B,Heron!AW$9,Xero!$A:$A,Heron!$A$4,Xero!$E:$E,Heron!$A90)+SUMIFS(Xero!$F:$F,Xero!$B:$B,Heron!AW$9,Xero!$A:$A,Heron!$A$5,Xero!$E:$E,Heron!$A90)</f>
        <v/>
      </c>
      <c r="AX90" s="66">
        <f>SUMIFS(Xero!$F:$F,Xero!$B:$B,Heron!AX$9,Xero!$A:$A,Heron!$A$4,Xero!$E:$E,Heron!$A90)+SUMIFS(Xero!$F:$F,Xero!$B:$B,Heron!AX$9,Xero!$A:$A,Heron!$A$5,Xero!$E:$E,Heron!$A90)</f>
        <v/>
      </c>
      <c r="AY90" s="66">
        <f>SUMIFS(Xero!$F:$F,Xero!$B:$B,Heron!AY$9,Xero!$A:$A,Heron!$A$4,Xero!$E:$E,Heron!$A90)+SUMIFS(Xero!$F:$F,Xero!$B:$B,Heron!AY$9,Xero!$A:$A,Heron!$A$5,Xero!$E:$E,Heron!$A90)</f>
        <v/>
      </c>
      <c r="AZ90" s="66">
        <f>SUMIFS(Xero!$F:$F,Xero!$B:$B,Heron!AZ$9,Xero!$A:$A,Heron!$A$4,Xero!$E:$E,Heron!$A90)+SUMIFS(Xero!$F:$F,Xero!$B:$B,Heron!AZ$9,Xero!$A:$A,Heron!$A$5,Xero!$E:$E,Heron!$A90)</f>
        <v/>
      </c>
      <c r="BA90" s="66">
        <f>SUMIFS(Xero!$F:$F,Xero!$B:$B,Heron!BA$9,Xero!$A:$A,Heron!$A$4,Xero!$E:$E,Heron!$A90)+SUMIFS(Xero!$F:$F,Xero!$B:$B,Heron!BA$9,Xero!$A:$A,Heron!$A$5,Xero!$E:$E,Heron!$A90)</f>
        <v/>
      </c>
      <c r="BB90" s="66">
        <f>SUMIFS(Xero!$F:$F,Xero!$B:$B,Heron!BB$9,Xero!$A:$A,Heron!$A$4,Xero!$E:$E,Heron!$A90)+SUMIFS(Xero!$F:$F,Xero!$B:$B,Heron!BB$9,Xero!$A:$A,Heron!$A$5,Xero!$E:$E,Heron!$A90)</f>
        <v/>
      </c>
      <c r="BC90" s="66">
        <f>SUMIFS(Xero!$F:$F,Xero!$B:$B,Heron!BC$9,Xero!$A:$A,Heron!$A$4,Xero!$E:$E,Heron!$A90)+SUMIFS(Xero!$F:$F,Xero!$B:$B,Heron!BC$9,Xero!$A:$A,Heron!$A$5,Xero!$E:$E,Heron!$A90)</f>
        <v/>
      </c>
      <c r="BD90" s="66">
        <f>SUMIFS(Xero!$F:$F,Xero!$B:$B,Heron!BD$9,Xero!$A:$A,Heron!$A$4,Xero!$E:$E,Heron!$A90)+SUMIFS(Xero!$F:$F,Xero!$B:$B,Heron!BD$9,Xero!$A:$A,Heron!$A$5,Xero!$E:$E,Heron!$A90)</f>
        <v/>
      </c>
      <c r="BE90" s="66">
        <f>SUMIFS(Xero!$F:$F,Xero!$B:$B,Heron!BE$9,Xero!$A:$A,Heron!$A$4,Xero!$E:$E,Heron!$A90)+SUMIFS(Xero!$F:$F,Xero!$B:$B,Heron!BE$9,Xero!$A:$A,Heron!$A$5,Xero!$E:$E,Heron!$A90)</f>
        <v/>
      </c>
      <c r="BF90" s="66">
        <f>SUMIFS(Xero!$F:$F,Xero!$B:$B,Heron!BF$9,Xero!$A:$A,Heron!$A$4,Xero!$E:$E,Heron!$A90)+SUMIFS(Xero!$F:$F,Xero!$B:$B,Heron!BF$9,Xero!$A:$A,Heron!$A$5,Xero!$E:$E,Heron!$A90)</f>
        <v/>
      </c>
      <c r="BG90" s="66">
        <f>SUMIFS(Xero!$F:$F,Xero!$B:$B,Heron!BG$9,Xero!$A:$A,Heron!$A$4,Xero!$E:$E,Heron!$A90)+SUMIFS(Xero!$F:$F,Xero!$B:$B,Heron!BG$9,Xero!$A:$A,Heron!$A$5,Xero!$E:$E,Heron!$A90)</f>
        <v/>
      </c>
      <c r="BH90" s="66">
        <f>sum(D90:BG90)</f>
        <v/>
      </c>
    </row>
    <row r="91">
      <c r="A91" s="65" t="inlineStr">
        <is>
          <t>Rates - Heron</t>
        </is>
      </c>
      <c r="D91" s="66">
        <f>SUMIFS(Xero!$F:$F,Xero!$B:$B,Heron!D$9,Xero!$A:$A,Heron!$A$4,Xero!$E:$E,Heron!$A91)+SUMIFS(Xero!$F:$F,Xero!$B:$B,Heron!D$9,Xero!$A:$A,Heron!$A$5,Xero!$E:$E,Heron!$A91)</f>
        <v/>
      </c>
      <c r="E91" s="66">
        <f>SUMIFS(Xero!$F:$F,Xero!$B:$B,Heron!E$9,Xero!$A:$A,Heron!$A$4,Xero!$E:$E,Heron!$A91)+SUMIFS(Xero!$F:$F,Xero!$B:$B,Heron!E$9,Xero!$A:$A,Heron!$A$5,Xero!$E:$E,Heron!$A91)</f>
        <v/>
      </c>
      <c r="F91" s="66">
        <f>SUMIFS(Xero!$F:$F,Xero!$B:$B,Heron!F$9,Xero!$A:$A,Heron!$A$4,Xero!$E:$E,Heron!$A91)+SUMIFS(Xero!$F:$F,Xero!$B:$B,Heron!F$9,Xero!$A:$A,Heron!$A$5,Xero!$E:$E,Heron!$A91)</f>
        <v/>
      </c>
      <c r="G91" s="66">
        <f>SUMIFS(Xero!$F:$F,Xero!$B:$B,Heron!G$9,Xero!$A:$A,Heron!$A$4,Xero!$E:$E,Heron!$A91)+SUMIFS(Xero!$F:$F,Xero!$B:$B,Heron!G$9,Xero!$A:$A,Heron!$A$5,Xero!$E:$E,Heron!$A91)</f>
        <v/>
      </c>
      <c r="H91" s="66">
        <f>SUMIFS(Xero!$F:$F,Xero!$B:$B,Heron!H$9,Xero!$A:$A,Heron!$A$4,Xero!$E:$E,Heron!$A91)+SUMIFS(Xero!$F:$F,Xero!$B:$B,Heron!H$9,Xero!$A:$A,Heron!$A$5,Xero!$E:$E,Heron!$A91)</f>
        <v/>
      </c>
      <c r="I91" s="66">
        <f>SUMIFS(Xero!$F:$F,Xero!$B:$B,Heron!I$9,Xero!$A:$A,Heron!$A$4,Xero!$E:$E,Heron!$A91)+SUMIFS(Xero!$F:$F,Xero!$B:$B,Heron!I$9,Xero!$A:$A,Heron!$A$5,Xero!$E:$E,Heron!$A91)</f>
        <v/>
      </c>
      <c r="J91" s="66">
        <f>SUMIFS(Xero!$F:$F,Xero!$B:$B,Heron!J$9,Xero!$A:$A,Heron!$A$4,Xero!$E:$E,Heron!$A91)+SUMIFS(Xero!$F:$F,Xero!$B:$B,Heron!J$9,Xero!$A:$A,Heron!$A$5,Xero!$E:$E,Heron!$A91)</f>
        <v/>
      </c>
      <c r="K91" s="66">
        <f>SUMIFS(Xero!$F:$F,Xero!$B:$B,Heron!K$9,Xero!$A:$A,Heron!$A$4,Xero!$E:$E,Heron!$A91)+SUMIFS(Xero!$F:$F,Xero!$B:$B,Heron!K$9,Xero!$A:$A,Heron!$A$5,Xero!$E:$E,Heron!$A91)</f>
        <v/>
      </c>
      <c r="L91" s="66">
        <f>SUMIFS(Xero!$F:$F,Xero!$B:$B,Heron!L$9,Xero!$A:$A,Heron!$A$4,Xero!$E:$E,Heron!$A91)+SUMIFS(Xero!$F:$F,Xero!$B:$B,Heron!L$9,Xero!$A:$A,Heron!$A$5,Xero!$E:$E,Heron!$A91)</f>
        <v/>
      </c>
      <c r="M91" s="66">
        <f>SUMIFS(Xero!$F:$F,Xero!$B:$B,Heron!M$9,Xero!$A:$A,Heron!$A$4,Xero!$E:$E,Heron!$A91)+SUMIFS(Xero!$F:$F,Xero!$B:$B,Heron!M$9,Xero!$A:$A,Heron!$A$5,Xero!$E:$E,Heron!$A91)</f>
        <v/>
      </c>
      <c r="N91" s="66">
        <f>SUMIFS(Xero!$F:$F,Xero!$B:$B,Heron!N$9,Xero!$A:$A,Heron!$A$4,Xero!$E:$E,Heron!$A91)+SUMIFS(Xero!$F:$F,Xero!$B:$B,Heron!N$9,Xero!$A:$A,Heron!$A$5,Xero!$E:$E,Heron!$A91)</f>
        <v/>
      </c>
      <c r="O91" s="66">
        <f>SUMIFS(Xero!$F:$F,Xero!$B:$B,Heron!O$9,Xero!$A:$A,Heron!$A$4,Xero!$E:$E,Heron!$A91)+SUMIFS(Xero!$F:$F,Xero!$B:$B,Heron!O$9,Xero!$A:$A,Heron!$A$5,Xero!$E:$E,Heron!$A91)</f>
        <v/>
      </c>
      <c r="P91" s="66">
        <f>SUMIFS(Xero!$F:$F,Xero!$B:$B,Heron!P$9,Xero!$A:$A,Heron!$A$4,Xero!$E:$E,Heron!$A91)+SUMIFS(Xero!$F:$F,Xero!$B:$B,Heron!P$9,Xero!$A:$A,Heron!$A$5,Xero!$E:$E,Heron!$A91)</f>
        <v/>
      </c>
      <c r="Q91" s="66">
        <f>SUMIFS(Xero!$F:$F,Xero!$B:$B,Heron!Q$9,Xero!$A:$A,Heron!$A$4,Xero!$E:$E,Heron!$A91)+SUMIFS(Xero!$F:$F,Xero!$B:$B,Heron!Q$9,Xero!$A:$A,Heron!$A$5,Xero!$E:$E,Heron!$A91)</f>
        <v/>
      </c>
      <c r="R91" s="66">
        <f>SUMIFS(Xero!$F:$F,Xero!$B:$B,Heron!R$9,Xero!$A:$A,Heron!$A$4,Xero!$E:$E,Heron!$A91)+SUMIFS(Xero!$F:$F,Xero!$B:$B,Heron!R$9,Xero!$A:$A,Heron!$A$5,Xero!$E:$E,Heron!$A91)</f>
        <v/>
      </c>
      <c r="S91" s="66">
        <f>SUMIFS(Xero!$F:$F,Xero!$B:$B,Heron!S$9,Xero!$A:$A,Heron!$A$4,Xero!$E:$E,Heron!$A91)+SUMIFS(Xero!$F:$F,Xero!$B:$B,Heron!S$9,Xero!$A:$A,Heron!$A$5,Xero!$E:$E,Heron!$A91)</f>
        <v/>
      </c>
      <c r="T91" s="66">
        <f>SUMIFS(Xero!$F:$F,Xero!$B:$B,Heron!T$9,Xero!$A:$A,Heron!$A$4,Xero!$E:$E,Heron!$A91)+SUMIFS(Xero!$F:$F,Xero!$B:$B,Heron!T$9,Xero!$A:$A,Heron!$A$5,Xero!$E:$E,Heron!$A91)</f>
        <v/>
      </c>
      <c r="U91" s="66">
        <f>SUMIFS(Xero!$F:$F,Xero!$B:$B,Heron!U$9,Xero!$A:$A,Heron!$A$4,Xero!$E:$E,Heron!$A91)+SUMIFS(Xero!$F:$F,Xero!$B:$B,Heron!U$9,Xero!$A:$A,Heron!$A$5,Xero!$E:$E,Heron!$A91)</f>
        <v/>
      </c>
      <c r="V91" s="66">
        <f>SUMIFS(Xero!$F:$F,Xero!$B:$B,Heron!V$9,Xero!$A:$A,Heron!$A$4,Xero!$E:$E,Heron!$A91)+SUMIFS(Xero!$F:$F,Xero!$B:$B,Heron!V$9,Xero!$A:$A,Heron!$A$5,Xero!$E:$E,Heron!$A91)</f>
        <v/>
      </c>
      <c r="W91" s="66">
        <f>SUMIFS(Xero!$F:$F,Xero!$B:$B,Heron!W$9,Xero!$A:$A,Heron!$A$4,Xero!$E:$E,Heron!$A91)+SUMIFS(Xero!$F:$F,Xero!$B:$B,Heron!W$9,Xero!$A:$A,Heron!$A$5,Xero!$E:$E,Heron!$A91)</f>
        <v/>
      </c>
      <c r="X91" s="66">
        <f>SUMIFS(Xero!$F:$F,Xero!$B:$B,Heron!X$9,Xero!$A:$A,Heron!$A$4,Xero!$E:$E,Heron!$A91)+SUMIFS(Xero!$F:$F,Xero!$B:$B,Heron!X$9,Xero!$A:$A,Heron!$A$5,Xero!$E:$E,Heron!$A91)</f>
        <v/>
      </c>
      <c r="Y91" s="66">
        <f>SUMIFS(Xero!$F:$F,Xero!$B:$B,Heron!Y$9,Xero!$A:$A,Heron!$A$4,Xero!$E:$E,Heron!$A91)+SUMIFS(Xero!$F:$F,Xero!$B:$B,Heron!Y$9,Xero!$A:$A,Heron!$A$5,Xero!$E:$E,Heron!$A91)</f>
        <v/>
      </c>
      <c r="Z91" s="66">
        <f>SUMIFS(Xero!$F:$F,Xero!$B:$B,Heron!Z$9,Xero!$A:$A,Heron!$A$4,Xero!$E:$E,Heron!$A91)+SUMIFS(Xero!$F:$F,Xero!$B:$B,Heron!Z$9,Xero!$A:$A,Heron!$A$5,Xero!$E:$E,Heron!$A91)</f>
        <v/>
      </c>
      <c r="AA91" s="66">
        <f>SUMIFS(Xero!$F:$F,Xero!$B:$B,Heron!AA$9,Xero!$A:$A,Heron!$A$4,Xero!$E:$E,Heron!$A91)+SUMIFS(Xero!$F:$F,Xero!$B:$B,Heron!AA$9,Xero!$A:$A,Heron!$A$5,Xero!$E:$E,Heron!$A91)</f>
        <v/>
      </c>
      <c r="AB91" s="66">
        <f>SUMIFS(Xero!$F:$F,Xero!$B:$B,Heron!AB$9,Xero!$A:$A,Heron!$A$4,Xero!$E:$E,Heron!$A91)+SUMIFS(Xero!$F:$F,Xero!$B:$B,Heron!AB$9,Xero!$A:$A,Heron!$A$5,Xero!$E:$E,Heron!$A91)</f>
        <v/>
      </c>
      <c r="AC91" s="66">
        <f>SUMIFS(Xero!$F:$F,Xero!$B:$B,Heron!AC$9,Xero!$A:$A,Heron!$A$4,Xero!$E:$E,Heron!$A91)+SUMIFS(Xero!$F:$F,Xero!$B:$B,Heron!AC$9,Xero!$A:$A,Heron!$A$5,Xero!$E:$E,Heron!$A91)</f>
        <v/>
      </c>
      <c r="AD91" s="66">
        <f>SUMIFS(Xero!$F:$F,Xero!$B:$B,Heron!AD$9,Xero!$A:$A,Heron!$A$4,Xero!$E:$E,Heron!$A91)+SUMIFS(Xero!$F:$F,Xero!$B:$B,Heron!AD$9,Xero!$A:$A,Heron!$A$5,Xero!$E:$E,Heron!$A91)</f>
        <v/>
      </c>
      <c r="AE91" s="66">
        <f>SUMIFS(Xero!$F:$F,Xero!$B:$B,Heron!AE$9,Xero!$A:$A,Heron!$A$4,Xero!$E:$E,Heron!$A91)+SUMIFS(Xero!$F:$F,Xero!$B:$B,Heron!AE$9,Xero!$A:$A,Heron!$A$5,Xero!$E:$E,Heron!$A91)</f>
        <v/>
      </c>
      <c r="AF91" s="66">
        <f>SUMIFS(Xero!$F:$F,Xero!$B:$B,Heron!AF$9,Xero!$A:$A,Heron!$A$4,Xero!$E:$E,Heron!$A91)+SUMIFS(Xero!$F:$F,Xero!$B:$B,Heron!AF$9,Xero!$A:$A,Heron!$A$5,Xero!$E:$E,Heron!$A91)</f>
        <v/>
      </c>
      <c r="AG91" s="66">
        <f>SUMIFS(Xero!$F:$F,Xero!$B:$B,Heron!AG$9,Xero!$A:$A,Heron!$A$4,Xero!$E:$E,Heron!$A91)+SUMIFS(Xero!$F:$F,Xero!$B:$B,Heron!AG$9,Xero!$A:$A,Heron!$A$5,Xero!$E:$E,Heron!$A91)</f>
        <v/>
      </c>
      <c r="AH91" s="66">
        <f>SUMIFS(Xero!$F:$F,Xero!$B:$B,Heron!AH$9,Xero!$A:$A,Heron!$A$4,Xero!$E:$E,Heron!$A91)+SUMIFS(Xero!$F:$F,Xero!$B:$B,Heron!AH$9,Xero!$A:$A,Heron!$A$5,Xero!$E:$E,Heron!$A91)</f>
        <v/>
      </c>
      <c r="AI91" s="66">
        <f>SUMIFS(Xero!$F:$F,Xero!$B:$B,Heron!AI$9,Xero!$A:$A,Heron!$A$4,Xero!$E:$E,Heron!$A91)+SUMIFS(Xero!$F:$F,Xero!$B:$B,Heron!AI$9,Xero!$A:$A,Heron!$A$5,Xero!$E:$E,Heron!$A91)</f>
        <v/>
      </c>
      <c r="AJ91" s="66">
        <f>SUMIFS(Xero!$F:$F,Xero!$B:$B,Heron!AJ$9,Xero!$A:$A,Heron!$A$4,Xero!$E:$E,Heron!$A91)+SUMIFS(Xero!$F:$F,Xero!$B:$B,Heron!AJ$9,Xero!$A:$A,Heron!$A$5,Xero!$E:$E,Heron!$A91)</f>
        <v/>
      </c>
      <c r="AK91" s="66">
        <f>SUMIFS(Xero!$F:$F,Xero!$B:$B,Heron!AK$9,Xero!$A:$A,Heron!$A$4,Xero!$E:$E,Heron!$A91)+SUMIFS(Xero!$F:$F,Xero!$B:$B,Heron!AK$9,Xero!$A:$A,Heron!$A$5,Xero!$E:$E,Heron!$A91)</f>
        <v/>
      </c>
      <c r="AL91" s="66">
        <f>SUMIFS(Xero!$F:$F,Xero!$B:$B,Heron!AL$9,Xero!$A:$A,Heron!$A$4,Xero!$E:$E,Heron!$A91)+SUMIFS(Xero!$F:$F,Xero!$B:$B,Heron!AL$9,Xero!$A:$A,Heron!$A$5,Xero!$E:$E,Heron!$A91)</f>
        <v/>
      </c>
      <c r="AM91" s="66">
        <f>SUMIFS(Xero!$F:$F,Xero!$B:$B,Heron!AM$9,Xero!$A:$A,Heron!$A$4,Xero!$E:$E,Heron!$A91)+SUMIFS(Xero!$F:$F,Xero!$B:$B,Heron!AM$9,Xero!$A:$A,Heron!$A$5,Xero!$E:$E,Heron!$A91)</f>
        <v/>
      </c>
      <c r="AN91" s="66">
        <f>SUMIFS(Xero!$F:$F,Xero!$B:$B,Heron!AN$9,Xero!$A:$A,Heron!$A$4,Xero!$E:$E,Heron!$A91)+SUMIFS(Xero!$F:$F,Xero!$B:$B,Heron!AN$9,Xero!$A:$A,Heron!$A$5,Xero!$E:$E,Heron!$A91)</f>
        <v/>
      </c>
      <c r="AO91" s="66">
        <f>SUMIFS(Xero!$F:$F,Xero!$B:$B,Heron!AO$9,Xero!$A:$A,Heron!$A$4,Xero!$E:$E,Heron!$A91)+SUMIFS(Xero!$F:$F,Xero!$B:$B,Heron!AO$9,Xero!$A:$A,Heron!$A$5,Xero!$E:$E,Heron!$A91)</f>
        <v/>
      </c>
      <c r="AP91" s="66">
        <f>SUMIFS(Xero!$F:$F,Xero!$B:$B,Heron!AP$9,Xero!$A:$A,Heron!$A$4,Xero!$E:$E,Heron!$A91)+SUMIFS(Xero!$F:$F,Xero!$B:$B,Heron!AP$9,Xero!$A:$A,Heron!$A$5,Xero!$E:$E,Heron!$A91)</f>
        <v/>
      </c>
      <c r="AQ91" s="66">
        <f>SUMIFS(Xero!$F:$F,Xero!$B:$B,Heron!AQ$9,Xero!$A:$A,Heron!$A$4,Xero!$E:$E,Heron!$A91)+SUMIFS(Xero!$F:$F,Xero!$B:$B,Heron!AQ$9,Xero!$A:$A,Heron!$A$5,Xero!$E:$E,Heron!$A91)</f>
        <v/>
      </c>
      <c r="AR91" s="66">
        <f>SUMIFS(Xero!$F:$F,Xero!$B:$B,Heron!AR$9,Xero!$A:$A,Heron!$A$4,Xero!$E:$E,Heron!$A91)+SUMIFS(Xero!$F:$F,Xero!$B:$B,Heron!AR$9,Xero!$A:$A,Heron!$A$5,Xero!$E:$E,Heron!$A91)</f>
        <v/>
      </c>
      <c r="AS91" s="66">
        <f>SUMIFS(Xero!$F:$F,Xero!$B:$B,Heron!AS$9,Xero!$A:$A,Heron!$A$4,Xero!$E:$E,Heron!$A91)+SUMIFS(Xero!$F:$F,Xero!$B:$B,Heron!AS$9,Xero!$A:$A,Heron!$A$5,Xero!$E:$E,Heron!$A91)</f>
        <v/>
      </c>
      <c r="AT91" s="66">
        <f>SUMIFS(Xero!$F:$F,Xero!$B:$B,Heron!AT$9,Xero!$A:$A,Heron!$A$4,Xero!$E:$E,Heron!$A91)+SUMIFS(Xero!$F:$F,Xero!$B:$B,Heron!AT$9,Xero!$A:$A,Heron!$A$5,Xero!$E:$E,Heron!$A91)</f>
        <v/>
      </c>
      <c r="AU91" s="66">
        <f>SUMIFS(Xero!$F:$F,Xero!$B:$B,Heron!AU$9,Xero!$A:$A,Heron!$A$4,Xero!$E:$E,Heron!$A91)+SUMIFS(Xero!$F:$F,Xero!$B:$B,Heron!AU$9,Xero!$A:$A,Heron!$A$5,Xero!$E:$E,Heron!$A91)</f>
        <v/>
      </c>
      <c r="AV91" s="66">
        <f>SUMIFS(Xero!$F:$F,Xero!$B:$B,Heron!AV$9,Xero!$A:$A,Heron!$A$4,Xero!$E:$E,Heron!$A91)+SUMIFS(Xero!$F:$F,Xero!$B:$B,Heron!AV$9,Xero!$A:$A,Heron!$A$5,Xero!$E:$E,Heron!$A91)</f>
        <v/>
      </c>
      <c r="AW91" s="66">
        <f>SUMIFS(Xero!$F:$F,Xero!$B:$B,Heron!AW$9,Xero!$A:$A,Heron!$A$4,Xero!$E:$E,Heron!$A91)+SUMIFS(Xero!$F:$F,Xero!$B:$B,Heron!AW$9,Xero!$A:$A,Heron!$A$5,Xero!$E:$E,Heron!$A91)</f>
        <v/>
      </c>
      <c r="AX91" s="66">
        <f>SUMIFS(Xero!$F:$F,Xero!$B:$B,Heron!AX$9,Xero!$A:$A,Heron!$A$4,Xero!$E:$E,Heron!$A91)+SUMIFS(Xero!$F:$F,Xero!$B:$B,Heron!AX$9,Xero!$A:$A,Heron!$A$5,Xero!$E:$E,Heron!$A91)</f>
        <v/>
      </c>
      <c r="AY91" s="66">
        <f>SUMIFS(Xero!$F:$F,Xero!$B:$B,Heron!AY$9,Xero!$A:$A,Heron!$A$4,Xero!$E:$E,Heron!$A91)+SUMIFS(Xero!$F:$F,Xero!$B:$B,Heron!AY$9,Xero!$A:$A,Heron!$A$5,Xero!$E:$E,Heron!$A91)</f>
        <v/>
      </c>
      <c r="AZ91" s="66">
        <f>SUMIFS(Xero!$F:$F,Xero!$B:$B,Heron!AZ$9,Xero!$A:$A,Heron!$A$4,Xero!$E:$E,Heron!$A91)+SUMIFS(Xero!$F:$F,Xero!$B:$B,Heron!AZ$9,Xero!$A:$A,Heron!$A$5,Xero!$E:$E,Heron!$A91)</f>
        <v/>
      </c>
      <c r="BA91" s="66">
        <f>SUMIFS(Xero!$F:$F,Xero!$B:$B,Heron!BA$9,Xero!$A:$A,Heron!$A$4,Xero!$E:$E,Heron!$A91)+SUMIFS(Xero!$F:$F,Xero!$B:$B,Heron!BA$9,Xero!$A:$A,Heron!$A$5,Xero!$E:$E,Heron!$A91)</f>
        <v/>
      </c>
      <c r="BB91" s="66">
        <f>SUMIFS(Xero!$F:$F,Xero!$B:$B,Heron!BB$9,Xero!$A:$A,Heron!$A$4,Xero!$E:$E,Heron!$A91)+SUMIFS(Xero!$F:$F,Xero!$B:$B,Heron!BB$9,Xero!$A:$A,Heron!$A$5,Xero!$E:$E,Heron!$A91)</f>
        <v/>
      </c>
      <c r="BC91" s="66">
        <f>SUMIFS(Xero!$F:$F,Xero!$B:$B,Heron!BC$9,Xero!$A:$A,Heron!$A$4,Xero!$E:$E,Heron!$A91)+SUMIFS(Xero!$F:$F,Xero!$B:$B,Heron!BC$9,Xero!$A:$A,Heron!$A$5,Xero!$E:$E,Heron!$A91)</f>
        <v/>
      </c>
      <c r="BD91" s="66">
        <f>SUMIFS(Xero!$F:$F,Xero!$B:$B,Heron!BD$9,Xero!$A:$A,Heron!$A$4,Xero!$E:$E,Heron!$A91)+SUMIFS(Xero!$F:$F,Xero!$B:$B,Heron!BD$9,Xero!$A:$A,Heron!$A$5,Xero!$E:$E,Heron!$A91)</f>
        <v/>
      </c>
      <c r="BE91" s="66">
        <f>SUMIFS(Xero!$F:$F,Xero!$B:$B,Heron!BE$9,Xero!$A:$A,Heron!$A$4,Xero!$E:$E,Heron!$A91)+SUMIFS(Xero!$F:$F,Xero!$B:$B,Heron!BE$9,Xero!$A:$A,Heron!$A$5,Xero!$E:$E,Heron!$A91)</f>
        <v/>
      </c>
      <c r="BF91" s="66">
        <f>SUMIFS(Xero!$F:$F,Xero!$B:$B,Heron!BF$9,Xero!$A:$A,Heron!$A$4,Xero!$E:$E,Heron!$A91)+SUMIFS(Xero!$F:$F,Xero!$B:$B,Heron!BF$9,Xero!$A:$A,Heron!$A$5,Xero!$E:$E,Heron!$A91)</f>
        <v/>
      </c>
      <c r="BG91" s="66">
        <f>SUMIFS(Xero!$F:$F,Xero!$B:$B,Heron!BG$9,Xero!$A:$A,Heron!$A$4,Xero!$E:$E,Heron!$A91)+SUMIFS(Xero!$F:$F,Xero!$B:$B,Heron!BG$9,Xero!$A:$A,Heron!$A$5,Xero!$E:$E,Heron!$A91)</f>
        <v/>
      </c>
      <c r="BH91" s="66">
        <f>sum(D91:BG91)</f>
        <v/>
      </c>
    </row>
    <row r="92">
      <c r="A92" s="65" t="inlineStr">
        <is>
          <t>Repairs _AND_ Maintenance</t>
        </is>
      </c>
      <c r="D92" s="66">
        <f>SUMIFS(Xero!$F:$F,Xero!$B:$B,Heron!D$9,Xero!$A:$A,Heron!$A$4,Xero!$E:$E,Heron!$A92)+SUMIFS(Xero!$F:$F,Xero!$B:$B,Heron!D$9,Xero!$A:$A,Heron!$A$5,Xero!$E:$E,Heron!$A92)</f>
        <v/>
      </c>
      <c r="E92" s="66">
        <f>SUMIFS(Xero!$F:$F,Xero!$B:$B,Heron!E$9,Xero!$A:$A,Heron!$A$4,Xero!$E:$E,Heron!$A92)+SUMIFS(Xero!$F:$F,Xero!$B:$B,Heron!E$9,Xero!$A:$A,Heron!$A$5,Xero!$E:$E,Heron!$A92)</f>
        <v/>
      </c>
      <c r="F92" s="66">
        <f>SUMIFS(Xero!$F:$F,Xero!$B:$B,Heron!F$9,Xero!$A:$A,Heron!$A$4,Xero!$E:$E,Heron!$A92)+SUMIFS(Xero!$F:$F,Xero!$B:$B,Heron!F$9,Xero!$A:$A,Heron!$A$5,Xero!$E:$E,Heron!$A92)</f>
        <v/>
      </c>
      <c r="G92" s="66">
        <f>SUMIFS(Xero!$F:$F,Xero!$B:$B,Heron!G$9,Xero!$A:$A,Heron!$A$4,Xero!$E:$E,Heron!$A92)+SUMIFS(Xero!$F:$F,Xero!$B:$B,Heron!G$9,Xero!$A:$A,Heron!$A$5,Xero!$E:$E,Heron!$A92)</f>
        <v/>
      </c>
      <c r="H92" s="66">
        <f>SUMIFS(Xero!$F:$F,Xero!$B:$B,Heron!H$9,Xero!$A:$A,Heron!$A$4,Xero!$E:$E,Heron!$A92)+SUMIFS(Xero!$F:$F,Xero!$B:$B,Heron!H$9,Xero!$A:$A,Heron!$A$5,Xero!$E:$E,Heron!$A92)</f>
        <v/>
      </c>
      <c r="I92" s="66">
        <f>SUMIFS(Xero!$F:$F,Xero!$B:$B,Heron!I$9,Xero!$A:$A,Heron!$A$4,Xero!$E:$E,Heron!$A92)+SUMIFS(Xero!$F:$F,Xero!$B:$B,Heron!I$9,Xero!$A:$A,Heron!$A$5,Xero!$E:$E,Heron!$A92)</f>
        <v/>
      </c>
      <c r="J92" s="66">
        <f>SUMIFS(Xero!$F:$F,Xero!$B:$B,Heron!J$9,Xero!$A:$A,Heron!$A$4,Xero!$E:$E,Heron!$A92)+SUMIFS(Xero!$F:$F,Xero!$B:$B,Heron!J$9,Xero!$A:$A,Heron!$A$5,Xero!$E:$E,Heron!$A92)</f>
        <v/>
      </c>
      <c r="K92" s="66">
        <f>SUMIFS(Xero!$F:$F,Xero!$B:$B,Heron!K$9,Xero!$A:$A,Heron!$A$4,Xero!$E:$E,Heron!$A92)+SUMIFS(Xero!$F:$F,Xero!$B:$B,Heron!K$9,Xero!$A:$A,Heron!$A$5,Xero!$E:$E,Heron!$A92)</f>
        <v/>
      </c>
      <c r="L92" s="66">
        <f>SUMIFS(Xero!$F:$F,Xero!$B:$B,Heron!L$9,Xero!$A:$A,Heron!$A$4,Xero!$E:$E,Heron!$A92)+SUMIFS(Xero!$F:$F,Xero!$B:$B,Heron!L$9,Xero!$A:$A,Heron!$A$5,Xero!$E:$E,Heron!$A92)</f>
        <v/>
      </c>
      <c r="M92" s="66">
        <f>SUMIFS(Xero!$F:$F,Xero!$B:$B,Heron!M$9,Xero!$A:$A,Heron!$A$4,Xero!$E:$E,Heron!$A92)+SUMIFS(Xero!$F:$F,Xero!$B:$B,Heron!M$9,Xero!$A:$A,Heron!$A$5,Xero!$E:$E,Heron!$A92)</f>
        <v/>
      </c>
      <c r="N92" s="66">
        <f>SUMIFS(Xero!$F:$F,Xero!$B:$B,Heron!N$9,Xero!$A:$A,Heron!$A$4,Xero!$E:$E,Heron!$A92)+SUMIFS(Xero!$F:$F,Xero!$B:$B,Heron!N$9,Xero!$A:$A,Heron!$A$5,Xero!$E:$E,Heron!$A92)</f>
        <v/>
      </c>
      <c r="O92" s="66">
        <f>SUMIFS(Xero!$F:$F,Xero!$B:$B,Heron!O$9,Xero!$A:$A,Heron!$A$4,Xero!$E:$E,Heron!$A92)+SUMIFS(Xero!$F:$F,Xero!$B:$B,Heron!O$9,Xero!$A:$A,Heron!$A$5,Xero!$E:$E,Heron!$A92)</f>
        <v/>
      </c>
      <c r="P92" s="66">
        <f>SUMIFS(Xero!$F:$F,Xero!$B:$B,Heron!P$9,Xero!$A:$A,Heron!$A$4,Xero!$E:$E,Heron!$A92)+SUMIFS(Xero!$F:$F,Xero!$B:$B,Heron!P$9,Xero!$A:$A,Heron!$A$5,Xero!$E:$E,Heron!$A92)</f>
        <v/>
      </c>
      <c r="Q92" s="66">
        <f>SUMIFS(Xero!$F:$F,Xero!$B:$B,Heron!Q$9,Xero!$A:$A,Heron!$A$4,Xero!$E:$E,Heron!$A92)+SUMIFS(Xero!$F:$F,Xero!$B:$B,Heron!Q$9,Xero!$A:$A,Heron!$A$5,Xero!$E:$E,Heron!$A92)</f>
        <v/>
      </c>
      <c r="R92" s="66">
        <f>SUMIFS(Xero!$F:$F,Xero!$B:$B,Heron!R$9,Xero!$A:$A,Heron!$A$4,Xero!$E:$E,Heron!$A92)+SUMIFS(Xero!$F:$F,Xero!$B:$B,Heron!R$9,Xero!$A:$A,Heron!$A$5,Xero!$E:$E,Heron!$A92)</f>
        <v/>
      </c>
      <c r="S92" s="66">
        <f>SUMIFS(Xero!$F:$F,Xero!$B:$B,Heron!S$9,Xero!$A:$A,Heron!$A$4,Xero!$E:$E,Heron!$A92)+SUMIFS(Xero!$F:$F,Xero!$B:$B,Heron!S$9,Xero!$A:$A,Heron!$A$5,Xero!$E:$E,Heron!$A92)</f>
        <v/>
      </c>
      <c r="T92" s="66">
        <f>SUMIFS(Xero!$F:$F,Xero!$B:$B,Heron!T$9,Xero!$A:$A,Heron!$A$4,Xero!$E:$E,Heron!$A92)+SUMIFS(Xero!$F:$F,Xero!$B:$B,Heron!T$9,Xero!$A:$A,Heron!$A$5,Xero!$E:$E,Heron!$A92)</f>
        <v/>
      </c>
      <c r="U92" s="66">
        <f>SUMIFS(Xero!$F:$F,Xero!$B:$B,Heron!U$9,Xero!$A:$A,Heron!$A$4,Xero!$E:$E,Heron!$A92)+SUMIFS(Xero!$F:$F,Xero!$B:$B,Heron!U$9,Xero!$A:$A,Heron!$A$5,Xero!$E:$E,Heron!$A92)</f>
        <v/>
      </c>
      <c r="V92" s="66">
        <f>SUMIFS(Xero!$F:$F,Xero!$B:$B,Heron!V$9,Xero!$A:$A,Heron!$A$4,Xero!$E:$E,Heron!$A92)+SUMIFS(Xero!$F:$F,Xero!$B:$B,Heron!V$9,Xero!$A:$A,Heron!$A$5,Xero!$E:$E,Heron!$A92)</f>
        <v/>
      </c>
      <c r="W92" s="66">
        <f>SUMIFS(Xero!$F:$F,Xero!$B:$B,Heron!W$9,Xero!$A:$A,Heron!$A$4,Xero!$E:$E,Heron!$A92)+SUMIFS(Xero!$F:$F,Xero!$B:$B,Heron!W$9,Xero!$A:$A,Heron!$A$5,Xero!$E:$E,Heron!$A92)</f>
        <v/>
      </c>
      <c r="X92" s="66">
        <f>SUMIFS(Xero!$F:$F,Xero!$B:$B,Heron!X$9,Xero!$A:$A,Heron!$A$4,Xero!$E:$E,Heron!$A92)+SUMIFS(Xero!$F:$F,Xero!$B:$B,Heron!X$9,Xero!$A:$A,Heron!$A$5,Xero!$E:$E,Heron!$A92)</f>
        <v/>
      </c>
      <c r="Y92" s="66">
        <f>SUMIFS(Xero!$F:$F,Xero!$B:$B,Heron!Y$9,Xero!$A:$A,Heron!$A$4,Xero!$E:$E,Heron!$A92)+SUMIFS(Xero!$F:$F,Xero!$B:$B,Heron!Y$9,Xero!$A:$A,Heron!$A$5,Xero!$E:$E,Heron!$A92)</f>
        <v/>
      </c>
      <c r="Z92" s="66">
        <f>SUMIFS(Xero!$F:$F,Xero!$B:$B,Heron!Z$9,Xero!$A:$A,Heron!$A$4,Xero!$E:$E,Heron!$A92)+SUMIFS(Xero!$F:$F,Xero!$B:$B,Heron!Z$9,Xero!$A:$A,Heron!$A$5,Xero!$E:$E,Heron!$A92)</f>
        <v/>
      </c>
      <c r="AA92" s="66">
        <f>SUMIFS(Xero!$F:$F,Xero!$B:$B,Heron!AA$9,Xero!$A:$A,Heron!$A$4,Xero!$E:$E,Heron!$A92)+SUMIFS(Xero!$F:$F,Xero!$B:$B,Heron!AA$9,Xero!$A:$A,Heron!$A$5,Xero!$E:$E,Heron!$A92)</f>
        <v/>
      </c>
      <c r="AB92" s="66">
        <f>SUMIFS(Xero!$F:$F,Xero!$B:$B,Heron!AB$9,Xero!$A:$A,Heron!$A$4,Xero!$E:$E,Heron!$A92)+SUMIFS(Xero!$F:$F,Xero!$B:$B,Heron!AB$9,Xero!$A:$A,Heron!$A$5,Xero!$E:$E,Heron!$A92)</f>
        <v/>
      </c>
      <c r="AC92" s="66">
        <f>SUMIFS(Xero!$F:$F,Xero!$B:$B,Heron!AC$9,Xero!$A:$A,Heron!$A$4,Xero!$E:$E,Heron!$A92)+SUMIFS(Xero!$F:$F,Xero!$B:$B,Heron!AC$9,Xero!$A:$A,Heron!$A$5,Xero!$E:$E,Heron!$A92)</f>
        <v/>
      </c>
      <c r="AD92" s="66">
        <f>SUMIFS(Xero!$F:$F,Xero!$B:$B,Heron!AD$9,Xero!$A:$A,Heron!$A$4,Xero!$E:$E,Heron!$A92)+SUMIFS(Xero!$F:$F,Xero!$B:$B,Heron!AD$9,Xero!$A:$A,Heron!$A$5,Xero!$E:$E,Heron!$A92)</f>
        <v/>
      </c>
      <c r="AE92" s="66">
        <f>SUMIFS(Xero!$F:$F,Xero!$B:$B,Heron!AE$9,Xero!$A:$A,Heron!$A$4,Xero!$E:$E,Heron!$A92)+SUMIFS(Xero!$F:$F,Xero!$B:$B,Heron!AE$9,Xero!$A:$A,Heron!$A$5,Xero!$E:$E,Heron!$A92)</f>
        <v/>
      </c>
      <c r="AF92" s="66">
        <f>SUMIFS(Xero!$F:$F,Xero!$B:$B,Heron!AF$9,Xero!$A:$A,Heron!$A$4,Xero!$E:$E,Heron!$A92)+SUMIFS(Xero!$F:$F,Xero!$B:$B,Heron!AF$9,Xero!$A:$A,Heron!$A$5,Xero!$E:$E,Heron!$A92)</f>
        <v/>
      </c>
      <c r="AG92" s="66">
        <f>SUMIFS(Xero!$F:$F,Xero!$B:$B,Heron!AG$9,Xero!$A:$A,Heron!$A$4,Xero!$E:$E,Heron!$A92)+SUMIFS(Xero!$F:$F,Xero!$B:$B,Heron!AG$9,Xero!$A:$A,Heron!$A$5,Xero!$E:$E,Heron!$A92)</f>
        <v/>
      </c>
      <c r="AH92" s="66">
        <f>SUMIFS(Xero!$F:$F,Xero!$B:$B,Heron!AH$9,Xero!$A:$A,Heron!$A$4,Xero!$E:$E,Heron!$A92)+SUMIFS(Xero!$F:$F,Xero!$B:$B,Heron!AH$9,Xero!$A:$A,Heron!$A$5,Xero!$E:$E,Heron!$A92)</f>
        <v/>
      </c>
      <c r="AI92" s="66">
        <f>SUMIFS(Xero!$F:$F,Xero!$B:$B,Heron!AI$9,Xero!$A:$A,Heron!$A$4,Xero!$E:$E,Heron!$A92)+SUMIFS(Xero!$F:$F,Xero!$B:$B,Heron!AI$9,Xero!$A:$A,Heron!$A$5,Xero!$E:$E,Heron!$A92)</f>
        <v/>
      </c>
      <c r="AJ92" s="66">
        <f>SUMIFS(Xero!$F:$F,Xero!$B:$B,Heron!AJ$9,Xero!$A:$A,Heron!$A$4,Xero!$E:$E,Heron!$A92)+SUMIFS(Xero!$F:$F,Xero!$B:$B,Heron!AJ$9,Xero!$A:$A,Heron!$A$5,Xero!$E:$E,Heron!$A92)</f>
        <v/>
      </c>
      <c r="AK92" s="66">
        <f>SUMIFS(Xero!$F:$F,Xero!$B:$B,Heron!AK$9,Xero!$A:$A,Heron!$A$4,Xero!$E:$E,Heron!$A92)+SUMIFS(Xero!$F:$F,Xero!$B:$B,Heron!AK$9,Xero!$A:$A,Heron!$A$5,Xero!$E:$E,Heron!$A92)</f>
        <v/>
      </c>
      <c r="AL92" s="66">
        <f>SUMIFS(Xero!$F:$F,Xero!$B:$B,Heron!AL$9,Xero!$A:$A,Heron!$A$4,Xero!$E:$E,Heron!$A92)+SUMIFS(Xero!$F:$F,Xero!$B:$B,Heron!AL$9,Xero!$A:$A,Heron!$A$5,Xero!$E:$E,Heron!$A92)</f>
        <v/>
      </c>
      <c r="AM92" s="66">
        <f>SUMIFS(Xero!$F:$F,Xero!$B:$B,Heron!AM$9,Xero!$A:$A,Heron!$A$4,Xero!$E:$E,Heron!$A92)+SUMIFS(Xero!$F:$F,Xero!$B:$B,Heron!AM$9,Xero!$A:$A,Heron!$A$5,Xero!$E:$E,Heron!$A92)</f>
        <v/>
      </c>
      <c r="AN92" s="66">
        <f>SUMIFS(Xero!$F:$F,Xero!$B:$B,Heron!AN$9,Xero!$A:$A,Heron!$A$4,Xero!$E:$E,Heron!$A92)+SUMIFS(Xero!$F:$F,Xero!$B:$B,Heron!AN$9,Xero!$A:$A,Heron!$A$5,Xero!$E:$E,Heron!$A92)</f>
        <v/>
      </c>
      <c r="AO92" s="66">
        <f>SUMIFS(Xero!$F:$F,Xero!$B:$B,Heron!AO$9,Xero!$A:$A,Heron!$A$4,Xero!$E:$E,Heron!$A92)+SUMIFS(Xero!$F:$F,Xero!$B:$B,Heron!AO$9,Xero!$A:$A,Heron!$A$5,Xero!$E:$E,Heron!$A92)</f>
        <v/>
      </c>
      <c r="AP92" s="66">
        <f>SUMIFS(Xero!$F:$F,Xero!$B:$B,Heron!AP$9,Xero!$A:$A,Heron!$A$4,Xero!$E:$E,Heron!$A92)+SUMIFS(Xero!$F:$F,Xero!$B:$B,Heron!AP$9,Xero!$A:$A,Heron!$A$5,Xero!$E:$E,Heron!$A92)</f>
        <v/>
      </c>
      <c r="AQ92" s="66">
        <f>SUMIFS(Xero!$F:$F,Xero!$B:$B,Heron!AQ$9,Xero!$A:$A,Heron!$A$4,Xero!$E:$E,Heron!$A92)+SUMIFS(Xero!$F:$F,Xero!$B:$B,Heron!AQ$9,Xero!$A:$A,Heron!$A$5,Xero!$E:$E,Heron!$A92)</f>
        <v/>
      </c>
      <c r="AR92" s="66">
        <f>SUMIFS(Xero!$F:$F,Xero!$B:$B,Heron!AR$9,Xero!$A:$A,Heron!$A$4,Xero!$E:$E,Heron!$A92)+SUMIFS(Xero!$F:$F,Xero!$B:$B,Heron!AR$9,Xero!$A:$A,Heron!$A$5,Xero!$E:$E,Heron!$A92)</f>
        <v/>
      </c>
      <c r="AS92" s="66">
        <f>SUMIFS(Xero!$F:$F,Xero!$B:$B,Heron!AS$9,Xero!$A:$A,Heron!$A$4,Xero!$E:$E,Heron!$A92)+SUMIFS(Xero!$F:$F,Xero!$B:$B,Heron!AS$9,Xero!$A:$A,Heron!$A$5,Xero!$E:$E,Heron!$A92)</f>
        <v/>
      </c>
      <c r="AT92" s="66">
        <f>SUMIFS(Xero!$F:$F,Xero!$B:$B,Heron!AT$9,Xero!$A:$A,Heron!$A$4,Xero!$E:$E,Heron!$A92)+SUMIFS(Xero!$F:$F,Xero!$B:$B,Heron!AT$9,Xero!$A:$A,Heron!$A$5,Xero!$E:$E,Heron!$A92)</f>
        <v/>
      </c>
      <c r="AU92" s="66">
        <f>SUMIFS(Xero!$F:$F,Xero!$B:$B,Heron!AU$9,Xero!$A:$A,Heron!$A$4,Xero!$E:$E,Heron!$A92)+SUMIFS(Xero!$F:$F,Xero!$B:$B,Heron!AU$9,Xero!$A:$A,Heron!$A$5,Xero!$E:$E,Heron!$A92)</f>
        <v/>
      </c>
      <c r="AV92" s="66">
        <f>SUMIFS(Xero!$F:$F,Xero!$B:$B,Heron!AV$9,Xero!$A:$A,Heron!$A$4,Xero!$E:$E,Heron!$A92)+SUMIFS(Xero!$F:$F,Xero!$B:$B,Heron!AV$9,Xero!$A:$A,Heron!$A$5,Xero!$E:$E,Heron!$A92)</f>
        <v/>
      </c>
      <c r="AW92" s="66">
        <f>SUMIFS(Xero!$F:$F,Xero!$B:$B,Heron!AW$9,Xero!$A:$A,Heron!$A$4,Xero!$E:$E,Heron!$A92)+SUMIFS(Xero!$F:$F,Xero!$B:$B,Heron!AW$9,Xero!$A:$A,Heron!$A$5,Xero!$E:$E,Heron!$A92)</f>
        <v/>
      </c>
      <c r="AX92" s="66">
        <f>SUMIFS(Xero!$F:$F,Xero!$B:$B,Heron!AX$9,Xero!$A:$A,Heron!$A$4,Xero!$E:$E,Heron!$A92)+SUMIFS(Xero!$F:$F,Xero!$B:$B,Heron!AX$9,Xero!$A:$A,Heron!$A$5,Xero!$E:$E,Heron!$A92)</f>
        <v/>
      </c>
      <c r="AY92" s="66">
        <f>SUMIFS(Xero!$F:$F,Xero!$B:$B,Heron!AY$9,Xero!$A:$A,Heron!$A$4,Xero!$E:$E,Heron!$A92)+SUMIFS(Xero!$F:$F,Xero!$B:$B,Heron!AY$9,Xero!$A:$A,Heron!$A$5,Xero!$E:$E,Heron!$A92)</f>
        <v/>
      </c>
      <c r="AZ92" s="66">
        <f>SUMIFS(Xero!$F:$F,Xero!$B:$B,Heron!AZ$9,Xero!$A:$A,Heron!$A$4,Xero!$E:$E,Heron!$A92)+SUMIFS(Xero!$F:$F,Xero!$B:$B,Heron!AZ$9,Xero!$A:$A,Heron!$A$5,Xero!$E:$E,Heron!$A92)</f>
        <v/>
      </c>
      <c r="BA92" s="66">
        <f>SUMIFS(Xero!$F:$F,Xero!$B:$B,Heron!BA$9,Xero!$A:$A,Heron!$A$4,Xero!$E:$E,Heron!$A92)+SUMIFS(Xero!$F:$F,Xero!$B:$B,Heron!BA$9,Xero!$A:$A,Heron!$A$5,Xero!$E:$E,Heron!$A92)</f>
        <v/>
      </c>
      <c r="BB92" s="66">
        <f>SUMIFS(Xero!$F:$F,Xero!$B:$B,Heron!BB$9,Xero!$A:$A,Heron!$A$4,Xero!$E:$E,Heron!$A92)+SUMIFS(Xero!$F:$F,Xero!$B:$B,Heron!BB$9,Xero!$A:$A,Heron!$A$5,Xero!$E:$E,Heron!$A92)</f>
        <v/>
      </c>
      <c r="BC92" s="66">
        <f>SUMIFS(Xero!$F:$F,Xero!$B:$B,Heron!BC$9,Xero!$A:$A,Heron!$A$4,Xero!$E:$E,Heron!$A92)+SUMIFS(Xero!$F:$F,Xero!$B:$B,Heron!BC$9,Xero!$A:$A,Heron!$A$5,Xero!$E:$E,Heron!$A92)</f>
        <v/>
      </c>
      <c r="BD92" s="66">
        <f>SUMIFS(Xero!$F:$F,Xero!$B:$B,Heron!BD$9,Xero!$A:$A,Heron!$A$4,Xero!$E:$E,Heron!$A92)+SUMIFS(Xero!$F:$F,Xero!$B:$B,Heron!BD$9,Xero!$A:$A,Heron!$A$5,Xero!$E:$E,Heron!$A92)</f>
        <v/>
      </c>
      <c r="BE92" s="66">
        <f>SUMIFS(Xero!$F:$F,Xero!$B:$B,Heron!BE$9,Xero!$A:$A,Heron!$A$4,Xero!$E:$E,Heron!$A92)+SUMIFS(Xero!$F:$F,Xero!$B:$B,Heron!BE$9,Xero!$A:$A,Heron!$A$5,Xero!$E:$E,Heron!$A92)</f>
        <v/>
      </c>
      <c r="BF92" s="66">
        <f>SUMIFS(Xero!$F:$F,Xero!$B:$B,Heron!BF$9,Xero!$A:$A,Heron!$A$4,Xero!$E:$E,Heron!$A92)+SUMIFS(Xero!$F:$F,Xero!$B:$B,Heron!BF$9,Xero!$A:$A,Heron!$A$5,Xero!$E:$E,Heron!$A92)</f>
        <v/>
      </c>
      <c r="BG92" s="66">
        <f>SUMIFS(Xero!$F:$F,Xero!$B:$B,Heron!BG$9,Xero!$A:$A,Heron!$A$4,Xero!$E:$E,Heron!$A92)+SUMIFS(Xero!$F:$F,Xero!$B:$B,Heron!BG$9,Xero!$A:$A,Heron!$A$5,Xero!$E:$E,Heron!$A92)</f>
        <v/>
      </c>
      <c r="BH92" s="66">
        <f>sum(D92:BG92)</f>
        <v/>
      </c>
    </row>
    <row r="93">
      <c r="A93" s="65" t="inlineStr">
        <is>
          <t>Secretarial fees</t>
        </is>
      </c>
      <c r="D93" s="66">
        <f>SUMIFS(Xero!$F:$F,Xero!$B:$B,Heron!D$9,Xero!$A:$A,Heron!$A$4,Xero!$E:$E,Heron!$A93)+SUMIFS(Xero!$F:$F,Xero!$B:$B,Heron!D$9,Xero!$A:$A,Heron!$A$5,Xero!$E:$E,Heron!$A93)</f>
        <v/>
      </c>
      <c r="E93" s="66">
        <f>SUMIFS(Xero!$F:$F,Xero!$B:$B,Heron!E$9,Xero!$A:$A,Heron!$A$4,Xero!$E:$E,Heron!$A93)+SUMIFS(Xero!$F:$F,Xero!$B:$B,Heron!E$9,Xero!$A:$A,Heron!$A$5,Xero!$E:$E,Heron!$A93)</f>
        <v/>
      </c>
      <c r="F93" s="66">
        <f>SUMIFS(Xero!$F:$F,Xero!$B:$B,Heron!F$9,Xero!$A:$A,Heron!$A$4,Xero!$E:$E,Heron!$A93)+SUMIFS(Xero!$F:$F,Xero!$B:$B,Heron!F$9,Xero!$A:$A,Heron!$A$5,Xero!$E:$E,Heron!$A93)</f>
        <v/>
      </c>
      <c r="G93" s="66">
        <f>SUMIFS(Xero!$F:$F,Xero!$B:$B,Heron!G$9,Xero!$A:$A,Heron!$A$4,Xero!$E:$E,Heron!$A93)+SUMIFS(Xero!$F:$F,Xero!$B:$B,Heron!G$9,Xero!$A:$A,Heron!$A$5,Xero!$E:$E,Heron!$A93)</f>
        <v/>
      </c>
      <c r="H93" s="66">
        <f>SUMIFS(Xero!$F:$F,Xero!$B:$B,Heron!H$9,Xero!$A:$A,Heron!$A$4,Xero!$E:$E,Heron!$A93)+SUMIFS(Xero!$F:$F,Xero!$B:$B,Heron!H$9,Xero!$A:$A,Heron!$A$5,Xero!$E:$E,Heron!$A93)</f>
        <v/>
      </c>
      <c r="I93" s="66">
        <f>SUMIFS(Xero!$F:$F,Xero!$B:$B,Heron!I$9,Xero!$A:$A,Heron!$A$4,Xero!$E:$E,Heron!$A93)+SUMIFS(Xero!$F:$F,Xero!$B:$B,Heron!I$9,Xero!$A:$A,Heron!$A$5,Xero!$E:$E,Heron!$A93)</f>
        <v/>
      </c>
      <c r="J93" s="66">
        <f>SUMIFS(Xero!$F:$F,Xero!$B:$B,Heron!J$9,Xero!$A:$A,Heron!$A$4,Xero!$E:$E,Heron!$A93)+SUMIFS(Xero!$F:$F,Xero!$B:$B,Heron!J$9,Xero!$A:$A,Heron!$A$5,Xero!$E:$E,Heron!$A93)</f>
        <v/>
      </c>
      <c r="K93" s="66">
        <f>SUMIFS(Xero!$F:$F,Xero!$B:$B,Heron!K$9,Xero!$A:$A,Heron!$A$4,Xero!$E:$E,Heron!$A93)+SUMIFS(Xero!$F:$F,Xero!$B:$B,Heron!K$9,Xero!$A:$A,Heron!$A$5,Xero!$E:$E,Heron!$A93)</f>
        <v/>
      </c>
      <c r="L93" s="66">
        <f>SUMIFS(Xero!$F:$F,Xero!$B:$B,Heron!L$9,Xero!$A:$A,Heron!$A$4,Xero!$E:$E,Heron!$A93)+SUMIFS(Xero!$F:$F,Xero!$B:$B,Heron!L$9,Xero!$A:$A,Heron!$A$5,Xero!$E:$E,Heron!$A93)</f>
        <v/>
      </c>
      <c r="M93" s="66">
        <f>SUMIFS(Xero!$F:$F,Xero!$B:$B,Heron!M$9,Xero!$A:$A,Heron!$A$4,Xero!$E:$E,Heron!$A93)+SUMIFS(Xero!$F:$F,Xero!$B:$B,Heron!M$9,Xero!$A:$A,Heron!$A$5,Xero!$E:$E,Heron!$A93)</f>
        <v/>
      </c>
      <c r="N93" s="66">
        <f>SUMIFS(Xero!$F:$F,Xero!$B:$B,Heron!N$9,Xero!$A:$A,Heron!$A$4,Xero!$E:$E,Heron!$A93)+SUMIFS(Xero!$F:$F,Xero!$B:$B,Heron!N$9,Xero!$A:$A,Heron!$A$5,Xero!$E:$E,Heron!$A93)</f>
        <v/>
      </c>
      <c r="O93" s="66">
        <f>SUMIFS(Xero!$F:$F,Xero!$B:$B,Heron!O$9,Xero!$A:$A,Heron!$A$4,Xero!$E:$E,Heron!$A93)+SUMIFS(Xero!$F:$F,Xero!$B:$B,Heron!O$9,Xero!$A:$A,Heron!$A$5,Xero!$E:$E,Heron!$A93)</f>
        <v/>
      </c>
      <c r="P93" s="66">
        <f>SUMIFS(Xero!$F:$F,Xero!$B:$B,Heron!P$9,Xero!$A:$A,Heron!$A$4,Xero!$E:$E,Heron!$A93)+SUMIFS(Xero!$F:$F,Xero!$B:$B,Heron!P$9,Xero!$A:$A,Heron!$A$5,Xero!$E:$E,Heron!$A93)</f>
        <v/>
      </c>
      <c r="Q93" s="66">
        <f>SUMIFS(Xero!$F:$F,Xero!$B:$B,Heron!Q$9,Xero!$A:$A,Heron!$A$4,Xero!$E:$E,Heron!$A93)+SUMIFS(Xero!$F:$F,Xero!$B:$B,Heron!Q$9,Xero!$A:$A,Heron!$A$5,Xero!$E:$E,Heron!$A93)</f>
        <v/>
      </c>
      <c r="R93" s="66">
        <f>SUMIFS(Xero!$F:$F,Xero!$B:$B,Heron!R$9,Xero!$A:$A,Heron!$A$4,Xero!$E:$E,Heron!$A93)+SUMIFS(Xero!$F:$F,Xero!$B:$B,Heron!R$9,Xero!$A:$A,Heron!$A$5,Xero!$E:$E,Heron!$A93)</f>
        <v/>
      </c>
      <c r="S93" s="66">
        <f>SUMIFS(Xero!$F:$F,Xero!$B:$B,Heron!S$9,Xero!$A:$A,Heron!$A$4,Xero!$E:$E,Heron!$A93)+SUMIFS(Xero!$F:$F,Xero!$B:$B,Heron!S$9,Xero!$A:$A,Heron!$A$5,Xero!$E:$E,Heron!$A93)</f>
        <v/>
      </c>
      <c r="T93" s="66">
        <f>SUMIFS(Xero!$F:$F,Xero!$B:$B,Heron!T$9,Xero!$A:$A,Heron!$A$4,Xero!$E:$E,Heron!$A93)+SUMIFS(Xero!$F:$F,Xero!$B:$B,Heron!T$9,Xero!$A:$A,Heron!$A$5,Xero!$E:$E,Heron!$A93)</f>
        <v/>
      </c>
      <c r="U93" s="66">
        <f>SUMIFS(Xero!$F:$F,Xero!$B:$B,Heron!U$9,Xero!$A:$A,Heron!$A$4,Xero!$E:$E,Heron!$A93)+SUMIFS(Xero!$F:$F,Xero!$B:$B,Heron!U$9,Xero!$A:$A,Heron!$A$5,Xero!$E:$E,Heron!$A93)</f>
        <v/>
      </c>
      <c r="V93" s="66">
        <f>SUMIFS(Xero!$F:$F,Xero!$B:$B,Heron!V$9,Xero!$A:$A,Heron!$A$4,Xero!$E:$E,Heron!$A93)+SUMIFS(Xero!$F:$F,Xero!$B:$B,Heron!V$9,Xero!$A:$A,Heron!$A$5,Xero!$E:$E,Heron!$A93)</f>
        <v/>
      </c>
      <c r="W93" s="66">
        <f>SUMIFS(Xero!$F:$F,Xero!$B:$B,Heron!W$9,Xero!$A:$A,Heron!$A$4,Xero!$E:$E,Heron!$A93)+SUMIFS(Xero!$F:$F,Xero!$B:$B,Heron!W$9,Xero!$A:$A,Heron!$A$5,Xero!$E:$E,Heron!$A93)</f>
        <v/>
      </c>
      <c r="X93" s="66">
        <f>SUMIFS(Xero!$F:$F,Xero!$B:$B,Heron!X$9,Xero!$A:$A,Heron!$A$4,Xero!$E:$E,Heron!$A93)+SUMIFS(Xero!$F:$F,Xero!$B:$B,Heron!X$9,Xero!$A:$A,Heron!$A$5,Xero!$E:$E,Heron!$A93)</f>
        <v/>
      </c>
      <c r="Y93" s="66">
        <f>SUMIFS(Xero!$F:$F,Xero!$B:$B,Heron!Y$9,Xero!$A:$A,Heron!$A$4,Xero!$E:$E,Heron!$A93)+SUMIFS(Xero!$F:$F,Xero!$B:$B,Heron!Y$9,Xero!$A:$A,Heron!$A$5,Xero!$E:$E,Heron!$A93)</f>
        <v/>
      </c>
      <c r="Z93" s="66">
        <f>SUMIFS(Xero!$F:$F,Xero!$B:$B,Heron!Z$9,Xero!$A:$A,Heron!$A$4,Xero!$E:$E,Heron!$A93)+SUMIFS(Xero!$F:$F,Xero!$B:$B,Heron!Z$9,Xero!$A:$A,Heron!$A$5,Xero!$E:$E,Heron!$A93)</f>
        <v/>
      </c>
      <c r="AA93" s="66">
        <f>SUMIFS(Xero!$F:$F,Xero!$B:$B,Heron!AA$9,Xero!$A:$A,Heron!$A$4,Xero!$E:$E,Heron!$A93)+SUMIFS(Xero!$F:$F,Xero!$B:$B,Heron!AA$9,Xero!$A:$A,Heron!$A$5,Xero!$E:$E,Heron!$A93)</f>
        <v/>
      </c>
      <c r="AB93" s="66">
        <f>SUMIFS(Xero!$F:$F,Xero!$B:$B,Heron!AB$9,Xero!$A:$A,Heron!$A$4,Xero!$E:$E,Heron!$A93)+SUMIFS(Xero!$F:$F,Xero!$B:$B,Heron!AB$9,Xero!$A:$A,Heron!$A$5,Xero!$E:$E,Heron!$A93)</f>
        <v/>
      </c>
      <c r="AC93" s="66">
        <f>SUMIFS(Xero!$F:$F,Xero!$B:$B,Heron!AC$9,Xero!$A:$A,Heron!$A$4,Xero!$E:$E,Heron!$A93)+SUMIFS(Xero!$F:$F,Xero!$B:$B,Heron!AC$9,Xero!$A:$A,Heron!$A$5,Xero!$E:$E,Heron!$A93)</f>
        <v/>
      </c>
      <c r="AD93" s="66">
        <f>SUMIFS(Xero!$F:$F,Xero!$B:$B,Heron!AD$9,Xero!$A:$A,Heron!$A$4,Xero!$E:$E,Heron!$A93)+SUMIFS(Xero!$F:$F,Xero!$B:$B,Heron!AD$9,Xero!$A:$A,Heron!$A$5,Xero!$E:$E,Heron!$A93)</f>
        <v/>
      </c>
      <c r="AE93" s="66">
        <f>SUMIFS(Xero!$F:$F,Xero!$B:$B,Heron!AE$9,Xero!$A:$A,Heron!$A$4,Xero!$E:$E,Heron!$A93)+SUMIFS(Xero!$F:$F,Xero!$B:$B,Heron!AE$9,Xero!$A:$A,Heron!$A$5,Xero!$E:$E,Heron!$A93)</f>
        <v/>
      </c>
      <c r="AF93" s="66">
        <f>SUMIFS(Xero!$F:$F,Xero!$B:$B,Heron!AF$9,Xero!$A:$A,Heron!$A$4,Xero!$E:$E,Heron!$A93)+SUMIFS(Xero!$F:$F,Xero!$B:$B,Heron!AF$9,Xero!$A:$A,Heron!$A$5,Xero!$E:$E,Heron!$A93)</f>
        <v/>
      </c>
      <c r="AG93" s="66">
        <f>SUMIFS(Xero!$F:$F,Xero!$B:$B,Heron!AG$9,Xero!$A:$A,Heron!$A$4,Xero!$E:$E,Heron!$A93)+SUMIFS(Xero!$F:$F,Xero!$B:$B,Heron!AG$9,Xero!$A:$A,Heron!$A$5,Xero!$E:$E,Heron!$A93)</f>
        <v/>
      </c>
      <c r="AH93" s="66">
        <f>SUMIFS(Xero!$F:$F,Xero!$B:$B,Heron!AH$9,Xero!$A:$A,Heron!$A$4,Xero!$E:$E,Heron!$A93)+SUMIFS(Xero!$F:$F,Xero!$B:$B,Heron!AH$9,Xero!$A:$A,Heron!$A$5,Xero!$E:$E,Heron!$A93)</f>
        <v/>
      </c>
      <c r="AI93" s="66">
        <f>SUMIFS(Xero!$F:$F,Xero!$B:$B,Heron!AI$9,Xero!$A:$A,Heron!$A$4,Xero!$E:$E,Heron!$A93)+SUMIFS(Xero!$F:$F,Xero!$B:$B,Heron!AI$9,Xero!$A:$A,Heron!$A$5,Xero!$E:$E,Heron!$A93)</f>
        <v/>
      </c>
      <c r="AJ93" s="66">
        <f>SUMIFS(Xero!$F:$F,Xero!$B:$B,Heron!AJ$9,Xero!$A:$A,Heron!$A$4,Xero!$E:$E,Heron!$A93)+SUMIFS(Xero!$F:$F,Xero!$B:$B,Heron!AJ$9,Xero!$A:$A,Heron!$A$5,Xero!$E:$E,Heron!$A93)</f>
        <v/>
      </c>
      <c r="AK93" s="66">
        <f>SUMIFS(Xero!$F:$F,Xero!$B:$B,Heron!AK$9,Xero!$A:$A,Heron!$A$4,Xero!$E:$E,Heron!$A93)+SUMIFS(Xero!$F:$F,Xero!$B:$B,Heron!AK$9,Xero!$A:$A,Heron!$A$5,Xero!$E:$E,Heron!$A93)</f>
        <v/>
      </c>
      <c r="AL93" s="66">
        <f>SUMIFS(Xero!$F:$F,Xero!$B:$B,Heron!AL$9,Xero!$A:$A,Heron!$A$4,Xero!$E:$E,Heron!$A93)+SUMIFS(Xero!$F:$F,Xero!$B:$B,Heron!AL$9,Xero!$A:$A,Heron!$A$5,Xero!$E:$E,Heron!$A93)</f>
        <v/>
      </c>
      <c r="AM93" s="66">
        <f>SUMIFS(Xero!$F:$F,Xero!$B:$B,Heron!AM$9,Xero!$A:$A,Heron!$A$4,Xero!$E:$E,Heron!$A93)+SUMIFS(Xero!$F:$F,Xero!$B:$B,Heron!AM$9,Xero!$A:$A,Heron!$A$5,Xero!$E:$E,Heron!$A93)</f>
        <v/>
      </c>
      <c r="AN93" s="66">
        <f>SUMIFS(Xero!$F:$F,Xero!$B:$B,Heron!AN$9,Xero!$A:$A,Heron!$A$4,Xero!$E:$E,Heron!$A93)+SUMIFS(Xero!$F:$F,Xero!$B:$B,Heron!AN$9,Xero!$A:$A,Heron!$A$5,Xero!$E:$E,Heron!$A93)</f>
        <v/>
      </c>
      <c r="AO93" s="66">
        <f>SUMIFS(Xero!$F:$F,Xero!$B:$B,Heron!AO$9,Xero!$A:$A,Heron!$A$4,Xero!$E:$E,Heron!$A93)+SUMIFS(Xero!$F:$F,Xero!$B:$B,Heron!AO$9,Xero!$A:$A,Heron!$A$5,Xero!$E:$E,Heron!$A93)</f>
        <v/>
      </c>
      <c r="AP93" s="66">
        <f>SUMIFS(Xero!$F:$F,Xero!$B:$B,Heron!AP$9,Xero!$A:$A,Heron!$A$4,Xero!$E:$E,Heron!$A93)+SUMIFS(Xero!$F:$F,Xero!$B:$B,Heron!AP$9,Xero!$A:$A,Heron!$A$5,Xero!$E:$E,Heron!$A93)</f>
        <v/>
      </c>
      <c r="AQ93" s="66">
        <f>SUMIFS(Xero!$F:$F,Xero!$B:$B,Heron!AQ$9,Xero!$A:$A,Heron!$A$4,Xero!$E:$E,Heron!$A93)+SUMIFS(Xero!$F:$F,Xero!$B:$B,Heron!AQ$9,Xero!$A:$A,Heron!$A$5,Xero!$E:$E,Heron!$A93)</f>
        <v/>
      </c>
      <c r="AR93" s="66">
        <f>SUMIFS(Xero!$F:$F,Xero!$B:$B,Heron!AR$9,Xero!$A:$A,Heron!$A$4,Xero!$E:$E,Heron!$A93)+SUMIFS(Xero!$F:$F,Xero!$B:$B,Heron!AR$9,Xero!$A:$A,Heron!$A$5,Xero!$E:$E,Heron!$A93)</f>
        <v/>
      </c>
      <c r="AS93" s="66">
        <f>SUMIFS(Xero!$F:$F,Xero!$B:$B,Heron!AS$9,Xero!$A:$A,Heron!$A$4,Xero!$E:$E,Heron!$A93)+SUMIFS(Xero!$F:$F,Xero!$B:$B,Heron!AS$9,Xero!$A:$A,Heron!$A$5,Xero!$E:$E,Heron!$A93)</f>
        <v/>
      </c>
      <c r="AT93" s="66">
        <f>SUMIFS(Xero!$F:$F,Xero!$B:$B,Heron!AT$9,Xero!$A:$A,Heron!$A$4,Xero!$E:$E,Heron!$A93)+SUMIFS(Xero!$F:$F,Xero!$B:$B,Heron!AT$9,Xero!$A:$A,Heron!$A$5,Xero!$E:$E,Heron!$A93)</f>
        <v/>
      </c>
      <c r="AU93" s="66">
        <f>SUMIFS(Xero!$F:$F,Xero!$B:$B,Heron!AU$9,Xero!$A:$A,Heron!$A$4,Xero!$E:$E,Heron!$A93)+SUMIFS(Xero!$F:$F,Xero!$B:$B,Heron!AU$9,Xero!$A:$A,Heron!$A$5,Xero!$E:$E,Heron!$A93)</f>
        <v/>
      </c>
      <c r="AV93" s="66">
        <f>SUMIFS(Xero!$F:$F,Xero!$B:$B,Heron!AV$9,Xero!$A:$A,Heron!$A$4,Xero!$E:$E,Heron!$A93)+SUMIFS(Xero!$F:$F,Xero!$B:$B,Heron!AV$9,Xero!$A:$A,Heron!$A$5,Xero!$E:$E,Heron!$A93)</f>
        <v/>
      </c>
      <c r="AW93" s="66">
        <f>SUMIFS(Xero!$F:$F,Xero!$B:$B,Heron!AW$9,Xero!$A:$A,Heron!$A$4,Xero!$E:$E,Heron!$A93)+SUMIFS(Xero!$F:$F,Xero!$B:$B,Heron!AW$9,Xero!$A:$A,Heron!$A$5,Xero!$E:$E,Heron!$A93)</f>
        <v/>
      </c>
      <c r="AX93" s="66">
        <f>SUMIFS(Xero!$F:$F,Xero!$B:$B,Heron!AX$9,Xero!$A:$A,Heron!$A$4,Xero!$E:$E,Heron!$A93)+SUMIFS(Xero!$F:$F,Xero!$B:$B,Heron!AX$9,Xero!$A:$A,Heron!$A$5,Xero!$E:$E,Heron!$A93)</f>
        <v/>
      </c>
      <c r="AY93" s="66">
        <f>SUMIFS(Xero!$F:$F,Xero!$B:$B,Heron!AY$9,Xero!$A:$A,Heron!$A$4,Xero!$E:$E,Heron!$A93)+SUMIFS(Xero!$F:$F,Xero!$B:$B,Heron!AY$9,Xero!$A:$A,Heron!$A$5,Xero!$E:$E,Heron!$A93)</f>
        <v/>
      </c>
      <c r="AZ93" s="66">
        <f>SUMIFS(Xero!$F:$F,Xero!$B:$B,Heron!AZ$9,Xero!$A:$A,Heron!$A$4,Xero!$E:$E,Heron!$A93)+SUMIFS(Xero!$F:$F,Xero!$B:$B,Heron!AZ$9,Xero!$A:$A,Heron!$A$5,Xero!$E:$E,Heron!$A93)</f>
        <v/>
      </c>
      <c r="BA93" s="66">
        <f>SUMIFS(Xero!$F:$F,Xero!$B:$B,Heron!BA$9,Xero!$A:$A,Heron!$A$4,Xero!$E:$E,Heron!$A93)+SUMIFS(Xero!$F:$F,Xero!$B:$B,Heron!BA$9,Xero!$A:$A,Heron!$A$5,Xero!$E:$E,Heron!$A93)</f>
        <v/>
      </c>
      <c r="BB93" s="66">
        <f>SUMIFS(Xero!$F:$F,Xero!$B:$B,Heron!BB$9,Xero!$A:$A,Heron!$A$4,Xero!$E:$E,Heron!$A93)+SUMIFS(Xero!$F:$F,Xero!$B:$B,Heron!BB$9,Xero!$A:$A,Heron!$A$5,Xero!$E:$E,Heron!$A93)</f>
        <v/>
      </c>
      <c r="BC93" s="66">
        <f>SUMIFS(Xero!$F:$F,Xero!$B:$B,Heron!BC$9,Xero!$A:$A,Heron!$A$4,Xero!$E:$E,Heron!$A93)+SUMIFS(Xero!$F:$F,Xero!$B:$B,Heron!BC$9,Xero!$A:$A,Heron!$A$5,Xero!$E:$E,Heron!$A93)</f>
        <v/>
      </c>
      <c r="BD93" s="66">
        <f>SUMIFS(Xero!$F:$F,Xero!$B:$B,Heron!BD$9,Xero!$A:$A,Heron!$A$4,Xero!$E:$E,Heron!$A93)+SUMIFS(Xero!$F:$F,Xero!$B:$B,Heron!BD$9,Xero!$A:$A,Heron!$A$5,Xero!$E:$E,Heron!$A93)</f>
        <v/>
      </c>
      <c r="BE93" s="66">
        <f>SUMIFS(Xero!$F:$F,Xero!$B:$B,Heron!BE$9,Xero!$A:$A,Heron!$A$4,Xero!$E:$E,Heron!$A93)+SUMIFS(Xero!$F:$F,Xero!$B:$B,Heron!BE$9,Xero!$A:$A,Heron!$A$5,Xero!$E:$E,Heron!$A93)</f>
        <v/>
      </c>
      <c r="BF93" s="66">
        <f>SUMIFS(Xero!$F:$F,Xero!$B:$B,Heron!BF$9,Xero!$A:$A,Heron!$A$4,Xero!$E:$E,Heron!$A93)+SUMIFS(Xero!$F:$F,Xero!$B:$B,Heron!BF$9,Xero!$A:$A,Heron!$A$5,Xero!$E:$E,Heron!$A93)</f>
        <v/>
      </c>
      <c r="BG93" s="66">
        <f>SUMIFS(Xero!$F:$F,Xero!$B:$B,Heron!BG$9,Xero!$A:$A,Heron!$A$4,Xero!$E:$E,Heron!$A93)+SUMIFS(Xero!$F:$F,Xero!$B:$B,Heron!BG$9,Xero!$A:$A,Heron!$A$5,Xero!$E:$E,Heron!$A93)</f>
        <v/>
      </c>
      <c r="BH93" s="66">
        <f>sum(D93:BG93)</f>
        <v/>
      </c>
    </row>
    <row r="94">
      <c r="A94" s="65" t="inlineStr">
        <is>
          <t>Security</t>
        </is>
      </c>
      <c r="D94" s="66">
        <f>SUMIFS(Xero!$F:$F,Xero!$B:$B,Heron!D$9,Xero!$A:$A,Heron!$A$4,Xero!$E:$E,Heron!$A94)+SUMIFS(Xero!$F:$F,Xero!$B:$B,Heron!D$9,Xero!$A:$A,Heron!$A$5,Xero!$E:$E,Heron!$A94)</f>
        <v/>
      </c>
      <c r="E94" s="66">
        <f>SUMIFS(Xero!$F:$F,Xero!$B:$B,Heron!E$9,Xero!$A:$A,Heron!$A$4,Xero!$E:$E,Heron!$A94)+SUMIFS(Xero!$F:$F,Xero!$B:$B,Heron!E$9,Xero!$A:$A,Heron!$A$5,Xero!$E:$E,Heron!$A94)</f>
        <v/>
      </c>
      <c r="F94" s="66">
        <f>SUMIFS(Xero!$F:$F,Xero!$B:$B,Heron!F$9,Xero!$A:$A,Heron!$A$4,Xero!$E:$E,Heron!$A94)+SUMIFS(Xero!$F:$F,Xero!$B:$B,Heron!F$9,Xero!$A:$A,Heron!$A$5,Xero!$E:$E,Heron!$A94)</f>
        <v/>
      </c>
      <c r="G94" s="66">
        <f>SUMIFS(Xero!$F:$F,Xero!$B:$B,Heron!G$9,Xero!$A:$A,Heron!$A$4,Xero!$E:$E,Heron!$A94)+SUMIFS(Xero!$F:$F,Xero!$B:$B,Heron!G$9,Xero!$A:$A,Heron!$A$5,Xero!$E:$E,Heron!$A94)</f>
        <v/>
      </c>
      <c r="H94" s="66">
        <f>SUMIFS(Xero!$F:$F,Xero!$B:$B,Heron!H$9,Xero!$A:$A,Heron!$A$4,Xero!$E:$E,Heron!$A94)+SUMIFS(Xero!$F:$F,Xero!$B:$B,Heron!H$9,Xero!$A:$A,Heron!$A$5,Xero!$E:$E,Heron!$A94)</f>
        <v/>
      </c>
      <c r="I94" s="66">
        <f>SUMIFS(Xero!$F:$F,Xero!$B:$B,Heron!I$9,Xero!$A:$A,Heron!$A$4,Xero!$E:$E,Heron!$A94)+SUMIFS(Xero!$F:$F,Xero!$B:$B,Heron!I$9,Xero!$A:$A,Heron!$A$5,Xero!$E:$E,Heron!$A94)</f>
        <v/>
      </c>
      <c r="J94" s="66">
        <f>SUMIFS(Xero!$F:$F,Xero!$B:$B,Heron!J$9,Xero!$A:$A,Heron!$A$4,Xero!$E:$E,Heron!$A94)+SUMIFS(Xero!$F:$F,Xero!$B:$B,Heron!J$9,Xero!$A:$A,Heron!$A$5,Xero!$E:$E,Heron!$A94)</f>
        <v/>
      </c>
      <c r="K94" s="66">
        <f>SUMIFS(Xero!$F:$F,Xero!$B:$B,Heron!K$9,Xero!$A:$A,Heron!$A$4,Xero!$E:$E,Heron!$A94)+SUMIFS(Xero!$F:$F,Xero!$B:$B,Heron!K$9,Xero!$A:$A,Heron!$A$5,Xero!$E:$E,Heron!$A94)</f>
        <v/>
      </c>
      <c r="L94" s="66">
        <f>SUMIFS(Xero!$F:$F,Xero!$B:$B,Heron!L$9,Xero!$A:$A,Heron!$A$4,Xero!$E:$E,Heron!$A94)+SUMIFS(Xero!$F:$F,Xero!$B:$B,Heron!L$9,Xero!$A:$A,Heron!$A$5,Xero!$E:$E,Heron!$A94)</f>
        <v/>
      </c>
      <c r="M94" s="66">
        <f>SUMIFS(Xero!$F:$F,Xero!$B:$B,Heron!M$9,Xero!$A:$A,Heron!$A$4,Xero!$E:$E,Heron!$A94)+SUMIFS(Xero!$F:$F,Xero!$B:$B,Heron!M$9,Xero!$A:$A,Heron!$A$5,Xero!$E:$E,Heron!$A94)</f>
        <v/>
      </c>
      <c r="N94" s="66">
        <f>SUMIFS(Xero!$F:$F,Xero!$B:$B,Heron!N$9,Xero!$A:$A,Heron!$A$4,Xero!$E:$E,Heron!$A94)+SUMIFS(Xero!$F:$F,Xero!$B:$B,Heron!N$9,Xero!$A:$A,Heron!$A$5,Xero!$E:$E,Heron!$A94)</f>
        <v/>
      </c>
      <c r="O94" s="66">
        <f>SUMIFS(Xero!$F:$F,Xero!$B:$B,Heron!O$9,Xero!$A:$A,Heron!$A$4,Xero!$E:$E,Heron!$A94)+SUMIFS(Xero!$F:$F,Xero!$B:$B,Heron!O$9,Xero!$A:$A,Heron!$A$5,Xero!$E:$E,Heron!$A94)</f>
        <v/>
      </c>
      <c r="P94" s="66">
        <f>SUMIFS(Xero!$F:$F,Xero!$B:$B,Heron!P$9,Xero!$A:$A,Heron!$A$4,Xero!$E:$E,Heron!$A94)+SUMIFS(Xero!$F:$F,Xero!$B:$B,Heron!P$9,Xero!$A:$A,Heron!$A$5,Xero!$E:$E,Heron!$A94)</f>
        <v/>
      </c>
      <c r="Q94" s="66">
        <f>SUMIFS(Xero!$F:$F,Xero!$B:$B,Heron!Q$9,Xero!$A:$A,Heron!$A$4,Xero!$E:$E,Heron!$A94)+SUMIFS(Xero!$F:$F,Xero!$B:$B,Heron!Q$9,Xero!$A:$A,Heron!$A$5,Xero!$E:$E,Heron!$A94)</f>
        <v/>
      </c>
      <c r="R94" s="66">
        <f>SUMIFS(Xero!$F:$F,Xero!$B:$B,Heron!R$9,Xero!$A:$A,Heron!$A$4,Xero!$E:$E,Heron!$A94)+SUMIFS(Xero!$F:$F,Xero!$B:$B,Heron!R$9,Xero!$A:$A,Heron!$A$5,Xero!$E:$E,Heron!$A94)</f>
        <v/>
      </c>
      <c r="S94" s="66">
        <f>SUMIFS(Xero!$F:$F,Xero!$B:$B,Heron!S$9,Xero!$A:$A,Heron!$A$4,Xero!$E:$E,Heron!$A94)+SUMIFS(Xero!$F:$F,Xero!$B:$B,Heron!S$9,Xero!$A:$A,Heron!$A$5,Xero!$E:$E,Heron!$A94)</f>
        <v/>
      </c>
      <c r="T94" s="66">
        <f>SUMIFS(Xero!$F:$F,Xero!$B:$B,Heron!T$9,Xero!$A:$A,Heron!$A$4,Xero!$E:$E,Heron!$A94)+SUMIFS(Xero!$F:$F,Xero!$B:$B,Heron!T$9,Xero!$A:$A,Heron!$A$5,Xero!$E:$E,Heron!$A94)</f>
        <v/>
      </c>
      <c r="U94" s="66">
        <f>SUMIFS(Xero!$F:$F,Xero!$B:$B,Heron!U$9,Xero!$A:$A,Heron!$A$4,Xero!$E:$E,Heron!$A94)+SUMIFS(Xero!$F:$F,Xero!$B:$B,Heron!U$9,Xero!$A:$A,Heron!$A$5,Xero!$E:$E,Heron!$A94)</f>
        <v/>
      </c>
      <c r="V94" s="66">
        <f>SUMIFS(Xero!$F:$F,Xero!$B:$B,Heron!V$9,Xero!$A:$A,Heron!$A$4,Xero!$E:$E,Heron!$A94)+SUMIFS(Xero!$F:$F,Xero!$B:$B,Heron!V$9,Xero!$A:$A,Heron!$A$5,Xero!$E:$E,Heron!$A94)</f>
        <v/>
      </c>
      <c r="W94" s="66">
        <f>SUMIFS(Xero!$F:$F,Xero!$B:$B,Heron!W$9,Xero!$A:$A,Heron!$A$4,Xero!$E:$E,Heron!$A94)+SUMIFS(Xero!$F:$F,Xero!$B:$B,Heron!W$9,Xero!$A:$A,Heron!$A$5,Xero!$E:$E,Heron!$A94)</f>
        <v/>
      </c>
      <c r="X94" s="66">
        <f>SUMIFS(Xero!$F:$F,Xero!$B:$B,Heron!X$9,Xero!$A:$A,Heron!$A$4,Xero!$E:$E,Heron!$A94)+SUMIFS(Xero!$F:$F,Xero!$B:$B,Heron!X$9,Xero!$A:$A,Heron!$A$5,Xero!$E:$E,Heron!$A94)</f>
        <v/>
      </c>
      <c r="Y94" s="66">
        <f>SUMIFS(Xero!$F:$F,Xero!$B:$B,Heron!Y$9,Xero!$A:$A,Heron!$A$4,Xero!$E:$E,Heron!$A94)+SUMIFS(Xero!$F:$F,Xero!$B:$B,Heron!Y$9,Xero!$A:$A,Heron!$A$5,Xero!$E:$E,Heron!$A94)</f>
        <v/>
      </c>
      <c r="Z94" s="66">
        <f>SUMIFS(Xero!$F:$F,Xero!$B:$B,Heron!Z$9,Xero!$A:$A,Heron!$A$4,Xero!$E:$E,Heron!$A94)+SUMIFS(Xero!$F:$F,Xero!$B:$B,Heron!Z$9,Xero!$A:$A,Heron!$A$5,Xero!$E:$E,Heron!$A94)</f>
        <v/>
      </c>
      <c r="AA94" s="66">
        <f>SUMIFS(Xero!$F:$F,Xero!$B:$B,Heron!AA$9,Xero!$A:$A,Heron!$A$4,Xero!$E:$E,Heron!$A94)+SUMIFS(Xero!$F:$F,Xero!$B:$B,Heron!AA$9,Xero!$A:$A,Heron!$A$5,Xero!$E:$E,Heron!$A94)</f>
        <v/>
      </c>
      <c r="AB94" s="66">
        <f>SUMIFS(Xero!$F:$F,Xero!$B:$B,Heron!AB$9,Xero!$A:$A,Heron!$A$4,Xero!$E:$E,Heron!$A94)+SUMIFS(Xero!$F:$F,Xero!$B:$B,Heron!AB$9,Xero!$A:$A,Heron!$A$5,Xero!$E:$E,Heron!$A94)</f>
        <v/>
      </c>
      <c r="AC94" s="66">
        <f>SUMIFS(Xero!$F:$F,Xero!$B:$B,Heron!AC$9,Xero!$A:$A,Heron!$A$4,Xero!$E:$E,Heron!$A94)+SUMIFS(Xero!$F:$F,Xero!$B:$B,Heron!AC$9,Xero!$A:$A,Heron!$A$5,Xero!$E:$E,Heron!$A94)</f>
        <v/>
      </c>
      <c r="AD94" s="66">
        <f>SUMIFS(Xero!$F:$F,Xero!$B:$B,Heron!AD$9,Xero!$A:$A,Heron!$A$4,Xero!$E:$E,Heron!$A94)+SUMIFS(Xero!$F:$F,Xero!$B:$B,Heron!AD$9,Xero!$A:$A,Heron!$A$5,Xero!$E:$E,Heron!$A94)</f>
        <v/>
      </c>
      <c r="AE94" s="66">
        <f>SUMIFS(Xero!$F:$F,Xero!$B:$B,Heron!AE$9,Xero!$A:$A,Heron!$A$4,Xero!$E:$E,Heron!$A94)+SUMIFS(Xero!$F:$F,Xero!$B:$B,Heron!AE$9,Xero!$A:$A,Heron!$A$5,Xero!$E:$E,Heron!$A94)</f>
        <v/>
      </c>
      <c r="AF94" s="66">
        <f>SUMIFS(Xero!$F:$F,Xero!$B:$B,Heron!AF$9,Xero!$A:$A,Heron!$A$4,Xero!$E:$E,Heron!$A94)+SUMIFS(Xero!$F:$F,Xero!$B:$B,Heron!AF$9,Xero!$A:$A,Heron!$A$5,Xero!$E:$E,Heron!$A94)</f>
        <v/>
      </c>
      <c r="AG94" s="66">
        <f>SUMIFS(Xero!$F:$F,Xero!$B:$B,Heron!AG$9,Xero!$A:$A,Heron!$A$4,Xero!$E:$E,Heron!$A94)+SUMIFS(Xero!$F:$F,Xero!$B:$B,Heron!AG$9,Xero!$A:$A,Heron!$A$5,Xero!$E:$E,Heron!$A94)</f>
        <v/>
      </c>
      <c r="AH94" s="66">
        <f>SUMIFS(Xero!$F:$F,Xero!$B:$B,Heron!AH$9,Xero!$A:$A,Heron!$A$4,Xero!$E:$E,Heron!$A94)+SUMIFS(Xero!$F:$F,Xero!$B:$B,Heron!AH$9,Xero!$A:$A,Heron!$A$5,Xero!$E:$E,Heron!$A94)</f>
        <v/>
      </c>
      <c r="AI94" s="66">
        <f>SUMIFS(Xero!$F:$F,Xero!$B:$B,Heron!AI$9,Xero!$A:$A,Heron!$A$4,Xero!$E:$E,Heron!$A94)+SUMIFS(Xero!$F:$F,Xero!$B:$B,Heron!AI$9,Xero!$A:$A,Heron!$A$5,Xero!$E:$E,Heron!$A94)</f>
        <v/>
      </c>
      <c r="AJ94" s="66">
        <f>SUMIFS(Xero!$F:$F,Xero!$B:$B,Heron!AJ$9,Xero!$A:$A,Heron!$A$4,Xero!$E:$E,Heron!$A94)+SUMIFS(Xero!$F:$F,Xero!$B:$B,Heron!AJ$9,Xero!$A:$A,Heron!$A$5,Xero!$E:$E,Heron!$A94)</f>
        <v/>
      </c>
      <c r="AK94" s="66">
        <f>SUMIFS(Xero!$F:$F,Xero!$B:$B,Heron!AK$9,Xero!$A:$A,Heron!$A$4,Xero!$E:$E,Heron!$A94)+SUMIFS(Xero!$F:$F,Xero!$B:$B,Heron!AK$9,Xero!$A:$A,Heron!$A$5,Xero!$E:$E,Heron!$A94)</f>
        <v/>
      </c>
      <c r="AL94" s="66">
        <f>SUMIFS(Xero!$F:$F,Xero!$B:$B,Heron!AL$9,Xero!$A:$A,Heron!$A$4,Xero!$E:$E,Heron!$A94)+SUMIFS(Xero!$F:$F,Xero!$B:$B,Heron!AL$9,Xero!$A:$A,Heron!$A$5,Xero!$E:$E,Heron!$A94)</f>
        <v/>
      </c>
      <c r="AM94" s="66">
        <f>SUMIFS(Xero!$F:$F,Xero!$B:$B,Heron!AM$9,Xero!$A:$A,Heron!$A$4,Xero!$E:$E,Heron!$A94)+SUMIFS(Xero!$F:$F,Xero!$B:$B,Heron!AM$9,Xero!$A:$A,Heron!$A$5,Xero!$E:$E,Heron!$A94)</f>
        <v/>
      </c>
      <c r="AN94" s="66">
        <f>SUMIFS(Xero!$F:$F,Xero!$B:$B,Heron!AN$9,Xero!$A:$A,Heron!$A$4,Xero!$E:$E,Heron!$A94)+SUMIFS(Xero!$F:$F,Xero!$B:$B,Heron!AN$9,Xero!$A:$A,Heron!$A$5,Xero!$E:$E,Heron!$A94)</f>
        <v/>
      </c>
      <c r="AO94" s="66">
        <f>SUMIFS(Xero!$F:$F,Xero!$B:$B,Heron!AO$9,Xero!$A:$A,Heron!$A$4,Xero!$E:$E,Heron!$A94)+SUMIFS(Xero!$F:$F,Xero!$B:$B,Heron!AO$9,Xero!$A:$A,Heron!$A$5,Xero!$E:$E,Heron!$A94)</f>
        <v/>
      </c>
      <c r="AP94" s="66">
        <f>SUMIFS(Xero!$F:$F,Xero!$B:$B,Heron!AP$9,Xero!$A:$A,Heron!$A$4,Xero!$E:$E,Heron!$A94)+SUMIFS(Xero!$F:$F,Xero!$B:$B,Heron!AP$9,Xero!$A:$A,Heron!$A$5,Xero!$E:$E,Heron!$A94)</f>
        <v/>
      </c>
      <c r="AQ94" s="66">
        <f>SUMIFS(Xero!$F:$F,Xero!$B:$B,Heron!AQ$9,Xero!$A:$A,Heron!$A$4,Xero!$E:$E,Heron!$A94)+SUMIFS(Xero!$F:$F,Xero!$B:$B,Heron!AQ$9,Xero!$A:$A,Heron!$A$5,Xero!$E:$E,Heron!$A94)</f>
        <v/>
      </c>
      <c r="AR94" s="66">
        <f>SUMIFS(Xero!$F:$F,Xero!$B:$B,Heron!AR$9,Xero!$A:$A,Heron!$A$4,Xero!$E:$E,Heron!$A94)+SUMIFS(Xero!$F:$F,Xero!$B:$B,Heron!AR$9,Xero!$A:$A,Heron!$A$5,Xero!$E:$E,Heron!$A94)</f>
        <v/>
      </c>
      <c r="AS94" s="66">
        <f>SUMIFS(Xero!$F:$F,Xero!$B:$B,Heron!AS$9,Xero!$A:$A,Heron!$A$4,Xero!$E:$E,Heron!$A94)+SUMIFS(Xero!$F:$F,Xero!$B:$B,Heron!AS$9,Xero!$A:$A,Heron!$A$5,Xero!$E:$E,Heron!$A94)</f>
        <v/>
      </c>
      <c r="AT94" s="66">
        <f>SUMIFS(Xero!$F:$F,Xero!$B:$B,Heron!AT$9,Xero!$A:$A,Heron!$A$4,Xero!$E:$E,Heron!$A94)+SUMIFS(Xero!$F:$F,Xero!$B:$B,Heron!AT$9,Xero!$A:$A,Heron!$A$5,Xero!$E:$E,Heron!$A94)</f>
        <v/>
      </c>
      <c r="AU94" s="66">
        <f>SUMIFS(Xero!$F:$F,Xero!$B:$B,Heron!AU$9,Xero!$A:$A,Heron!$A$4,Xero!$E:$E,Heron!$A94)+SUMIFS(Xero!$F:$F,Xero!$B:$B,Heron!AU$9,Xero!$A:$A,Heron!$A$5,Xero!$E:$E,Heron!$A94)</f>
        <v/>
      </c>
      <c r="AV94" s="66">
        <f>SUMIFS(Xero!$F:$F,Xero!$B:$B,Heron!AV$9,Xero!$A:$A,Heron!$A$4,Xero!$E:$E,Heron!$A94)+SUMIFS(Xero!$F:$F,Xero!$B:$B,Heron!AV$9,Xero!$A:$A,Heron!$A$5,Xero!$E:$E,Heron!$A94)</f>
        <v/>
      </c>
      <c r="AW94" s="66">
        <f>SUMIFS(Xero!$F:$F,Xero!$B:$B,Heron!AW$9,Xero!$A:$A,Heron!$A$4,Xero!$E:$E,Heron!$A94)+SUMIFS(Xero!$F:$F,Xero!$B:$B,Heron!AW$9,Xero!$A:$A,Heron!$A$5,Xero!$E:$E,Heron!$A94)</f>
        <v/>
      </c>
      <c r="AX94" s="66">
        <f>SUMIFS(Xero!$F:$F,Xero!$B:$B,Heron!AX$9,Xero!$A:$A,Heron!$A$4,Xero!$E:$E,Heron!$A94)+SUMIFS(Xero!$F:$F,Xero!$B:$B,Heron!AX$9,Xero!$A:$A,Heron!$A$5,Xero!$E:$E,Heron!$A94)</f>
        <v/>
      </c>
      <c r="AY94" s="66">
        <f>SUMIFS(Xero!$F:$F,Xero!$B:$B,Heron!AY$9,Xero!$A:$A,Heron!$A$4,Xero!$E:$E,Heron!$A94)+SUMIFS(Xero!$F:$F,Xero!$B:$B,Heron!AY$9,Xero!$A:$A,Heron!$A$5,Xero!$E:$E,Heron!$A94)</f>
        <v/>
      </c>
      <c r="AZ94" s="66">
        <f>SUMIFS(Xero!$F:$F,Xero!$B:$B,Heron!AZ$9,Xero!$A:$A,Heron!$A$4,Xero!$E:$E,Heron!$A94)+SUMIFS(Xero!$F:$F,Xero!$B:$B,Heron!AZ$9,Xero!$A:$A,Heron!$A$5,Xero!$E:$E,Heron!$A94)</f>
        <v/>
      </c>
      <c r="BA94" s="66">
        <f>SUMIFS(Xero!$F:$F,Xero!$B:$B,Heron!BA$9,Xero!$A:$A,Heron!$A$4,Xero!$E:$E,Heron!$A94)+SUMIFS(Xero!$F:$F,Xero!$B:$B,Heron!BA$9,Xero!$A:$A,Heron!$A$5,Xero!$E:$E,Heron!$A94)</f>
        <v/>
      </c>
      <c r="BB94" s="66">
        <f>SUMIFS(Xero!$F:$F,Xero!$B:$B,Heron!BB$9,Xero!$A:$A,Heron!$A$4,Xero!$E:$E,Heron!$A94)+SUMIFS(Xero!$F:$F,Xero!$B:$B,Heron!BB$9,Xero!$A:$A,Heron!$A$5,Xero!$E:$E,Heron!$A94)</f>
        <v/>
      </c>
      <c r="BC94" s="66">
        <f>SUMIFS(Xero!$F:$F,Xero!$B:$B,Heron!BC$9,Xero!$A:$A,Heron!$A$4,Xero!$E:$E,Heron!$A94)+SUMIFS(Xero!$F:$F,Xero!$B:$B,Heron!BC$9,Xero!$A:$A,Heron!$A$5,Xero!$E:$E,Heron!$A94)</f>
        <v/>
      </c>
      <c r="BD94" s="66">
        <f>SUMIFS(Xero!$F:$F,Xero!$B:$B,Heron!BD$9,Xero!$A:$A,Heron!$A$4,Xero!$E:$E,Heron!$A94)+SUMIFS(Xero!$F:$F,Xero!$B:$B,Heron!BD$9,Xero!$A:$A,Heron!$A$5,Xero!$E:$E,Heron!$A94)</f>
        <v/>
      </c>
      <c r="BE94" s="66">
        <f>SUMIFS(Xero!$F:$F,Xero!$B:$B,Heron!BE$9,Xero!$A:$A,Heron!$A$4,Xero!$E:$E,Heron!$A94)+SUMIFS(Xero!$F:$F,Xero!$B:$B,Heron!BE$9,Xero!$A:$A,Heron!$A$5,Xero!$E:$E,Heron!$A94)</f>
        <v/>
      </c>
      <c r="BF94" s="66">
        <f>SUMIFS(Xero!$F:$F,Xero!$B:$B,Heron!BF$9,Xero!$A:$A,Heron!$A$4,Xero!$E:$E,Heron!$A94)+SUMIFS(Xero!$F:$F,Xero!$B:$B,Heron!BF$9,Xero!$A:$A,Heron!$A$5,Xero!$E:$E,Heron!$A94)</f>
        <v/>
      </c>
      <c r="BG94" s="66">
        <f>SUMIFS(Xero!$F:$F,Xero!$B:$B,Heron!BG$9,Xero!$A:$A,Heron!$A$4,Xero!$E:$E,Heron!$A94)+SUMIFS(Xero!$F:$F,Xero!$B:$B,Heron!BG$9,Xero!$A:$A,Heron!$A$5,Xero!$E:$E,Heron!$A94)</f>
        <v/>
      </c>
      <c r="BH94" s="66">
        <f>sum(D94:BG94)</f>
        <v/>
      </c>
    </row>
    <row r="95">
      <c r="A95" s="65" t="inlineStr">
        <is>
          <t>Security - ADT</t>
        </is>
      </c>
      <c r="D95" s="66">
        <f>SUMIFS(Xero!$F:$F,Xero!$B:$B,Heron!D$9,Xero!$A:$A,Heron!$A$4,Xero!$E:$E,Heron!$A95)+SUMIFS(Xero!$F:$F,Xero!$B:$B,Heron!D$9,Xero!$A:$A,Heron!$A$5,Xero!$E:$E,Heron!$A95)</f>
        <v/>
      </c>
      <c r="E95" s="66">
        <f>SUMIFS(Xero!$F:$F,Xero!$B:$B,Heron!E$9,Xero!$A:$A,Heron!$A$4,Xero!$E:$E,Heron!$A95)+SUMIFS(Xero!$F:$F,Xero!$B:$B,Heron!E$9,Xero!$A:$A,Heron!$A$5,Xero!$E:$E,Heron!$A95)</f>
        <v/>
      </c>
      <c r="F95" s="66">
        <f>SUMIFS(Xero!$F:$F,Xero!$B:$B,Heron!F$9,Xero!$A:$A,Heron!$A$4,Xero!$E:$E,Heron!$A95)+SUMIFS(Xero!$F:$F,Xero!$B:$B,Heron!F$9,Xero!$A:$A,Heron!$A$5,Xero!$E:$E,Heron!$A95)</f>
        <v/>
      </c>
      <c r="G95" s="66">
        <f>SUMIFS(Xero!$F:$F,Xero!$B:$B,Heron!G$9,Xero!$A:$A,Heron!$A$4,Xero!$E:$E,Heron!$A95)+SUMIFS(Xero!$F:$F,Xero!$B:$B,Heron!G$9,Xero!$A:$A,Heron!$A$5,Xero!$E:$E,Heron!$A95)</f>
        <v/>
      </c>
      <c r="H95" s="66">
        <f>SUMIFS(Xero!$F:$F,Xero!$B:$B,Heron!H$9,Xero!$A:$A,Heron!$A$4,Xero!$E:$E,Heron!$A95)+SUMIFS(Xero!$F:$F,Xero!$B:$B,Heron!H$9,Xero!$A:$A,Heron!$A$5,Xero!$E:$E,Heron!$A95)</f>
        <v/>
      </c>
      <c r="I95" s="66">
        <f>SUMIFS(Xero!$F:$F,Xero!$B:$B,Heron!I$9,Xero!$A:$A,Heron!$A$4,Xero!$E:$E,Heron!$A95)+SUMIFS(Xero!$F:$F,Xero!$B:$B,Heron!I$9,Xero!$A:$A,Heron!$A$5,Xero!$E:$E,Heron!$A95)</f>
        <v/>
      </c>
      <c r="J95" s="66">
        <f>SUMIFS(Xero!$F:$F,Xero!$B:$B,Heron!J$9,Xero!$A:$A,Heron!$A$4,Xero!$E:$E,Heron!$A95)+SUMIFS(Xero!$F:$F,Xero!$B:$B,Heron!J$9,Xero!$A:$A,Heron!$A$5,Xero!$E:$E,Heron!$A95)</f>
        <v/>
      </c>
      <c r="K95" s="66">
        <f>SUMIFS(Xero!$F:$F,Xero!$B:$B,Heron!K$9,Xero!$A:$A,Heron!$A$4,Xero!$E:$E,Heron!$A95)+SUMIFS(Xero!$F:$F,Xero!$B:$B,Heron!K$9,Xero!$A:$A,Heron!$A$5,Xero!$E:$E,Heron!$A95)</f>
        <v/>
      </c>
      <c r="L95" s="66">
        <f>SUMIFS(Xero!$F:$F,Xero!$B:$B,Heron!L$9,Xero!$A:$A,Heron!$A$4,Xero!$E:$E,Heron!$A95)+SUMIFS(Xero!$F:$F,Xero!$B:$B,Heron!L$9,Xero!$A:$A,Heron!$A$5,Xero!$E:$E,Heron!$A95)</f>
        <v/>
      </c>
      <c r="M95" s="66">
        <f>SUMIFS(Xero!$F:$F,Xero!$B:$B,Heron!M$9,Xero!$A:$A,Heron!$A$4,Xero!$E:$E,Heron!$A95)+SUMIFS(Xero!$F:$F,Xero!$B:$B,Heron!M$9,Xero!$A:$A,Heron!$A$5,Xero!$E:$E,Heron!$A95)</f>
        <v/>
      </c>
      <c r="N95" s="66">
        <f>SUMIFS(Xero!$F:$F,Xero!$B:$B,Heron!N$9,Xero!$A:$A,Heron!$A$4,Xero!$E:$E,Heron!$A95)+SUMIFS(Xero!$F:$F,Xero!$B:$B,Heron!N$9,Xero!$A:$A,Heron!$A$5,Xero!$E:$E,Heron!$A95)</f>
        <v/>
      </c>
      <c r="O95" s="66">
        <f>SUMIFS(Xero!$F:$F,Xero!$B:$B,Heron!O$9,Xero!$A:$A,Heron!$A$4,Xero!$E:$E,Heron!$A95)+SUMIFS(Xero!$F:$F,Xero!$B:$B,Heron!O$9,Xero!$A:$A,Heron!$A$5,Xero!$E:$E,Heron!$A95)</f>
        <v/>
      </c>
      <c r="P95" s="66">
        <f>SUMIFS(Xero!$F:$F,Xero!$B:$B,Heron!P$9,Xero!$A:$A,Heron!$A$4,Xero!$E:$E,Heron!$A95)+SUMIFS(Xero!$F:$F,Xero!$B:$B,Heron!P$9,Xero!$A:$A,Heron!$A$5,Xero!$E:$E,Heron!$A95)</f>
        <v/>
      </c>
      <c r="Q95" s="66">
        <f>SUMIFS(Xero!$F:$F,Xero!$B:$B,Heron!Q$9,Xero!$A:$A,Heron!$A$4,Xero!$E:$E,Heron!$A95)+SUMIFS(Xero!$F:$F,Xero!$B:$B,Heron!Q$9,Xero!$A:$A,Heron!$A$5,Xero!$E:$E,Heron!$A95)</f>
        <v/>
      </c>
      <c r="R95" s="66">
        <f>SUMIFS(Xero!$F:$F,Xero!$B:$B,Heron!R$9,Xero!$A:$A,Heron!$A$4,Xero!$E:$E,Heron!$A95)+SUMIFS(Xero!$F:$F,Xero!$B:$B,Heron!R$9,Xero!$A:$A,Heron!$A$5,Xero!$E:$E,Heron!$A95)</f>
        <v/>
      </c>
      <c r="S95" s="66">
        <f>SUMIFS(Xero!$F:$F,Xero!$B:$B,Heron!S$9,Xero!$A:$A,Heron!$A$4,Xero!$E:$E,Heron!$A95)+SUMIFS(Xero!$F:$F,Xero!$B:$B,Heron!S$9,Xero!$A:$A,Heron!$A$5,Xero!$E:$E,Heron!$A95)</f>
        <v/>
      </c>
      <c r="T95" s="66">
        <f>SUMIFS(Xero!$F:$F,Xero!$B:$B,Heron!T$9,Xero!$A:$A,Heron!$A$4,Xero!$E:$E,Heron!$A95)+SUMIFS(Xero!$F:$F,Xero!$B:$B,Heron!T$9,Xero!$A:$A,Heron!$A$5,Xero!$E:$E,Heron!$A95)</f>
        <v/>
      </c>
      <c r="U95" s="66">
        <f>SUMIFS(Xero!$F:$F,Xero!$B:$B,Heron!U$9,Xero!$A:$A,Heron!$A$4,Xero!$E:$E,Heron!$A95)+SUMIFS(Xero!$F:$F,Xero!$B:$B,Heron!U$9,Xero!$A:$A,Heron!$A$5,Xero!$E:$E,Heron!$A95)</f>
        <v/>
      </c>
      <c r="V95" s="66">
        <f>SUMIFS(Xero!$F:$F,Xero!$B:$B,Heron!V$9,Xero!$A:$A,Heron!$A$4,Xero!$E:$E,Heron!$A95)+SUMIFS(Xero!$F:$F,Xero!$B:$B,Heron!V$9,Xero!$A:$A,Heron!$A$5,Xero!$E:$E,Heron!$A95)</f>
        <v/>
      </c>
      <c r="W95" s="66">
        <f>SUMIFS(Xero!$F:$F,Xero!$B:$B,Heron!W$9,Xero!$A:$A,Heron!$A$4,Xero!$E:$E,Heron!$A95)+SUMIFS(Xero!$F:$F,Xero!$B:$B,Heron!W$9,Xero!$A:$A,Heron!$A$5,Xero!$E:$E,Heron!$A95)</f>
        <v/>
      </c>
      <c r="X95" s="66">
        <f>SUMIFS(Xero!$F:$F,Xero!$B:$B,Heron!X$9,Xero!$A:$A,Heron!$A$4,Xero!$E:$E,Heron!$A95)+SUMIFS(Xero!$F:$F,Xero!$B:$B,Heron!X$9,Xero!$A:$A,Heron!$A$5,Xero!$E:$E,Heron!$A95)</f>
        <v/>
      </c>
      <c r="Y95" s="66">
        <f>SUMIFS(Xero!$F:$F,Xero!$B:$B,Heron!Y$9,Xero!$A:$A,Heron!$A$4,Xero!$E:$E,Heron!$A95)+SUMIFS(Xero!$F:$F,Xero!$B:$B,Heron!Y$9,Xero!$A:$A,Heron!$A$5,Xero!$E:$E,Heron!$A95)</f>
        <v/>
      </c>
      <c r="Z95" s="66">
        <f>SUMIFS(Xero!$F:$F,Xero!$B:$B,Heron!Z$9,Xero!$A:$A,Heron!$A$4,Xero!$E:$E,Heron!$A95)+SUMIFS(Xero!$F:$F,Xero!$B:$B,Heron!Z$9,Xero!$A:$A,Heron!$A$5,Xero!$E:$E,Heron!$A95)</f>
        <v/>
      </c>
      <c r="AA95" s="66">
        <f>SUMIFS(Xero!$F:$F,Xero!$B:$B,Heron!AA$9,Xero!$A:$A,Heron!$A$4,Xero!$E:$E,Heron!$A95)+SUMIFS(Xero!$F:$F,Xero!$B:$B,Heron!AA$9,Xero!$A:$A,Heron!$A$5,Xero!$E:$E,Heron!$A95)</f>
        <v/>
      </c>
      <c r="AB95" s="66">
        <f>SUMIFS(Xero!$F:$F,Xero!$B:$B,Heron!AB$9,Xero!$A:$A,Heron!$A$4,Xero!$E:$E,Heron!$A95)+SUMIFS(Xero!$F:$F,Xero!$B:$B,Heron!AB$9,Xero!$A:$A,Heron!$A$5,Xero!$E:$E,Heron!$A95)</f>
        <v/>
      </c>
      <c r="AC95" s="66">
        <f>SUMIFS(Xero!$F:$F,Xero!$B:$B,Heron!AC$9,Xero!$A:$A,Heron!$A$4,Xero!$E:$E,Heron!$A95)+SUMIFS(Xero!$F:$F,Xero!$B:$B,Heron!AC$9,Xero!$A:$A,Heron!$A$5,Xero!$E:$E,Heron!$A95)</f>
        <v/>
      </c>
      <c r="AD95" s="66">
        <f>SUMIFS(Xero!$F:$F,Xero!$B:$B,Heron!AD$9,Xero!$A:$A,Heron!$A$4,Xero!$E:$E,Heron!$A95)+SUMIFS(Xero!$F:$F,Xero!$B:$B,Heron!AD$9,Xero!$A:$A,Heron!$A$5,Xero!$E:$E,Heron!$A95)</f>
        <v/>
      </c>
      <c r="AE95" s="66">
        <f>SUMIFS(Xero!$F:$F,Xero!$B:$B,Heron!AE$9,Xero!$A:$A,Heron!$A$4,Xero!$E:$E,Heron!$A95)+SUMIFS(Xero!$F:$F,Xero!$B:$B,Heron!AE$9,Xero!$A:$A,Heron!$A$5,Xero!$E:$E,Heron!$A95)</f>
        <v/>
      </c>
      <c r="AF95" s="66">
        <f>SUMIFS(Xero!$F:$F,Xero!$B:$B,Heron!AF$9,Xero!$A:$A,Heron!$A$4,Xero!$E:$E,Heron!$A95)+SUMIFS(Xero!$F:$F,Xero!$B:$B,Heron!AF$9,Xero!$A:$A,Heron!$A$5,Xero!$E:$E,Heron!$A95)</f>
        <v/>
      </c>
      <c r="AG95" s="66">
        <f>SUMIFS(Xero!$F:$F,Xero!$B:$B,Heron!AG$9,Xero!$A:$A,Heron!$A$4,Xero!$E:$E,Heron!$A95)+SUMIFS(Xero!$F:$F,Xero!$B:$B,Heron!AG$9,Xero!$A:$A,Heron!$A$5,Xero!$E:$E,Heron!$A95)</f>
        <v/>
      </c>
      <c r="AH95" s="66">
        <f>SUMIFS(Xero!$F:$F,Xero!$B:$B,Heron!AH$9,Xero!$A:$A,Heron!$A$4,Xero!$E:$E,Heron!$A95)+SUMIFS(Xero!$F:$F,Xero!$B:$B,Heron!AH$9,Xero!$A:$A,Heron!$A$5,Xero!$E:$E,Heron!$A95)</f>
        <v/>
      </c>
      <c r="AI95" s="66">
        <f>SUMIFS(Xero!$F:$F,Xero!$B:$B,Heron!AI$9,Xero!$A:$A,Heron!$A$4,Xero!$E:$E,Heron!$A95)+SUMIFS(Xero!$F:$F,Xero!$B:$B,Heron!AI$9,Xero!$A:$A,Heron!$A$5,Xero!$E:$E,Heron!$A95)</f>
        <v/>
      </c>
      <c r="AJ95" s="66">
        <f>SUMIFS(Xero!$F:$F,Xero!$B:$B,Heron!AJ$9,Xero!$A:$A,Heron!$A$4,Xero!$E:$E,Heron!$A95)+SUMIFS(Xero!$F:$F,Xero!$B:$B,Heron!AJ$9,Xero!$A:$A,Heron!$A$5,Xero!$E:$E,Heron!$A95)</f>
        <v/>
      </c>
      <c r="AK95" s="66">
        <f>SUMIFS(Xero!$F:$F,Xero!$B:$B,Heron!AK$9,Xero!$A:$A,Heron!$A$4,Xero!$E:$E,Heron!$A95)+SUMIFS(Xero!$F:$F,Xero!$B:$B,Heron!AK$9,Xero!$A:$A,Heron!$A$5,Xero!$E:$E,Heron!$A95)</f>
        <v/>
      </c>
      <c r="AL95" s="66">
        <f>SUMIFS(Xero!$F:$F,Xero!$B:$B,Heron!AL$9,Xero!$A:$A,Heron!$A$4,Xero!$E:$E,Heron!$A95)+SUMIFS(Xero!$F:$F,Xero!$B:$B,Heron!AL$9,Xero!$A:$A,Heron!$A$5,Xero!$E:$E,Heron!$A95)</f>
        <v/>
      </c>
      <c r="AM95" s="66">
        <f>SUMIFS(Xero!$F:$F,Xero!$B:$B,Heron!AM$9,Xero!$A:$A,Heron!$A$4,Xero!$E:$E,Heron!$A95)+SUMIFS(Xero!$F:$F,Xero!$B:$B,Heron!AM$9,Xero!$A:$A,Heron!$A$5,Xero!$E:$E,Heron!$A95)</f>
        <v/>
      </c>
      <c r="AN95" s="66">
        <f>SUMIFS(Xero!$F:$F,Xero!$B:$B,Heron!AN$9,Xero!$A:$A,Heron!$A$4,Xero!$E:$E,Heron!$A95)+SUMIFS(Xero!$F:$F,Xero!$B:$B,Heron!AN$9,Xero!$A:$A,Heron!$A$5,Xero!$E:$E,Heron!$A95)</f>
        <v/>
      </c>
      <c r="AO95" s="66">
        <f>SUMIFS(Xero!$F:$F,Xero!$B:$B,Heron!AO$9,Xero!$A:$A,Heron!$A$4,Xero!$E:$E,Heron!$A95)+SUMIFS(Xero!$F:$F,Xero!$B:$B,Heron!AO$9,Xero!$A:$A,Heron!$A$5,Xero!$E:$E,Heron!$A95)</f>
        <v/>
      </c>
      <c r="AP95" s="66">
        <f>SUMIFS(Xero!$F:$F,Xero!$B:$B,Heron!AP$9,Xero!$A:$A,Heron!$A$4,Xero!$E:$E,Heron!$A95)+SUMIFS(Xero!$F:$F,Xero!$B:$B,Heron!AP$9,Xero!$A:$A,Heron!$A$5,Xero!$E:$E,Heron!$A95)</f>
        <v/>
      </c>
      <c r="AQ95" s="66">
        <f>SUMIFS(Xero!$F:$F,Xero!$B:$B,Heron!AQ$9,Xero!$A:$A,Heron!$A$4,Xero!$E:$E,Heron!$A95)+SUMIFS(Xero!$F:$F,Xero!$B:$B,Heron!AQ$9,Xero!$A:$A,Heron!$A$5,Xero!$E:$E,Heron!$A95)</f>
        <v/>
      </c>
      <c r="AR95" s="66">
        <f>SUMIFS(Xero!$F:$F,Xero!$B:$B,Heron!AR$9,Xero!$A:$A,Heron!$A$4,Xero!$E:$E,Heron!$A95)+SUMIFS(Xero!$F:$F,Xero!$B:$B,Heron!AR$9,Xero!$A:$A,Heron!$A$5,Xero!$E:$E,Heron!$A95)</f>
        <v/>
      </c>
      <c r="AS95" s="66">
        <f>SUMIFS(Xero!$F:$F,Xero!$B:$B,Heron!AS$9,Xero!$A:$A,Heron!$A$4,Xero!$E:$E,Heron!$A95)+SUMIFS(Xero!$F:$F,Xero!$B:$B,Heron!AS$9,Xero!$A:$A,Heron!$A$5,Xero!$E:$E,Heron!$A95)</f>
        <v/>
      </c>
      <c r="AT95" s="66">
        <f>SUMIFS(Xero!$F:$F,Xero!$B:$B,Heron!AT$9,Xero!$A:$A,Heron!$A$4,Xero!$E:$E,Heron!$A95)+SUMIFS(Xero!$F:$F,Xero!$B:$B,Heron!AT$9,Xero!$A:$A,Heron!$A$5,Xero!$E:$E,Heron!$A95)</f>
        <v/>
      </c>
      <c r="AU95" s="66">
        <f>SUMIFS(Xero!$F:$F,Xero!$B:$B,Heron!AU$9,Xero!$A:$A,Heron!$A$4,Xero!$E:$E,Heron!$A95)+SUMIFS(Xero!$F:$F,Xero!$B:$B,Heron!AU$9,Xero!$A:$A,Heron!$A$5,Xero!$E:$E,Heron!$A95)</f>
        <v/>
      </c>
      <c r="AV95" s="66">
        <f>SUMIFS(Xero!$F:$F,Xero!$B:$B,Heron!AV$9,Xero!$A:$A,Heron!$A$4,Xero!$E:$E,Heron!$A95)+SUMIFS(Xero!$F:$F,Xero!$B:$B,Heron!AV$9,Xero!$A:$A,Heron!$A$5,Xero!$E:$E,Heron!$A95)</f>
        <v/>
      </c>
      <c r="AW95" s="66">
        <f>SUMIFS(Xero!$F:$F,Xero!$B:$B,Heron!AW$9,Xero!$A:$A,Heron!$A$4,Xero!$E:$E,Heron!$A95)+SUMIFS(Xero!$F:$F,Xero!$B:$B,Heron!AW$9,Xero!$A:$A,Heron!$A$5,Xero!$E:$E,Heron!$A95)</f>
        <v/>
      </c>
      <c r="AX95" s="66">
        <f>SUMIFS(Xero!$F:$F,Xero!$B:$B,Heron!AX$9,Xero!$A:$A,Heron!$A$4,Xero!$E:$E,Heron!$A95)+SUMIFS(Xero!$F:$F,Xero!$B:$B,Heron!AX$9,Xero!$A:$A,Heron!$A$5,Xero!$E:$E,Heron!$A95)</f>
        <v/>
      </c>
      <c r="AY95" s="66">
        <f>SUMIFS(Xero!$F:$F,Xero!$B:$B,Heron!AY$9,Xero!$A:$A,Heron!$A$4,Xero!$E:$E,Heron!$A95)+SUMIFS(Xero!$F:$F,Xero!$B:$B,Heron!AY$9,Xero!$A:$A,Heron!$A$5,Xero!$E:$E,Heron!$A95)</f>
        <v/>
      </c>
      <c r="AZ95" s="66">
        <f>SUMIFS(Xero!$F:$F,Xero!$B:$B,Heron!AZ$9,Xero!$A:$A,Heron!$A$4,Xero!$E:$E,Heron!$A95)+SUMIFS(Xero!$F:$F,Xero!$B:$B,Heron!AZ$9,Xero!$A:$A,Heron!$A$5,Xero!$E:$E,Heron!$A95)</f>
        <v/>
      </c>
      <c r="BA95" s="66">
        <f>SUMIFS(Xero!$F:$F,Xero!$B:$B,Heron!BA$9,Xero!$A:$A,Heron!$A$4,Xero!$E:$E,Heron!$A95)+SUMIFS(Xero!$F:$F,Xero!$B:$B,Heron!BA$9,Xero!$A:$A,Heron!$A$5,Xero!$E:$E,Heron!$A95)</f>
        <v/>
      </c>
      <c r="BB95" s="66">
        <f>SUMIFS(Xero!$F:$F,Xero!$B:$B,Heron!BB$9,Xero!$A:$A,Heron!$A$4,Xero!$E:$E,Heron!$A95)+SUMIFS(Xero!$F:$F,Xero!$B:$B,Heron!BB$9,Xero!$A:$A,Heron!$A$5,Xero!$E:$E,Heron!$A95)</f>
        <v/>
      </c>
      <c r="BC95" s="66">
        <f>SUMIFS(Xero!$F:$F,Xero!$B:$B,Heron!BC$9,Xero!$A:$A,Heron!$A$4,Xero!$E:$E,Heron!$A95)+SUMIFS(Xero!$F:$F,Xero!$B:$B,Heron!BC$9,Xero!$A:$A,Heron!$A$5,Xero!$E:$E,Heron!$A95)</f>
        <v/>
      </c>
      <c r="BD95" s="66">
        <f>SUMIFS(Xero!$F:$F,Xero!$B:$B,Heron!BD$9,Xero!$A:$A,Heron!$A$4,Xero!$E:$E,Heron!$A95)+SUMIFS(Xero!$F:$F,Xero!$B:$B,Heron!BD$9,Xero!$A:$A,Heron!$A$5,Xero!$E:$E,Heron!$A95)</f>
        <v/>
      </c>
      <c r="BE95" s="66">
        <f>SUMIFS(Xero!$F:$F,Xero!$B:$B,Heron!BE$9,Xero!$A:$A,Heron!$A$4,Xero!$E:$E,Heron!$A95)+SUMIFS(Xero!$F:$F,Xero!$B:$B,Heron!BE$9,Xero!$A:$A,Heron!$A$5,Xero!$E:$E,Heron!$A95)</f>
        <v/>
      </c>
      <c r="BF95" s="66">
        <f>SUMIFS(Xero!$F:$F,Xero!$B:$B,Heron!BF$9,Xero!$A:$A,Heron!$A$4,Xero!$E:$E,Heron!$A95)+SUMIFS(Xero!$F:$F,Xero!$B:$B,Heron!BF$9,Xero!$A:$A,Heron!$A$5,Xero!$E:$E,Heron!$A95)</f>
        <v/>
      </c>
      <c r="BG95" s="66">
        <f>SUMIFS(Xero!$F:$F,Xero!$B:$B,Heron!BG$9,Xero!$A:$A,Heron!$A$4,Xero!$E:$E,Heron!$A95)+SUMIFS(Xero!$F:$F,Xero!$B:$B,Heron!BG$9,Xero!$A:$A,Heron!$A$5,Xero!$E:$E,Heron!$A95)</f>
        <v/>
      </c>
      <c r="BH95" s="66">
        <f>sum(D95:BG95)</f>
        <v/>
      </c>
    </row>
    <row r="96">
      <c r="A96" s="65" t="inlineStr">
        <is>
          <t>Staff Welfare</t>
        </is>
      </c>
      <c r="D96" s="66">
        <f>SUMIFS(Xero!$F:$F,Xero!$B:$B,Heron!D$9,Xero!$A:$A,Heron!$A$4,Xero!$E:$E,Heron!$A96)+SUMIFS(Xero!$F:$F,Xero!$B:$B,Heron!D$9,Xero!$A:$A,Heron!$A$5,Xero!$E:$E,Heron!$A96)</f>
        <v/>
      </c>
      <c r="E96" s="66">
        <f>SUMIFS(Xero!$F:$F,Xero!$B:$B,Heron!E$9,Xero!$A:$A,Heron!$A$4,Xero!$E:$E,Heron!$A96)+SUMIFS(Xero!$F:$F,Xero!$B:$B,Heron!E$9,Xero!$A:$A,Heron!$A$5,Xero!$E:$E,Heron!$A96)</f>
        <v/>
      </c>
      <c r="F96" s="66">
        <f>SUMIFS(Xero!$F:$F,Xero!$B:$B,Heron!F$9,Xero!$A:$A,Heron!$A$4,Xero!$E:$E,Heron!$A96)+SUMIFS(Xero!$F:$F,Xero!$B:$B,Heron!F$9,Xero!$A:$A,Heron!$A$5,Xero!$E:$E,Heron!$A96)</f>
        <v/>
      </c>
      <c r="G96" s="66">
        <f>SUMIFS(Xero!$F:$F,Xero!$B:$B,Heron!G$9,Xero!$A:$A,Heron!$A$4,Xero!$E:$E,Heron!$A96)+SUMIFS(Xero!$F:$F,Xero!$B:$B,Heron!G$9,Xero!$A:$A,Heron!$A$5,Xero!$E:$E,Heron!$A96)</f>
        <v/>
      </c>
      <c r="H96" s="66">
        <f>SUMIFS(Xero!$F:$F,Xero!$B:$B,Heron!H$9,Xero!$A:$A,Heron!$A$4,Xero!$E:$E,Heron!$A96)+SUMIFS(Xero!$F:$F,Xero!$B:$B,Heron!H$9,Xero!$A:$A,Heron!$A$5,Xero!$E:$E,Heron!$A96)</f>
        <v/>
      </c>
      <c r="I96" s="66">
        <f>SUMIFS(Xero!$F:$F,Xero!$B:$B,Heron!I$9,Xero!$A:$A,Heron!$A$4,Xero!$E:$E,Heron!$A96)+SUMIFS(Xero!$F:$F,Xero!$B:$B,Heron!I$9,Xero!$A:$A,Heron!$A$5,Xero!$E:$E,Heron!$A96)</f>
        <v/>
      </c>
      <c r="J96" s="66">
        <f>SUMIFS(Xero!$F:$F,Xero!$B:$B,Heron!J$9,Xero!$A:$A,Heron!$A$4,Xero!$E:$E,Heron!$A96)+SUMIFS(Xero!$F:$F,Xero!$B:$B,Heron!J$9,Xero!$A:$A,Heron!$A$5,Xero!$E:$E,Heron!$A96)</f>
        <v/>
      </c>
      <c r="K96" s="66">
        <f>SUMIFS(Xero!$F:$F,Xero!$B:$B,Heron!K$9,Xero!$A:$A,Heron!$A$4,Xero!$E:$E,Heron!$A96)+SUMIFS(Xero!$F:$F,Xero!$B:$B,Heron!K$9,Xero!$A:$A,Heron!$A$5,Xero!$E:$E,Heron!$A96)</f>
        <v/>
      </c>
      <c r="L96" s="66">
        <f>SUMIFS(Xero!$F:$F,Xero!$B:$B,Heron!L$9,Xero!$A:$A,Heron!$A$4,Xero!$E:$E,Heron!$A96)+SUMIFS(Xero!$F:$F,Xero!$B:$B,Heron!L$9,Xero!$A:$A,Heron!$A$5,Xero!$E:$E,Heron!$A96)</f>
        <v/>
      </c>
      <c r="M96" s="66">
        <f>SUMIFS(Xero!$F:$F,Xero!$B:$B,Heron!M$9,Xero!$A:$A,Heron!$A$4,Xero!$E:$E,Heron!$A96)+SUMIFS(Xero!$F:$F,Xero!$B:$B,Heron!M$9,Xero!$A:$A,Heron!$A$5,Xero!$E:$E,Heron!$A96)</f>
        <v/>
      </c>
      <c r="N96" s="66">
        <f>SUMIFS(Xero!$F:$F,Xero!$B:$B,Heron!N$9,Xero!$A:$A,Heron!$A$4,Xero!$E:$E,Heron!$A96)+SUMIFS(Xero!$F:$F,Xero!$B:$B,Heron!N$9,Xero!$A:$A,Heron!$A$5,Xero!$E:$E,Heron!$A96)</f>
        <v/>
      </c>
      <c r="O96" s="66">
        <f>SUMIFS(Xero!$F:$F,Xero!$B:$B,Heron!O$9,Xero!$A:$A,Heron!$A$4,Xero!$E:$E,Heron!$A96)+SUMIFS(Xero!$F:$F,Xero!$B:$B,Heron!O$9,Xero!$A:$A,Heron!$A$5,Xero!$E:$E,Heron!$A96)</f>
        <v/>
      </c>
      <c r="P96" s="66">
        <f>SUMIFS(Xero!$F:$F,Xero!$B:$B,Heron!P$9,Xero!$A:$A,Heron!$A$4,Xero!$E:$E,Heron!$A96)+SUMIFS(Xero!$F:$F,Xero!$B:$B,Heron!P$9,Xero!$A:$A,Heron!$A$5,Xero!$E:$E,Heron!$A96)</f>
        <v/>
      </c>
      <c r="Q96" s="66">
        <f>SUMIFS(Xero!$F:$F,Xero!$B:$B,Heron!Q$9,Xero!$A:$A,Heron!$A$4,Xero!$E:$E,Heron!$A96)+SUMIFS(Xero!$F:$F,Xero!$B:$B,Heron!Q$9,Xero!$A:$A,Heron!$A$5,Xero!$E:$E,Heron!$A96)</f>
        <v/>
      </c>
      <c r="R96" s="66">
        <f>SUMIFS(Xero!$F:$F,Xero!$B:$B,Heron!R$9,Xero!$A:$A,Heron!$A$4,Xero!$E:$E,Heron!$A96)+SUMIFS(Xero!$F:$F,Xero!$B:$B,Heron!R$9,Xero!$A:$A,Heron!$A$5,Xero!$E:$E,Heron!$A96)</f>
        <v/>
      </c>
      <c r="S96" s="66">
        <f>SUMIFS(Xero!$F:$F,Xero!$B:$B,Heron!S$9,Xero!$A:$A,Heron!$A$4,Xero!$E:$E,Heron!$A96)+SUMIFS(Xero!$F:$F,Xero!$B:$B,Heron!S$9,Xero!$A:$A,Heron!$A$5,Xero!$E:$E,Heron!$A96)</f>
        <v/>
      </c>
      <c r="T96" s="66">
        <f>SUMIFS(Xero!$F:$F,Xero!$B:$B,Heron!T$9,Xero!$A:$A,Heron!$A$4,Xero!$E:$E,Heron!$A96)+SUMIFS(Xero!$F:$F,Xero!$B:$B,Heron!T$9,Xero!$A:$A,Heron!$A$5,Xero!$E:$E,Heron!$A96)</f>
        <v/>
      </c>
      <c r="U96" s="66">
        <f>SUMIFS(Xero!$F:$F,Xero!$B:$B,Heron!U$9,Xero!$A:$A,Heron!$A$4,Xero!$E:$E,Heron!$A96)+SUMIFS(Xero!$F:$F,Xero!$B:$B,Heron!U$9,Xero!$A:$A,Heron!$A$5,Xero!$E:$E,Heron!$A96)</f>
        <v/>
      </c>
      <c r="V96" s="66">
        <f>SUMIFS(Xero!$F:$F,Xero!$B:$B,Heron!V$9,Xero!$A:$A,Heron!$A$4,Xero!$E:$E,Heron!$A96)+SUMIFS(Xero!$F:$F,Xero!$B:$B,Heron!V$9,Xero!$A:$A,Heron!$A$5,Xero!$E:$E,Heron!$A96)</f>
        <v/>
      </c>
      <c r="W96" s="66">
        <f>SUMIFS(Xero!$F:$F,Xero!$B:$B,Heron!W$9,Xero!$A:$A,Heron!$A$4,Xero!$E:$E,Heron!$A96)+SUMIFS(Xero!$F:$F,Xero!$B:$B,Heron!W$9,Xero!$A:$A,Heron!$A$5,Xero!$E:$E,Heron!$A96)</f>
        <v/>
      </c>
      <c r="X96" s="66">
        <f>SUMIFS(Xero!$F:$F,Xero!$B:$B,Heron!X$9,Xero!$A:$A,Heron!$A$4,Xero!$E:$E,Heron!$A96)+SUMIFS(Xero!$F:$F,Xero!$B:$B,Heron!X$9,Xero!$A:$A,Heron!$A$5,Xero!$E:$E,Heron!$A96)</f>
        <v/>
      </c>
      <c r="Y96" s="66">
        <f>SUMIFS(Xero!$F:$F,Xero!$B:$B,Heron!Y$9,Xero!$A:$A,Heron!$A$4,Xero!$E:$E,Heron!$A96)+SUMIFS(Xero!$F:$F,Xero!$B:$B,Heron!Y$9,Xero!$A:$A,Heron!$A$5,Xero!$E:$E,Heron!$A96)</f>
        <v/>
      </c>
      <c r="Z96" s="66">
        <f>SUMIFS(Xero!$F:$F,Xero!$B:$B,Heron!Z$9,Xero!$A:$A,Heron!$A$4,Xero!$E:$E,Heron!$A96)+SUMIFS(Xero!$F:$F,Xero!$B:$B,Heron!Z$9,Xero!$A:$A,Heron!$A$5,Xero!$E:$E,Heron!$A96)</f>
        <v/>
      </c>
      <c r="AA96" s="66">
        <f>SUMIFS(Xero!$F:$F,Xero!$B:$B,Heron!AA$9,Xero!$A:$A,Heron!$A$4,Xero!$E:$E,Heron!$A96)+SUMIFS(Xero!$F:$F,Xero!$B:$B,Heron!AA$9,Xero!$A:$A,Heron!$A$5,Xero!$E:$E,Heron!$A96)</f>
        <v/>
      </c>
      <c r="AB96" s="66">
        <f>SUMIFS(Xero!$F:$F,Xero!$B:$B,Heron!AB$9,Xero!$A:$A,Heron!$A$4,Xero!$E:$E,Heron!$A96)+SUMIFS(Xero!$F:$F,Xero!$B:$B,Heron!AB$9,Xero!$A:$A,Heron!$A$5,Xero!$E:$E,Heron!$A96)</f>
        <v/>
      </c>
      <c r="AC96" s="66">
        <f>SUMIFS(Xero!$F:$F,Xero!$B:$B,Heron!AC$9,Xero!$A:$A,Heron!$A$4,Xero!$E:$E,Heron!$A96)+SUMIFS(Xero!$F:$F,Xero!$B:$B,Heron!AC$9,Xero!$A:$A,Heron!$A$5,Xero!$E:$E,Heron!$A96)</f>
        <v/>
      </c>
      <c r="AD96" s="66">
        <f>SUMIFS(Xero!$F:$F,Xero!$B:$B,Heron!AD$9,Xero!$A:$A,Heron!$A$4,Xero!$E:$E,Heron!$A96)+SUMIFS(Xero!$F:$F,Xero!$B:$B,Heron!AD$9,Xero!$A:$A,Heron!$A$5,Xero!$E:$E,Heron!$A96)</f>
        <v/>
      </c>
      <c r="AE96" s="66">
        <f>SUMIFS(Xero!$F:$F,Xero!$B:$B,Heron!AE$9,Xero!$A:$A,Heron!$A$4,Xero!$E:$E,Heron!$A96)+SUMIFS(Xero!$F:$F,Xero!$B:$B,Heron!AE$9,Xero!$A:$A,Heron!$A$5,Xero!$E:$E,Heron!$A96)</f>
        <v/>
      </c>
      <c r="AF96" s="66">
        <f>SUMIFS(Xero!$F:$F,Xero!$B:$B,Heron!AF$9,Xero!$A:$A,Heron!$A$4,Xero!$E:$E,Heron!$A96)+SUMIFS(Xero!$F:$F,Xero!$B:$B,Heron!AF$9,Xero!$A:$A,Heron!$A$5,Xero!$E:$E,Heron!$A96)</f>
        <v/>
      </c>
      <c r="AG96" s="66">
        <f>SUMIFS(Xero!$F:$F,Xero!$B:$B,Heron!AG$9,Xero!$A:$A,Heron!$A$4,Xero!$E:$E,Heron!$A96)+SUMIFS(Xero!$F:$F,Xero!$B:$B,Heron!AG$9,Xero!$A:$A,Heron!$A$5,Xero!$E:$E,Heron!$A96)</f>
        <v/>
      </c>
      <c r="AH96" s="66">
        <f>SUMIFS(Xero!$F:$F,Xero!$B:$B,Heron!AH$9,Xero!$A:$A,Heron!$A$4,Xero!$E:$E,Heron!$A96)+SUMIFS(Xero!$F:$F,Xero!$B:$B,Heron!AH$9,Xero!$A:$A,Heron!$A$5,Xero!$E:$E,Heron!$A96)</f>
        <v/>
      </c>
      <c r="AI96" s="66">
        <f>SUMIFS(Xero!$F:$F,Xero!$B:$B,Heron!AI$9,Xero!$A:$A,Heron!$A$4,Xero!$E:$E,Heron!$A96)+SUMIFS(Xero!$F:$F,Xero!$B:$B,Heron!AI$9,Xero!$A:$A,Heron!$A$5,Xero!$E:$E,Heron!$A96)</f>
        <v/>
      </c>
      <c r="AJ96" s="66">
        <f>SUMIFS(Xero!$F:$F,Xero!$B:$B,Heron!AJ$9,Xero!$A:$A,Heron!$A$4,Xero!$E:$E,Heron!$A96)+SUMIFS(Xero!$F:$F,Xero!$B:$B,Heron!AJ$9,Xero!$A:$A,Heron!$A$5,Xero!$E:$E,Heron!$A96)</f>
        <v/>
      </c>
      <c r="AK96" s="66">
        <f>SUMIFS(Xero!$F:$F,Xero!$B:$B,Heron!AK$9,Xero!$A:$A,Heron!$A$4,Xero!$E:$E,Heron!$A96)+SUMIFS(Xero!$F:$F,Xero!$B:$B,Heron!AK$9,Xero!$A:$A,Heron!$A$5,Xero!$E:$E,Heron!$A96)</f>
        <v/>
      </c>
      <c r="AL96" s="66">
        <f>SUMIFS(Xero!$F:$F,Xero!$B:$B,Heron!AL$9,Xero!$A:$A,Heron!$A$4,Xero!$E:$E,Heron!$A96)+SUMIFS(Xero!$F:$F,Xero!$B:$B,Heron!AL$9,Xero!$A:$A,Heron!$A$5,Xero!$E:$E,Heron!$A96)</f>
        <v/>
      </c>
      <c r="AM96" s="66">
        <f>SUMIFS(Xero!$F:$F,Xero!$B:$B,Heron!AM$9,Xero!$A:$A,Heron!$A$4,Xero!$E:$E,Heron!$A96)+SUMIFS(Xero!$F:$F,Xero!$B:$B,Heron!AM$9,Xero!$A:$A,Heron!$A$5,Xero!$E:$E,Heron!$A96)</f>
        <v/>
      </c>
      <c r="AN96" s="66">
        <f>SUMIFS(Xero!$F:$F,Xero!$B:$B,Heron!AN$9,Xero!$A:$A,Heron!$A$4,Xero!$E:$E,Heron!$A96)+SUMIFS(Xero!$F:$F,Xero!$B:$B,Heron!AN$9,Xero!$A:$A,Heron!$A$5,Xero!$E:$E,Heron!$A96)</f>
        <v/>
      </c>
      <c r="AO96" s="66">
        <f>SUMIFS(Xero!$F:$F,Xero!$B:$B,Heron!AO$9,Xero!$A:$A,Heron!$A$4,Xero!$E:$E,Heron!$A96)+SUMIFS(Xero!$F:$F,Xero!$B:$B,Heron!AO$9,Xero!$A:$A,Heron!$A$5,Xero!$E:$E,Heron!$A96)</f>
        <v/>
      </c>
      <c r="AP96" s="66">
        <f>SUMIFS(Xero!$F:$F,Xero!$B:$B,Heron!AP$9,Xero!$A:$A,Heron!$A$4,Xero!$E:$E,Heron!$A96)+SUMIFS(Xero!$F:$F,Xero!$B:$B,Heron!AP$9,Xero!$A:$A,Heron!$A$5,Xero!$E:$E,Heron!$A96)</f>
        <v/>
      </c>
      <c r="AQ96" s="66">
        <f>SUMIFS(Xero!$F:$F,Xero!$B:$B,Heron!AQ$9,Xero!$A:$A,Heron!$A$4,Xero!$E:$E,Heron!$A96)+SUMIFS(Xero!$F:$F,Xero!$B:$B,Heron!AQ$9,Xero!$A:$A,Heron!$A$5,Xero!$E:$E,Heron!$A96)</f>
        <v/>
      </c>
      <c r="AR96" s="66">
        <f>SUMIFS(Xero!$F:$F,Xero!$B:$B,Heron!AR$9,Xero!$A:$A,Heron!$A$4,Xero!$E:$E,Heron!$A96)+SUMIFS(Xero!$F:$F,Xero!$B:$B,Heron!AR$9,Xero!$A:$A,Heron!$A$5,Xero!$E:$E,Heron!$A96)</f>
        <v/>
      </c>
      <c r="AS96" s="66">
        <f>SUMIFS(Xero!$F:$F,Xero!$B:$B,Heron!AS$9,Xero!$A:$A,Heron!$A$4,Xero!$E:$E,Heron!$A96)+SUMIFS(Xero!$F:$F,Xero!$B:$B,Heron!AS$9,Xero!$A:$A,Heron!$A$5,Xero!$E:$E,Heron!$A96)</f>
        <v/>
      </c>
      <c r="AT96" s="66">
        <f>SUMIFS(Xero!$F:$F,Xero!$B:$B,Heron!AT$9,Xero!$A:$A,Heron!$A$4,Xero!$E:$E,Heron!$A96)+SUMIFS(Xero!$F:$F,Xero!$B:$B,Heron!AT$9,Xero!$A:$A,Heron!$A$5,Xero!$E:$E,Heron!$A96)</f>
        <v/>
      </c>
      <c r="AU96" s="66">
        <f>SUMIFS(Xero!$F:$F,Xero!$B:$B,Heron!AU$9,Xero!$A:$A,Heron!$A$4,Xero!$E:$E,Heron!$A96)+SUMIFS(Xero!$F:$F,Xero!$B:$B,Heron!AU$9,Xero!$A:$A,Heron!$A$5,Xero!$E:$E,Heron!$A96)</f>
        <v/>
      </c>
      <c r="AV96" s="66">
        <f>SUMIFS(Xero!$F:$F,Xero!$B:$B,Heron!AV$9,Xero!$A:$A,Heron!$A$4,Xero!$E:$E,Heron!$A96)+SUMIFS(Xero!$F:$F,Xero!$B:$B,Heron!AV$9,Xero!$A:$A,Heron!$A$5,Xero!$E:$E,Heron!$A96)</f>
        <v/>
      </c>
      <c r="AW96" s="66">
        <f>SUMIFS(Xero!$F:$F,Xero!$B:$B,Heron!AW$9,Xero!$A:$A,Heron!$A$4,Xero!$E:$E,Heron!$A96)+SUMIFS(Xero!$F:$F,Xero!$B:$B,Heron!AW$9,Xero!$A:$A,Heron!$A$5,Xero!$E:$E,Heron!$A96)</f>
        <v/>
      </c>
      <c r="AX96" s="66">
        <f>SUMIFS(Xero!$F:$F,Xero!$B:$B,Heron!AX$9,Xero!$A:$A,Heron!$A$4,Xero!$E:$E,Heron!$A96)+SUMIFS(Xero!$F:$F,Xero!$B:$B,Heron!AX$9,Xero!$A:$A,Heron!$A$5,Xero!$E:$E,Heron!$A96)</f>
        <v/>
      </c>
      <c r="AY96" s="66">
        <f>SUMIFS(Xero!$F:$F,Xero!$B:$B,Heron!AY$9,Xero!$A:$A,Heron!$A$4,Xero!$E:$E,Heron!$A96)+SUMIFS(Xero!$F:$F,Xero!$B:$B,Heron!AY$9,Xero!$A:$A,Heron!$A$5,Xero!$E:$E,Heron!$A96)</f>
        <v/>
      </c>
      <c r="AZ96" s="66">
        <f>SUMIFS(Xero!$F:$F,Xero!$B:$B,Heron!AZ$9,Xero!$A:$A,Heron!$A$4,Xero!$E:$E,Heron!$A96)+SUMIFS(Xero!$F:$F,Xero!$B:$B,Heron!AZ$9,Xero!$A:$A,Heron!$A$5,Xero!$E:$E,Heron!$A96)</f>
        <v/>
      </c>
      <c r="BA96" s="66">
        <f>SUMIFS(Xero!$F:$F,Xero!$B:$B,Heron!BA$9,Xero!$A:$A,Heron!$A$4,Xero!$E:$E,Heron!$A96)+SUMIFS(Xero!$F:$F,Xero!$B:$B,Heron!BA$9,Xero!$A:$A,Heron!$A$5,Xero!$E:$E,Heron!$A96)</f>
        <v/>
      </c>
      <c r="BB96" s="66">
        <f>SUMIFS(Xero!$F:$F,Xero!$B:$B,Heron!BB$9,Xero!$A:$A,Heron!$A$4,Xero!$E:$E,Heron!$A96)+SUMIFS(Xero!$F:$F,Xero!$B:$B,Heron!BB$9,Xero!$A:$A,Heron!$A$5,Xero!$E:$E,Heron!$A96)</f>
        <v/>
      </c>
      <c r="BC96" s="66">
        <f>SUMIFS(Xero!$F:$F,Xero!$B:$B,Heron!BC$9,Xero!$A:$A,Heron!$A$4,Xero!$E:$E,Heron!$A96)+SUMIFS(Xero!$F:$F,Xero!$B:$B,Heron!BC$9,Xero!$A:$A,Heron!$A$5,Xero!$E:$E,Heron!$A96)</f>
        <v/>
      </c>
      <c r="BD96" s="66">
        <f>SUMIFS(Xero!$F:$F,Xero!$B:$B,Heron!BD$9,Xero!$A:$A,Heron!$A$4,Xero!$E:$E,Heron!$A96)+SUMIFS(Xero!$F:$F,Xero!$B:$B,Heron!BD$9,Xero!$A:$A,Heron!$A$5,Xero!$E:$E,Heron!$A96)</f>
        <v/>
      </c>
      <c r="BE96" s="66">
        <f>SUMIFS(Xero!$F:$F,Xero!$B:$B,Heron!BE$9,Xero!$A:$A,Heron!$A$4,Xero!$E:$E,Heron!$A96)+SUMIFS(Xero!$F:$F,Xero!$B:$B,Heron!BE$9,Xero!$A:$A,Heron!$A$5,Xero!$E:$E,Heron!$A96)</f>
        <v/>
      </c>
      <c r="BF96" s="66">
        <f>SUMIFS(Xero!$F:$F,Xero!$B:$B,Heron!BF$9,Xero!$A:$A,Heron!$A$4,Xero!$E:$E,Heron!$A96)+SUMIFS(Xero!$F:$F,Xero!$B:$B,Heron!BF$9,Xero!$A:$A,Heron!$A$5,Xero!$E:$E,Heron!$A96)</f>
        <v/>
      </c>
      <c r="BG96" s="66">
        <f>SUMIFS(Xero!$F:$F,Xero!$B:$B,Heron!BG$9,Xero!$A:$A,Heron!$A$4,Xero!$E:$E,Heron!$A96)+SUMIFS(Xero!$F:$F,Xero!$B:$B,Heron!BG$9,Xero!$A:$A,Heron!$A$5,Xero!$E:$E,Heron!$A96)</f>
        <v/>
      </c>
      <c r="BH96" s="66">
        <f>sum(D96:BG96)</f>
        <v/>
      </c>
    </row>
    <row r="97">
      <c r="A97" s="65" t="inlineStr">
        <is>
          <t>Subscription - NHBRC</t>
        </is>
      </c>
      <c r="D97" s="66">
        <f>SUMIFS(Xero!$F:$F,Xero!$B:$B,Heron!D$9,Xero!$A:$A,Heron!$A$4,Xero!$E:$E,Heron!$A97)+SUMIFS(Xero!$F:$F,Xero!$B:$B,Heron!D$9,Xero!$A:$A,Heron!$A$5,Xero!$E:$E,Heron!$A97)</f>
        <v/>
      </c>
      <c r="E97" s="66">
        <f>SUMIFS(Xero!$F:$F,Xero!$B:$B,Heron!E$9,Xero!$A:$A,Heron!$A$4,Xero!$E:$E,Heron!$A97)+SUMIFS(Xero!$F:$F,Xero!$B:$B,Heron!E$9,Xero!$A:$A,Heron!$A$5,Xero!$E:$E,Heron!$A97)</f>
        <v/>
      </c>
      <c r="F97" s="66">
        <f>SUMIFS(Xero!$F:$F,Xero!$B:$B,Heron!F$9,Xero!$A:$A,Heron!$A$4,Xero!$E:$E,Heron!$A97)+SUMIFS(Xero!$F:$F,Xero!$B:$B,Heron!F$9,Xero!$A:$A,Heron!$A$5,Xero!$E:$E,Heron!$A97)</f>
        <v/>
      </c>
      <c r="G97" s="66">
        <f>SUMIFS(Xero!$F:$F,Xero!$B:$B,Heron!G$9,Xero!$A:$A,Heron!$A$4,Xero!$E:$E,Heron!$A97)+SUMIFS(Xero!$F:$F,Xero!$B:$B,Heron!G$9,Xero!$A:$A,Heron!$A$5,Xero!$E:$E,Heron!$A97)</f>
        <v/>
      </c>
      <c r="H97" s="66">
        <f>SUMIFS(Xero!$F:$F,Xero!$B:$B,Heron!H$9,Xero!$A:$A,Heron!$A$4,Xero!$E:$E,Heron!$A97)+SUMIFS(Xero!$F:$F,Xero!$B:$B,Heron!H$9,Xero!$A:$A,Heron!$A$5,Xero!$E:$E,Heron!$A97)</f>
        <v/>
      </c>
      <c r="I97" s="66">
        <f>SUMIFS(Xero!$F:$F,Xero!$B:$B,Heron!I$9,Xero!$A:$A,Heron!$A$4,Xero!$E:$E,Heron!$A97)+SUMIFS(Xero!$F:$F,Xero!$B:$B,Heron!I$9,Xero!$A:$A,Heron!$A$5,Xero!$E:$E,Heron!$A97)</f>
        <v/>
      </c>
      <c r="J97" s="66">
        <f>SUMIFS(Xero!$F:$F,Xero!$B:$B,Heron!J$9,Xero!$A:$A,Heron!$A$4,Xero!$E:$E,Heron!$A97)+SUMIFS(Xero!$F:$F,Xero!$B:$B,Heron!J$9,Xero!$A:$A,Heron!$A$5,Xero!$E:$E,Heron!$A97)</f>
        <v/>
      </c>
      <c r="K97" s="66">
        <f>SUMIFS(Xero!$F:$F,Xero!$B:$B,Heron!K$9,Xero!$A:$A,Heron!$A$4,Xero!$E:$E,Heron!$A97)+SUMIFS(Xero!$F:$F,Xero!$B:$B,Heron!K$9,Xero!$A:$A,Heron!$A$5,Xero!$E:$E,Heron!$A97)</f>
        <v/>
      </c>
      <c r="L97" s="66">
        <f>SUMIFS(Xero!$F:$F,Xero!$B:$B,Heron!L$9,Xero!$A:$A,Heron!$A$4,Xero!$E:$E,Heron!$A97)+SUMIFS(Xero!$F:$F,Xero!$B:$B,Heron!L$9,Xero!$A:$A,Heron!$A$5,Xero!$E:$E,Heron!$A97)</f>
        <v/>
      </c>
      <c r="M97" s="66">
        <f>SUMIFS(Xero!$F:$F,Xero!$B:$B,Heron!M$9,Xero!$A:$A,Heron!$A$4,Xero!$E:$E,Heron!$A97)+SUMIFS(Xero!$F:$F,Xero!$B:$B,Heron!M$9,Xero!$A:$A,Heron!$A$5,Xero!$E:$E,Heron!$A97)</f>
        <v/>
      </c>
      <c r="N97" s="66">
        <f>SUMIFS(Xero!$F:$F,Xero!$B:$B,Heron!N$9,Xero!$A:$A,Heron!$A$4,Xero!$E:$E,Heron!$A97)+SUMIFS(Xero!$F:$F,Xero!$B:$B,Heron!N$9,Xero!$A:$A,Heron!$A$5,Xero!$E:$E,Heron!$A97)</f>
        <v/>
      </c>
      <c r="O97" s="66">
        <f>SUMIFS(Xero!$F:$F,Xero!$B:$B,Heron!O$9,Xero!$A:$A,Heron!$A$4,Xero!$E:$E,Heron!$A97)+SUMIFS(Xero!$F:$F,Xero!$B:$B,Heron!O$9,Xero!$A:$A,Heron!$A$5,Xero!$E:$E,Heron!$A97)</f>
        <v/>
      </c>
      <c r="P97" s="66">
        <f>SUMIFS(Xero!$F:$F,Xero!$B:$B,Heron!P$9,Xero!$A:$A,Heron!$A$4,Xero!$E:$E,Heron!$A97)+SUMIFS(Xero!$F:$F,Xero!$B:$B,Heron!P$9,Xero!$A:$A,Heron!$A$5,Xero!$E:$E,Heron!$A97)</f>
        <v/>
      </c>
      <c r="Q97" s="66">
        <f>SUMIFS(Xero!$F:$F,Xero!$B:$B,Heron!Q$9,Xero!$A:$A,Heron!$A$4,Xero!$E:$E,Heron!$A97)+SUMIFS(Xero!$F:$F,Xero!$B:$B,Heron!Q$9,Xero!$A:$A,Heron!$A$5,Xero!$E:$E,Heron!$A97)</f>
        <v/>
      </c>
      <c r="R97" s="66">
        <f>SUMIFS(Xero!$F:$F,Xero!$B:$B,Heron!R$9,Xero!$A:$A,Heron!$A$4,Xero!$E:$E,Heron!$A97)+SUMIFS(Xero!$F:$F,Xero!$B:$B,Heron!R$9,Xero!$A:$A,Heron!$A$5,Xero!$E:$E,Heron!$A97)</f>
        <v/>
      </c>
      <c r="S97" s="66">
        <f>SUMIFS(Xero!$F:$F,Xero!$B:$B,Heron!S$9,Xero!$A:$A,Heron!$A$4,Xero!$E:$E,Heron!$A97)+SUMIFS(Xero!$F:$F,Xero!$B:$B,Heron!S$9,Xero!$A:$A,Heron!$A$5,Xero!$E:$E,Heron!$A97)</f>
        <v/>
      </c>
      <c r="T97" s="66">
        <f>SUMIFS(Xero!$F:$F,Xero!$B:$B,Heron!T$9,Xero!$A:$A,Heron!$A$4,Xero!$E:$E,Heron!$A97)+SUMIFS(Xero!$F:$F,Xero!$B:$B,Heron!T$9,Xero!$A:$A,Heron!$A$5,Xero!$E:$E,Heron!$A97)</f>
        <v/>
      </c>
      <c r="U97" s="66">
        <f>SUMIFS(Xero!$F:$F,Xero!$B:$B,Heron!U$9,Xero!$A:$A,Heron!$A$4,Xero!$E:$E,Heron!$A97)+SUMIFS(Xero!$F:$F,Xero!$B:$B,Heron!U$9,Xero!$A:$A,Heron!$A$5,Xero!$E:$E,Heron!$A97)</f>
        <v/>
      </c>
      <c r="V97" s="66">
        <f>SUMIFS(Xero!$F:$F,Xero!$B:$B,Heron!V$9,Xero!$A:$A,Heron!$A$4,Xero!$E:$E,Heron!$A97)+SUMIFS(Xero!$F:$F,Xero!$B:$B,Heron!V$9,Xero!$A:$A,Heron!$A$5,Xero!$E:$E,Heron!$A97)</f>
        <v/>
      </c>
      <c r="W97" s="66">
        <f>SUMIFS(Xero!$F:$F,Xero!$B:$B,Heron!W$9,Xero!$A:$A,Heron!$A$4,Xero!$E:$E,Heron!$A97)+SUMIFS(Xero!$F:$F,Xero!$B:$B,Heron!W$9,Xero!$A:$A,Heron!$A$5,Xero!$E:$E,Heron!$A97)</f>
        <v/>
      </c>
      <c r="X97" s="66">
        <f>SUMIFS(Xero!$F:$F,Xero!$B:$B,Heron!X$9,Xero!$A:$A,Heron!$A$4,Xero!$E:$E,Heron!$A97)+SUMIFS(Xero!$F:$F,Xero!$B:$B,Heron!X$9,Xero!$A:$A,Heron!$A$5,Xero!$E:$E,Heron!$A97)</f>
        <v/>
      </c>
      <c r="Y97" s="66">
        <f>SUMIFS(Xero!$F:$F,Xero!$B:$B,Heron!Y$9,Xero!$A:$A,Heron!$A$4,Xero!$E:$E,Heron!$A97)+SUMIFS(Xero!$F:$F,Xero!$B:$B,Heron!Y$9,Xero!$A:$A,Heron!$A$5,Xero!$E:$E,Heron!$A97)</f>
        <v/>
      </c>
      <c r="Z97" s="66">
        <f>SUMIFS(Xero!$F:$F,Xero!$B:$B,Heron!Z$9,Xero!$A:$A,Heron!$A$4,Xero!$E:$E,Heron!$A97)+SUMIFS(Xero!$F:$F,Xero!$B:$B,Heron!Z$9,Xero!$A:$A,Heron!$A$5,Xero!$E:$E,Heron!$A97)</f>
        <v/>
      </c>
      <c r="AA97" s="66">
        <f>SUMIFS(Xero!$F:$F,Xero!$B:$B,Heron!AA$9,Xero!$A:$A,Heron!$A$4,Xero!$E:$E,Heron!$A97)+SUMIFS(Xero!$F:$F,Xero!$B:$B,Heron!AA$9,Xero!$A:$A,Heron!$A$5,Xero!$E:$E,Heron!$A97)</f>
        <v/>
      </c>
      <c r="AB97" s="66">
        <f>SUMIFS(Xero!$F:$F,Xero!$B:$B,Heron!AB$9,Xero!$A:$A,Heron!$A$4,Xero!$E:$E,Heron!$A97)+SUMIFS(Xero!$F:$F,Xero!$B:$B,Heron!AB$9,Xero!$A:$A,Heron!$A$5,Xero!$E:$E,Heron!$A97)</f>
        <v/>
      </c>
      <c r="AC97" s="66">
        <f>SUMIFS(Xero!$F:$F,Xero!$B:$B,Heron!AC$9,Xero!$A:$A,Heron!$A$4,Xero!$E:$E,Heron!$A97)+SUMIFS(Xero!$F:$F,Xero!$B:$B,Heron!AC$9,Xero!$A:$A,Heron!$A$5,Xero!$E:$E,Heron!$A97)</f>
        <v/>
      </c>
      <c r="AD97" s="66">
        <f>SUMIFS(Xero!$F:$F,Xero!$B:$B,Heron!AD$9,Xero!$A:$A,Heron!$A$4,Xero!$E:$E,Heron!$A97)+SUMIFS(Xero!$F:$F,Xero!$B:$B,Heron!AD$9,Xero!$A:$A,Heron!$A$5,Xero!$E:$E,Heron!$A97)</f>
        <v/>
      </c>
      <c r="AE97" s="66">
        <f>SUMIFS(Xero!$F:$F,Xero!$B:$B,Heron!AE$9,Xero!$A:$A,Heron!$A$4,Xero!$E:$E,Heron!$A97)+SUMIFS(Xero!$F:$F,Xero!$B:$B,Heron!AE$9,Xero!$A:$A,Heron!$A$5,Xero!$E:$E,Heron!$A97)</f>
        <v/>
      </c>
      <c r="AF97" s="66">
        <f>SUMIFS(Xero!$F:$F,Xero!$B:$B,Heron!AF$9,Xero!$A:$A,Heron!$A$4,Xero!$E:$E,Heron!$A97)+SUMIFS(Xero!$F:$F,Xero!$B:$B,Heron!AF$9,Xero!$A:$A,Heron!$A$5,Xero!$E:$E,Heron!$A97)</f>
        <v/>
      </c>
      <c r="AG97" s="66">
        <f>SUMIFS(Xero!$F:$F,Xero!$B:$B,Heron!AG$9,Xero!$A:$A,Heron!$A$4,Xero!$E:$E,Heron!$A97)+SUMIFS(Xero!$F:$F,Xero!$B:$B,Heron!AG$9,Xero!$A:$A,Heron!$A$5,Xero!$E:$E,Heron!$A97)</f>
        <v/>
      </c>
      <c r="AH97" s="66">
        <f>SUMIFS(Xero!$F:$F,Xero!$B:$B,Heron!AH$9,Xero!$A:$A,Heron!$A$4,Xero!$E:$E,Heron!$A97)+SUMIFS(Xero!$F:$F,Xero!$B:$B,Heron!AH$9,Xero!$A:$A,Heron!$A$5,Xero!$E:$E,Heron!$A97)</f>
        <v/>
      </c>
      <c r="AI97" s="66">
        <f>SUMIFS(Xero!$F:$F,Xero!$B:$B,Heron!AI$9,Xero!$A:$A,Heron!$A$4,Xero!$E:$E,Heron!$A97)+SUMIFS(Xero!$F:$F,Xero!$B:$B,Heron!AI$9,Xero!$A:$A,Heron!$A$5,Xero!$E:$E,Heron!$A97)</f>
        <v/>
      </c>
      <c r="AJ97" s="66">
        <f>SUMIFS(Xero!$F:$F,Xero!$B:$B,Heron!AJ$9,Xero!$A:$A,Heron!$A$4,Xero!$E:$E,Heron!$A97)+SUMIFS(Xero!$F:$F,Xero!$B:$B,Heron!AJ$9,Xero!$A:$A,Heron!$A$5,Xero!$E:$E,Heron!$A97)</f>
        <v/>
      </c>
      <c r="AK97" s="66">
        <f>SUMIFS(Xero!$F:$F,Xero!$B:$B,Heron!AK$9,Xero!$A:$A,Heron!$A$4,Xero!$E:$E,Heron!$A97)+SUMIFS(Xero!$F:$F,Xero!$B:$B,Heron!AK$9,Xero!$A:$A,Heron!$A$5,Xero!$E:$E,Heron!$A97)</f>
        <v/>
      </c>
      <c r="AL97" s="66">
        <f>SUMIFS(Xero!$F:$F,Xero!$B:$B,Heron!AL$9,Xero!$A:$A,Heron!$A$4,Xero!$E:$E,Heron!$A97)+SUMIFS(Xero!$F:$F,Xero!$B:$B,Heron!AL$9,Xero!$A:$A,Heron!$A$5,Xero!$E:$E,Heron!$A97)</f>
        <v/>
      </c>
      <c r="AM97" s="66">
        <f>SUMIFS(Xero!$F:$F,Xero!$B:$B,Heron!AM$9,Xero!$A:$A,Heron!$A$4,Xero!$E:$E,Heron!$A97)+SUMIFS(Xero!$F:$F,Xero!$B:$B,Heron!AM$9,Xero!$A:$A,Heron!$A$5,Xero!$E:$E,Heron!$A97)</f>
        <v/>
      </c>
      <c r="AN97" s="66">
        <f>SUMIFS(Xero!$F:$F,Xero!$B:$B,Heron!AN$9,Xero!$A:$A,Heron!$A$4,Xero!$E:$E,Heron!$A97)+SUMIFS(Xero!$F:$F,Xero!$B:$B,Heron!AN$9,Xero!$A:$A,Heron!$A$5,Xero!$E:$E,Heron!$A97)</f>
        <v/>
      </c>
      <c r="AO97" s="66">
        <f>SUMIFS(Xero!$F:$F,Xero!$B:$B,Heron!AO$9,Xero!$A:$A,Heron!$A$4,Xero!$E:$E,Heron!$A97)+SUMIFS(Xero!$F:$F,Xero!$B:$B,Heron!AO$9,Xero!$A:$A,Heron!$A$5,Xero!$E:$E,Heron!$A97)</f>
        <v/>
      </c>
      <c r="AP97" s="66">
        <f>SUMIFS(Xero!$F:$F,Xero!$B:$B,Heron!AP$9,Xero!$A:$A,Heron!$A$4,Xero!$E:$E,Heron!$A97)+SUMIFS(Xero!$F:$F,Xero!$B:$B,Heron!AP$9,Xero!$A:$A,Heron!$A$5,Xero!$E:$E,Heron!$A97)</f>
        <v/>
      </c>
      <c r="AQ97" s="66">
        <f>SUMIFS(Xero!$F:$F,Xero!$B:$B,Heron!AQ$9,Xero!$A:$A,Heron!$A$4,Xero!$E:$E,Heron!$A97)+SUMIFS(Xero!$F:$F,Xero!$B:$B,Heron!AQ$9,Xero!$A:$A,Heron!$A$5,Xero!$E:$E,Heron!$A97)</f>
        <v/>
      </c>
      <c r="AR97" s="66">
        <f>SUMIFS(Xero!$F:$F,Xero!$B:$B,Heron!AR$9,Xero!$A:$A,Heron!$A$4,Xero!$E:$E,Heron!$A97)+SUMIFS(Xero!$F:$F,Xero!$B:$B,Heron!AR$9,Xero!$A:$A,Heron!$A$5,Xero!$E:$E,Heron!$A97)</f>
        <v/>
      </c>
      <c r="AS97" s="66">
        <f>SUMIFS(Xero!$F:$F,Xero!$B:$B,Heron!AS$9,Xero!$A:$A,Heron!$A$4,Xero!$E:$E,Heron!$A97)+SUMIFS(Xero!$F:$F,Xero!$B:$B,Heron!AS$9,Xero!$A:$A,Heron!$A$5,Xero!$E:$E,Heron!$A97)</f>
        <v/>
      </c>
      <c r="AT97" s="66">
        <f>SUMIFS(Xero!$F:$F,Xero!$B:$B,Heron!AT$9,Xero!$A:$A,Heron!$A$4,Xero!$E:$E,Heron!$A97)+SUMIFS(Xero!$F:$F,Xero!$B:$B,Heron!AT$9,Xero!$A:$A,Heron!$A$5,Xero!$E:$E,Heron!$A97)</f>
        <v/>
      </c>
      <c r="AU97" s="66">
        <f>SUMIFS(Xero!$F:$F,Xero!$B:$B,Heron!AU$9,Xero!$A:$A,Heron!$A$4,Xero!$E:$E,Heron!$A97)+SUMIFS(Xero!$F:$F,Xero!$B:$B,Heron!AU$9,Xero!$A:$A,Heron!$A$5,Xero!$E:$E,Heron!$A97)</f>
        <v/>
      </c>
      <c r="AV97" s="66">
        <f>SUMIFS(Xero!$F:$F,Xero!$B:$B,Heron!AV$9,Xero!$A:$A,Heron!$A$4,Xero!$E:$E,Heron!$A97)+SUMIFS(Xero!$F:$F,Xero!$B:$B,Heron!AV$9,Xero!$A:$A,Heron!$A$5,Xero!$E:$E,Heron!$A97)</f>
        <v/>
      </c>
      <c r="AW97" s="66">
        <f>SUMIFS(Xero!$F:$F,Xero!$B:$B,Heron!AW$9,Xero!$A:$A,Heron!$A$4,Xero!$E:$E,Heron!$A97)+SUMIFS(Xero!$F:$F,Xero!$B:$B,Heron!AW$9,Xero!$A:$A,Heron!$A$5,Xero!$E:$E,Heron!$A97)</f>
        <v/>
      </c>
      <c r="AX97" s="66">
        <f>SUMIFS(Xero!$F:$F,Xero!$B:$B,Heron!AX$9,Xero!$A:$A,Heron!$A$4,Xero!$E:$E,Heron!$A97)+SUMIFS(Xero!$F:$F,Xero!$B:$B,Heron!AX$9,Xero!$A:$A,Heron!$A$5,Xero!$E:$E,Heron!$A97)</f>
        <v/>
      </c>
      <c r="AY97" s="66">
        <f>SUMIFS(Xero!$F:$F,Xero!$B:$B,Heron!AY$9,Xero!$A:$A,Heron!$A$4,Xero!$E:$E,Heron!$A97)+SUMIFS(Xero!$F:$F,Xero!$B:$B,Heron!AY$9,Xero!$A:$A,Heron!$A$5,Xero!$E:$E,Heron!$A97)</f>
        <v/>
      </c>
      <c r="AZ97" s="66">
        <f>SUMIFS(Xero!$F:$F,Xero!$B:$B,Heron!AZ$9,Xero!$A:$A,Heron!$A$4,Xero!$E:$E,Heron!$A97)+SUMIFS(Xero!$F:$F,Xero!$B:$B,Heron!AZ$9,Xero!$A:$A,Heron!$A$5,Xero!$E:$E,Heron!$A97)</f>
        <v/>
      </c>
      <c r="BA97" s="66">
        <f>SUMIFS(Xero!$F:$F,Xero!$B:$B,Heron!BA$9,Xero!$A:$A,Heron!$A$4,Xero!$E:$E,Heron!$A97)+SUMIFS(Xero!$F:$F,Xero!$B:$B,Heron!BA$9,Xero!$A:$A,Heron!$A$5,Xero!$E:$E,Heron!$A97)</f>
        <v/>
      </c>
      <c r="BB97" s="66">
        <f>SUMIFS(Xero!$F:$F,Xero!$B:$B,Heron!BB$9,Xero!$A:$A,Heron!$A$4,Xero!$E:$E,Heron!$A97)+SUMIFS(Xero!$F:$F,Xero!$B:$B,Heron!BB$9,Xero!$A:$A,Heron!$A$5,Xero!$E:$E,Heron!$A97)</f>
        <v/>
      </c>
      <c r="BC97" s="66">
        <f>SUMIFS(Xero!$F:$F,Xero!$B:$B,Heron!BC$9,Xero!$A:$A,Heron!$A$4,Xero!$E:$E,Heron!$A97)+SUMIFS(Xero!$F:$F,Xero!$B:$B,Heron!BC$9,Xero!$A:$A,Heron!$A$5,Xero!$E:$E,Heron!$A97)</f>
        <v/>
      </c>
      <c r="BD97" s="66">
        <f>SUMIFS(Xero!$F:$F,Xero!$B:$B,Heron!BD$9,Xero!$A:$A,Heron!$A$4,Xero!$E:$E,Heron!$A97)+SUMIFS(Xero!$F:$F,Xero!$B:$B,Heron!BD$9,Xero!$A:$A,Heron!$A$5,Xero!$E:$E,Heron!$A97)</f>
        <v/>
      </c>
      <c r="BE97" s="66">
        <f>SUMIFS(Xero!$F:$F,Xero!$B:$B,Heron!BE$9,Xero!$A:$A,Heron!$A$4,Xero!$E:$E,Heron!$A97)+SUMIFS(Xero!$F:$F,Xero!$B:$B,Heron!BE$9,Xero!$A:$A,Heron!$A$5,Xero!$E:$E,Heron!$A97)</f>
        <v/>
      </c>
      <c r="BF97" s="66">
        <f>SUMIFS(Xero!$F:$F,Xero!$B:$B,Heron!BF$9,Xero!$A:$A,Heron!$A$4,Xero!$E:$E,Heron!$A97)+SUMIFS(Xero!$F:$F,Xero!$B:$B,Heron!BF$9,Xero!$A:$A,Heron!$A$5,Xero!$E:$E,Heron!$A97)</f>
        <v/>
      </c>
      <c r="BG97" s="66">
        <f>SUMIFS(Xero!$F:$F,Xero!$B:$B,Heron!BG$9,Xero!$A:$A,Heron!$A$4,Xero!$E:$E,Heron!$A97)+SUMIFS(Xero!$F:$F,Xero!$B:$B,Heron!BG$9,Xero!$A:$A,Heron!$A$5,Xero!$E:$E,Heron!$A97)</f>
        <v/>
      </c>
      <c r="BH97" s="66">
        <f>sum(D97:BG97)</f>
        <v/>
      </c>
    </row>
    <row r="98">
      <c r="A98" s="65" t="inlineStr">
        <is>
          <t>Subscriptions - Xero</t>
        </is>
      </c>
      <c r="D98" s="66">
        <f>SUMIFS(Xero!$F:$F,Xero!$B:$B,Heron!D$9,Xero!$A:$A,Heron!$A$4,Xero!$E:$E,Heron!$A98)+SUMIFS(Xero!$F:$F,Xero!$B:$B,Heron!D$9,Xero!$A:$A,Heron!$A$5,Xero!$E:$E,Heron!$A98)</f>
        <v/>
      </c>
      <c r="E98" s="66">
        <f>SUMIFS(Xero!$F:$F,Xero!$B:$B,Heron!E$9,Xero!$A:$A,Heron!$A$4,Xero!$E:$E,Heron!$A98)+SUMIFS(Xero!$F:$F,Xero!$B:$B,Heron!E$9,Xero!$A:$A,Heron!$A$5,Xero!$E:$E,Heron!$A98)</f>
        <v/>
      </c>
      <c r="F98" s="66">
        <f>SUMIFS(Xero!$F:$F,Xero!$B:$B,Heron!F$9,Xero!$A:$A,Heron!$A$4,Xero!$E:$E,Heron!$A98)+SUMIFS(Xero!$F:$F,Xero!$B:$B,Heron!F$9,Xero!$A:$A,Heron!$A$5,Xero!$E:$E,Heron!$A98)</f>
        <v/>
      </c>
      <c r="G98" s="66">
        <f>SUMIFS(Xero!$F:$F,Xero!$B:$B,Heron!G$9,Xero!$A:$A,Heron!$A$4,Xero!$E:$E,Heron!$A98)+SUMIFS(Xero!$F:$F,Xero!$B:$B,Heron!G$9,Xero!$A:$A,Heron!$A$5,Xero!$E:$E,Heron!$A98)</f>
        <v/>
      </c>
      <c r="H98" s="66">
        <f>SUMIFS(Xero!$F:$F,Xero!$B:$B,Heron!H$9,Xero!$A:$A,Heron!$A$4,Xero!$E:$E,Heron!$A98)+SUMIFS(Xero!$F:$F,Xero!$B:$B,Heron!H$9,Xero!$A:$A,Heron!$A$5,Xero!$E:$E,Heron!$A98)</f>
        <v/>
      </c>
      <c r="I98" s="66">
        <f>SUMIFS(Xero!$F:$F,Xero!$B:$B,Heron!I$9,Xero!$A:$A,Heron!$A$4,Xero!$E:$E,Heron!$A98)+SUMIFS(Xero!$F:$F,Xero!$B:$B,Heron!I$9,Xero!$A:$A,Heron!$A$5,Xero!$E:$E,Heron!$A98)</f>
        <v/>
      </c>
      <c r="J98" s="66">
        <f>SUMIFS(Xero!$F:$F,Xero!$B:$B,Heron!J$9,Xero!$A:$A,Heron!$A$4,Xero!$E:$E,Heron!$A98)+SUMIFS(Xero!$F:$F,Xero!$B:$B,Heron!J$9,Xero!$A:$A,Heron!$A$5,Xero!$E:$E,Heron!$A98)</f>
        <v/>
      </c>
      <c r="K98" s="66">
        <f>SUMIFS(Xero!$F:$F,Xero!$B:$B,Heron!K$9,Xero!$A:$A,Heron!$A$4,Xero!$E:$E,Heron!$A98)+SUMIFS(Xero!$F:$F,Xero!$B:$B,Heron!K$9,Xero!$A:$A,Heron!$A$5,Xero!$E:$E,Heron!$A98)</f>
        <v/>
      </c>
      <c r="L98" s="66">
        <f>SUMIFS(Xero!$F:$F,Xero!$B:$B,Heron!L$9,Xero!$A:$A,Heron!$A$4,Xero!$E:$E,Heron!$A98)+SUMIFS(Xero!$F:$F,Xero!$B:$B,Heron!L$9,Xero!$A:$A,Heron!$A$5,Xero!$E:$E,Heron!$A98)</f>
        <v/>
      </c>
      <c r="M98" s="66">
        <f>SUMIFS(Xero!$F:$F,Xero!$B:$B,Heron!M$9,Xero!$A:$A,Heron!$A$4,Xero!$E:$E,Heron!$A98)+SUMIFS(Xero!$F:$F,Xero!$B:$B,Heron!M$9,Xero!$A:$A,Heron!$A$5,Xero!$E:$E,Heron!$A98)</f>
        <v/>
      </c>
      <c r="N98" s="66">
        <f>SUMIFS(Xero!$F:$F,Xero!$B:$B,Heron!N$9,Xero!$A:$A,Heron!$A$4,Xero!$E:$E,Heron!$A98)+SUMIFS(Xero!$F:$F,Xero!$B:$B,Heron!N$9,Xero!$A:$A,Heron!$A$5,Xero!$E:$E,Heron!$A98)</f>
        <v/>
      </c>
      <c r="O98" s="66">
        <f>SUMIFS(Xero!$F:$F,Xero!$B:$B,Heron!O$9,Xero!$A:$A,Heron!$A$4,Xero!$E:$E,Heron!$A98)+SUMIFS(Xero!$F:$F,Xero!$B:$B,Heron!O$9,Xero!$A:$A,Heron!$A$5,Xero!$E:$E,Heron!$A98)</f>
        <v/>
      </c>
      <c r="P98" s="66">
        <f>SUMIFS(Xero!$F:$F,Xero!$B:$B,Heron!P$9,Xero!$A:$A,Heron!$A$4,Xero!$E:$E,Heron!$A98)+SUMIFS(Xero!$F:$F,Xero!$B:$B,Heron!P$9,Xero!$A:$A,Heron!$A$5,Xero!$E:$E,Heron!$A98)</f>
        <v/>
      </c>
      <c r="Q98" s="66">
        <f>SUMIFS(Xero!$F:$F,Xero!$B:$B,Heron!Q$9,Xero!$A:$A,Heron!$A$4,Xero!$E:$E,Heron!$A98)+SUMIFS(Xero!$F:$F,Xero!$B:$B,Heron!Q$9,Xero!$A:$A,Heron!$A$5,Xero!$E:$E,Heron!$A98)</f>
        <v/>
      </c>
      <c r="R98" s="66">
        <f>SUMIFS(Xero!$F:$F,Xero!$B:$B,Heron!R$9,Xero!$A:$A,Heron!$A$4,Xero!$E:$E,Heron!$A98)+SUMIFS(Xero!$F:$F,Xero!$B:$B,Heron!R$9,Xero!$A:$A,Heron!$A$5,Xero!$E:$E,Heron!$A98)</f>
        <v/>
      </c>
      <c r="S98" s="66">
        <f>SUMIFS(Xero!$F:$F,Xero!$B:$B,Heron!S$9,Xero!$A:$A,Heron!$A$4,Xero!$E:$E,Heron!$A98)+SUMIFS(Xero!$F:$F,Xero!$B:$B,Heron!S$9,Xero!$A:$A,Heron!$A$5,Xero!$E:$E,Heron!$A98)</f>
        <v/>
      </c>
      <c r="T98" s="66">
        <f>SUMIFS(Xero!$F:$F,Xero!$B:$B,Heron!T$9,Xero!$A:$A,Heron!$A$4,Xero!$E:$E,Heron!$A98)+SUMIFS(Xero!$F:$F,Xero!$B:$B,Heron!T$9,Xero!$A:$A,Heron!$A$5,Xero!$E:$E,Heron!$A98)</f>
        <v/>
      </c>
      <c r="U98" s="66">
        <f>SUMIFS(Xero!$F:$F,Xero!$B:$B,Heron!U$9,Xero!$A:$A,Heron!$A$4,Xero!$E:$E,Heron!$A98)+SUMIFS(Xero!$F:$F,Xero!$B:$B,Heron!U$9,Xero!$A:$A,Heron!$A$5,Xero!$E:$E,Heron!$A98)</f>
        <v/>
      </c>
      <c r="V98" s="66">
        <f>SUMIFS(Xero!$F:$F,Xero!$B:$B,Heron!V$9,Xero!$A:$A,Heron!$A$4,Xero!$E:$E,Heron!$A98)+SUMIFS(Xero!$F:$F,Xero!$B:$B,Heron!V$9,Xero!$A:$A,Heron!$A$5,Xero!$E:$E,Heron!$A98)</f>
        <v/>
      </c>
      <c r="W98" s="66">
        <f>SUMIFS(Xero!$F:$F,Xero!$B:$B,Heron!W$9,Xero!$A:$A,Heron!$A$4,Xero!$E:$E,Heron!$A98)+SUMIFS(Xero!$F:$F,Xero!$B:$B,Heron!W$9,Xero!$A:$A,Heron!$A$5,Xero!$E:$E,Heron!$A98)</f>
        <v/>
      </c>
      <c r="X98" s="66">
        <f>SUMIFS(Xero!$F:$F,Xero!$B:$B,Heron!X$9,Xero!$A:$A,Heron!$A$4,Xero!$E:$E,Heron!$A98)+SUMIFS(Xero!$F:$F,Xero!$B:$B,Heron!X$9,Xero!$A:$A,Heron!$A$5,Xero!$E:$E,Heron!$A98)</f>
        <v/>
      </c>
      <c r="Y98" s="66">
        <f>SUMIFS(Xero!$F:$F,Xero!$B:$B,Heron!Y$9,Xero!$A:$A,Heron!$A$4,Xero!$E:$E,Heron!$A98)+SUMIFS(Xero!$F:$F,Xero!$B:$B,Heron!Y$9,Xero!$A:$A,Heron!$A$5,Xero!$E:$E,Heron!$A98)</f>
        <v/>
      </c>
      <c r="Z98" s="66">
        <f>SUMIFS(Xero!$F:$F,Xero!$B:$B,Heron!Z$9,Xero!$A:$A,Heron!$A$4,Xero!$E:$E,Heron!$A98)+SUMIFS(Xero!$F:$F,Xero!$B:$B,Heron!Z$9,Xero!$A:$A,Heron!$A$5,Xero!$E:$E,Heron!$A98)</f>
        <v/>
      </c>
      <c r="AA98" s="66">
        <f>SUMIFS(Xero!$F:$F,Xero!$B:$B,Heron!AA$9,Xero!$A:$A,Heron!$A$4,Xero!$E:$E,Heron!$A98)+SUMIFS(Xero!$F:$F,Xero!$B:$B,Heron!AA$9,Xero!$A:$A,Heron!$A$5,Xero!$E:$E,Heron!$A98)</f>
        <v/>
      </c>
      <c r="AB98" s="66">
        <f>SUMIFS(Xero!$F:$F,Xero!$B:$B,Heron!AB$9,Xero!$A:$A,Heron!$A$4,Xero!$E:$E,Heron!$A98)+SUMIFS(Xero!$F:$F,Xero!$B:$B,Heron!AB$9,Xero!$A:$A,Heron!$A$5,Xero!$E:$E,Heron!$A98)</f>
        <v/>
      </c>
      <c r="AC98" s="66">
        <f>SUMIFS(Xero!$F:$F,Xero!$B:$B,Heron!AC$9,Xero!$A:$A,Heron!$A$4,Xero!$E:$E,Heron!$A98)+SUMIFS(Xero!$F:$F,Xero!$B:$B,Heron!AC$9,Xero!$A:$A,Heron!$A$5,Xero!$E:$E,Heron!$A98)</f>
        <v/>
      </c>
      <c r="AD98" s="66">
        <f>SUMIFS(Xero!$F:$F,Xero!$B:$B,Heron!AD$9,Xero!$A:$A,Heron!$A$4,Xero!$E:$E,Heron!$A98)+SUMIFS(Xero!$F:$F,Xero!$B:$B,Heron!AD$9,Xero!$A:$A,Heron!$A$5,Xero!$E:$E,Heron!$A98)</f>
        <v/>
      </c>
      <c r="AE98" s="66">
        <f>SUMIFS(Xero!$F:$F,Xero!$B:$B,Heron!AE$9,Xero!$A:$A,Heron!$A$4,Xero!$E:$E,Heron!$A98)+SUMIFS(Xero!$F:$F,Xero!$B:$B,Heron!AE$9,Xero!$A:$A,Heron!$A$5,Xero!$E:$E,Heron!$A98)</f>
        <v/>
      </c>
      <c r="AF98" s="66">
        <f>SUMIFS(Xero!$F:$F,Xero!$B:$B,Heron!AF$9,Xero!$A:$A,Heron!$A$4,Xero!$E:$E,Heron!$A98)+SUMIFS(Xero!$F:$F,Xero!$B:$B,Heron!AF$9,Xero!$A:$A,Heron!$A$5,Xero!$E:$E,Heron!$A98)</f>
        <v/>
      </c>
      <c r="AG98" s="66">
        <f>SUMIFS(Xero!$F:$F,Xero!$B:$B,Heron!AG$9,Xero!$A:$A,Heron!$A$4,Xero!$E:$E,Heron!$A98)+SUMIFS(Xero!$F:$F,Xero!$B:$B,Heron!AG$9,Xero!$A:$A,Heron!$A$5,Xero!$E:$E,Heron!$A98)</f>
        <v/>
      </c>
      <c r="AH98" s="66">
        <f>SUMIFS(Xero!$F:$F,Xero!$B:$B,Heron!AH$9,Xero!$A:$A,Heron!$A$4,Xero!$E:$E,Heron!$A98)+SUMIFS(Xero!$F:$F,Xero!$B:$B,Heron!AH$9,Xero!$A:$A,Heron!$A$5,Xero!$E:$E,Heron!$A98)</f>
        <v/>
      </c>
      <c r="AI98" s="66">
        <f>SUMIFS(Xero!$F:$F,Xero!$B:$B,Heron!AI$9,Xero!$A:$A,Heron!$A$4,Xero!$E:$E,Heron!$A98)+SUMIFS(Xero!$F:$F,Xero!$B:$B,Heron!AI$9,Xero!$A:$A,Heron!$A$5,Xero!$E:$E,Heron!$A98)</f>
        <v/>
      </c>
      <c r="AJ98" s="66">
        <f>SUMIFS(Xero!$F:$F,Xero!$B:$B,Heron!AJ$9,Xero!$A:$A,Heron!$A$4,Xero!$E:$E,Heron!$A98)+SUMIFS(Xero!$F:$F,Xero!$B:$B,Heron!AJ$9,Xero!$A:$A,Heron!$A$5,Xero!$E:$E,Heron!$A98)</f>
        <v/>
      </c>
      <c r="AK98" s="66">
        <f>SUMIFS(Xero!$F:$F,Xero!$B:$B,Heron!AK$9,Xero!$A:$A,Heron!$A$4,Xero!$E:$E,Heron!$A98)+SUMIFS(Xero!$F:$F,Xero!$B:$B,Heron!AK$9,Xero!$A:$A,Heron!$A$5,Xero!$E:$E,Heron!$A98)</f>
        <v/>
      </c>
      <c r="AL98" s="66">
        <f>SUMIFS(Xero!$F:$F,Xero!$B:$B,Heron!AL$9,Xero!$A:$A,Heron!$A$4,Xero!$E:$E,Heron!$A98)+SUMIFS(Xero!$F:$F,Xero!$B:$B,Heron!AL$9,Xero!$A:$A,Heron!$A$5,Xero!$E:$E,Heron!$A98)</f>
        <v/>
      </c>
      <c r="AM98" s="66">
        <f>SUMIFS(Xero!$F:$F,Xero!$B:$B,Heron!AM$9,Xero!$A:$A,Heron!$A$4,Xero!$E:$E,Heron!$A98)+SUMIFS(Xero!$F:$F,Xero!$B:$B,Heron!AM$9,Xero!$A:$A,Heron!$A$5,Xero!$E:$E,Heron!$A98)</f>
        <v/>
      </c>
      <c r="AN98" s="66">
        <f>SUMIFS(Xero!$F:$F,Xero!$B:$B,Heron!AN$9,Xero!$A:$A,Heron!$A$4,Xero!$E:$E,Heron!$A98)+SUMIFS(Xero!$F:$F,Xero!$B:$B,Heron!AN$9,Xero!$A:$A,Heron!$A$5,Xero!$E:$E,Heron!$A98)</f>
        <v/>
      </c>
      <c r="AO98" s="66">
        <f>SUMIFS(Xero!$F:$F,Xero!$B:$B,Heron!AO$9,Xero!$A:$A,Heron!$A$4,Xero!$E:$E,Heron!$A98)+SUMIFS(Xero!$F:$F,Xero!$B:$B,Heron!AO$9,Xero!$A:$A,Heron!$A$5,Xero!$E:$E,Heron!$A98)</f>
        <v/>
      </c>
      <c r="AP98" s="66">
        <f>SUMIFS(Xero!$F:$F,Xero!$B:$B,Heron!AP$9,Xero!$A:$A,Heron!$A$4,Xero!$E:$E,Heron!$A98)+SUMIFS(Xero!$F:$F,Xero!$B:$B,Heron!AP$9,Xero!$A:$A,Heron!$A$5,Xero!$E:$E,Heron!$A98)</f>
        <v/>
      </c>
      <c r="AQ98" s="66">
        <f>SUMIFS(Xero!$F:$F,Xero!$B:$B,Heron!AQ$9,Xero!$A:$A,Heron!$A$4,Xero!$E:$E,Heron!$A98)+SUMIFS(Xero!$F:$F,Xero!$B:$B,Heron!AQ$9,Xero!$A:$A,Heron!$A$5,Xero!$E:$E,Heron!$A98)</f>
        <v/>
      </c>
      <c r="AR98" s="66">
        <f>SUMIFS(Xero!$F:$F,Xero!$B:$B,Heron!AR$9,Xero!$A:$A,Heron!$A$4,Xero!$E:$E,Heron!$A98)+SUMIFS(Xero!$F:$F,Xero!$B:$B,Heron!AR$9,Xero!$A:$A,Heron!$A$5,Xero!$E:$E,Heron!$A98)</f>
        <v/>
      </c>
      <c r="AS98" s="66">
        <f>SUMIFS(Xero!$F:$F,Xero!$B:$B,Heron!AS$9,Xero!$A:$A,Heron!$A$4,Xero!$E:$E,Heron!$A98)+SUMIFS(Xero!$F:$F,Xero!$B:$B,Heron!AS$9,Xero!$A:$A,Heron!$A$5,Xero!$E:$E,Heron!$A98)</f>
        <v/>
      </c>
      <c r="AT98" s="66">
        <f>SUMIFS(Xero!$F:$F,Xero!$B:$B,Heron!AT$9,Xero!$A:$A,Heron!$A$4,Xero!$E:$E,Heron!$A98)+SUMIFS(Xero!$F:$F,Xero!$B:$B,Heron!AT$9,Xero!$A:$A,Heron!$A$5,Xero!$E:$E,Heron!$A98)</f>
        <v/>
      </c>
      <c r="AU98" s="66">
        <f>SUMIFS(Xero!$F:$F,Xero!$B:$B,Heron!AU$9,Xero!$A:$A,Heron!$A$4,Xero!$E:$E,Heron!$A98)+SUMIFS(Xero!$F:$F,Xero!$B:$B,Heron!AU$9,Xero!$A:$A,Heron!$A$5,Xero!$E:$E,Heron!$A98)</f>
        <v/>
      </c>
      <c r="AV98" s="66">
        <f>SUMIFS(Xero!$F:$F,Xero!$B:$B,Heron!AV$9,Xero!$A:$A,Heron!$A$4,Xero!$E:$E,Heron!$A98)+SUMIFS(Xero!$F:$F,Xero!$B:$B,Heron!AV$9,Xero!$A:$A,Heron!$A$5,Xero!$E:$E,Heron!$A98)</f>
        <v/>
      </c>
      <c r="AW98" s="66">
        <f>SUMIFS(Xero!$F:$F,Xero!$B:$B,Heron!AW$9,Xero!$A:$A,Heron!$A$4,Xero!$E:$E,Heron!$A98)+SUMIFS(Xero!$F:$F,Xero!$B:$B,Heron!AW$9,Xero!$A:$A,Heron!$A$5,Xero!$E:$E,Heron!$A98)</f>
        <v/>
      </c>
      <c r="AX98" s="66">
        <f>SUMIFS(Xero!$F:$F,Xero!$B:$B,Heron!AX$9,Xero!$A:$A,Heron!$A$4,Xero!$E:$E,Heron!$A98)+SUMIFS(Xero!$F:$F,Xero!$B:$B,Heron!AX$9,Xero!$A:$A,Heron!$A$5,Xero!$E:$E,Heron!$A98)</f>
        <v/>
      </c>
      <c r="AY98" s="66">
        <f>SUMIFS(Xero!$F:$F,Xero!$B:$B,Heron!AY$9,Xero!$A:$A,Heron!$A$4,Xero!$E:$E,Heron!$A98)+SUMIFS(Xero!$F:$F,Xero!$B:$B,Heron!AY$9,Xero!$A:$A,Heron!$A$5,Xero!$E:$E,Heron!$A98)</f>
        <v/>
      </c>
      <c r="AZ98" s="66">
        <f>SUMIFS(Xero!$F:$F,Xero!$B:$B,Heron!AZ$9,Xero!$A:$A,Heron!$A$4,Xero!$E:$E,Heron!$A98)+SUMIFS(Xero!$F:$F,Xero!$B:$B,Heron!AZ$9,Xero!$A:$A,Heron!$A$5,Xero!$E:$E,Heron!$A98)</f>
        <v/>
      </c>
      <c r="BA98" s="66">
        <f>SUMIFS(Xero!$F:$F,Xero!$B:$B,Heron!BA$9,Xero!$A:$A,Heron!$A$4,Xero!$E:$E,Heron!$A98)+SUMIFS(Xero!$F:$F,Xero!$B:$B,Heron!BA$9,Xero!$A:$A,Heron!$A$5,Xero!$E:$E,Heron!$A98)</f>
        <v/>
      </c>
      <c r="BB98" s="66">
        <f>SUMIFS(Xero!$F:$F,Xero!$B:$B,Heron!BB$9,Xero!$A:$A,Heron!$A$4,Xero!$E:$E,Heron!$A98)+SUMIFS(Xero!$F:$F,Xero!$B:$B,Heron!BB$9,Xero!$A:$A,Heron!$A$5,Xero!$E:$E,Heron!$A98)</f>
        <v/>
      </c>
      <c r="BC98" s="66">
        <f>SUMIFS(Xero!$F:$F,Xero!$B:$B,Heron!BC$9,Xero!$A:$A,Heron!$A$4,Xero!$E:$E,Heron!$A98)+SUMIFS(Xero!$F:$F,Xero!$B:$B,Heron!BC$9,Xero!$A:$A,Heron!$A$5,Xero!$E:$E,Heron!$A98)</f>
        <v/>
      </c>
      <c r="BD98" s="66">
        <f>SUMIFS(Xero!$F:$F,Xero!$B:$B,Heron!BD$9,Xero!$A:$A,Heron!$A$4,Xero!$E:$E,Heron!$A98)+SUMIFS(Xero!$F:$F,Xero!$B:$B,Heron!BD$9,Xero!$A:$A,Heron!$A$5,Xero!$E:$E,Heron!$A98)</f>
        <v/>
      </c>
      <c r="BE98" s="66">
        <f>SUMIFS(Xero!$F:$F,Xero!$B:$B,Heron!BE$9,Xero!$A:$A,Heron!$A$4,Xero!$E:$E,Heron!$A98)+SUMIFS(Xero!$F:$F,Xero!$B:$B,Heron!BE$9,Xero!$A:$A,Heron!$A$5,Xero!$E:$E,Heron!$A98)</f>
        <v/>
      </c>
      <c r="BF98" s="66">
        <f>SUMIFS(Xero!$F:$F,Xero!$B:$B,Heron!BF$9,Xero!$A:$A,Heron!$A$4,Xero!$E:$E,Heron!$A98)+SUMIFS(Xero!$F:$F,Xero!$B:$B,Heron!BF$9,Xero!$A:$A,Heron!$A$5,Xero!$E:$E,Heron!$A98)</f>
        <v/>
      </c>
      <c r="BG98" s="66">
        <f>SUMIFS(Xero!$F:$F,Xero!$B:$B,Heron!BG$9,Xero!$A:$A,Heron!$A$4,Xero!$E:$E,Heron!$A98)+SUMIFS(Xero!$F:$F,Xero!$B:$B,Heron!BG$9,Xero!$A:$A,Heron!$A$5,Xero!$E:$E,Heron!$A98)</f>
        <v/>
      </c>
      <c r="BH98" s="66">
        <f>sum(D98:BG98)</f>
        <v/>
      </c>
    </row>
    <row r="99">
      <c r="A99" s="65" t="inlineStr">
        <is>
          <t>Water</t>
        </is>
      </c>
      <c r="D99" s="66">
        <f>SUMIFS(Xero!$F:$F,Xero!$B:$B,Heron!D$9,Xero!$A:$A,Heron!$A$4,Xero!$E:$E,Heron!$A99)+SUMIFS(Xero!$F:$F,Xero!$B:$B,Heron!D$9,Xero!$A:$A,Heron!$A$5,Xero!$E:$E,Heron!$A99)</f>
        <v/>
      </c>
      <c r="E99" s="66">
        <f>SUMIFS(Xero!$F:$F,Xero!$B:$B,Heron!E$9,Xero!$A:$A,Heron!$A$4,Xero!$E:$E,Heron!$A99)+SUMIFS(Xero!$F:$F,Xero!$B:$B,Heron!E$9,Xero!$A:$A,Heron!$A$5,Xero!$E:$E,Heron!$A99)</f>
        <v/>
      </c>
      <c r="F99" s="66">
        <f>SUMIFS(Xero!$F:$F,Xero!$B:$B,Heron!F$9,Xero!$A:$A,Heron!$A$4,Xero!$E:$E,Heron!$A99)+SUMIFS(Xero!$F:$F,Xero!$B:$B,Heron!F$9,Xero!$A:$A,Heron!$A$5,Xero!$E:$E,Heron!$A99)</f>
        <v/>
      </c>
      <c r="G99" s="66">
        <f>SUMIFS(Xero!$F:$F,Xero!$B:$B,Heron!G$9,Xero!$A:$A,Heron!$A$4,Xero!$E:$E,Heron!$A99)+SUMIFS(Xero!$F:$F,Xero!$B:$B,Heron!G$9,Xero!$A:$A,Heron!$A$5,Xero!$E:$E,Heron!$A99)</f>
        <v/>
      </c>
      <c r="H99" s="66">
        <f>SUMIFS(Xero!$F:$F,Xero!$B:$B,Heron!H$9,Xero!$A:$A,Heron!$A$4,Xero!$E:$E,Heron!$A99)+SUMIFS(Xero!$F:$F,Xero!$B:$B,Heron!H$9,Xero!$A:$A,Heron!$A$5,Xero!$E:$E,Heron!$A99)</f>
        <v/>
      </c>
      <c r="I99" s="66">
        <f>SUMIFS(Xero!$F:$F,Xero!$B:$B,Heron!I$9,Xero!$A:$A,Heron!$A$4,Xero!$E:$E,Heron!$A99)+SUMIFS(Xero!$F:$F,Xero!$B:$B,Heron!I$9,Xero!$A:$A,Heron!$A$5,Xero!$E:$E,Heron!$A99)</f>
        <v/>
      </c>
      <c r="J99" s="66">
        <f>SUMIFS(Xero!$F:$F,Xero!$B:$B,Heron!J$9,Xero!$A:$A,Heron!$A$4,Xero!$E:$E,Heron!$A99)+SUMIFS(Xero!$F:$F,Xero!$B:$B,Heron!J$9,Xero!$A:$A,Heron!$A$5,Xero!$E:$E,Heron!$A99)</f>
        <v/>
      </c>
      <c r="K99" s="66">
        <f>SUMIFS(Xero!$F:$F,Xero!$B:$B,Heron!K$9,Xero!$A:$A,Heron!$A$4,Xero!$E:$E,Heron!$A99)+SUMIFS(Xero!$F:$F,Xero!$B:$B,Heron!K$9,Xero!$A:$A,Heron!$A$5,Xero!$E:$E,Heron!$A99)</f>
        <v/>
      </c>
      <c r="L99" s="66">
        <f>SUMIFS(Xero!$F:$F,Xero!$B:$B,Heron!L$9,Xero!$A:$A,Heron!$A$4,Xero!$E:$E,Heron!$A99)+SUMIFS(Xero!$F:$F,Xero!$B:$B,Heron!L$9,Xero!$A:$A,Heron!$A$5,Xero!$E:$E,Heron!$A99)</f>
        <v/>
      </c>
      <c r="M99" s="66">
        <f>SUMIFS(Xero!$F:$F,Xero!$B:$B,Heron!M$9,Xero!$A:$A,Heron!$A$4,Xero!$E:$E,Heron!$A99)+SUMIFS(Xero!$F:$F,Xero!$B:$B,Heron!M$9,Xero!$A:$A,Heron!$A$5,Xero!$E:$E,Heron!$A99)</f>
        <v/>
      </c>
      <c r="N99" s="66">
        <f>SUMIFS(Xero!$F:$F,Xero!$B:$B,Heron!N$9,Xero!$A:$A,Heron!$A$4,Xero!$E:$E,Heron!$A99)+SUMIFS(Xero!$F:$F,Xero!$B:$B,Heron!N$9,Xero!$A:$A,Heron!$A$5,Xero!$E:$E,Heron!$A99)</f>
        <v/>
      </c>
      <c r="O99" s="66">
        <f>SUMIFS(Xero!$F:$F,Xero!$B:$B,Heron!O$9,Xero!$A:$A,Heron!$A$4,Xero!$E:$E,Heron!$A99)+SUMIFS(Xero!$F:$F,Xero!$B:$B,Heron!O$9,Xero!$A:$A,Heron!$A$5,Xero!$E:$E,Heron!$A99)</f>
        <v/>
      </c>
      <c r="P99" s="66">
        <f>SUMIFS(Xero!$F:$F,Xero!$B:$B,Heron!P$9,Xero!$A:$A,Heron!$A$4,Xero!$E:$E,Heron!$A99)+SUMIFS(Xero!$F:$F,Xero!$B:$B,Heron!P$9,Xero!$A:$A,Heron!$A$5,Xero!$E:$E,Heron!$A99)</f>
        <v/>
      </c>
      <c r="Q99" s="66">
        <f>SUMIFS(Xero!$F:$F,Xero!$B:$B,Heron!Q$9,Xero!$A:$A,Heron!$A$4,Xero!$E:$E,Heron!$A99)+SUMIFS(Xero!$F:$F,Xero!$B:$B,Heron!Q$9,Xero!$A:$A,Heron!$A$5,Xero!$E:$E,Heron!$A99)</f>
        <v/>
      </c>
      <c r="R99" s="66">
        <f>SUMIFS(Xero!$F:$F,Xero!$B:$B,Heron!R$9,Xero!$A:$A,Heron!$A$4,Xero!$E:$E,Heron!$A99)+SUMIFS(Xero!$F:$F,Xero!$B:$B,Heron!R$9,Xero!$A:$A,Heron!$A$5,Xero!$E:$E,Heron!$A99)</f>
        <v/>
      </c>
      <c r="S99" s="66">
        <f>SUMIFS(Xero!$F:$F,Xero!$B:$B,Heron!S$9,Xero!$A:$A,Heron!$A$4,Xero!$E:$E,Heron!$A99)+SUMIFS(Xero!$F:$F,Xero!$B:$B,Heron!S$9,Xero!$A:$A,Heron!$A$5,Xero!$E:$E,Heron!$A99)</f>
        <v/>
      </c>
      <c r="T99" s="66">
        <f>SUMIFS(Xero!$F:$F,Xero!$B:$B,Heron!T$9,Xero!$A:$A,Heron!$A$4,Xero!$E:$E,Heron!$A99)+SUMIFS(Xero!$F:$F,Xero!$B:$B,Heron!T$9,Xero!$A:$A,Heron!$A$5,Xero!$E:$E,Heron!$A99)</f>
        <v/>
      </c>
      <c r="U99" s="66">
        <f>SUMIFS(Xero!$F:$F,Xero!$B:$B,Heron!U$9,Xero!$A:$A,Heron!$A$4,Xero!$E:$E,Heron!$A99)+SUMIFS(Xero!$F:$F,Xero!$B:$B,Heron!U$9,Xero!$A:$A,Heron!$A$5,Xero!$E:$E,Heron!$A99)</f>
        <v/>
      </c>
      <c r="V99" s="66">
        <f>SUMIFS(Xero!$F:$F,Xero!$B:$B,Heron!V$9,Xero!$A:$A,Heron!$A$4,Xero!$E:$E,Heron!$A99)+SUMIFS(Xero!$F:$F,Xero!$B:$B,Heron!V$9,Xero!$A:$A,Heron!$A$5,Xero!$E:$E,Heron!$A99)</f>
        <v/>
      </c>
      <c r="W99" s="66">
        <f>SUMIFS(Xero!$F:$F,Xero!$B:$B,Heron!W$9,Xero!$A:$A,Heron!$A$4,Xero!$E:$E,Heron!$A99)+SUMIFS(Xero!$F:$F,Xero!$B:$B,Heron!W$9,Xero!$A:$A,Heron!$A$5,Xero!$E:$E,Heron!$A99)</f>
        <v/>
      </c>
      <c r="X99" s="66">
        <f>SUMIFS(Xero!$F:$F,Xero!$B:$B,Heron!X$9,Xero!$A:$A,Heron!$A$4,Xero!$E:$E,Heron!$A99)+SUMIFS(Xero!$F:$F,Xero!$B:$B,Heron!X$9,Xero!$A:$A,Heron!$A$5,Xero!$E:$E,Heron!$A99)</f>
        <v/>
      </c>
      <c r="Y99" s="66">
        <f>SUMIFS(Xero!$F:$F,Xero!$B:$B,Heron!Y$9,Xero!$A:$A,Heron!$A$4,Xero!$E:$E,Heron!$A99)+SUMIFS(Xero!$F:$F,Xero!$B:$B,Heron!Y$9,Xero!$A:$A,Heron!$A$5,Xero!$E:$E,Heron!$A99)</f>
        <v/>
      </c>
      <c r="Z99" s="66">
        <f>SUMIFS(Xero!$F:$F,Xero!$B:$B,Heron!Z$9,Xero!$A:$A,Heron!$A$4,Xero!$E:$E,Heron!$A99)+SUMIFS(Xero!$F:$F,Xero!$B:$B,Heron!Z$9,Xero!$A:$A,Heron!$A$5,Xero!$E:$E,Heron!$A99)</f>
        <v/>
      </c>
      <c r="AA99" s="66">
        <f>SUMIFS(Xero!$F:$F,Xero!$B:$B,Heron!AA$9,Xero!$A:$A,Heron!$A$4,Xero!$E:$E,Heron!$A99)+SUMIFS(Xero!$F:$F,Xero!$B:$B,Heron!AA$9,Xero!$A:$A,Heron!$A$5,Xero!$E:$E,Heron!$A99)</f>
        <v/>
      </c>
      <c r="AB99" s="66">
        <f>SUMIFS(Xero!$F:$F,Xero!$B:$B,Heron!AB$9,Xero!$A:$A,Heron!$A$4,Xero!$E:$E,Heron!$A99)+SUMIFS(Xero!$F:$F,Xero!$B:$B,Heron!AB$9,Xero!$A:$A,Heron!$A$5,Xero!$E:$E,Heron!$A99)</f>
        <v/>
      </c>
      <c r="AC99" s="66">
        <f>SUMIFS(Xero!$F:$F,Xero!$B:$B,Heron!AC$9,Xero!$A:$A,Heron!$A$4,Xero!$E:$E,Heron!$A99)+SUMIFS(Xero!$F:$F,Xero!$B:$B,Heron!AC$9,Xero!$A:$A,Heron!$A$5,Xero!$E:$E,Heron!$A99)</f>
        <v/>
      </c>
      <c r="AD99" s="66">
        <f>SUMIFS(Xero!$F:$F,Xero!$B:$B,Heron!AD$9,Xero!$A:$A,Heron!$A$4,Xero!$E:$E,Heron!$A99)+SUMIFS(Xero!$F:$F,Xero!$B:$B,Heron!AD$9,Xero!$A:$A,Heron!$A$5,Xero!$E:$E,Heron!$A99)</f>
        <v/>
      </c>
      <c r="AE99" s="66">
        <f>SUMIFS(Xero!$F:$F,Xero!$B:$B,Heron!AE$9,Xero!$A:$A,Heron!$A$4,Xero!$E:$E,Heron!$A99)+SUMIFS(Xero!$F:$F,Xero!$B:$B,Heron!AE$9,Xero!$A:$A,Heron!$A$5,Xero!$E:$E,Heron!$A99)</f>
        <v/>
      </c>
      <c r="AF99" s="66">
        <f>SUMIFS(Xero!$F:$F,Xero!$B:$B,Heron!AF$9,Xero!$A:$A,Heron!$A$4,Xero!$E:$E,Heron!$A99)+SUMIFS(Xero!$F:$F,Xero!$B:$B,Heron!AF$9,Xero!$A:$A,Heron!$A$5,Xero!$E:$E,Heron!$A99)</f>
        <v/>
      </c>
      <c r="AG99" s="66">
        <f>SUMIFS(Xero!$F:$F,Xero!$B:$B,Heron!AG$9,Xero!$A:$A,Heron!$A$4,Xero!$E:$E,Heron!$A99)+SUMIFS(Xero!$F:$F,Xero!$B:$B,Heron!AG$9,Xero!$A:$A,Heron!$A$5,Xero!$E:$E,Heron!$A99)</f>
        <v/>
      </c>
      <c r="AH99" s="66">
        <f>SUMIFS(Xero!$F:$F,Xero!$B:$B,Heron!AH$9,Xero!$A:$A,Heron!$A$4,Xero!$E:$E,Heron!$A99)+SUMIFS(Xero!$F:$F,Xero!$B:$B,Heron!AH$9,Xero!$A:$A,Heron!$A$5,Xero!$E:$E,Heron!$A99)</f>
        <v/>
      </c>
      <c r="AI99" s="66">
        <f>SUMIFS(Xero!$F:$F,Xero!$B:$B,Heron!AI$9,Xero!$A:$A,Heron!$A$4,Xero!$E:$E,Heron!$A99)+SUMIFS(Xero!$F:$F,Xero!$B:$B,Heron!AI$9,Xero!$A:$A,Heron!$A$5,Xero!$E:$E,Heron!$A99)</f>
        <v/>
      </c>
      <c r="AJ99" s="66">
        <f>SUMIFS(Xero!$F:$F,Xero!$B:$B,Heron!AJ$9,Xero!$A:$A,Heron!$A$4,Xero!$E:$E,Heron!$A99)+SUMIFS(Xero!$F:$F,Xero!$B:$B,Heron!AJ$9,Xero!$A:$A,Heron!$A$5,Xero!$E:$E,Heron!$A99)</f>
        <v/>
      </c>
      <c r="AK99" s="66">
        <f>SUMIFS(Xero!$F:$F,Xero!$B:$B,Heron!AK$9,Xero!$A:$A,Heron!$A$4,Xero!$E:$E,Heron!$A99)+SUMIFS(Xero!$F:$F,Xero!$B:$B,Heron!AK$9,Xero!$A:$A,Heron!$A$5,Xero!$E:$E,Heron!$A99)</f>
        <v/>
      </c>
      <c r="AL99" s="66">
        <f>SUMIFS(Xero!$F:$F,Xero!$B:$B,Heron!AL$9,Xero!$A:$A,Heron!$A$4,Xero!$E:$E,Heron!$A99)+SUMIFS(Xero!$F:$F,Xero!$B:$B,Heron!AL$9,Xero!$A:$A,Heron!$A$5,Xero!$E:$E,Heron!$A99)</f>
        <v/>
      </c>
      <c r="AM99" s="66">
        <f>SUMIFS(Xero!$F:$F,Xero!$B:$B,Heron!AM$9,Xero!$A:$A,Heron!$A$4,Xero!$E:$E,Heron!$A99)+SUMIFS(Xero!$F:$F,Xero!$B:$B,Heron!AM$9,Xero!$A:$A,Heron!$A$5,Xero!$E:$E,Heron!$A99)</f>
        <v/>
      </c>
      <c r="AN99" s="66">
        <f>SUMIFS(Xero!$F:$F,Xero!$B:$B,Heron!AN$9,Xero!$A:$A,Heron!$A$4,Xero!$E:$E,Heron!$A99)+SUMIFS(Xero!$F:$F,Xero!$B:$B,Heron!AN$9,Xero!$A:$A,Heron!$A$5,Xero!$E:$E,Heron!$A99)</f>
        <v/>
      </c>
      <c r="AO99" s="66">
        <f>SUMIFS(Xero!$F:$F,Xero!$B:$B,Heron!AO$9,Xero!$A:$A,Heron!$A$4,Xero!$E:$E,Heron!$A99)+SUMIFS(Xero!$F:$F,Xero!$B:$B,Heron!AO$9,Xero!$A:$A,Heron!$A$5,Xero!$E:$E,Heron!$A99)</f>
        <v/>
      </c>
      <c r="AP99" s="66">
        <f>SUMIFS(Xero!$F:$F,Xero!$B:$B,Heron!AP$9,Xero!$A:$A,Heron!$A$4,Xero!$E:$E,Heron!$A99)+SUMIFS(Xero!$F:$F,Xero!$B:$B,Heron!AP$9,Xero!$A:$A,Heron!$A$5,Xero!$E:$E,Heron!$A99)</f>
        <v/>
      </c>
      <c r="AQ99" s="66">
        <f>SUMIFS(Xero!$F:$F,Xero!$B:$B,Heron!AQ$9,Xero!$A:$A,Heron!$A$4,Xero!$E:$E,Heron!$A99)+SUMIFS(Xero!$F:$F,Xero!$B:$B,Heron!AQ$9,Xero!$A:$A,Heron!$A$5,Xero!$E:$E,Heron!$A99)</f>
        <v/>
      </c>
      <c r="AR99" s="66">
        <f>SUMIFS(Xero!$F:$F,Xero!$B:$B,Heron!AR$9,Xero!$A:$A,Heron!$A$4,Xero!$E:$E,Heron!$A99)+SUMIFS(Xero!$F:$F,Xero!$B:$B,Heron!AR$9,Xero!$A:$A,Heron!$A$5,Xero!$E:$E,Heron!$A99)</f>
        <v/>
      </c>
      <c r="AS99" s="66">
        <f>SUMIFS(Xero!$F:$F,Xero!$B:$B,Heron!AS$9,Xero!$A:$A,Heron!$A$4,Xero!$E:$E,Heron!$A99)+SUMIFS(Xero!$F:$F,Xero!$B:$B,Heron!AS$9,Xero!$A:$A,Heron!$A$5,Xero!$E:$E,Heron!$A99)</f>
        <v/>
      </c>
      <c r="AT99" s="66">
        <f>SUMIFS(Xero!$F:$F,Xero!$B:$B,Heron!AT$9,Xero!$A:$A,Heron!$A$4,Xero!$E:$E,Heron!$A99)+SUMIFS(Xero!$F:$F,Xero!$B:$B,Heron!AT$9,Xero!$A:$A,Heron!$A$5,Xero!$E:$E,Heron!$A99)</f>
        <v/>
      </c>
      <c r="AU99" s="66">
        <f>SUMIFS(Xero!$F:$F,Xero!$B:$B,Heron!AU$9,Xero!$A:$A,Heron!$A$4,Xero!$E:$E,Heron!$A99)+SUMIFS(Xero!$F:$F,Xero!$B:$B,Heron!AU$9,Xero!$A:$A,Heron!$A$5,Xero!$E:$E,Heron!$A99)</f>
        <v/>
      </c>
      <c r="AV99" s="66">
        <f>SUMIFS(Xero!$F:$F,Xero!$B:$B,Heron!AV$9,Xero!$A:$A,Heron!$A$4,Xero!$E:$E,Heron!$A99)+SUMIFS(Xero!$F:$F,Xero!$B:$B,Heron!AV$9,Xero!$A:$A,Heron!$A$5,Xero!$E:$E,Heron!$A99)</f>
        <v/>
      </c>
      <c r="AW99" s="66">
        <f>SUMIFS(Xero!$F:$F,Xero!$B:$B,Heron!AW$9,Xero!$A:$A,Heron!$A$4,Xero!$E:$E,Heron!$A99)+SUMIFS(Xero!$F:$F,Xero!$B:$B,Heron!AW$9,Xero!$A:$A,Heron!$A$5,Xero!$E:$E,Heron!$A99)</f>
        <v/>
      </c>
      <c r="AX99" s="66">
        <f>SUMIFS(Xero!$F:$F,Xero!$B:$B,Heron!AX$9,Xero!$A:$A,Heron!$A$4,Xero!$E:$E,Heron!$A99)+SUMIFS(Xero!$F:$F,Xero!$B:$B,Heron!AX$9,Xero!$A:$A,Heron!$A$5,Xero!$E:$E,Heron!$A99)</f>
        <v/>
      </c>
      <c r="AY99" s="66">
        <f>SUMIFS(Xero!$F:$F,Xero!$B:$B,Heron!AY$9,Xero!$A:$A,Heron!$A$4,Xero!$E:$E,Heron!$A99)+SUMIFS(Xero!$F:$F,Xero!$B:$B,Heron!AY$9,Xero!$A:$A,Heron!$A$5,Xero!$E:$E,Heron!$A99)</f>
        <v/>
      </c>
      <c r="AZ99" s="66">
        <f>SUMIFS(Xero!$F:$F,Xero!$B:$B,Heron!AZ$9,Xero!$A:$A,Heron!$A$4,Xero!$E:$E,Heron!$A99)+SUMIFS(Xero!$F:$F,Xero!$B:$B,Heron!AZ$9,Xero!$A:$A,Heron!$A$5,Xero!$E:$E,Heron!$A99)</f>
        <v/>
      </c>
      <c r="BA99" s="66">
        <f>SUMIFS(Xero!$F:$F,Xero!$B:$B,Heron!BA$9,Xero!$A:$A,Heron!$A$4,Xero!$E:$E,Heron!$A99)+SUMIFS(Xero!$F:$F,Xero!$B:$B,Heron!BA$9,Xero!$A:$A,Heron!$A$5,Xero!$E:$E,Heron!$A99)</f>
        <v/>
      </c>
      <c r="BB99" s="66">
        <f>SUMIFS(Xero!$F:$F,Xero!$B:$B,Heron!BB$9,Xero!$A:$A,Heron!$A$4,Xero!$E:$E,Heron!$A99)+SUMIFS(Xero!$F:$F,Xero!$B:$B,Heron!BB$9,Xero!$A:$A,Heron!$A$5,Xero!$E:$E,Heron!$A99)</f>
        <v/>
      </c>
      <c r="BC99" s="66">
        <f>SUMIFS(Xero!$F:$F,Xero!$B:$B,Heron!BC$9,Xero!$A:$A,Heron!$A$4,Xero!$E:$E,Heron!$A99)+SUMIFS(Xero!$F:$F,Xero!$B:$B,Heron!BC$9,Xero!$A:$A,Heron!$A$5,Xero!$E:$E,Heron!$A99)</f>
        <v/>
      </c>
      <c r="BD99" s="66">
        <f>SUMIFS(Xero!$F:$F,Xero!$B:$B,Heron!BD$9,Xero!$A:$A,Heron!$A$4,Xero!$E:$E,Heron!$A99)+SUMIFS(Xero!$F:$F,Xero!$B:$B,Heron!BD$9,Xero!$A:$A,Heron!$A$5,Xero!$E:$E,Heron!$A99)</f>
        <v/>
      </c>
      <c r="BE99" s="66">
        <f>SUMIFS(Xero!$F:$F,Xero!$B:$B,Heron!BE$9,Xero!$A:$A,Heron!$A$4,Xero!$E:$E,Heron!$A99)+SUMIFS(Xero!$F:$F,Xero!$B:$B,Heron!BE$9,Xero!$A:$A,Heron!$A$5,Xero!$E:$E,Heron!$A99)</f>
        <v/>
      </c>
      <c r="BF99" s="66">
        <f>SUMIFS(Xero!$F:$F,Xero!$B:$B,Heron!BF$9,Xero!$A:$A,Heron!$A$4,Xero!$E:$E,Heron!$A99)+SUMIFS(Xero!$F:$F,Xero!$B:$B,Heron!BF$9,Xero!$A:$A,Heron!$A$5,Xero!$E:$E,Heron!$A99)</f>
        <v/>
      </c>
      <c r="BG99" s="66">
        <f>SUMIFS(Xero!$F:$F,Xero!$B:$B,Heron!BG$9,Xero!$A:$A,Heron!$A$4,Xero!$E:$E,Heron!$A99)+SUMIFS(Xero!$F:$F,Xero!$B:$B,Heron!BG$9,Xero!$A:$A,Heron!$A$5,Xero!$E:$E,Heron!$A99)</f>
        <v/>
      </c>
      <c r="BH99" s="66">
        <f>sum(D99:BG99)</f>
        <v/>
      </c>
    </row>
    <row r="100">
      <c r="A100" s="65" t="inlineStr">
        <is>
          <t>Heron View Land</t>
        </is>
      </c>
      <c r="D100" s="66">
        <f>SUMIFS(Xero!$F:$F,Xero!$B:$B,Heron!D$9,Xero!$A:$A,Heron!$A$4,Xero!$E:$E,Heron!$A100)+SUMIFS(Xero!$F:$F,Xero!$B:$B,Heron!D$9,Xero!$A:$A,Heron!$A$5,Xero!$E:$E,Heron!$A100)</f>
        <v/>
      </c>
      <c r="E100" s="66">
        <f>SUMIFS(Xero!$F:$F,Xero!$B:$B,Heron!E$9,Xero!$A:$A,Heron!$A$4,Xero!$E:$E,Heron!$A100)+SUMIFS(Xero!$F:$F,Xero!$B:$B,Heron!E$9,Xero!$A:$A,Heron!$A$5,Xero!$E:$E,Heron!$A100)</f>
        <v/>
      </c>
      <c r="F100" s="66">
        <f>SUMIFS(Xero!$F:$F,Xero!$B:$B,Heron!F$9,Xero!$A:$A,Heron!$A$4,Xero!$E:$E,Heron!$A100)+SUMIFS(Xero!$F:$F,Xero!$B:$B,Heron!F$9,Xero!$A:$A,Heron!$A$5,Xero!$E:$E,Heron!$A100)</f>
        <v/>
      </c>
      <c r="G100" s="66">
        <f>SUMIFS(Xero!$F:$F,Xero!$B:$B,Heron!G$9,Xero!$A:$A,Heron!$A$4,Xero!$E:$E,Heron!$A100)+SUMIFS(Xero!$F:$F,Xero!$B:$B,Heron!G$9,Xero!$A:$A,Heron!$A$5,Xero!$E:$E,Heron!$A100)</f>
        <v/>
      </c>
      <c r="H100" s="66">
        <f>SUMIFS(Xero!$F:$F,Xero!$B:$B,Heron!H$9,Xero!$A:$A,Heron!$A$4,Xero!$E:$E,Heron!$A100)+SUMIFS(Xero!$F:$F,Xero!$B:$B,Heron!H$9,Xero!$A:$A,Heron!$A$5,Xero!$E:$E,Heron!$A100)</f>
        <v/>
      </c>
      <c r="I100" s="66">
        <f>SUMIFS(Xero!$F:$F,Xero!$B:$B,Heron!I$9,Xero!$A:$A,Heron!$A$4,Xero!$E:$E,Heron!$A100)+SUMIFS(Xero!$F:$F,Xero!$B:$B,Heron!I$9,Xero!$A:$A,Heron!$A$5,Xero!$E:$E,Heron!$A100)</f>
        <v/>
      </c>
      <c r="J100" s="66">
        <f>SUMIFS(Xero!$F:$F,Xero!$B:$B,Heron!J$9,Xero!$A:$A,Heron!$A$4,Xero!$E:$E,Heron!$A100)+SUMIFS(Xero!$F:$F,Xero!$B:$B,Heron!J$9,Xero!$A:$A,Heron!$A$5,Xero!$E:$E,Heron!$A100)</f>
        <v/>
      </c>
      <c r="K100" s="66">
        <f>SUMIFS(Xero!$F:$F,Xero!$B:$B,Heron!K$9,Xero!$A:$A,Heron!$A$4,Xero!$E:$E,Heron!$A100)+SUMIFS(Xero!$F:$F,Xero!$B:$B,Heron!K$9,Xero!$A:$A,Heron!$A$5,Xero!$E:$E,Heron!$A100)</f>
        <v/>
      </c>
      <c r="L100" s="66">
        <f>SUMIFS(Xero!$F:$F,Xero!$B:$B,Heron!L$9,Xero!$A:$A,Heron!$A$4,Xero!$E:$E,Heron!$A100)+SUMIFS(Xero!$F:$F,Xero!$B:$B,Heron!L$9,Xero!$A:$A,Heron!$A$5,Xero!$E:$E,Heron!$A100)</f>
        <v/>
      </c>
      <c r="M100" s="66">
        <f>SUMIFS(Xero!$F:$F,Xero!$B:$B,Heron!M$9,Xero!$A:$A,Heron!$A$4,Xero!$E:$E,Heron!$A100)+SUMIFS(Xero!$F:$F,Xero!$B:$B,Heron!M$9,Xero!$A:$A,Heron!$A$5,Xero!$E:$E,Heron!$A100)</f>
        <v/>
      </c>
      <c r="N100" s="66">
        <f>SUMIFS(Xero!$F:$F,Xero!$B:$B,Heron!N$9,Xero!$A:$A,Heron!$A$4,Xero!$E:$E,Heron!$A100)+SUMIFS(Xero!$F:$F,Xero!$B:$B,Heron!N$9,Xero!$A:$A,Heron!$A$5,Xero!$E:$E,Heron!$A100)</f>
        <v/>
      </c>
      <c r="O100" s="66">
        <f>SUMIFS(Xero!$F:$F,Xero!$B:$B,Heron!O$9,Xero!$A:$A,Heron!$A$4,Xero!$E:$E,Heron!$A100)+SUMIFS(Xero!$F:$F,Xero!$B:$B,Heron!O$9,Xero!$A:$A,Heron!$A$5,Xero!$E:$E,Heron!$A100)</f>
        <v/>
      </c>
      <c r="P100" s="66">
        <f>SUMIFS(Xero!$F:$F,Xero!$B:$B,Heron!P$9,Xero!$A:$A,Heron!$A$4,Xero!$E:$E,Heron!$A100)+SUMIFS(Xero!$F:$F,Xero!$B:$B,Heron!P$9,Xero!$A:$A,Heron!$A$5,Xero!$E:$E,Heron!$A100)</f>
        <v/>
      </c>
      <c r="Q100" s="66">
        <f>SUMIFS(Xero!$F:$F,Xero!$B:$B,Heron!Q$9,Xero!$A:$A,Heron!$A$4,Xero!$E:$E,Heron!$A100)+SUMIFS(Xero!$F:$F,Xero!$B:$B,Heron!Q$9,Xero!$A:$A,Heron!$A$5,Xero!$E:$E,Heron!$A100)</f>
        <v/>
      </c>
      <c r="R100" s="66">
        <f>SUMIFS(Xero!$F:$F,Xero!$B:$B,Heron!R$9,Xero!$A:$A,Heron!$A$4,Xero!$E:$E,Heron!$A100)+SUMIFS(Xero!$F:$F,Xero!$B:$B,Heron!R$9,Xero!$A:$A,Heron!$A$5,Xero!$E:$E,Heron!$A100)</f>
        <v/>
      </c>
      <c r="S100" s="66">
        <f>SUMIFS(Xero!$F:$F,Xero!$B:$B,Heron!S$9,Xero!$A:$A,Heron!$A$4,Xero!$E:$E,Heron!$A100)+SUMIFS(Xero!$F:$F,Xero!$B:$B,Heron!S$9,Xero!$A:$A,Heron!$A$5,Xero!$E:$E,Heron!$A100)</f>
        <v/>
      </c>
      <c r="T100" s="66">
        <f>SUMIFS(Xero!$F:$F,Xero!$B:$B,Heron!T$9,Xero!$A:$A,Heron!$A$4,Xero!$E:$E,Heron!$A100)+SUMIFS(Xero!$F:$F,Xero!$B:$B,Heron!T$9,Xero!$A:$A,Heron!$A$5,Xero!$E:$E,Heron!$A100)</f>
        <v/>
      </c>
      <c r="U100" s="66">
        <f>SUMIFS(Xero!$F:$F,Xero!$B:$B,Heron!U$9,Xero!$A:$A,Heron!$A$4,Xero!$E:$E,Heron!$A100)+SUMIFS(Xero!$F:$F,Xero!$B:$B,Heron!U$9,Xero!$A:$A,Heron!$A$5,Xero!$E:$E,Heron!$A100)</f>
        <v/>
      </c>
      <c r="V100" s="66">
        <f>SUMIFS(Xero!$F:$F,Xero!$B:$B,Heron!V$9,Xero!$A:$A,Heron!$A$4,Xero!$E:$E,Heron!$A100)+SUMIFS(Xero!$F:$F,Xero!$B:$B,Heron!V$9,Xero!$A:$A,Heron!$A$5,Xero!$E:$E,Heron!$A100)</f>
        <v/>
      </c>
      <c r="W100" s="66">
        <f>SUMIFS(Xero!$F:$F,Xero!$B:$B,Heron!W$9,Xero!$A:$A,Heron!$A$4,Xero!$E:$E,Heron!$A100)+SUMIFS(Xero!$F:$F,Xero!$B:$B,Heron!W$9,Xero!$A:$A,Heron!$A$5,Xero!$E:$E,Heron!$A100)</f>
        <v/>
      </c>
      <c r="X100" s="66">
        <f>SUMIFS(Xero!$F:$F,Xero!$B:$B,Heron!X$9,Xero!$A:$A,Heron!$A$4,Xero!$E:$E,Heron!$A100)+SUMIFS(Xero!$F:$F,Xero!$B:$B,Heron!X$9,Xero!$A:$A,Heron!$A$5,Xero!$E:$E,Heron!$A100)</f>
        <v/>
      </c>
      <c r="Y100" s="66">
        <f>SUMIFS(Xero!$F:$F,Xero!$B:$B,Heron!Y$9,Xero!$A:$A,Heron!$A$4,Xero!$E:$E,Heron!$A100)+SUMIFS(Xero!$F:$F,Xero!$B:$B,Heron!Y$9,Xero!$A:$A,Heron!$A$5,Xero!$E:$E,Heron!$A100)</f>
        <v/>
      </c>
      <c r="Z100" s="66">
        <f>SUMIFS(Xero!$F:$F,Xero!$B:$B,Heron!Z$9,Xero!$A:$A,Heron!$A$4,Xero!$E:$E,Heron!$A100)+SUMIFS(Xero!$F:$F,Xero!$B:$B,Heron!Z$9,Xero!$A:$A,Heron!$A$5,Xero!$E:$E,Heron!$A100)</f>
        <v/>
      </c>
      <c r="AA100" s="66">
        <f>SUMIFS(Xero!$F:$F,Xero!$B:$B,Heron!AA$9,Xero!$A:$A,Heron!$A$4,Xero!$E:$E,Heron!$A100)+SUMIFS(Xero!$F:$F,Xero!$B:$B,Heron!AA$9,Xero!$A:$A,Heron!$A$5,Xero!$E:$E,Heron!$A100)</f>
        <v/>
      </c>
      <c r="AB100" s="66">
        <f>SUMIFS(Xero!$F:$F,Xero!$B:$B,Heron!AB$9,Xero!$A:$A,Heron!$A$4,Xero!$E:$E,Heron!$A100)+SUMIFS(Xero!$F:$F,Xero!$B:$B,Heron!AB$9,Xero!$A:$A,Heron!$A$5,Xero!$E:$E,Heron!$A100)</f>
        <v/>
      </c>
      <c r="AC100" s="66">
        <f>SUMIFS(Xero!$F:$F,Xero!$B:$B,Heron!AC$9,Xero!$A:$A,Heron!$A$4,Xero!$E:$E,Heron!$A100)+SUMIFS(Xero!$F:$F,Xero!$B:$B,Heron!AC$9,Xero!$A:$A,Heron!$A$5,Xero!$E:$E,Heron!$A100)</f>
        <v/>
      </c>
      <c r="AD100" s="66">
        <f>SUMIFS(Xero!$F:$F,Xero!$B:$B,Heron!AD$9,Xero!$A:$A,Heron!$A$4,Xero!$E:$E,Heron!$A100)+SUMIFS(Xero!$F:$F,Xero!$B:$B,Heron!AD$9,Xero!$A:$A,Heron!$A$5,Xero!$E:$E,Heron!$A100)</f>
        <v/>
      </c>
      <c r="AE100" s="66">
        <f>SUMIFS(Xero!$F:$F,Xero!$B:$B,Heron!AE$9,Xero!$A:$A,Heron!$A$4,Xero!$E:$E,Heron!$A100)+SUMIFS(Xero!$F:$F,Xero!$B:$B,Heron!AE$9,Xero!$A:$A,Heron!$A$5,Xero!$E:$E,Heron!$A100)</f>
        <v/>
      </c>
      <c r="AF100" s="66">
        <f>SUMIFS(Xero!$F:$F,Xero!$B:$B,Heron!AF$9,Xero!$A:$A,Heron!$A$4,Xero!$E:$E,Heron!$A100)+SUMIFS(Xero!$F:$F,Xero!$B:$B,Heron!AF$9,Xero!$A:$A,Heron!$A$5,Xero!$E:$E,Heron!$A100)</f>
        <v/>
      </c>
      <c r="AG100" s="66">
        <f>SUMIFS(Xero!$F:$F,Xero!$B:$B,Heron!AG$9,Xero!$A:$A,Heron!$A$4,Xero!$E:$E,Heron!$A100)+SUMIFS(Xero!$F:$F,Xero!$B:$B,Heron!AG$9,Xero!$A:$A,Heron!$A$5,Xero!$E:$E,Heron!$A100)</f>
        <v/>
      </c>
      <c r="AH100" s="66">
        <f>SUMIFS(Xero!$F:$F,Xero!$B:$B,Heron!AH$9,Xero!$A:$A,Heron!$A$4,Xero!$E:$E,Heron!$A100)+SUMIFS(Xero!$F:$F,Xero!$B:$B,Heron!AH$9,Xero!$A:$A,Heron!$A$5,Xero!$E:$E,Heron!$A100)</f>
        <v/>
      </c>
      <c r="AI100" s="66">
        <f>SUMIFS(Xero!$F:$F,Xero!$B:$B,Heron!AI$9,Xero!$A:$A,Heron!$A$4,Xero!$E:$E,Heron!$A100)+SUMIFS(Xero!$F:$F,Xero!$B:$B,Heron!AI$9,Xero!$A:$A,Heron!$A$5,Xero!$E:$E,Heron!$A100)</f>
        <v/>
      </c>
      <c r="AJ100" s="66">
        <f>SUMIFS(Xero!$F:$F,Xero!$B:$B,Heron!AJ$9,Xero!$A:$A,Heron!$A$4,Xero!$E:$E,Heron!$A100)+SUMIFS(Xero!$F:$F,Xero!$B:$B,Heron!AJ$9,Xero!$A:$A,Heron!$A$5,Xero!$E:$E,Heron!$A100)</f>
        <v/>
      </c>
      <c r="AK100" s="66">
        <f>SUMIFS(Xero!$F:$F,Xero!$B:$B,Heron!AK$9,Xero!$A:$A,Heron!$A$4,Xero!$E:$E,Heron!$A100)+SUMIFS(Xero!$F:$F,Xero!$B:$B,Heron!AK$9,Xero!$A:$A,Heron!$A$5,Xero!$E:$E,Heron!$A100)</f>
        <v/>
      </c>
      <c r="AL100" s="66">
        <f>SUMIFS(Xero!$F:$F,Xero!$B:$B,Heron!AL$9,Xero!$A:$A,Heron!$A$4,Xero!$E:$E,Heron!$A100)+SUMIFS(Xero!$F:$F,Xero!$B:$B,Heron!AL$9,Xero!$A:$A,Heron!$A$5,Xero!$E:$E,Heron!$A100)</f>
        <v/>
      </c>
      <c r="AM100" s="66">
        <f>SUMIFS(Xero!$F:$F,Xero!$B:$B,Heron!AM$9,Xero!$A:$A,Heron!$A$4,Xero!$E:$E,Heron!$A100)+SUMIFS(Xero!$F:$F,Xero!$B:$B,Heron!AM$9,Xero!$A:$A,Heron!$A$5,Xero!$E:$E,Heron!$A100)</f>
        <v/>
      </c>
      <c r="AN100" s="66">
        <f>SUMIFS(Xero!$F:$F,Xero!$B:$B,Heron!AN$9,Xero!$A:$A,Heron!$A$4,Xero!$E:$E,Heron!$A100)+SUMIFS(Xero!$F:$F,Xero!$B:$B,Heron!AN$9,Xero!$A:$A,Heron!$A$5,Xero!$E:$E,Heron!$A100)</f>
        <v/>
      </c>
      <c r="AO100" s="66">
        <f>SUMIFS(Xero!$F:$F,Xero!$B:$B,Heron!AO$9,Xero!$A:$A,Heron!$A$4,Xero!$E:$E,Heron!$A100)+SUMIFS(Xero!$F:$F,Xero!$B:$B,Heron!AO$9,Xero!$A:$A,Heron!$A$5,Xero!$E:$E,Heron!$A100)</f>
        <v/>
      </c>
      <c r="AP100" s="66">
        <f>SUMIFS(Xero!$F:$F,Xero!$B:$B,Heron!AP$9,Xero!$A:$A,Heron!$A$4,Xero!$E:$E,Heron!$A100)+SUMIFS(Xero!$F:$F,Xero!$B:$B,Heron!AP$9,Xero!$A:$A,Heron!$A$5,Xero!$E:$E,Heron!$A100)</f>
        <v/>
      </c>
      <c r="AQ100" s="66">
        <f>SUMIFS(Xero!$F:$F,Xero!$B:$B,Heron!AQ$9,Xero!$A:$A,Heron!$A$4,Xero!$E:$E,Heron!$A100)+SUMIFS(Xero!$F:$F,Xero!$B:$B,Heron!AQ$9,Xero!$A:$A,Heron!$A$5,Xero!$E:$E,Heron!$A100)</f>
        <v/>
      </c>
      <c r="AR100" s="66">
        <f>SUMIFS(Xero!$F:$F,Xero!$B:$B,Heron!AR$9,Xero!$A:$A,Heron!$A$4,Xero!$E:$E,Heron!$A100)+SUMIFS(Xero!$F:$F,Xero!$B:$B,Heron!AR$9,Xero!$A:$A,Heron!$A$5,Xero!$E:$E,Heron!$A100)</f>
        <v/>
      </c>
      <c r="AS100" s="66">
        <f>SUMIFS(Xero!$F:$F,Xero!$B:$B,Heron!AS$9,Xero!$A:$A,Heron!$A$4,Xero!$E:$E,Heron!$A100)+SUMIFS(Xero!$F:$F,Xero!$B:$B,Heron!AS$9,Xero!$A:$A,Heron!$A$5,Xero!$E:$E,Heron!$A100)</f>
        <v/>
      </c>
      <c r="AT100" s="66">
        <f>SUMIFS(Xero!$F:$F,Xero!$B:$B,Heron!AT$9,Xero!$A:$A,Heron!$A$4,Xero!$E:$E,Heron!$A100)+SUMIFS(Xero!$F:$F,Xero!$B:$B,Heron!AT$9,Xero!$A:$A,Heron!$A$5,Xero!$E:$E,Heron!$A100)</f>
        <v/>
      </c>
      <c r="AU100" s="66">
        <f>SUMIFS(Xero!$F:$F,Xero!$B:$B,Heron!AU$9,Xero!$A:$A,Heron!$A$4,Xero!$E:$E,Heron!$A100)+SUMIFS(Xero!$F:$F,Xero!$B:$B,Heron!AU$9,Xero!$A:$A,Heron!$A$5,Xero!$E:$E,Heron!$A100)</f>
        <v/>
      </c>
      <c r="AV100" s="66">
        <f>SUMIFS(Xero!$F:$F,Xero!$B:$B,Heron!AV$9,Xero!$A:$A,Heron!$A$4,Xero!$E:$E,Heron!$A100)+SUMIFS(Xero!$F:$F,Xero!$B:$B,Heron!AV$9,Xero!$A:$A,Heron!$A$5,Xero!$E:$E,Heron!$A100)</f>
        <v/>
      </c>
      <c r="AW100" s="66">
        <f>SUMIFS(Xero!$F:$F,Xero!$B:$B,Heron!AW$9,Xero!$A:$A,Heron!$A$4,Xero!$E:$E,Heron!$A100)+SUMIFS(Xero!$F:$F,Xero!$B:$B,Heron!AW$9,Xero!$A:$A,Heron!$A$5,Xero!$E:$E,Heron!$A100)</f>
        <v/>
      </c>
      <c r="AX100" s="66">
        <f>SUMIFS(Xero!$F:$F,Xero!$B:$B,Heron!AX$9,Xero!$A:$A,Heron!$A$4,Xero!$E:$E,Heron!$A100)+SUMIFS(Xero!$F:$F,Xero!$B:$B,Heron!AX$9,Xero!$A:$A,Heron!$A$5,Xero!$E:$E,Heron!$A100)</f>
        <v/>
      </c>
      <c r="AY100" s="66">
        <f>SUMIFS(Xero!$F:$F,Xero!$B:$B,Heron!AY$9,Xero!$A:$A,Heron!$A$4,Xero!$E:$E,Heron!$A100)+SUMIFS(Xero!$F:$F,Xero!$B:$B,Heron!AY$9,Xero!$A:$A,Heron!$A$5,Xero!$E:$E,Heron!$A100)</f>
        <v/>
      </c>
      <c r="AZ100" s="66">
        <f>SUMIFS(Xero!$F:$F,Xero!$B:$B,Heron!AZ$9,Xero!$A:$A,Heron!$A$4,Xero!$E:$E,Heron!$A100)+SUMIFS(Xero!$F:$F,Xero!$B:$B,Heron!AZ$9,Xero!$A:$A,Heron!$A$5,Xero!$E:$E,Heron!$A100)</f>
        <v/>
      </c>
      <c r="BA100" s="66">
        <f>SUMIFS(Xero!$F:$F,Xero!$B:$B,Heron!BA$9,Xero!$A:$A,Heron!$A$4,Xero!$E:$E,Heron!$A100)+SUMIFS(Xero!$F:$F,Xero!$B:$B,Heron!BA$9,Xero!$A:$A,Heron!$A$5,Xero!$E:$E,Heron!$A100)</f>
        <v/>
      </c>
      <c r="BB100" s="66">
        <f>SUMIFS(Xero!$F:$F,Xero!$B:$B,Heron!BB$9,Xero!$A:$A,Heron!$A$4,Xero!$E:$E,Heron!$A100)+SUMIFS(Xero!$F:$F,Xero!$B:$B,Heron!BB$9,Xero!$A:$A,Heron!$A$5,Xero!$E:$E,Heron!$A100)</f>
        <v/>
      </c>
      <c r="BC100" s="66">
        <f>SUMIFS(Xero!$F:$F,Xero!$B:$B,Heron!BC$9,Xero!$A:$A,Heron!$A$4,Xero!$E:$E,Heron!$A100)+SUMIFS(Xero!$F:$F,Xero!$B:$B,Heron!BC$9,Xero!$A:$A,Heron!$A$5,Xero!$E:$E,Heron!$A100)</f>
        <v/>
      </c>
      <c r="BD100" s="66">
        <f>SUMIFS(Xero!$F:$F,Xero!$B:$B,Heron!BD$9,Xero!$A:$A,Heron!$A$4,Xero!$E:$E,Heron!$A100)+SUMIFS(Xero!$F:$F,Xero!$B:$B,Heron!BD$9,Xero!$A:$A,Heron!$A$5,Xero!$E:$E,Heron!$A100)</f>
        <v/>
      </c>
      <c r="BE100" s="66">
        <f>SUMIFS(Xero!$F:$F,Xero!$B:$B,Heron!BE$9,Xero!$A:$A,Heron!$A$4,Xero!$E:$E,Heron!$A100)+SUMIFS(Xero!$F:$F,Xero!$B:$B,Heron!BE$9,Xero!$A:$A,Heron!$A$5,Xero!$E:$E,Heron!$A100)</f>
        <v/>
      </c>
      <c r="BF100" s="66">
        <f>SUMIFS(Xero!$F:$F,Xero!$B:$B,Heron!BF$9,Xero!$A:$A,Heron!$A$4,Xero!$E:$E,Heron!$A100)+SUMIFS(Xero!$F:$F,Xero!$B:$B,Heron!BF$9,Xero!$A:$A,Heron!$A$5,Xero!$E:$E,Heron!$A100)</f>
        <v/>
      </c>
      <c r="BG100" s="66">
        <f>SUMIFS(Xero!$F:$F,Xero!$B:$B,Heron!BG$9,Xero!$A:$A,Heron!$A$4,Xero!$E:$E,Heron!$A100)+SUMIFS(Xero!$F:$F,Xero!$B:$B,Heron!BG$9,Xero!$A:$A,Heron!$A$5,Xero!$E:$E,Heron!$A100)</f>
        <v/>
      </c>
      <c r="BH100" s="66">
        <f>sum(D100:BG100)</f>
        <v/>
      </c>
    </row>
    <row r="101">
      <c r="A101" s="65" t="inlineStr">
        <is>
          <t>COS - Heron Fields - Construction</t>
        </is>
      </c>
      <c r="D101" s="68">
        <f>SUMIFS(Xero!$F:$F,Xero!$B:$B,Heron!D$9,Xero!$A:$A,Heron!$A$6,Xero!$E:$E,Heron!$A101)</f>
        <v/>
      </c>
      <c r="E101" s="68">
        <f>SUMIFS(Xero!$F:$F,Xero!$B:$B,Heron!E$9,Xero!$A:$A,Heron!$A$6,Xero!$E:$E,Heron!$A101)</f>
        <v/>
      </c>
      <c r="F101" s="68">
        <f>SUMIFS(Xero!$F:$F,Xero!$B:$B,Heron!F$9,Xero!$A:$A,Heron!$A$6,Xero!$E:$E,Heron!$A101)</f>
        <v/>
      </c>
      <c r="G101" s="68">
        <f>SUMIFS(Xero!$F:$F,Xero!$B:$B,Heron!G$9,Xero!$A:$A,Heron!$A$6,Xero!$E:$E,Heron!$A101)</f>
        <v/>
      </c>
      <c r="H101" s="68">
        <f>SUMIFS(Xero!$F:$F,Xero!$B:$B,Heron!H$9,Xero!$A:$A,Heron!$A$6,Xero!$E:$E,Heron!$A101)</f>
        <v/>
      </c>
      <c r="I101" s="68">
        <f>SUMIFS(Xero!$F:$F,Xero!$B:$B,Heron!I$9,Xero!$A:$A,Heron!$A$6,Xero!$E:$E,Heron!$A101)</f>
        <v/>
      </c>
      <c r="J101" s="68">
        <f>SUMIFS(Xero!$F:$F,Xero!$B:$B,Heron!J$9,Xero!$A:$A,Heron!$A$6,Xero!$E:$E,Heron!$A101)</f>
        <v/>
      </c>
      <c r="K101" s="68">
        <f>SUMIFS(Xero!$F:$F,Xero!$B:$B,Heron!K$9,Xero!$A:$A,Heron!$A$6,Xero!$E:$E,Heron!$A101)</f>
        <v/>
      </c>
      <c r="L101" s="68">
        <f>SUMIFS(Xero!$F:$F,Xero!$B:$B,Heron!L$9,Xero!$A:$A,Heron!$A$6,Xero!$E:$E,Heron!$A101)</f>
        <v/>
      </c>
      <c r="M101" s="68">
        <f>SUMIFS(Xero!$F:$F,Xero!$B:$B,Heron!M$9,Xero!$A:$A,Heron!$A$6,Xero!$E:$E,Heron!$A101)</f>
        <v/>
      </c>
      <c r="N101" s="68">
        <f>SUMIFS(Xero!$F:$F,Xero!$B:$B,Heron!N$9,Xero!$A:$A,Heron!$A$6,Xero!$E:$E,Heron!$A101)</f>
        <v/>
      </c>
      <c r="O101" s="68">
        <f>SUMIFS(Xero!$F:$F,Xero!$B:$B,Heron!O$9,Xero!$A:$A,Heron!$A$6,Xero!$E:$E,Heron!$A101)</f>
        <v/>
      </c>
      <c r="P101" s="68">
        <f>SUMIFS(Xero!$F:$F,Xero!$B:$B,Heron!P$9,Xero!$A:$A,Heron!$A$6,Xero!$E:$E,Heron!$A101)</f>
        <v/>
      </c>
      <c r="Q101" s="68">
        <f>SUMIFS(Xero!$F:$F,Xero!$B:$B,Heron!Q$9,Xero!$A:$A,Heron!$A$6,Xero!$E:$E,Heron!$A101)</f>
        <v/>
      </c>
      <c r="R101" s="68">
        <f>SUMIFS(Xero!$F:$F,Xero!$B:$B,Heron!R$9,Xero!$A:$A,Heron!$A$6,Xero!$E:$E,Heron!$A101)</f>
        <v/>
      </c>
      <c r="S101" s="68">
        <f>SUMIFS(Xero!$F:$F,Xero!$B:$B,Heron!S$9,Xero!$A:$A,Heron!$A$6,Xero!$E:$E,Heron!$A101)</f>
        <v/>
      </c>
      <c r="T101" s="68">
        <f>SUMIFS(Xero!$F:$F,Xero!$B:$B,Heron!T$9,Xero!$A:$A,Heron!$A$6,Xero!$E:$E,Heron!$A101)</f>
        <v/>
      </c>
      <c r="U101" s="68">
        <f>SUMIFS(Xero!$F:$F,Xero!$B:$B,Heron!U$9,Xero!$A:$A,Heron!$A$6,Xero!$E:$E,Heron!$A101)</f>
        <v/>
      </c>
      <c r="V101" s="68">
        <f>SUMIFS(Xero!$F:$F,Xero!$B:$B,Heron!V$9,Xero!$A:$A,Heron!$A$6,Xero!$E:$E,Heron!$A101)</f>
        <v/>
      </c>
      <c r="W101" s="68">
        <f>SUMIFS(Xero!$F:$F,Xero!$B:$B,Heron!W$9,Xero!$A:$A,Heron!$A$6,Xero!$E:$E,Heron!$A101)</f>
        <v/>
      </c>
      <c r="X101" s="68">
        <f>SUMIFS(Xero!$F:$F,Xero!$B:$B,Heron!X$9,Xero!$A:$A,Heron!$A$6,Xero!$E:$E,Heron!$A101)</f>
        <v/>
      </c>
      <c r="Y101" s="68">
        <f>SUMIFS(Xero!$F:$F,Xero!$B:$B,Heron!Y$9,Xero!$A:$A,Heron!$A$6,Xero!$E:$E,Heron!$A101)</f>
        <v/>
      </c>
      <c r="Z101" s="68">
        <f>SUMIFS(Xero!$F:$F,Xero!$B:$B,Heron!Z$9,Xero!$A:$A,Heron!$A$6,Xero!$E:$E,Heron!$A101)</f>
        <v/>
      </c>
      <c r="AA101" s="68">
        <f>SUMIFS(Xero!$F:$F,Xero!$B:$B,Heron!AA$9,Xero!$A:$A,Heron!$A$6,Xero!$E:$E,Heron!$A101)</f>
        <v/>
      </c>
      <c r="AB101" s="68">
        <f>SUMIFS(Xero!$F:$F,Xero!$B:$B,Heron!AB$9,Xero!$A:$A,Heron!$A$6,Xero!$E:$E,Heron!$A101)</f>
        <v/>
      </c>
      <c r="AC101" s="68">
        <f>SUMIFS(Xero!$F:$F,Xero!$B:$B,Heron!AC$9,Xero!$A:$A,Heron!$A$6,Xero!$E:$E,Heron!$A101)</f>
        <v/>
      </c>
      <c r="AD101" s="68">
        <f>SUMIFS(Xero!$F:$F,Xero!$B:$B,Heron!AD$9,Xero!$A:$A,Heron!$A$6,Xero!$E:$E,Heron!$A101)</f>
        <v/>
      </c>
      <c r="AE101" s="68">
        <f>SUMIFS(Xero!$F:$F,Xero!$B:$B,Heron!AE$9,Xero!$A:$A,Heron!$A$6,Xero!$E:$E,Heron!$A101)</f>
        <v/>
      </c>
      <c r="AF101" s="68">
        <f>SUMIFS(Xero!$F:$F,Xero!$B:$B,Heron!AF$9,Xero!$A:$A,Heron!$A$6,Xero!$E:$E,Heron!$A101)</f>
        <v/>
      </c>
      <c r="AG101" s="68">
        <f>SUMIFS(Xero!$F:$F,Xero!$B:$B,Heron!AG$9,Xero!$A:$A,Heron!$A$6,Xero!$E:$E,Heron!$A101)</f>
        <v/>
      </c>
      <c r="AH101" s="68">
        <f>SUMIFS(Xero!$F:$F,Xero!$B:$B,Heron!AH$9,Xero!$A:$A,Heron!$A$6,Xero!$E:$E,Heron!$A101)</f>
        <v/>
      </c>
      <c r="AI101" s="68">
        <f>SUMIFS(Xero!$F:$F,Xero!$B:$B,Heron!AI$9,Xero!$A:$A,Heron!$A$6,Xero!$E:$E,Heron!$A101)</f>
        <v/>
      </c>
      <c r="AJ101" s="68">
        <f>SUMIFS(Xero!$F:$F,Xero!$B:$B,Heron!AJ$9,Xero!$A:$A,Heron!$A$6,Xero!$E:$E,Heron!$A101)</f>
        <v/>
      </c>
      <c r="AK101" s="68">
        <f>SUMIFS(Xero!$F:$F,Xero!$B:$B,Heron!AK$9,Xero!$A:$A,Heron!$A$6,Xero!$E:$E,Heron!$A101)</f>
        <v/>
      </c>
      <c r="AL101" s="68">
        <f>SUMIFS(Xero!$F:$F,Xero!$B:$B,Heron!AL$9,Xero!$A:$A,Heron!$A$6,Xero!$E:$E,Heron!$A101)</f>
        <v/>
      </c>
      <c r="AM101" s="68">
        <f>SUMIFS(Xero!$F:$F,Xero!$B:$B,Heron!AM$9,Xero!$A:$A,Heron!$A$6,Xero!$E:$E,Heron!$A101)</f>
        <v/>
      </c>
      <c r="AN101" s="68">
        <f>SUMIFS(Xero!$F:$F,Xero!$B:$B,Heron!AN$9,Xero!$A:$A,Heron!$A$6,Xero!$E:$E,Heron!$A101)</f>
        <v/>
      </c>
      <c r="AO101" s="68">
        <f>SUMIFS(Xero!$F:$F,Xero!$B:$B,Heron!AO$9,Xero!$A:$A,Heron!$A$6,Xero!$E:$E,Heron!$A101)</f>
        <v/>
      </c>
      <c r="AP101" s="68">
        <f>SUMIFS(Xero!$F:$F,Xero!$B:$B,Heron!AP$9,Xero!$A:$A,Heron!$A$6,Xero!$E:$E,Heron!$A101)</f>
        <v/>
      </c>
      <c r="AQ101" s="68">
        <f>SUMIFS(Xero!$F:$F,Xero!$B:$B,Heron!AQ$9,Xero!$A:$A,Heron!$A$6,Xero!$E:$E,Heron!$A101)</f>
        <v/>
      </c>
      <c r="AR101" s="68">
        <f>SUMIFS(Xero!$F:$F,Xero!$B:$B,Heron!AR$9,Xero!$A:$A,Heron!$A$6,Xero!$E:$E,Heron!$A101)</f>
        <v/>
      </c>
      <c r="AS101" s="68">
        <f>SUMIFS(Xero!$F:$F,Xero!$B:$B,Heron!AS$9,Xero!$A:$A,Heron!$A$6,Xero!$E:$E,Heron!$A101)</f>
        <v/>
      </c>
      <c r="AT101" s="68">
        <f>SUMIFS(Xero!$F:$F,Xero!$B:$B,Heron!AT$9,Xero!$A:$A,Heron!$A$6,Xero!$E:$E,Heron!$A101)</f>
        <v/>
      </c>
      <c r="AU101" s="68">
        <f>SUMIFS(Xero!$F:$F,Xero!$B:$B,Heron!AU$9,Xero!$A:$A,Heron!$A$6,Xero!$E:$E,Heron!$A101)</f>
        <v/>
      </c>
      <c r="AV101" s="68">
        <f>SUMIFS(Xero!$F:$F,Xero!$B:$B,Heron!AV$9,Xero!$A:$A,Heron!$A$6,Xero!$E:$E,Heron!$A101)</f>
        <v/>
      </c>
      <c r="AW101" s="68">
        <f>SUMIFS(Xero!$F:$F,Xero!$B:$B,Heron!AW$9,Xero!$A:$A,Heron!$A$6,Xero!$E:$E,Heron!$A101)</f>
        <v/>
      </c>
      <c r="AX101" s="68">
        <f>SUMIFS(Xero!$F:$F,Xero!$B:$B,Heron!AX$9,Xero!$A:$A,Heron!$A$6,Xero!$E:$E,Heron!$A101)</f>
        <v/>
      </c>
      <c r="AY101" s="68">
        <f>SUMIFS(Xero!$F:$F,Xero!$B:$B,Heron!AY$9,Xero!$A:$A,Heron!$A$6,Xero!$E:$E,Heron!$A101)</f>
        <v/>
      </c>
      <c r="AZ101" s="68">
        <f>SUMIFS(Xero!$F:$F,Xero!$B:$B,Heron!AZ$9,Xero!$A:$A,Heron!$A$6,Xero!$E:$E,Heron!$A101)</f>
        <v/>
      </c>
      <c r="BA101" s="68">
        <f>SUMIFS(Xero!$F:$F,Xero!$B:$B,Heron!BA$9,Xero!$A:$A,Heron!$A$6,Xero!$E:$E,Heron!$A101)</f>
        <v/>
      </c>
      <c r="BB101" s="68">
        <f>SUMIFS(Xero!$F:$F,Xero!$B:$B,Heron!BB$9,Xero!$A:$A,Heron!$A$6,Xero!$E:$E,Heron!$A101)</f>
        <v/>
      </c>
      <c r="BC101" s="68">
        <f>SUMIFS(Xero!$F:$F,Xero!$B:$B,Heron!BC$9,Xero!$A:$A,Heron!$A$6,Xero!$E:$E,Heron!$A101)</f>
        <v/>
      </c>
      <c r="BD101" s="68">
        <f>SUMIFS(Xero!$F:$F,Xero!$B:$B,Heron!BD$9,Xero!$A:$A,Heron!$A$6,Xero!$E:$E,Heron!$A101)</f>
        <v/>
      </c>
      <c r="BE101" s="68">
        <f>SUMIFS(Xero!$F:$F,Xero!$B:$B,Heron!BE$9,Xero!$A:$A,Heron!$A$6,Xero!$E:$E,Heron!$A101)</f>
        <v/>
      </c>
      <c r="BF101" s="68">
        <f>SUMIFS(Xero!$F:$F,Xero!$B:$B,Heron!BF$9,Xero!$A:$A,Heron!$A$6,Xero!$E:$E,Heron!$A101)</f>
        <v/>
      </c>
      <c r="BG101" s="68">
        <f>SUMIFS(Xero!$F:$F,Xero!$B:$B,Heron!BG$9,Xero!$A:$A,Heron!$A$6,Xero!$E:$E,Heron!$A101)</f>
        <v/>
      </c>
      <c r="BH101" s="66">
        <f>sum(D101:BG101)</f>
        <v/>
      </c>
    </row>
    <row r="102">
      <c r="A102" s="65" t="inlineStr">
        <is>
          <t>COS - Heron Fields - P &amp; G</t>
        </is>
      </c>
      <c r="D102" s="68">
        <f>SUMIFS(Xero!$F:$F,Xero!$B:$B,Heron!D$9,Xero!$A:$A,Heron!$A$6,Xero!$E:$E,Heron!$A102)</f>
        <v/>
      </c>
      <c r="E102" s="68">
        <f>SUMIFS(Xero!$F:$F,Xero!$B:$B,Heron!E$9,Xero!$A:$A,Heron!$A$6,Xero!$E:$E,Heron!$A102)</f>
        <v/>
      </c>
      <c r="F102" s="68">
        <f>SUMIFS(Xero!$F:$F,Xero!$B:$B,Heron!F$9,Xero!$A:$A,Heron!$A$6,Xero!$E:$E,Heron!$A102)</f>
        <v/>
      </c>
      <c r="G102" s="68">
        <f>SUMIFS(Xero!$F:$F,Xero!$B:$B,Heron!G$9,Xero!$A:$A,Heron!$A$6,Xero!$E:$E,Heron!$A102)</f>
        <v/>
      </c>
      <c r="H102" s="68">
        <f>SUMIFS(Xero!$F:$F,Xero!$B:$B,Heron!H$9,Xero!$A:$A,Heron!$A$6,Xero!$E:$E,Heron!$A102)</f>
        <v/>
      </c>
      <c r="I102" s="68">
        <f>SUMIFS(Xero!$F:$F,Xero!$B:$B,Heron!I$9,Xero!$A:$A,Heron!$A$6,Xero!$E:$E,Heron!$A102)</f>
        <v/>
      </c>
      <c r="J102" s="68">
        <f>SUMIFS(Xero!$F:$F,Xero!$B:$B,Heron!J$9,Xero!$A:$A,Heron!$A$6,Xero!$E:$E,Heron!$A102)</f>
        <v/>
      </c>
      <c r="K102" s="68">
        <f>SUMIFS(Xero!$F:$F,Xero!$B:$B,Heron!K$9,Xero!$A:$A,Heron!$A$6,Xero!$E:$E,Heron!$A102)</f>
        <v/>
      </c>
      <c r="L102" s="68">
        <f>SUMIFS(Xero!$F:$F,Xero!$B:$B,Heron!L$9,Xero!$A:$A,Heron!$A$6,Xero!$E:$E,Heron!$A102)</f>
        <v/>
      </c>
      <c r="M102" s="68">
        <f>SUMIFS(Xero!$F:$F,Xero!$B:$B,Heron!M$9,Xero!$A:$A,Heron!$A$6,Xero!$E:$E,Heron!$A102)</f>
        <v/>
      </c>
      <c r="N102" s="68">
        <f>SUMIFS(Xero!$F:$F,Xero!$B:$B,Heron!N$9,Xero!$A:$A,Heron!$A$6,Xero!$E:$E,Heron!$A102)</f>
        <v/>
      </c>
      <c r="O102" s="68">
        <f>SUMIFS(Xero!$F:$F,Xero!$B:$B,Heron!O$9,Xero!$A:$A,Heron!$A$6,Xero!$E:$E,Heron!$A102)</f>
        <v/>
      </c>
      <c r="P102" s="68">
        <f>SUMIFS(Xero!$F:$F,Xero!$B:$B,Heron!P$9,Xero!$A:$A,Heron!$A$6,Xero!$E:$E,Heron!$A102)</f>
        <v/>
      </c>
      <c r="Q102" s="68">
        <f>SUMIFS(Xero!$F:$F,Xero!$B:$B,Heron!Q$9,Xero!$A:$A,Heron!$A$6,Xero!$E:$E,Heron!$A102)</f>
        <v/>
      </c>
      <c r="R102" s="68">
        <f>SUMIFS(Xero!$F:$F,Xero!$B:$B,Heron!R$9,Xero!$A:$A,Heron!$A$6,Xero!$E:$E,Heron!$A102)</f>
        <v/>
      </c>
      <c r="S102" s="68">
        <f>SUMIFS(Xero!$F:$F,Xero!$B:$B,Heron!S$9,Xero!$A:$A,Heron!$A$6,Xero!$E:$E,Heron!$A102)</f>
        <v/>
      </c>
      <c r="T102" s="68">
        <f>SUMIFS(Xero!$F:$F,Xero!$B:$B,Heron!T$9,Xero!$A:$A,Heron!$A$6,Xero!$E:$E,Heron!$A102)</f>
        <v/>
      </c>
      <c r="U102" s="68">
        <f>SUMIFS(Xero!$F:$F,Xero!$B:$B,Heron!U$9,Xero!$A:$A,Heron!$A$6,Xero!$E:$E,Heron!$A102)</f>
        <v/>
      </c>
      <c r="V102" s="68">
        <f>SUMIFS(Xero!$F:$F,Xero!$B:$B,Heron!V$9,Xero!$A:$A,Heron!$A$6,Xero!$E:$E,Heron!$A102)</f>
        <v/>
      </c>
      <c r="W102" s="68">
        <f>SUMIFS(Xero!$F:$F,Xero!$B:$B,Heron!W$9,Xero!$A:$A,Heron!$A$6,Xero!$E:$E,Heron!$A102)</f>
        <v/>
      </c>
      <c r="X102" s="68">
        <f>SUMIFS(Xero!$F:$F,Xero!$B:$B,Heron!X$9,Xero!$A:$A,Heron!$A$6,Xero!$E:$E,Heron!$A102)</f>
        <v/>
      </c>
      <c r="Y102" s="68">
        <f>SUMIFS(Xero!$F:$F,Xero!$B:$B,Heron!Y$9,Xero!$A:$A,Heron!$A$6,Xero!$E:$E,Heron!$A102)</f>
        <v/>
      </c>
      <c r="Z102" s="68">
        <f>SUMIFS(Xero!$F:$F,Xero!$B:$B,Heron!Z$9,Xero!$A:$A,Heron!$A$6,Xero!$E:$E,Heron!$A102)</f>
        <v/>
      </c>
      <c r="AA102" s="68">
        <f>SUMIFS(Xero!$F:$F,Xero!$B:$B,Heron!AA$9,Xero!$A:$A,Heron!$A$6,Xero!$E:$E,Heron!$A102)</f>
        <v/>
      </c>
      <c r="AB102" s="68">
        <f>SUMIFS(Xero!$F:$F,Xero!$B:$B,Heron!AB$9,Xero!$A:$A,Heron!$A$6,Xero!$E:$E,Heron!$A102)</f>
        <v/>
      </c>
      <c r="AC102" s="68">
        <f>SUMIFS(Xero!$F:$F,Xero!$B:$B,Heron!AC$9,Xero!$A:$A,Heron!$A$6,Xero!$E:$E,Heron!$A102)</f>
        <v/>
      </c>
      <c r="AD102" s="68">
        <f>SUMIFS(Xero!$F:$F,Xero!$B:$B,Heron!AD$9,Xero!$A:$A,Heron!$A$6,Xero!$E:$E,Heron!$A102)</f>
        <v/>
      </c>
      <c r="AE102" s="68">
        <f>SUMIFS(Xero!$F:$F,Xero!$B:$B,Heron!AE$9,Xero!$A:$A,Heron!$A$6,Xero!$E:$E,Heron!$A102)</f>
        <v/>
      </c>
      <c r="AF102" s="68">
        <f>SUMIFS(Xero!$F:$F,Xero!$B:$B,Heron!AF$9,Xero!$A:$A,Heron!$A$6,Xero!$E:$E,Heron!$A102)</f>
        <v/>
      </c>
      <c r="AG102" s="68">
        <f>SUMIFS(Xero!$F:$F,Xero!$B:$B,Heron!AG$9,Xero!$A:$A,Heron!$A$6,Xero!$E:$E,Heron!$A102)</f>
        <v/>
      </c>
      <c r="AH102" s="68">
        <f>SUMIFS(Xero!$F:$F,Xero!$B:$B,Heron!AH$9,Xero!$A:$A,Heron!$A$6,Xero!$E:$E,Heron!$A102)</f>
        <v/>
      </c>
      <c r="AI102" s="68">
        <f>SUMIFS(Xero!$F:$F,Xero!$B:$B,Heron!AI$9,Xero!$A:$A,Heron!$A$6,Xero!$E:$E,Heron!$A102)</f>
        <v/>
      </c>
      <c r="AJ102" s="68">
        <f>SUMIFS(Xero!$F:$F,Xero!$B:$B,Heron!AJ$9,Xero!$A:$A,Heron!$A$6,Xero!$E:$E,Heron!$A102)</f>
        <v/>
      </c>
      <c r="AK102" s="68">
        <f>SUMIFS(Xero!$F:$F,Xero!$B:$B,Heron!AK$9,Xero!$A:$A,Heron!$A$6,Xero!$E:$E,Heron!$A102)</f>
        <v/>
      </c>
      <c r="AL102" s="68">
        <f>SUMIFS(Xero!$F:$F,Xero!$B:$B,Heron!AL$9,Xero!$A:$A,Heron!$A$6,Xero!$E:$E,Heron!$A102)</f>
        <v/>
      </c>
      <c r="AM102" s="68">
        <f>SUMIFS(Xero!$F:$F,Xero!$B:$B,Heron!AM$9,Xero!$A:$A,Heron!$A$6,Xero!$E:$E,Heron!$A102)</f>
        <v/>
      </c>
      <c r="AN102" s="68">
        <f>SUMIFS(Xero!$F:$F,Xero!$B:$B,Heron!AN$9,Xero!$A:$A,Heron!$A$6,Xero!$E:$E,Heron!$A102)</f>
        <v/>
      </c>
      <c r="AO102" s="68">
        <f>SUMIFS(Xero!$F:$F,Xero!$B:$B,Heron!AO$9,Xero!$A:$A,Heron!$A$6,Xero!$E:$E,Heron!$A102)</f>
        <v/>
      </c>
      <c r="AP102" s="68">
        <f>SUMIFS(Xero!$F:$F,Xero!$B:$B,Heron!AP$9,Xero!$A:$A,Heron!$A$6,Xero!$E:$E,Heron!$A102)</f>
        <v/>
      </c>
      <c r="AQ102" s="68">
        <f>SUMIFS(Xero!$F:$F,Xero!$B:$B,Heron!AQ$9,Xero!$A:$A,Heron!$A$6,Xero!$E:$E,Heron!$A102)</f>
        <v/>
      </c>
      <c r="AR102" s="68">
        <f>SUMIFS(Xero!$F:$F,Xero!$B:$B,Heron!AR$9,Xero!$A:$A,Heron!$A$6,Xero!$E:$E,Heron!$A102)</f>
        <v/>
      </c>
      <c r="AS102" s="68">
        <f>SUMIFS(Xero!$F:$F,Xero!$B:$B,Heron!AS$9,Xero!$A:$A,Heron!$A$6,Xero!$E:$E,Heron!$A102)</f>
        <v/>
      </c>
      <c r="AT102" s="68">
        <f>SUMIFS(Xero!$F:$F,Xero!$B:$B,Heron!AT$9,Xero!$A:$A,Heron!$A$6,Xero!$E:$E,Heron!$A102)</f>
        <v/>
      </c>
      <c r="AU102" s="68">
        <f>SUMIFS(Xero!$F:$F,Xero!$B:$B,Heron!AU$9,Xero!$A:$A,Heron!$A$6,Xero!$E:$E,Heron!$A102)</f>
        <v/>
      </c>
      <c r="AV102" s="68">
        <f>SUMIFS(Xero!$F:$F,Xero!$B:$B,Heron!AV$9,Xero!$A:$A,Heron!$A$6,Xero!$E:$E,Heron!$A102)</f>
        <v/>
      </c>
      <c r="AW102" s="68">
        <f>SUMIFS(Xero!$F:$F,Xero!$B:$B,Heron!AW$9,Xero!$A:$A,Heron!$A$6,Xero!$E:$E,Heron!$A102)</f>
        <v/>
      </c>
      <c r="AX102" s="68">
        <f>SUMIFS(Xero!$F:$F,Xero!$B:$B,Heron!AX$9,Xero!$A:$A,Heron!$A$6,Xero!$E:$E,Heron!$A102)</f>
        <v/>
      </c>
      <c r="AY102" s="68">
        <f>SUMIFS(Xero!$F:$F,Xero!$B:$B,Heron!AY$9,Xero!$A:$A,Heron!$A$6,Xero!$E:$E,Heron!$A102)</f>
        <v/>
      </c>
      <c r="AZ102" s="68">
        <f>SUMIFS(Xero!$F:$F,Xero!$B:$B,Heron!AZ$9,Xero!$A:$A,Heron!$A$6,Xero!$E:$E,Heron!$A102)</f>
        <v/>
      </c>
      <c r="BA102" s="68">
        <f>SUMIFS(Xero!$F:$F,Xero!$B:$B,Heron!BA$9,Xero!$A:$A,Heron!$A$6,Xero!$E:$E,Heron!$A102)</f>
        <v/>
      </c>
      <c r="BB102" s="68">
        <f>SUMIFS(Xero!$F:$F,Xero!$B:$B,Heron!BB$9,Xero!$A:$A,Heron!$A$6,Xero!$E:$E,Heron!$A102)</f>
        <v/>
      </c>
      <c r="BC102" s="68">
        <f>SUMIFS(Xero!$F:$F,Xero!$B:$B,Heron!BC$9,Xero!$A:$A,Heron!$A$6,Xero!$E:$E,Heron!$A102)</f>
        <v/>
      </c>
      <c r="BD102" s="68">
        <f>SUMIFS(Xero!$F:$F,Xero!$B:$B,Heron!BD$9,Xero!$A:$A,Heron!$A$6,Xero!$E:$E,Heron!$A102)</f>
        <v/>
      </c>
      <c r="BE102" s="68">
        <f>SUMIFS(Xero!$F:$F,Xero!$B:$B,Heron!BE$9,Xero!$A:$A,Heron!$A$6,Xero!$E:$E,Heron!$A102)</f>
        <v/>
      </c>
      <c r="BF102" s="68">
        <f>SUMIFS(Xero!$F:$F,Xero!$B:$B,Heron!BF$9,Xero!$A:$A,Heron!$A$6,Xero!$E:$E,Heron!$A102)</f>
        <v/>
      </c>
      <c r="BG102" s="68">
        <f>SUMIFS(Xero!$F:$F,Xero!$B:$B,Heron!BG$9,Xero!$A:$A,Heron!$A$6,Xero!$E:$E,Heron!$A102)</f>
        <v/>
      </c>
      <c r="BH102" s="66">
        <f>sum(D102:BG102)</f>
        <v/>
      </c>
    </row>
    <row r="103">
      <c r="A103" s="65" t="inlineStr">
        <is>
          <t>COS - Heron Fields - Printing &amp; Stationary</t>
        </is>
      </c>
      <c r="D103" s="68">
        <f>SUMIFS(Xero!$F:$F,Xero!$B:$B,Heron!D$9,Xero!$A:$A,Heron!$A$6,Xero!$E:$E,Heron!$A103)</f>
        <v/>
      </c>
      <c r="E103" s="68">
        <f>SUMIFS(Xero!$F:$F,Xero!$B:$B,Heron!E$9,Xero!$A:$A,Heron!$A$6,Xero!$E:$E,Heron!$A103)</f>
        <v/>
      </c>
      <c r="F103" s="68">
        <f>SUMIFS(Xero!$F:$F,Xero!$B:$B,Heron!F$9,Xero!$A:$A,Heron!$A$6,Xero!$E:$E,Heron!$A103)</f>
        <v/>
      </c>
      <c r="G103" s="68">
        <f>SUMIFS(Xero!$F:$F,Xero!$B:$B,Heron!G$9,Xero!$A:$A,Heron!$A$6,Xero!$E:$E,Heron!$A103)</f>
        <v/>
      </c>
      <c r="H103" s="68">
        <f>SUMIFS(Xero!$F:$F,Xero!$B:$B,Heron!H$9,Xero!$A:$A,Heron!$A$6,Xero!$E:$E,Heron!$A103)</f>
        <v/>
      </c>
      <c r="I103" s="68">
        <f>SUMIFS(Xero!$F:$F,Xero!$B:$B,Heron!I$9,Xero!$A:$A,Heron!$A$6,Xero!$E:$E,Heron!$A103)</f>
        <v/>
      </c>
      <c r="J103" s="68">
        <f>SUMIFS(Xero!$F:$F,Xero!$B:$B,Heron!J$9,Xero!$A:$A,Heron!$A$6,Xero!$E:$E,Heron!$A103)</f>
        <v/>
      </c>
      <c r="K103" s="68">
        <f>SUMIFS(Xero!$F:$F,Xero!$B:$B,Heron!K$9,Xero!$A:$A,Heron!$A$6,Xero!$E:$E,Heron!$A103)</f>
        <v/>
      </c>
      <c r="L103" s="68">
        <f>SUMIFS(Xero!$F:$F,Xero!$B:$B,Heron!L$9,Xero!$A:$A,Heron!$A$6,Xero!$E:$E,Heron!$A103)</f>
        <v/>
      </c>
      <c r="M103" s="68">
        <f>SUMIFS(Xero!$F:$F,Xero!$B:$B,Heron!M$9,Xero!$A:$A,Heron!$A$6,Xero!$E:$E,Heron!$A103)</f>
        <v/>
      </c>
      <c r="N103" s="68">
        <f>SUMIFS(Xero!$F:$F,Xero!$B:$B,Heron!N$9,Xero!$A:$A,Heron!$A$6,Xero!$E:$E,Heron!$A103)</f>
        <v/>
      </c>
      <c r="O103" s="68">
        <f>SUMIFS(Xero!$F:$F,Xero!$B:$B,Heron!O$9,Xero!$A:$A,Heron!$A$6,Xero!$E:$E,Heron!$A103)</f>
        <v/>
      </c>
      <c r="P103" s="68">
        <f>SUMIFS(Xero!$F:$F,Xero!$B:$B,Heron!P$9,Xero!$A:$A,Heron!$A$6,Xero!$E:$E,Heron!$A103)</f>
        <v/>
      </c>
      <c r="Q103" s="68">
        <f>SUMIFS(Xero!$F:$F,Xero!$B:$B,Heron!Q$9,Xero!$A:$A,Heron!$A$6,Xero!$E:$E,Heron!$A103)</f>
        <v/>
      </c>
      <c r="R103" s="68">
        <f>SUMIFS(Xero!$F:$F,Xero!$B:$B,Heron!R$9,Xero!$A:$A,Heron!$A$6,Xero!$E:$E,Heron!$A103)</f>
        <v/>
      </c>
      <c r="S103" s="68">
        <f>SUMIFS(Xero!$F:$F,Xero!$B:$B,Heron!S$9,Xero!$A:$A,Heron!$A$6,Xero!$E:$E,Heron!$A103)</f>
        <v/>
      </c>
      <c r="T103" s="68">
        <f>SUMIFS(Xero!$F:$F,Xero!$B:$B,Heron!T$9,Xero!$A:$A,Heron!$A$6,Xero!$E:$E,Heron!$A103)</f>
        <v/>
      </c>
      <c r="U103" s="68">
        <f>SUMIFS(Xero!$F:$F,Xero!$B:$B,Heron!U$9,Xero!$A:$A,Heron!$A$6,Xero!$E:$E,Heron!$A103)</f>
        <v/>
      </c>
      <c r="V103" s="68">
        <f>SUMIFS(Xero!$F:$F,Xero!$B:$B,Heron!V$9,Xero!$A:$A,Heron!$A$6,Xero!$E:$E,Heron!$A103)</f>
        <v/>
      </c>
      <c r="W103" s="68">
        <f>SUMIFS(Xero!$F:$F,Xero!$B:$B,Heron!W$9,Xero!$A:$A,Heron!$A$6,Xero!$E:$E,Heron!$A103)</f>
        <v/>
      </c>
      <c r="X103" s="68">
        <f>SUMIFS(Xero!$F:$F,Xero!$B:$B,Heron!X$9,Xero!$A:$A,Heron!$A$6,Xero!$E:$E,Heron!$A103)</f>
        <v/>
      </c>
      <c r="Y103" s="68">
        <f>SUMIFS(Xero!$F:$F,Xero!$B:$B,Heron!Y$9,Xero!$A:$A,Heron!$A$6,Xero!$E:$E,Heron!$A103)</f>
        <v/>
      </c>
      <c r="Z103" s="68">
        <f>SUMIFS(Xero!$F:$F,Xero!$B:$B,Heron!Z$9,Xero!$A:$A,Heron!$A$6,Xero!$E:$E,Heron!$A103)</f>
        <v/>
      </c>
      <c r="AA103" s="68">
        <f>SUMIFS(Xero!$F:$F,Xero!$B:$B,Heron!AA$9,Xero!$A:$A,Heron!$A$6,Xero!$E:$E,Heron!$A103)</f>
        <v/>
      </c>
      <c r="AB103" s="68">
        <f>SUMIFS(Xero!$F:$F,Xero!$B:$B,Heron!AB$9,Xero!$A:$A,Heron!$A$6,Xero!$E:$E,Heron!$A103)</f>
        <v/>
      </c>
      <c r="AC103" s="68">
        <f>SUMIFS(Xero!$F:$F,Xero!$B:$B,Heron!AC$9,Xero!$A:$A,Heron!$A$6,Xero!$E:$E,Heron!$A103)</f>
        <v/>
      </c>
      <c r="AD103" s="68">
        <f>SUMIFS(Xero!$F:$F,Xero!$B:$B,Heron!AD$9,Xero!$A:$A,Heron!$A$6,Xero!$E:$E,Heron!$A103)</f>
        <v/>
      </c>
      <c r="AE103" s="68">
        <f>SUMIFS(Xero!$F:$F,Xero!$B:$B,Heron!AE$9,Xero!$A:$A,Heron!$A$6,Xero!$E:$E,Heron!$A103)</f>
        <v/>
      </c>
      <c r="AF103" s="68">
        <f>SUMIFS(Xero!$F:$F,Xero!$B:$B,Heron!AF$9,Xero!$A:$A,Heron!$A$6,Xero!$E:$E,Heron!$A103)</f>
        <v/>
      </c>
      <c r="AG103" s="68">
        <f>SUMIFS(Xero!$F:$F,Xero!$B:$B,Heron!AG$9,Xero!$A:$A,Heron!$A$6,Xero!$E:$E,Heron!$A103)</f>
        <v/>
      </c>
      <c r="AH103" s="68">
        <f>SUMIFS(Xero!$F:$F,Xero!$B:$B,Heron!AH$9,Xero!$A:$A,Heron!$A$6,Xero!$E:$E,Heron!$A103)</f>
        <v/>
      </c>
      <c r="AI103" s="68">
        <f>SUMIFS(Xero!$F:$F,Xero!$B:$B,Heron!AI$9,Xero!$A:$A,Heron!$A$6,Xero!$E:$E,Heron!$A103)</f>
        <v/>
      </c>
      <c r="AJ103" s="68">
        <f>SUMIFS(Xero!$F:$F,Xero!$B:$B,Heron!AJ$9,Xero!$A:$A,Heron!$A$6,Xero!$E:$E,Heron!$A103)</f>
        <v/>
      </c>
      <c r="AK103" s="68">
        <f>SUMIFS(Xero!$F:$F,Xero!$B:$B,Heron!AK$9,Xero!$A:$A,Heron!$A$6,Xero!$E:$E,Heron!$A103)</f>
        <v/>
      </c>
      <c r="AL103" s="68">
        <f>SUMIFS(Xero!$F:$F,Xero!$B:$B,Heron!AL$9,Xero!$A:$A,Heron!$A$6,Xero!$E:$E,Heron!$A103)</f>
        <v/>
      </c>
      <c r="AM103" s="68">
        <f>SUMIFS(Xero!$F:$F,Xero!$B:$B,Heron!AM$9,Xero!$A:$A,Heron!$A$6,Xero!$E:$E,Heron!$A103)</f>
        <v/>
      </c>
      <c r="AN103" s="68">
        <f>SUMIFS(Xero!$F:$F,Xero!$B:$B,Heron!AN$9,Xero!$A:$A,Heron!$A$6,Xero!$E:$E,Heron!$A103)</f>
        <v/>
      </c>
      <c r="AO103" s="68">
        <f>SUMIFS(Xero!$F:$F,Xero!$B:$B,Heron!AO$9,Xero!$A:$A,Heron!$A$6,Xero!$E:$E,Heron!$A103)</f>
        <v/>
      </c>
      <c r="AP103" s="68">
        <f>SUMIFS(Xero!$F:$F,Xero!$B:$B,Heron!AP$9,Xero!$A:$A,Heron!$A$6,Xero!$E:$E,Heron!$A103)</f>
        <v/>
      </c>
      <c r="AQ103" s="68">
        <f>SUMIFS(Xero!$F:$F,Xero!$B:$B,Heron!AQ$9,Xero!$A:$A,Heron!$A$6,Xero!$E:$E,Heron!$A103)</f>
        <v/>
      </c>
      <c r="AR103" s="68">
        <f>SUMIFS(Xero!$F:$F,Xero!$B:$B,Heron!AR$9,Xero!$A:$A,Heron!$A$6,Xero!$E:$E,Heron!$A103)</f>
        <v/>
      </c>
      <c r="AS103" s="68">
        <f>SUMIFS(Xero!$F:$F,Xero!$B:$B,Heron!AS$9,Xero!$A:$A,Heron!$A$6,Xero!$E:$E,Heron!$A103)</f>
        <v/>
      </c>
      <c r="AT103" s="68">
        <f>SUMIFS(Xero!$F:$F,Xero!$B:$B,Heron!AT$9,Xero!$A:$A,Heron!$A$6,Xero!$E:$E,Heron!$A103)</f>
        <v/>
      </c>
      <c r="AU103" s="68">
        <f>SUMIFS(Xero!$F:$F,Xero!$B:$B,Heron!AU$9,Xero!$A:$A,Heron!$A$6,Xero!$E:$E,Heron!$A103)</f>
        <v/>
      </c>
      <c r="AV103" s="68">
        <f>SUMIFS(Xero!$F:$F,Xero!$B:$B,Heron!AV$9,Xero!$A:$A,Heron!$A$6,Xero!$E:$E,Heron!$A103)</f>
        <v/>
      </c>
      <c r="AW103" s="68">
        <f>SUMIFS(Xero!$F:$F,Xero!$B:$B,Heron!AW$9,Xero!$A:$A,Heron!$A$6,Xero!$E:$E,Heron!$A103)</f>
        <v/>
      </c>
      <c r="AX103" s="68">
        <f>SUMIFS(Xero!$F:$F,Xero!$B:$B,Heron!AX$9,Xero!$A:$A,Heron!$A$6,Xero!$E:$E,Heron!$A103)</f>
        <v/>
      </c>
      <c r="AY103" s="68">
        <f>SUMIFS(Xero!$F:$F,Xero!$B:$B,Heron!AY$9,Xero!$A:$A,Heron!$A$6,Xero!$E:$E,Heron!$A103)</f>
        <v/>
      </c>
      <c r="AZ103" s="68">
        <f>SUMIFS(Xero!$F:$F,Xero!$B:$B,Heron!AZ$9,Xero!$A:$A,Heron!$A$6,Xero!$E:$E,Heron!$A103)</f>
        <v/>
      </c>
      <c r="BA103" s="68">
        <f>SUMIFS(Xero!$F:$F,Xero!$B:$B,Heron!BA$9,Xero!$A:$A,Heron!$A$6,Xero!$E:$E,Heron!$A103)</f>
        <v/>
      </c>
      <c r="BB103" s="68">
        <f>SUMIFS(Xero!$F:$F,Xero!$B:$B,Heron!BB$9,Xero!$A:$A,Heron!$A$6,Xero!$E:$E,Heron!$A103)</f>
        <v/>
      </c>
      <c r="BC103" s="68">
        <f>SUMIFS(Xero!$F:$F,Xero!$B:$B,Heron!BC$9,Xero!$A:$A,Heron!$A$6,Xero!$E:$E,Heron!$A103)</f>
        <v/>
      </c>
      <c r="BD103" s="68">
        <f>SUMIFS(Xero!$F:$F,Xero!$B:$B,Heron!BD$9,Xero!$A:$A,Heron!$A$6,Xero!$E:$E,Heron!$A103)</f>
        <v/>
      </c>
      <c r="BE103" s="68">
        <f>SUMIFS(Xero!$F:$F,Xero!$B:$B,Heron!BE$9,Xero!$A:$A,Heron!$A$6,Xero!$E:$E,Heron!$A103)</f>
        <v/>
      </c>
      <c r="BF103" s="68">
        <f>SUMIFS(Xero!$F:$F,Xero!$B:$B,Heron!BF$9,Xero!$A:$A,Heron!$A$6,Xero!$E:$E,Heron!$A103)</f>
        <v/>
      </c>
      <c r="BG103" s="68">
        <f>SUMIFS(Xero!$F:$F,Xero!$B:$B,Heron!BG$9,Xero!$A:$A,Heron!$A$6,Xero!$E:$E,Heron!$A103)</f>
        <v/>
      </c>
      <c r="BH103" s="66">
        <f>sum(D103:BG103)</f>
        <v/>
      </c>
    </row>
    <row r="104">
      <c r="A104" s="65" t="inlineStr">
        <is>
          <t>COS - Heron View - Construction</t>
        </is>
      </c>
      <c r="D104" s="68">
        <f>SUMIFS(Xero!$F:$F,Xero!$B:$B,Heron!D$9,Xero!$A:$A,Heron!$A$6,Xero!$E:$E,Heron!$A104)+SUMIFS('Updated Construction'!$F:$F,'Updated Construction'!$C:$C,1,'Updated Construction'!$E:$E,"&lt;="&amp;Heron!D$9,'Updated Construction'!$E:$E,"&gt;"&amp;Heron!C$9,'Updated Construction'!$D:$D,FALSE)</f>
        <v/>
      </c>
      <c r="E104" s="68">
        <f>SUMIFS(Xero!$F:$F,Xero!$B:$B,Heron!E$9,Xero!$A:$A,Heron!$A$6,Xero!$E:$E,Heron!$A104)+SUMIFS('Updated Construction'!$F:$F,'Updated Construction'!$C:$C,1,'Updated Construction'!$E:$E,"&lt;="&amp;Heron!E$9,'Updated Construction'!$E:$E,"&gt;"&amp;Heron!D$9,'Updated Construction'!$D:$D,FALSE)</f>
        <v/>
      </c>
      <c r="F104" s="68">
        <f>SUMIFS(Xero!$F:$F,Xero!$B:$B,Heron!F$9,Xero!$A:$A,Heron!$A$6,Xero!$E:$E,Heron!$A104)+SUMIFS('Updated Construction'!$F:$F,'Updated Construction'!$C:$C,1,'Updated Construction'!$E:$E,"&lt;="&amp;Heron!F$9,'Updated Construction'!$E:$E,"&gt;"&amp;Heron!E$9,'Updated Construction'!$D:$D,FALSE)</f>
        <v/>
      </c>
      <c r="G104" s="68">
        <f>SUMIFS(Xero!$F:$F,Xero!$B:$B,Heron!G$9,Xero!$A:$A,Heron!$A$6,Xero!$E:$E,Heron!$A104)+SUMIFS('Updated Construction'!$F:$F,'Updated Construction'!$C:$C,1,'Updated Construction'!$E:$E,"&lt;="&amp;Heron!G$9,'Updated Construction'!$E:$E,"&gt;"&amp;Heron!F$9,'Updated Construction'!$D:$D,FALSE)</f>
        <v/>
      </c>
      <c r="H104" s="68">
        <f>SUMIFS(Xero!$F:$F,Xero!$B:$B,Heron!H$9,Xero!$A:$A,Heron!$A$6,Xero!$E:$E,Heron!$A104)+SUMIFS('Updated Construction'!$F:$F,'Updated Construction'!$C:$C,1,'Updated Construction'!$E:$E,"&lt;="&amp;Heron!H$9,'Updated Construction'!$E:$E,"&gt;"&amp;Heron!G$9,'Updated Construction'!$D:$D,FALSE)</f>
        <v/>
      </c>
      <c r="I104" s="68">
        <f>SUMIFS(Xero!$F:$F,Xero!$B:$B,Heron!I$9,Xero!$A:$A,Heron!$A$6,Xero!$E:$E,Heron!$A104)+SUMIFS('Updated Construction'!$F:$F,'Updated Construction'!$C:$C,1,'Updated Construction'!$E:$E,"&lt;="&amp;Heron!I$9,'Updated Construction'!$E:$E,"&gt;"&amp;Heron!H$9,'Updated Construction'!$D:$D,FALSE)</f>
        <v/>
      </c>
      <c r="J104" s="68">
        <f>SUMIFS(Xero!$F:$F,Xero!$B:$B,Heron!J$9,Xero!$A:$A,Heron!$A$6,Xero!$E:$E,Heron!$A104)+SUMIFS('Updated Construction'!$F:$F,'Updated Construction'!$C:$C,1,'Updated Construction'!$E:$E,"&lt;="&amp;Heron!J$9,'Updated Construction'!$E:$E,"&gt;"&amp;Heron!I$9,'Updated Construction'!$D:$D,FALSE)</f>
        <v/>
      </c>
      <c r="K104" s="68">
        <f>SUMIFS(Xero!$F:$F,Xero!$B:$B,Heron!K$9,Xero!$A:$A,Heron!$A$6,Xero!$E:$E,Heron!$A104)+SUMIFS('Updated Construction'!$F:$F,'Updated Construction'!$C:$C,1,'Updated Construction'!$E:$E,"&lt;="&amp;Heron!K$9,'Updated Construction'!$E:$E,"&gt;"&amp;Heron!J$9,'Updated Construction'!$D:$D,FALSE)</f>
        <v/>
      </c>
      <c r="L104" s="68">
        <f>SUMIFS(Xero!$F:$F,Xero!$B:$B,Heron!L$9,Xero!$A:$A,Heron!$A$6,Xero!$E:$E,Heron!$A104)+SUMIFS('Updated Construction'!$F:$F,'Updated Construction'!$C:$C,1,'Updated Construction'!$E:$E,"&lt;="&amp;Heron!L$9,'Updated Construction'!$E:$E,"&gt;"&amp;Heron!K$9,'Updated Construction'!$D:$D,FALSE)</f>
        <v/>
      </c>
      <c r="M104" s="68">
        <f>SUMIFS(Xero!$F:$F,Xero!$B:$B,Heron!M$9,Xero!$A:$A,Heron!$A$6,Xero!$E:$E,Heron!$A104)+SUMIFS('Updated Construction'!$F:$F,'Updated Construction'!$C:$C,1,'Updated Construction'!$E:$E,"&lt;="&amp;Heron!M$9,'Updated Construction'!$E:$E,"&gt;"&amp;Heron!L$9,'Updated Construction'!$D:$D,FALSE)</f>
        <v/>
      </c>
      <c r="N104" s="68">
        <f>SUMIFS(Xero!$F:$F,Xero!$B:$B,Heron!N$9,Xero!$A:$A,Heron!$A$6,Xero!$E:$E,Heron!$A104)+SUMIFS('Updated Construction'!$F:$F,'Updated Construction'!$C:$C,1,'Updated Construction'!$E:$E,"&lt;="&amp;Heron!N$9,'Updated Construction'!$E:$E,"&gt;"&amp;Heron!M$9,'Updated Construction'!$D:$D,FALSE)</f>
        <v/>
      </c>
      <c r="O104" s="68">
        <f>SUMIFS(Xero!$F:$F,Xero!$B:$B,Heron!O$9,Xero!$A:$A,Heron!$A$6,Xero!$E:$E,Heron!$A104)+SUMIFS('Updated Construction'!$F:$F,'Updated Construction'!$C:$C,1,'Updated Construction'!$E:$E,"&lt;="&amp;Heron!O$9,'Updated Construction'!$E:$E,"&gt;"&amp;Heron!N$9,'Updated Construction'!$D:$D,FALSE)</f>
        <v/>
      </c>
      <c r="P104" s="68">
        <f>SUMIFS(Xero!$F:$F,Xero!$B:$B,Heron!P$9,Xero!$A:$A,Heron!$A$6,Xero!$E:$E,Heron!$A104)+SUMIFS('Updated Construction'!$F:$F,'Updated Construction'!$C:$C,1,'Updated Construction'!$E:$E,"&lt;="&amp;Heron!P$9,'Updated Construction'!$E:$E,"&gt;"&amp;Heron!O$9,'Updated Construction'!$D:$D,FALSE)</f>
        <v/>
      </c>
      <c r="Q104" s="68">
        <f>SUMIFS(Xero!$F:$F,Xero!$B:$B,Heron!Q$9,Xero!$A:$A,Heron!$A$6,Xero!$E:$E,Heron!$A104)+SUMIFS('Updated Construction'!$F:$F,'Updated Construction'!$C:$C,1,'Updated Construction'!$E:$E,"&lt;="&amp;Heron!Q$9,'Updated Construction'!$E:$E,"&gt;"&amp;Heron!P$9,'Updated Construction'!$D:$D,FALSE)</f>
        <v/>
      </c>
      <c r="R104" s="68">
        <f>SUMIFS(Xero!$F:$F,Xero!$B:$B,Heron!R$9,Xero!$A:$A,Heron!$A$6,Xero!$E:$E,Heron!$A104)+SUMIFS('Updated Construction'!$F:$F,'Updated Construction'!$C:$C,1,'Updated Construction'!$E:$E,"&lt;="&amp;Heron!R$9,'Updated Construction'!$E:$E,"&gt;"&amp;Heron!Q$9,'Updated Construction'!$D:$D,FALSE)</f>
        <v/>
      </c>
      <c r="S104" s="68">
        <f>SUMIFS(Xero!$F:$F,Xero!$B:$B,Heron!S$9,Xero!$A:$A,Heron!$A$6,Xero!$E:$E,Heron!$A104)+SUMIFS('Updated Construction'!$F:$F,'Updated Construction'!$C:$C,1,'Updated Construction'!$E:$E,"&lt;="&amp;Heron!S$9,'Updated Construction'!$E:$E,"&gt;"&amp;Heron!R$9,'Updated Construction'!$D:$D,FALSE)</f>
        <v/>
      </c>
      <c r="T104" s="68">
        <f>SUMIFS(Xero!$F:$F,Xero!$B:$B,Heron!T$9,Xero!$A:$A,Heron!$A$6,Xero!$E:$E,Heron!$A104)+SUMIFS('Updated Construction'!$F:$F,'Updated Construction'!$C:$C,1,'Updated Construction'!$E:$E,"&lt;="&amp;Heron!T$9,'Updated Construction'!$E:$E,"&gt;"&amp;Heron!S$9,'Updated Construction'!$D:$D,FALSE)</f>
        <v/>
      </c>
      <c r="U104" s="68">
        <f>SUMIFS(Xero!$F:$F,Xero!$B:$B,Heron!U$9,Xero!$A:$A,Heron!$A$6,Xero!$E:$E,Heron!$A104)+SUMIFS('Updated Construction'!$F:$F,'Updated Construction'!$C:$C,1,'Updated Construction'!$E:$E,"&lt;="&amp;Heron!U$9,'Updated Construction'!$E:$E,"&gt;"&amp;Heron!T$9,'Updated Construction'!$D:$D,FALSE)</f>
        <v/>
      </c>
      <c r="V104" s="68">
        <f>SUMIFS(Xero!$F:$F,Xero!$B:$B,Heron!V$9,Xero!$A:$A,Heron!$A$6,Xero!$E:$E,Heron!$A104)+SUMIFS('Updated Construction'!$F:$F,'Updated Construction'!$C:$C,1,'Updated Construction'!$E:$E,"&lt;="&amp;Heron!V$9,'Updated Construction'!$E:$E,"&gt;"&amp;Heron!U$9,'Updated Construction'!$D:$D,FALSE)</f>
        <v/>
      </c>
      <c r="W104" s="68">
        <f>SUMIFS(Xero!$F:$F,Xero!$B:$B,Heron!W$9,Xero!$A:$A,Heron!$A$6,Xero!$E:$E,Heron!$A104)+SUMIFS('Updated Construction'!$F:$F,'Updated Construction'!$C:$C,1,'Updated Construction'!$E:$E,"&lt;="&amp;Heron!W$9,'Updated Construction'!$E:$E,"&gt;"&amp;Heron!V$9,'Updated Construction'!$D:$D,FALSE)</f>
        <v/>
      </c>
      <c r="X104" s="68">
        <f>SUMIFS(Xero!$F:$F,Xero!$B:$B,Heron!X$9,Xero!$A:$A,Heron!$A$6,Xero!$E:$E,Heron!$A104)+SUMIFS('Updated Construction'!$F:$F,'Updated Construction'!$C:$C,1,'Updated Construction'!$E:$E,"&lt;="&amp;Heron!X$9,'Updated Construction'!$E:$E,"&gt;"&amp;Heron!W$9,'Updated Construction'!$D:$D,FALSE)</f>
        <v/>
      </c>
      <c r="Y104" s="68">
        <f>SUMIFS(Xero!$F:$F,Xero!$B:$B,Heron!Y$9,Xero!$A:$A,Heron!$A$6,Xero!$E:$E,Heron!$A104)+SUMIFS('Updated Construction'!$F:$F,'Updated Construction'!$C:$C,1,'Updated Construction'!$E:$E,"&lt;="&amp;Heron!Y$9,'Updated Construction'!$E:$E,"&gt;"&amp;Heron!X$9,'Updated Construction'!$D:$D,FALSE)</f>
        <v/>
      </c>
      <c r="Z104" s="68">
        <f>SUMIFS(Xero!$F:$F,Xero!$B:$B,Heron!Z$9,Xero!$A:$A,Heron!$A$6,Xero!$E:$E,Heron!$A104)+SUMIFS('Updated Construction'!$F:$F,'Updated Construction'!$C:$C,1,'Updated Construction'!$E:$E,"&lt;="&amp;Heron!Z$9,'Updated Construction'!$E:$E,"&gt;"&amp;Heron!Y$9,'Updated Construction'!$D:$D,FALSE)</f>
        <v/>
      </c>
      <c r="AA104" s="68">
        <f>SUMIFS(Xero!$F:$F,Xero!$B:$B,Heron!AA$9,Xero!$A:$A,Heron!$A$6,Xero!$E:$E,Heron!$A104)+SUMIFS('Updated Construction'!$F:$F,'Updated Construction'!$C:$C,1,'Updated Construction'!$E:$E,"&lt;="&amp;Heron!AA$9,'Updated Construction'!$E:$E,"&gt;"&amp;Heron!Z$9,'Updated Construction'!$D:$D,FALSE)</f>
        <v/>
      </c>
      <c r="AB104" s="68">
        <f>SUMIFS(Xero!$F:$F,Xero!$B:$B,Heron!AB$9,Xero!$A:$A,Heron!$A$6,Xero!$E:$E,Heron!$A104)+SUMIFS('Updated Construction'!$F:$F,'Updated Construction'!$C:$C,1,'Updated Construction'!$E:$E,"&lt;="&amp;Heron!AB$9,'Updated Construction'!$E:$E,"&gt;"&amp;Heron!AA$9,'Updated Construction'!$D:$D,FALSE)</f>
        <v/>
      </c>
      <c r="AC104" s="68">
        <f>SUMIFS(Xero!$F:$F,Xero!$B:$B,Heron!AC$9,Xero!$A:$A,Heron!$A$6,Xero!$E:$E,Heron!$A104)+SUMIFS('Updated Construction'!$F:$F,'Updated Construction'!$C:$C,1,'Updated Construction'!$E:$E,"&lt;="&amp;Heron!AC$9,'Updated Construction'!$E:$E,"&gt;"&amp;Heron!AB$9,'Updated Construction'!$D:$D,FALSE)</f>
        <v/>
      </c>
      <c r="AD104" s="68">
        <f>SUMIFS(Xero!$F:$F,Xero!$B:$B,Heron!AD$9,Xero!$A:$A,Heron!$A$6,Xero!$E:$E,Heron!$A104)+SUMIFS('Updated Construction'!$F:$F,'Updated Construction'!$C:$C,1,'Updated Construction'!$E:$E,"&lt;="&amp;Heron!AD$9,'Updated Construction'!$E:$E,"&gt;"&amp;Heron!AC$9,'Updated Construction'!$D:$D,FALSE)</f>
        <v/>
      </c>
      <c r="AE104" s="68">
        <f>SUMIFS(Xero!$F:$F,Xero!$B:$B,Heron!AE$9,Xero!$A:$A,Heron!$A$6,Xero!$E:$E,Heron!$A104)+SUMIFS('Updated Construction'!$F:$F,'Updated Construction'!$C:$C,1,'Updated Construction'!$E:$E,"&lt;="&amp;Heron!AE$9,'Updated Construction'!$E:$E,"&gt;"&amp;Heron!AD$9,'Updated Construction'!$D:$D,FALSE)</f>
        <v/>
      </c>
      <c r="AF104" s="68">
        <f>SUMIFS(Xero!$F:$F,Xero!$B:$B,Heron!AF$9,Xero!$A:$A,Heron!$A$6,Xero!$E:$E,Heron!$A104)+SUMIFS('Updated Construction'!$F:$F,'Updated Construction'!$C:$C,1,'Updated Construction'!$E:$E,"&lt;="&amp;Heron!AF$9,'Updated Construction'!$E:$E,"&gt;"&amp;Heron!AE$9,'Updated Construction'!$D:$D,FALSE)</f>
        <v/>
      </c>
      <c r="AG104" s="68">
        <f>SUMIFS(Xero!$F:$F,Xero!$B:$B,Heron!AG$9,Xero!$A:$A,Heron!$A$6,Xero!$E:$E,Heron!$A104)+SUMIFS('Updated Construction'!$F:$F,'Updated Construction'!$C:$C,1,'Updated Construction'!$E:$E,"&lt;="&amp;Heron!AG$9,'Updated Construction'!$E:$E,"&gt;"&amp;Heron!AF$9,'Updated Construction'!$D:$D,FALSE)</f>
        <v/>
      </c>
      <c r="AH104" s="68">
        <f>SUMIFS(Xero!$F:$F,Xero!$B:$B,Heron!AH$9,Xero!$A:$A,Heron!$A$6,Xero!$E:$E,Heron!$A104)+SUMIFS('Updated Construction'!$F:$F,'Updated Construction'!$C:$C,1,'Updated Construction'!$E:$E,"&lt;="&amp;Heron!AH$9,'Updated Construction'!$E:$E,"&gt;"&amp;Heron!AG$9,'Updated Construction'!$D:$D,FALSE)</f>
        <v/>
      </c>
      <c r="AI104" s="68">
        <f>SUMIFS(Xero!$F:$F,Xero!$B:$B,Heron!AI$9,Xero!$A:$A,Heron!$A$6,Xero!$E:$E,Heron!$A104)+SUMIFS('Updated Construction'!$F:$F,'Updated Construction'!$C:$C,1,'Updated Construction'!$E:$E,"&lt;="&amp;Heron!AI$9,'Updated Construction'!$E:$E,"&gt;"&amp;Heron!AH$9,'Updated Construction'!$D:$D,FALSE)</f>
        <v/>
      </c>
      <c r="AJ104" s="68">
        <f>SUMIFS(Xero!$F:$F,Xero!$B:$B,Heron!AJ$9,Xero!$A:$A,Heron!$A$6,Xero!$E:$E,Heron!$A104)+SUMIFS('Updated Construction'!$F:$F,'Updated Construction'!$C:$C,1,'Updated Construction'!$E:$E,"&lt;="&amp;Heron!AJ$9,'Updated Construction'!$E:$E,"&gt;"&amp;Heron!AI$9,'Updated Construction'!$D:$D,FALSE)</f>
        <v/>
      </c>
      <c r="AK104" s="68">
        <f>SUMIFS(Xero!$F:$F,Xero!$B:$B,Heron!AK$9,Xero!$A:$A,Heron!$A$6,Xero!$E:$E,Heron!$A104)+SUMIFS('Updated Construction'!$F:$F,'Updated Construction'!$C:$C,1,'Updated Construction'!$E:$E,"&lt;="&amp;Heron!AK$9,'Updated Construction'!$E:$E,"&gt;"&amp;Heron!AJ$9,'Updated Construction'!$D:$D,FALSE)</f>
        <v/>
      </c>
      <c r="AL104" s="68">
        <f>SUMIFS(Xero!$F:$F,Xero!$B:$B,Heron!AL$9,Xero!$A:$A,Heron!$A$6,Xero!$E:$E,Heron!$A104)+SUMIFS('Updated Construction'!$F:$F,'Updated Construction'!$C:$C,1,'Updated Construction'!$E:$E,"&lt;="&amp;Heron!AL$9,'Updated Construction'!$E:$E,"&gt;"&amp;Heron!AK$9,'Updated Construction'!$D:$D,FALSE)</f>
        <v/>
      </c>
      <c r="AM104" s="68">
        <f>SUMIFS(Xero!$F:$F,Xero!$B:$B,Heron!AM$9,Xero!$A:$A,Heron!$A$6,Xero!$E:$E,Heron!$A104)+SUMIFS('Updated Construction'!$F:$F,'Updated Construction'!$C:$C,1,'Updated Construction'!$E:$E,"&lt;="&amp;Heron!AM$9,'Updated Construction'!$E:$E,"&gt;"&amp;Heron!AL$9,'Updated Construction'!$D:$D,FALSE)</f>
        <v/>
      </c>
      <c r="AN104" s="68">
        <f>SUMIFS(Xero!$F:$F,Xero!$B:$B,Heron!AN$9,Xero!$A:$A,Heron!$A$6,Xero!$E:$E,Heron!$A104)+SUMIFS('Updated Construction'!$F:$F,'Updated Construction'!$C:$C,1,'Updated Construction'!$E:$E,"&lt;="&amp;Heron!AN$9,'Updated Construction'!$E:$E,"&gt;"&amp;Heron!AM$9,'Updated Construction'!$D:$D,FALSE)</f>
        <v/>
      </c>
      <c r="AO104" s="68">
        <f>SUMIFS(Xero!$F:$F,Xero!$B:$B,Heron!AO$9,Xero!$A:$A,Heron!$A$6,Xero!$E:$E,Heron!$A104)+SUMIFS('Updated Construction'!$F:$F,'Updated Construction'!$C:$C,1,'Updated Construction'!$E:$E,"&lt;="&amp;Heron!AO$9,'Updated Construction'!$E:$E,"&gt;"&amp;Heron!AN$9,'Updated Construction'!$D:$D,FALSE)</f>
        <v/>
      </c>
      <c r="AP104" s="68">
        <f>SUMIFS(Xero!$F:$F,Xero!$B:$B,Heron!AP$9,Xero!$A:$A,Heron!$A$6,Xero!$E:$E,Heron!$A104)+SUMIFS('Updated Construction'!$F:$F,'Updated Construction'!$C:$C,1,'Updated Construction'!$E:$E,"&lt;="&amp;Heron!AP$9,'Updated Construction'!$E:$E,"&gt;"&amp;Heron!AO$9,'Updated Construction'!$D:$D,FALSE)</f>
        <v/>
      </c>
      <c r="AQ104" s="68">
        <f>SUMIFS(Xero!$F:$F,Xero!$B:$B,Heron!AQ$9,Xero!$A:$A,Heron!$A$6,Xero!$E:$E,Heron!$A104)+SUMIFS('Updated Construction'!$F:$F,'Updated Construction'!$C:$C,1,'Updated Construction'!$E:$E,"&lt;="&amp;Heron!AQ$9,'Updated Construction'!$E:$E,"&gt;"&amp;Heron!AP$9,'Updated Construction'!$D:$D,FALSE)</f>
        <v/>
      </c>
      <c r="AR104" s="68">
        <f>SUMIFS(Xero!$F:$F,Xero!$B:$B,Heron!AR$9,Xero!$A:$A,Heron!$A$6,Xero!$E:$E,Heron!$A104)+SUMIFS('Updated Construction'!$F:$F,'Updated Construction'!$C:$C,1,'Updated Construction'!$E:$E,"&lt;="&amp;Heron!AR$9,'Updated Construction'!$E:$E,"&gt;"&amp;Heron!AQ$9,'Updated Construction'!$D:$D,FALSE)</f>
        <v/>
      </c>
      <c r="AS104" s="68">
        <f>SUMIFS(Xero!$F:$F,Xero!$B:$B,Heron!AS$9,Xero!$A:$A,Heron!$A$6,Xero!$E:$E,Heron!$A104)+SUMIFS('Updated Construction'!$F:$F,'Updated Construction'!$C:$C,1,'Updated Construction'!$E:$E,"&lt;="&amp;Heron!AS$9,'Updated Construction'!$E:$E,"&gt;"&amp;Heron!AR$9,'Updated Construction'!$D:$D,FALSE)</f>
        <v/>
      </c>
      <c r="AT104" s="68">
        <f>SUMIFS(Xero!$F:$F,Xero!$B:$B,Heron!AT$9,Xero!$A:$A,Heron!$A$6,Xero!$E:$E,Heron!$A104)+SUMIFS('Updated Construction'!$F:$F,'Updated Construction'!$C:$C,1,'Updated Construction'!$E:$E,"&lt;="&amp;Heron!AT$9,'Updated Construction'!$E:$E,"&gt;"&amp;Heron!AS$9,'Updated Construction'!$D:$D,FALSE)</f>
        <v/>
      </c>
      <c r="AU104" s="68">
        <f>SUMIFS(Xero!$F:$F,Xero!$B:$B,Heron!AU$9,Xero!$A:$A,Heron!$A$6,Xero!$E:$E,Heron!$A104)+SUMIFS('Updated Construction'!$F:$F,'Updated Construction'!$C:$C,1,'Updated Construction'!$E:$E,"&lt;="&amp;Heron!AU$9,'Updated Construction'!$E:$E,"&gt;"&amp;Heron!AT$9,'Updated Construction'!$D:$D,FALSE)</f>
        <v/>
      </c>
      <c r="AV104" s="68">
        <f>SUMIFS(Xero!$F:$F,Xero!$B:$B,Heron!AV$9,Xero!$A:$A,Heron!$A$6,Xero!$E:$E,Heron!$A104)+SUMIFS('Updated Construction'!$F:$F,'Updated Construction'!$C:$C,1,'Updated Construction'!$E:$E,"&lt;="&amp;Heron!AV$9,'Updated Construction'!$E:$E,"&gt;"&amp;Heron!AU$9,'Updated Construction'!$D:$D,FALSE)</f>
        <v/>
      </c>
      <c r="AW104" s="68">
        <f>SUMIFS(Xero!$F:$F,Xero!$B:$B,Heron!AW$9,Xero!$A:$A,Heron!$A$6,Xero!$E:$E,Heron!$A104)+SUMIFS('Updated Construction'!$F:$F,'Updated Construction'!$C:$C,1,'Updated Construction'!$E:$E,"&lt;="&amp;Heron!AW$9,'Updated Construction'!$E:$E,"&gt;"&amp;Heron!AV$9,'Updated Construction'!$D:$D,FALSE)</f>
        <v/>
      </c>
      <c r="AX104" s="68">
        <f>SUMIFS(Xero!$F:$F,Xero!$B:$B,Heron!AX$9,Xero!$A:$A,Heron!$A$6,Xero!$E:$E,Heron!$A104)+SUMIFS('Updated Construction'!$F:$F,'Updated Construction'!$C:$C,1,'Updated Construction'!$E:$E,"&lt;="&amp;Heron!AX$9,'Updated Construction'!$E:$E,"&gt;"&amp;Heron!AW$9,'Updated Construction'!$D:$D,FALSE)</f>
        <v/>
      </c>
      <c r="AY104" s="68">
        <f>SUMIFS(Xero!$F:$F,Xero!$B:$B,Heron!AY$9,Xero!$A:$A,Heron!$A$6,Xero!$E:$E,Heron!$A104)+SUMIFS('Updated Construction'!$F:$F,'Updated Construction'!$C:$C,1,'Updated Construction'!$E:$E,"&lt;="&amp;Heron!AY$9,'Updated Construction'!$E:$E,"&gt;"&amp;Heron!AX$9,'Updated Construction'!$D:$D,FALSE)</f>
        <v/>
      </c>
      <c r="AZ104" s="68">
        <f>SUMIFS(Xero!$F:$F,Xero!$B:$B,Heron!AZ$9,Xero!$A:$A,Heron!$A$6,Xero!$E:$E,Heron!$A104)+SUMIFS('Updated Construction'!$F:$F,'Updated Construction'!$C:$C,1,'Updated Construction'!$E:$E,"&lt;="&amp;Heron!AZ$9,'Updated Construction'!$E:$E,"&gt;"&amp;Heron!AY$9,'Updated Construction'!$D:$D,FALSE)</f>
        <v/>
      </c>
      <c r="BA104" s="68">
        <f>SUMIFS(Xero!$F:$F,Xero!$B:$B,Heron!BA$9,Xero!$A:$A,Heron!$A$6,Xero!$E:$E,Heron!$A104)+SUMIFS('Updated Construction'!$F:$F,'Updated Construction'!$C:$C,1,'Updated Construction'!$E:$E,"&lt;="&amp;Heron!BA$9,'Updated Construction'!$E:$E,"&gt;"&amp;Heron!AZ$9,'Updated Construction'!$D:$D,FALSE)</f>
        <v/>
      </c>
      <c r="BB104" s="68">
        <f>SUMIFS(Xero!$F:$F,Xero!$B:$B,Heron!BB$9,Xero!$A:$A,Heron!$A$6,Xero!$E:$E,Heron!$A104)+SUMIFS('Updated Construction'!$F:$F,'Updated Construction'!$C:$C,1,'Updated Construction'!$E:$E,"&lt;="&amp;Heron!BB$9,'Updated Construction'!$E:$E,"&gt;"&amp;Heron!BA$9,'Updated Construction'!$D:$D,FALSE)</f>
        <v/>
      </c>
      <c r="BC104" s="68">
        <f>SUMIFS(Xero!$F:$F,Xero!$B:$B,Heron!BC$9,Xero!$A:$A,Heron!$A$6,Xero!$E:$E,Heron!$A104)+SUMIFS('Updated Construction'!$F:$F,'Updated Construction'!$C:$C,1,'Updated Construction'!$E:$E,"&lt;="&amp;Heron!BC$9,'Updated Construction'!$E:$E,"&gt;"&amp;Heron!BB$9,'Updated Construction'!$D:$D,FALSE)</f>
        <v/>
      </c>
      <c r="BD104" s="68">
        <f>SUMIFS(Xero!$F:$F,Xero!$B:$B,Heron!BD$9,Xero!$A:$A,Heron!$A$6,Xero!$E:$E,Heron!$A104)+SUMIFS('Updated Construction'!$F:$F,'Updated Construction'!$C:$C,1,'Updated Construction'!$E:$E,"&lt;="&amp;Heron!BD$9,'Updated Construction'!$E:$E,"&gt;"&amp;Heron!BC$9,'Updated Construction'!$D:$D,FALSE)</f>
        <v/>
      </c>
      <c r="BE104" s="68">
        <f>SUMIFS(Xero!$F:$F,Xero!$B:$B,Heron!BE$9,Xero!$A:$A,Heron!$A$6,Xero!$E:$E,Heron!$A104)+SUMIFS('Updated Construction'!$F:$F,'Updated Construction'!$C:$C,1,'Updated Construction'!$E:$E,"&lt;="&amp;Heron!BE$9,'Updated Construction'!$E:$E,"&gt;"&amp;Heron!BD$9,'Updated Construction'!$D:$D,FALSE)</f>
        <v/>
      </c>
      <c r="BF104" s="68">
        <f>SUMIFS(Xero!$F:$F,Xero!$B:$B,Heron!BF$9,Xero!$A:$A,Heron!$A$6,Xero!$E:$E,Heron!$A104)+SUMIFS('Updated Construction'!$F:$F,'Updated Construction'!$C:$C,1,'Updated Construction'!$E:$E,"&lt;="&amp;Heron!BF$9,'Updated Construction'!$E:$E,"&gt;"&amp;Heron!BE$9,'Updated Construction'!$D:$D,FALSE)</f>
        <v/>
      </c>
      <c r="BG104" s="68">
        <f>SUMIFS(Xero!$F:$F,Xero!$B:$B,Heron!BG$9,Xero!$A:$A,Heron!$A$6,Xero!$E:$E,Heron!$A104)+SUMIFS('Updated Construction'!$F:$F,'Updated Construction'!$C:$C,1,'Updated Construction'!$E:$E,"&lt;="&amp;Heron!BG$9,'Updated Construction'!$E:$E,"&gt;"&amp;Heron!BF$9,'Updated Construction'!$D:$D,FALSE)</f>
        <v/>
      </c>
      <c r="BH104" s="66">
        <f>sum(D104:BG104)</f>
        <v/>
      </c>
    </row>
    <row r="105">
      <c r="A105" s="65" t="inlineStr">
        <is>
          <t>COS - Heron View - P&amp;G</t>
        </is>
      </c>
      <c r="D105" s="68">
        <f>SUMIFS(Xero!$F:$F,Xero!$B:$B,Heron!D$9,Xero!$A:$A,Heron!$A$6,Xero!$E:$E,Heron!$A105)</f>
        <v/>
      </c>
      <c r="E105" s="68">
        <f>SUMIFS(Xero!$F:$F,Xero!$B:$B,Heron!E$9,Xero!$A:$A,Heron!$A$6,Xero!$E:$E,Heron!$A105)</f>
        <v/>
      </c>
      <c r="F105" s="68">
        <f>SUMIFS(Xero!$F:$F,Xero!$B:$B,Heron!F$9,Xero!$A:$A,Heron!$A$6,Xero!$E:$E,Heron!$A105)</f>
        <v/>
      </c>
      <c r="G105" s="68">
        <f>SUMIFS(Xero!$F:$F,Xero!$B:$B,Heron!G$9,Xero!$A:$A,Heron!$A$6,Xero!$E:$E,Heron!$A105)</f>
        <v/>
      </c>
      <c r="H105" s="68">
        <f>SUMIFS(Xero!$F:$F,Xero!$B:$B,Heron!H$9,Xero!$A:$A,Heron!$A$6,Xero!$E:$E,Heron!$A105)</f>
        <v/>
      </c>
      <c r="I105" s="68">
        <f>SUMIFS(Xero!$F:$F,Xero!$B:$B,Heron!I$9,Xero!$A:$A,Heron!$A$6,Xero!$E:$E,Heron!$A105)</f>
        <v/>
      </c>
      <c r="J105" s="68">
        <f>SUMIFS(Xero!$F:$F,Xero!$B:$B,Heron!J$9,Xero!$A:$A,Heron!$A$6,Xero!$E:$E,Heron!$A105)</f>
        <v/>
      </c>
      <c r="K105" s="68">
        <f>SUMIFS(Xero!$F:$F,Xero!$B:$B,Heron!K$9,Xero!$A:$A,Heron!$A$6,Xero!$E:$E,Heron!$A105)</f>
        <v/>
      </c>
      <c r="L105" s="68">
        <f>SUMIFS(Xero!$F:$F,Xero!$B:$B,Heron!L$9,Xero!$A:$A,Heron!$A$6,Xero!$E:$E,Heron!$A105)</f>
        <v/>
      </c>
      <c r="M105" s="68">
        <f>SUMIFS(Xero!$F:$F,Xero!$B:$B,Heron!M$9,Xero!$A:$A,Heron!$A$6,Xero!$E:$E,Heron!$A105)</f>
        <v/>
      </c>
      <c r="N105" s="68">
        <f>SUMIFS(Xero!$F:$F,Xero!$B:$B,Heron!N$9,Xero!$A:$A,Heron!$A$6,Xero!$E:$E,Heron!$A105)</f>
        <v/>
      </c>
      <c r="O105" s="68">
        <f>SUMIFS(Xero!$F:$F,Xero!$B:$B,Heron!O$9,Xero!$A:$A,Heron!$A$6,Xero!$E:$E,Heron!$A105)</f>
        <v/>
      </c>
      <c r="P105" s="68">
        <f>SUMIFS(Xero!$F:$F,Xero!$B:$B,Heron!P$9,Xero!$A:$A,Heron!$A$6,Xero!$E:$E,Heron!$A105)</f>
        <v/>
      </c>
      <c r="Q105" s="68">
        <f>SUMIFS(Xero!$F:$F,Xero!$B:$B,Heron!Q$9,Xero!$A:$A,Heron!$A$6,Xero!$E:$E,Heron!$A105)</f>
        <v/>
      </c>
      <c r="R105" s="68">
        <f>SUMIFS(Xero!$F:$F,Xero!$B:$B,Heron!R$9,Xero!$A:$A,Heron!$A$6,Xero!$E:$E,Heron!$A105)</f>
        <v/>
      </c>
      <c r="S105" s="68">
        <f>SUMIFS(Xero!$F:$F,Xero!$B:$B,Heron!S$9,Xero!$A:$A,Heron!$A$6,Xero!$E:$E,Heron!$A105)</f>
        <v/>
      </c>
      <c r="T105" s="68">
        <f>SUMIFS(Xero!$F:$F,Xero!$B:$B,Heron!T$9,Xero!$A:$A,Heron!$A$6,Xero!$E:$E,Heron!$A105)</f>
        <v/>
      </c>
      <c r="U105" s="68">
        <f>SUMIFS(Xero!$F:$F,Xero!$B:$B,Heron!U$9,Xero!$A:$A,Heron!$A$6,Xero!$E:$E,Heron!$A105)</f>
        <v/>
      </c>
      <c r="V105" s="68">
        <f>SUMIFS(Xero!$F:$F,Xero!$B:$B,Heron!V$9,Xero!$A:$A,Heron!$A$6,Xero!$E:$E,Heron!$A105)</f>
        <v/>
      </c>
      <c r="W105" s="68">
        <f>SUMIFS(Xero!$F:$F,Xero!$B:$B,Heron!W$9,Xero!$A:$A,Heron!$A$6,Xero!$E:$E,Heron!$A105)</f>
        <v/>
      </c>
      <c r="X105" s="68">
        <f>SUMIFS(Xero!$F:$F,Xero!$B:$B,Heron!X$9,Xero!$A:$A,Heron!$A$6,Xero!$E:$E,Heron!$A105)</f>
        <v/>
      </c>
      <c r="Y105" s="68">
        <f>SUMIFS(Xero!$F:$F,Xero!$B:$B,Heron!Y$9,Xero!$A:$A,Heron!$A$6,Xero!$E:$E,Heron!$A105)</f>
        <v/>
      </c>
      <c r="Z105" s="68">
        <f>SUMIFS(Xero!$F:$F,Xero!$B:$B,Heron!Z$9,Xero!$A:$A,Heron!$A$6,Xero!$E:$E,Heron!$A105)</f>
        <v/>
      </c>
      <c r="AA105" s="68">
        <f>SUMIFS(Xero!$F:$F,Xero!$B:$B,Heron!AA$9,Xero!$A:$A,Heron!$A$6,Xero!$E:$E,Heron!$A105)</f>
        <v/>
      </c>
      <c r="AB105" s="68">
        <f>SUMIFS(Xero!$F:$F,Xero!$B:$B,Heron!AB$9,Xero!$A:$A,Heron!$A$6,Xero!$E:$E,Heron!$A105)</f>
        <v/>
      </c>
      <c r="AC105" s="68">
        <f>SUMIFS(Xero!$F:$F,Xero!$B:$B,Heron!AC$9,Xero!$A:$A,Heron!$A$6,Xero!$E:$E,Heron!$A105)</f>
        <v/>
      </c>
      <c r="AD105" s="68">
        <f>SUMIFS(Xero!$F:$F,Xero!$B:$B,Heron!AD$9,Xero!$A:$A,Heron!$A$6,Xero!$E:$E,Heron!$A105)</f>
        <v/>
      </c>
      <c r="AE105" s="68">
        <f>SUMIFS(Xero!$F:$F,Xero!$B:$B,Heron!AE$9,Xero!$A:$A,Heron!$A$6,Xero!$E:$E,Heron!$A105)</f>
        <v/>
      </c>
      <c r="AF105" s="68">
        <f>SUMIFS(Xero!$F:$F,Xero!$B:$B,Heron!AF$9,Xero!$A:$A,Heron!$A$6,Xero!$E:$E,Heron!$A105)</f>
        <v/>
      </c>
      <c r="AG105" s="68">
        <f>SUMIFS(Xero!$F:$F,Xero!$B:$B,Heron!AG$9,Xero!$A:$A,Heron!$A$6,Xero!$E:$E,Heron!$A105)</f>
        <v/>
      </c>
      <c r="AH105" s="68">
        <f>SUMIFS(Xero!$F:$F,Xero!$B:$B,Heron!AH$9,Xero!$A:$A,Heron!$A$6,Xero!$E:$E,Heron!$A105)</f>
        <v/>
      </c>
      <c r="AI105" s="68">
        <f>SUMIFS(Xero!$F:$F,Xero!$B:$B,Heron!AI$9,Xero!$A:$A,Heron!$A$6,Xero!$E:$E,Heron!$A105)</f>
        <v/>
      </c>
      <c r="AJ105" s="68">
        <f>SUMIFS(Xero!$F:$F,Xero!$B:$B,Heron!AJ$9,Xero!$A:$A,Heron!$A$6,Xero!$E:$E,Heron!$A105)</f>
        <v/>
      </c>
      <c r="AK105" s="68">
        <f>SUMIFS(Xero!$F:$F,Xero!$B:$B,Heron!AK$9,Xero!$A:$A,Heron!$A$6,Xero!$E:$E,Heron!$A105)</f>
        <v/>
      </c>
      <c r="AL105" s="68">
        <f>SUMIFS(Xero!$F:$F,Xero!$B:$B,Heron!AL$9,Xero!$A:$A,Heron!$A$6,Xero!$E:$E,Heron!$A105)</f>
        <v/>
      </c>
      <c r="AM105" s="68">
        <f>SUMIFS(Xero!$F:$F,Xero!$B:$B,Heron!AM$9,Xero!$A:$A,Heron!$A$6,Xero!$E:$E,Heron!$A105)</f>
        <v/>
      </c>
      <c r="AN105" s="68">
        <f>SUMIFS(Xero!$F:$F,Xero!$B:$B,Heron!AN$9,Xero!$A:$A,Heron!$A$6,Xero!$E:$E,Heron!$A105)</f>
        <v/>
      </c>
      <c r="AO105" s="68">
        <f>SUMIFS(Xero!$F:$F,Xero!$B:$B,Heron!AO$9,Xero!$A:$A,Heron!$A$6,Xero!$E:$E,Heron!$A105)</f>
        <v/>
      </c>
      <c r="AP105" s="68">
        <f>SUMIFS(Xero!$F:$F,Xero!$B:$B,Heron!AP$9,Xero!$A:$A,Heron!$A$6,Xero!$E:$E,Heron!$A105)</f>
        <v/>
      </c>
      <c r="AQ105" s="68">
        <f>SUMIFS(Xero!$F:$F,Xero!$B:$B,Heron!AQ$9,Xero!$A:$A,Heron!$A$6,Xero!$E:$E,Heron!$A105)</f>
        <v/>
      </c>
      <c r="AR105" s="68">
        <f>SUMIFS(Xero!$F:$F,Xero!$B:$B,Heron!AR$9,Xero!$A:$A,Heron!$A$6,Xero!$E:$E,Heron!$A105)</f>
        <v/>
      </c>
      <c r="AS105" s="68">
        <f>SUMIFS(Xero!$F:$F,Xero!$B:$B,Heron!AS$9,Xero!$A:$A,Heron!$A$6,Xero!$E:$E,Heron!$A105)</f>
        <v/>
      </c>
      <c r="AT105" s="68">
        <f>SUMIFS(Xero!$F:$F,Xero!$B:$B,Heron!AT$9,Xero!$A:$A,Heron!$A$6,Xero!$E:$E,Heron!$A105)</f>
        <v/>
      </c>
      <c r="AU105" s="68">
        <f>SUMIFS(Xero!$F:$F,Xero!$B:$B,Heron!AU$9,Xero!$A:$A,Heron!$A$6,Xero!$E:$E,Heron!$A105)</f>
        <v/>
      </c>
      <c r="AV105" s="68">
        <f>SUMIFS(Xero!$F:$F,Xero!$B:$B,Heron!AV$9,Xero!$A:$A,Heron!$A$6,Xero!$E:$E,Heron!$A105)</f>
        <v/>
      </c>
      <c r="AW105" s="68">
        <f>SUMIFS(Xero!$F:$F,Xero!$B:$B,Heron!AW$9,Xero!$A:$A,Heron!$A$6,Xero!$E:$E,Heron!$A105)</f>
        <v/>
      </c>
      <c r="AX105" s="68">
        <f>SUMIFS(Xero!$F:$F,Xero!$B:$B,Heron!AX$9,Xero!$A:$A,Heron!$A$6,Xero!$E:$E,Heron!$A105)</f>
        <v/>
      </c>
      <c r="AY105" s="68">
        <f>SUMIFS(Xero!$F:$F,Xero!$B:$B,Heron!AY$9,Xero!$A:$A,Heron!$A$6,Xero!$E:$E,Heron!$A105)</f>
        <v/>
      </c>
      <c r="AZ105" s="68">
        <f>SUMIFS(Xero!$F:$F,Xero!$B:$B,Heron!AZ$9,Xero!$A:$A,Heron!$A$6,Xero!$E:$E,Heron!$A105)</f>
        <v/>
      </c>
      <c r="BA105" s="68">
        <f>SUMIFS(Xero!$F:$F,Xero!$B:$B,Heron!BA$9,Xero!$A:$A,Heron!$A$6,Xero!$E:$E,Heron!$A105)</f>
        <v/>
      </c>
      <c r="BB105" s="68">
        <f>SUMIFS(Xero!$F:$F,Xero!$B:$B,Heron!BB$9,Xero!$A:$A,Heron!$A$6,Xero!$E:$E,Heron!$A105)</f>
        <v/>
      </c>
      <c r="BC105" s="68">
        <f>SUMIFS(Xero!$F:$F,Xero!$B:$B,Heron!BC$9,Xero!$A:$A,Heron!$A$6,Xero!$E:$E,Heron!$A105)</f>
        <v/>
      </c>
      <c r="BD105" s="68">
        <f>SUMIFS(Xero!$F:$F,Xero!$B:$B,Heron!BD$9,Xero!$A:$A,Heron!$A$6,Xero!$E:$E,Heron!$A105)</f>
        <v/>
      </c>
      <c r="BE105" s="68">
        <f>SUMIFS(Xero!$F:$F,Xero!$B:$B,Heron!BE$9,Xero!$A:$A,Heron!$A$6,Xero!$E:$E,Heron!$A105)</f>
        <v/>
      </c>
      <c r="BF105" s="68">
        <f>SUMIFS(Xero!$F:$F,Xero!$B:$B,Heron!BF$9,Xero!$A:$A,Heron!$A$6,Xero!$E:$E,Heron!$A105)</f>
        <v/>
      </c>
      <c r="BG105" s="68">
        <f>SUMIFS(Xero!$F:$F,Xero!$B:$B,Heron!BG$9,Xero!$A:$A,Heron!$A$6,Xero!$E:$E,Heron!$A105)</f>
        <v/>
      </c>
      <c r="BH105" s="66">
        <f>sum(D105:BG105)</f>
        <v/>
      </c>
    </row>
    <row r="106">
      <c r="A106" s="65" t="inlineStr">
        <is>
          <t>COS - Heron View - Printing &amp; Stationary</t>
        </is>
      </c>
      <c r="D106" s="68">
        <f>SUMIFS(Xero!$F:$F,Xero!$B:$B,Heron!D$9,Xero!$A:$A,Heron!$A$6,Xero!$E:$E,Heron!$A106)</f>
        <v/>
      </c>
      <c r="E106" s="68">
        <f>SUMIFS(Xero!$F:$F,Xero!$B:$B,Heron!E$9,Xero!$A:$A,Heron!$A$6,Xero!$E:$E,Heron!$A106)</f>
        <v/>
      </c>
      <c r="F106" s="68">
        <f>SUMIFS(Xero!$F:$F,Xero!$B:$B,Heron!F$9,Xero!$A:$A,Heron!$A$6,Xero!$E:$E,Heron!$A106)</f>
        <v/>
      </c>
      <c r="G106" s="68">
        <f>SUMIFS(Xero!$F:$F,Xero!$B:$B,Heron!G$9,Xero!$A:$A,Heron!$A$6,Xero!$E:$E,Heron!$A106)</f>
        <v/>
      </c>
      <c r="H106" s="68">
        <f>SUMIFS(Xero!$F:$F,Xero!$B:$B,Heron!H$9,Xero!$A:$A,Heron!$A$6,Xero!$E:$E,Heron!$A106)</f>
        <v/>
      </c>
      <c r="I106" s="68">
        <f>SUMIFS(Xero!$F:$F,Xero!$B:$B,Heron!I$9,Xero!$A:$A,Heron!$A$6,Xero!$E:$E,Heron!$A106)</f>
        <v/>
      </c>
      <c r="J106" s="68">
        <f>SUMIFS(Xero!$F:$F,Xero!$B:$B,Heron!J$9,Xero!$A:$A,Heron!$A$6,Xero!$E:$E,Heron!$A106)</f>
        <v/>
      </c>
      <c r="K106" s="68">
        <f>SUMIFS(Xero!$F:$F,Xero!$B:$B,Heron!K$9,Xero!$A:$A,Heron!$A$6,Xero!$E:$E,Heron!$A106)</f>
        <v/>
      </c>
      <c r="L106" s="68">
        <f>SUMIFS(Xero!$F:$F,Xero!$B:$B,Heron!L$9,Xero!$A:$A,Heron!$A$6,Xero!$E:$E,Heron!$A106)</f>
        <v/>
      </c>
      <c r="M106" s="68">
        <f>SUMIFS(Xero!$F:$F,Xero!$B:$B,Heron!M$9,Xero!$A:$A,Heron!$A$6,Xero!$E:$E,Heron!$A106)</f>
        <v/>
      </c>
      <c r="N106" s="68">
        <f>SUMIFS(Xero!$F:$F,Xero!$B:$B,Heron!N$9,Xero!$A:$A,Heron!$A$6,Xero!$E:$E,Heron!$A106)</f>
        <v/>
      </c>
      <c r="O106" s="68">
        <f>SUMIFS(Xero!$F:$F,Xero!$B:$B,Heron!O$9,Xero!$A:$A,Heron!$A$6,Xero!$E:$E,Heron!$A106)</f>
        <v/>
      </c>
      <c r="P106" s="68">
        <f>SUMIFS(Xero!$F:$F,Xero!$B:$B,Heron!P$9,Xero!$A:$A,Heron!$A$6,Xero!$E:$E,Heron!$A106)</f>
        <v/>
      </c>
      <c r="Q106" s="68">
        <f>SUMIFS(Xero!$F:$F,Xero!$B:$B,Heron!Q$9,Xero!$A:$A,Heron!$A$6,Xero!$E:$E,Heron!$A106)</f>
        <v/>
      </c>
      <c r="R106" s="68">
        <f>SUMIFS(Xero!$F:$F,Xero!$B:$B,Heron!R$9,Xero!$A:$A,Heron!$A$6,Xero!$E:$E,Heron!$A106)</f>
        <v/>
      </c>
      <c r="S106" s="68">
        <f>SUMIFS(Xero!$F:$F,Xero!$B:$B,Heron!S$9,Xero!$A:$A,Heron!$A$6,Xero!$E:$E,Heron!$A106)</f>
        <v/>
      </c>
      <c r="T106" s="68">
        <f>SUMIFS(Xero!$F:$F,Xero!$B:$B,Heron!T$9,Xero!$A:$A,Heron!$A$6,Xero!$E:$E,Heron!$A106)</f>
        <v/>
      </c>
      <c r="U106" s="68">
        <f>SUMIFS(Xero!$F:$F,Xero!$B:$B,Heron!U$9,Xero!$A:$A,Heron!$A$6,Xero!$E:$E,Heron!$A106)</f>
        <v/>
      </c>
      <c r="V106" s="68">
        <f>SUMIFS(Xero!$F:$F,Xero!$B:$B,Heron!V$9,Xero!$A:$A,Heron!$A$6,Xero!$E:$E,Heron!$A106)</f>
        <v/>
      </c>
      <c r="W106" s="68">
        <f>SUMIFS(Xero!$F:$F,Xero!$B:$B,Heron!W$9,Xero!$A:$A,Heron!$A$6,Xero!$E:$E,Heron!$A106)</f>
        <v/>
      </c>
      <c r="X106" s="68">
        <f>SUMIFS(Xero!$F:$F,Xero!$B:$B,Heron!X$9,Xero!$A:$A,Heron!$A$6,Xero!$E:$E,Heron!$A106)</f>
        <v/>
      </c>
      <c r="Y106" s="68">
        <f>SUMIFS(Xero!$F:$F,Xero!$B:$B,Heron!Y$9,Xero!$A:$A,Heron!$A$6,Xero!$E:$E,Heron!$A106)</f>
        <v/>
      </c>
      <c r="Z106" s="68">
        <f>SUMIFS(Xero!$F:$F,Xero!$B:$B,Heron!Z$9,Xero!$A:$A,Heron!$A$6,Xero!$E:$E,Heron!$A106)</f>
        <v/>
      </c>
      <c r="AA106" s="68">
        <f>SUMIFS(Xero!$F:$F,Xero!$B:$B,Heron!AA$9,Xero!$A:$A,Heron!$A$6,Xero!$E:$E,Heron!$A106)</f>
        <v/>
      </c>
      <c r="AB106" s="68">
        <f>SUMIFS(Xero!$F:$F,Xero!$B:$B,Heron!AB$9,Xero!$A:$A,Heron!$A$6,Xero!$E:$E,Heron!$A106)</f>
        <v/>
      </c>
      <c r="AC106" s="68">
        <f>SUMIFS(Xero!$F:$F,Xero!$B:$B,Heron!AC$9,Xero!$A:$A,Heron!$A$6,Xero!$E:$E,Heron!$A106)</f>
        <v/>
      </c>
      <c r="AD106" s="68">
        <f>SUMIFS(Xero!$F:$F,Xero!$B:$B,Heron!AD$9,Xero!$A:$A,Heron!$A$6,Xero!$E:$E,Heron!$A106)</f>
        <v/>
      </c>
      <c r="AE106" s="68">
        <f>SUMIFS(Xero!$F:$F,Xero!$B:$B,Heron!AE$9,Xero!$A:$A,Heron!$A$6,Xero!$E:$E,Heron!$A106)</f>
        <v/>
      </c>
      <c r="AF106" s="68">
        <f>SUMIFS(Xero!$F:$F,Xero!$B:$B,Heron!AF$9,Xero!$A:$A,Heron!$A$6,Xero!$E:$E,Heron!$A106)</f>
        <v/>
      </c>
      <c r="AG106" s="68">
        <f>SUMIFS(Xero!$F:$F,Xero!$B:$B,Heron!AG$9,Xero!$A:$A,Heron!$A$6,Xero!$E:$E,Heron!$A106)</f>
        <v/>
      </c>
      <c r="AH106" s="68">
        <f>SUMIFS(Xero!$F:$F,Xero!$B:$B,Heron!AH$9,Xero!$A:$A,Heron!$A$6,Xero!$E:$E,Heron!$A106)</f>
        <v/>
      </c>
      <c r="AI106" s="68">
        <f>SUMIFS(Xero!$F:$F,Xero!$B:$B,Heron!AI$9,Xero!$A:$A,Heron!$A$6,Xero!$E:$E,Heron!$A106)</f>
        <v/>
      </c>
      <c r="AJ106" s="68">
        <f>SUMIFS(Xero!$F:$F,Xero!$B:$B,Heron!AJ$9,Xero!$A:$A,Heron!$A$6,Xero!$E:$E,Heron!$A106)</f>
        <v/>
      </c>
      <c r="AK106" s="68">
        <f>SUMIFS(Xero!$F:$F,Xero!$B:$B,Heron!AK$9,Xero!$A:$A,Heron!$A$6,Xero!$E:$E,Heron!$A106)</f>
        <v/>
      </c>
      <c r="AL106" s="68">
        <f>SUMIFS(Xero!$F:$F,Xero!$B:$B,Heron!AL$9,Xero!$A:$A,Heron!$A$6,Xero!$E:$E,Heron!$A106)</f>
        <v/>
      </c>
      <c r="AM106" s="68">
        <f>SUMIFS(Xero!$F:$F,Xero!$B:$B,Heron!AM$9,Xero!$A:$A,Heron!$A$6,Xero!$E:$E,Heron!$A106)</f>
        <v/>
      </c>
      <c r="AN106" s="68">
        <f>SUMIFS(Xero!$F:$F,Xero!$B:$B,Heron!AN$9,Xero!$A:$A,Heron!$A$6,Xero!$E:$E,Heron!$A106)</f>
        <v/>
      </c>
      <c r="AO106" s="68">
        <f>SUMIFS(Xero!$F:$F,Xero!$B:$B,Heron!AO$9,Xero!$A:$A,Heron!$A$6,Xero!$E:$E,Heron!$A106)</f>
        <v/>
      </c>
      <c r="AP106" s="68">
        <f>SUMIFS(Xero!$F:$F,Xero!$B:$B,Heron!AP$9,Xero!$A:$A,Heron!$A$6,Xero!$E:$E,Heron!$A106)</f>
        <v/>
      </c>
      <c r="AQ106" s="68">
        <f>SUMIFS(Xero!$F:$F,Xero!$B:$B,Heron!AQ$9,Xero!$A:$A,Heron!$A$6,Xero!$E:$E,Heron!$A106)</f>
        <v/>
      </c>
      <c r="AR106" s="68">
        <f>SUMIFS(Xero!$F:$F,Xero!$B:$B,Heron!AR$9,Xero!$A:$A,Heron!$A$6,Xero!$E:$E,Heron!$A106)</f>
        <v/>
      </c>
      <c r="AS106" s="68">
        <f>SUMIFS(Xero!$F:$F,Xero!$B:$B,Heron!AS$9,Xero!$A:$A,Heron!$A$6,Xero!$E:$E,Heron!$A106)</f>
        <v/>
      </c>
      <c r="AT106" s="68">
        <f>SUMIFS(Xero!$F:$F,Xero!$B:$B,Heron!AT$9,Xero!$A:$A,Heron!$A$6,Xero!$E:$E,Heron!$A106)</f>
        <v/>
      </c>
      <c r="AU106" s="68">
        <f>SUMIFS(Xero!$F:$F,Xero!$B:$B,Heron!AU$9,Xero!$A:$A,Heron!$A$6,Xero!$E:$E,Heron!$A106)</f>
        <v/>
      </c>
      <c r="AV106" s="68">
        <f>SUMIFS(Xero!$F:$F,Xero!$B:$B,Heron!AV$9,Xero!$A:$A,Heron!$A$6,Xero!$E:$E,Heron!$A106)</f>
        <v/>
      </c>
      <c r="AW106" s="68">
        <f>SUMIFS(Xero!$F:$F,Xero!$B:$B,Heron!AW$9,Xero!$A:$A,Heron!$A$6,Xero!$E:$E,Heron!$A106)</f>
        <v/>
      </c>
      <c r="AX106" s="68">
        <f>SUMIFS(Xero!$F:$F,Xero!$B:$B,Heron!AX$9,Xero!$A:$A,Heron!$A$6,Xero!$E:$E,Heron!$A106)</f>
        <v/>
      </c>
      <c r="AY106" s="68">
        <f>SUMIFS(Xero!$F:$F,Xero!$B:$B,Heron!AY$9,Xero!$A:$A,Heron!$A$6,Xero!$E:$E,Heron!$A106)</f>
        <v/>
      </c>
      <c r="AZ106" s="68">
        <f>SUMIFS(Xero!$F:$F,Xero!$B:$B,Heron!AZ$9,Xero!$A:$A,Heron!$A$6,Xero!$E:$E,Heron!$A106)</f>
        <v/>
      </c>
      <c r="BA106" s="68">
        <f>SUMIFS(Xero!$F:$F,Xero!$B:$B,Heron!BA$9,Xero!$A:$A,Heron!$A$6,Xero!$E:$E,Heron!$A106)</f>
        <v/>
      </c>
      <c r="BB106" s="68">
        <f>SUMIFS(Xero!$F:$F,Xero!$B:$B,Heron!BB$9,Xero!$A:$A,Heron!$A$6,Xero!$E:$E,Heron!$A106)</f>
        <v/>
      </c>
      <c r="BC106" s="68">
        <f>SUMIFS(Xero!$F:$F,Xero!$B:$B,Heron!BC$9,Xero!$A:$A,Heron!$A$6,Xero!$E:$E,Heron!$A106)</f>
        <v/>
      </c>
      <c r="BD106" s="68">
        <f>SUMIFS(Xero!$F:$F,Xero!$B:$B,Heron!BD$9,Xero!$A:$A,Heron!$A$6,Xero!$E:$E,Heron!$A106)</f>
        <v/>
      </c>
      <c r="BE106" s="68">
        <f>SUMIFS(Xero!$F:$F,Xero!$B:$B,Heron!BE$9,Xero!$A:$A,Heron!$A$6,Xero!$E:$E,Heron!$A106)</f>
        <v/>
      </c>
      <c r="BF106" s="68">
        <f>SUMIFS(Xero!$F:$F,Xero!$B:$B,Heron!BF$9,Xero!$A:$A,Heron!$A$6,Xero!$E:$E,Heron!$A106)</f>
        <v/>
      </c>
      <c r="BG106" s="68">
        <f>SUMIFS(Xero!$F:$F,Xero!$B:$B,Heron!BG$9,Xero!$A:$A,Heron!$A$6,Xero!$E:$E,Heron!$A106)</f>
        <v/>
      </c>
      <c r="BH106" s="66">
        <f>sum(D106:BG106)</f>
        <v/>
      </c>
    </row>
    <row r="107">
      <c r="A107" s="65" t="inlineStr">
        <is>
          <t>CPSD</t>
        </is>
      </c>
      <c r="D107" s="69">
        <f>SUMIFS('Other Costs'!$D:$D,'Other Costs'!$A:$A,Heron!$A107,'Other Costs'!$C:$C,"&lt;="&amp;Heron!D$9,'Other Costs'!$C:$C,"&gt;"&amp;Heron!C$9)</f>
        <v/>
      </c>
      <c r="E107" s="69">
        <f>SUMIFS('Other Costs'!$D:$D,'Other Costs'!$A:$A,Heron!$A107,'Other Costs'!$C:$C,"&lt;="&amp;Heron!E$9,'Other Costs'!$C:$C,"&gt;"&amp;Heron!D$9)</f>
        <v/>
      </c>
      <c r="F107" s="69">
        <f>SUMIFS('Other Costs'!$D:$D,'Other Costs'!$A:$A,Heron!$A107,'Other Costs'!$C:$C,"&lt;="&amp;Heron!F$9,'Other Costs'!$C:$C,"&gt;"&amp;Heron!E$9)</f>
        <v/>
      </c>
      <c r="G107" s="69">
        <f>SUMIFS('Other Costs'!$D:$D,'Other Costs'!$A:$A,Heron!$A107,'Other Costs'!$C:$C,"&lt;="&amp;Heron!G$9,'Other Costs'!$C:$C,"&gt;"&amp;Heron!F$9)</f>
        <v/>
      </c>
      <c r="H107" s="69">
        <f>SUMIFS('Other Costs'!$D:$D,'Other Costs'!$A:$A,Heron!$A107,'Other Costs'!$C:$C,"&lt;="&amp;Heron!H$9,'Other Costs'!$C:$C,"&gt;"&amp;Heron!G$9)</f>
        <v/>
      </c>
      <c r="I107" s="69">
        <f>SUMIFS('Other Costs'!$D:$D,'Other Costs'!$A:$A,Heron!$A107,'Other Costs'!$C:$C,"&lt;="&amp;Heron!I$9,'Other Costs'!$C:$C,"&gt;"&amp;Heron!H$9)</f>
        <v/>
      </c>
      <c r="J107" s="69">
        <f>SUMIFS('Other Costs'!$D:$D,'Other Costs'!$A:$A,Heron!$A107,'Other Costs'!$C:$C,"&lt;="&amp;Heron!J$9,'Other Costs'!$C:$C,"&gt;"&amp;Heron!I$9)</f>
        <v/>
      </c>
      <c r="K107" s="69">
        <f>SUMIFS('Other Costs'!$D:$D,'Other Costs'!$A:$A,Heron!$A107,'Other Costs'!$C:$C,"&lt;="&amp;Heron!K$9,'Other Costs'!$C:$C,"&gt;"&amp;Heron!J$9)</f>
        <v/>
      </c>
      <c r="L107" s="69">
        <f>SUMIFS('Other Costs'!$D:$D,'Other Costs'!$A:$A,Heron!$A107,'Other Costs'!$C:$C,"&lt;="&amp;Heron!L$9,'Other Costs'!$C:$C,"&gt;"&amp;Heron!K$9)</f>
        <v/>
      </c>
      <c r="M107" s="69">
        <f>SUMIFS('Other Costs'!$D:$D,'Other Costs'!$A:$A,Heron!$A107,'Other Costs'!$C:$C,"&lt;="&amp;Heron!M$9,'Other Costs'!$C:$C,"&gt;"&amp;Heron!L$9)</f>
        <v/>
      </c>
      <c r="N107" s="69">
        <f>SUMIFS('Other Costs'!$D:$D,'Other Costs'!$A:$A,Heron!$A107,'Other Costs'!$C:$C,"&lt;="&amp;Heron!N$9,'Other Costs'!$C:$C,"&gt;"&amp;Heron!M$9)</f>
        <v/>
      </c>
      <c r="O107" s="69">
        <f>SUMIFS('Other Costs'!$D:$D,'Other Costs'!$A:$A,Heron!$A107,'Other Costs'!$C:$C,"&lt;="&amp;Heron!O$9,'Other Costs'!$C:$C,"&gt;"&amp;Heron!N$9)</f>
        <v/>
      </c>
      <c r="P107" s="69">
        <f>SUMIFS('Other Costs'!$D:$D,'Other Costs'!$A:$A,Heron!$A107,'Other Costs'!$C:$C,"&lt;="&amp;Heron!P$9,'Other Costs'!$C:$C,"&gt;"&amp;Heron!O$9)</f>
        <v/>
      </c>
      <c r="Q107" s="69">
        <f>SUMIFS('Other Costs'!$D:$D,'Other Costs'!$A:$A,Heron!$A107,'Other Costs'!$C:$C,"&lt;="&amp;Heron!Q$9,'Other Costs'!$C:$C,"&gt;"&amp;Heron!P$9)</f>
        <v/>
      </c>
      <c r="R107" s="69">
        <f>SUMIFS('Other Costs'!$D:$D,'Other Costs'!$A:$A,Heron!$A107,'Other Costs'!$C:$C,"&lt;="&amp;Heron!R$9,'Other Costs'!$C:$C,"&gt;"&amp;Heron!Q$9)</f>
        <v/>
      </c>
      <c r="S107" s="69">
        <f>SUMIFS('Other Costs'!$D:$D,'Other Costs'!$A:$A,Heron!$A107,'Other Costs'!$C:$C,"&lt;="&amp;Heron!S$9,'Other Costs'!$C:$C,"&gt;"&amp;Heron!R$9)</f>
        <v/>
      </c>
      <c r="T107" s="69">
        <f>SUMIFS('Other Costs'!$D:$D,'Other Costs'!$A:$A,Heron!$A107,'Other Costs'!$C:$C,"&lt;="&amp;Heron!T$9,'Other Costs'!$C:$C,"&gt;"&amp;Heron!S$9)</f>
        <v/>
      </c>
      <c r="U107" s="69">
        <f>SUMIFS('Other Costs'!$D:$D,'Other Costs'!$A:$A,Heron!$A107,'Other Costs'!$C:$C,"&lt;="&amp;Heron!U$9,'Other Costs'!$C:$C,"&gt;"&amp;Heron!T$9)</f>
        <v/>
      </c>
      <c r="V107" s="69">
        <f>SUMIFS('Other Costs'!$D:$D,'Other Costs'!$A:$A,Heron!$A107,'Other Costs'!$C:$C,"&lt;="&amp;Heron!V$9,'Other Costs'!$C:$C,"&gt;"&amp;Heron!U$9)</f>
        <v/>
      </c>
      <c r="W107" s="69">
        <f>SUMIFS('Other Costs'!$D:$D,'Other Costs'!$A:$A,Heron!$A107,'Other Costs'!$C:$C,"&lt;="&amp;Heron!W$9,'Other Costs'!$C:$C,"&gt;"&amp;Heron!V$9)</f>
        <v/>
      </c>
      <c r="X107" s="69">
        <f>SUMIFS('Other Costs'!$D:$D,'Other Costs'!$A:$A,Heron!$A107,'Other Costs'!$C:$C,"&lt;="&amp;Heron!X$9,'Other Costs'!$C:$C,"&gt;"&amp;Heron!W$9)</f>
        <v/>
      </c>
      <c r="Y107" s="69">
        <f>SUMIFS('Other Costs'!$D:$D,'Other Costs'!$A:$A,Heron!$A107,'Other Costs'!$C:$C,"&lt;="&amp;Heron!Y$9,'Other Costs'!$C:$C,"&gt;"&amp;Heron!X$9)</f>
        <v/>
      </c>
      <c r="Z107" s="69">
        <f>SUMIFS('Other Costs'!$D:$D,'Other Costs'!$A:$A,Heron!$A107,'Other Costs'!$C:$C,"&lt;="&amp;Heron!Z$9,'Other Costs'!$C:$C,"&gt;"&amp;Heron!Y$9)</f>
        <v/>
      </c>
      <c r="AA107" s="69">
        <f>SUMIFS('Other Costs'!$D:$D,'Other Costs'!$A:$A,Heron!$A107,'Other Costs'!$C:$C,"&lt;="&amp;Heron!AA$9,'Other Costs'!$C:$C,"&gt;"&amp;Heron!Z$9)</f>
        <v/>
      </c>
      <c r="AB107" s="69">
        <f>SUMIFS('Other Costs'!$D:$D,'Other Costs'!$A:$A,Heron!$A107,'Other Costs'!$C:$C,"&lt;="&amp;Heron!AB$9,'Other Costs'!$C:$C,"&gt;"&amp;Heron!AA$9)</f>
        <v/>
      </c>
      <c r="AC107" s="69">
        <f>SUMIFS('Other Costs'!$D:$D,'Other Costs'!$A:$A,Heron!$A107,'Other Costs'!$C:$C,"&lt;="&amp;Heron!AC$9,'Other Costs'!$C:$C,"&gt;"&amp;Heron!AB$9)</f>
        <v/>
      </c>
      <c r="AD107" s="69">
        <f>SUMIFS('Other Costs'!$D:$D,'Other Costs'!$A:$A,Heron!$A107,'Other Costs'!$C:$C,"&lt;="&amp;Heron!AD$9,'Other Costs'!$C:$C,"&gt;"&amp;Heron!AC$9)</f>
        <v/>
      </c>
      <c r="AE107" s="69">
        <f>SUMIFS('Other Costs'!$D:$D,'Other Costs'!$A:$A,Heron!$A107,'Other Costs'!$C:$C,"&lt;="&amp;Heron!AE$9,'Other Costs'!$C:$C,"&gt;"&amp;Heron!AD$9)</f>
        <v/>
      </c>
      <c r="AF107" s="69">
        <f>SUMIFS('Other Costs'!$D:$D,'Other Costs'!$A:$A,Heron!$A107,'Other Costs'!$C:$C,"&lt;="&amp;Heron!AF$9,'Other Costs'!$C:$C,"&gt;"&amp;Heron!AE$9)</f>
        <v/>
      </c>
      <c r="AG107" s="69">
        <f>SUMIFS('Other Costs'!$D:$D,'Other Costs'!$A:$A,Heron!$A107,'Other Costs'!$C:$C,"&lt;="&amp;Heron!AG$9,'Other Costs'!$C:$C,"&gt;"&amp;Heron!AF$9)</f>
        <v/>
      </c>
      <c r="AH107" s="69">
        <f>SUMIFS('Other Costs'!$D:$D,'Other Costs'!$A:$A,Heron!$A107,'Other Costs'!$C:$C,"&lt;="&amp;Heron!AH$9,'Other Costs'!$C:$C,"&gt;"&amp;Heron!AG$9)</f>
        <v/>
      </c>
      <c r="AI107" s="69">
        <f>SUMIFS('Other Costs'!$D:$D,'Other Costs'!$A:$A,Heron!$A107,'Other Costs'!$C:$C,"&lt;="&amp;Heron!AI$9,'Other Costs'!$C:$C,"&gt;"&amp;Heron!AH$9)</f>
        <v/>
      </c>
      <c r="AJ107" s="69">
        <f>SUMIFS('Other Costs'!$D:$D,'Other Costs'!$A:$A,Heron!$A107,'Other Costs'!$C:$C,"&lt;="&amp;Heron!AJ$9,'Other Costs'!$C:$C,"&gt;"&amp;Heron!AI$9)</f>
        <v/>
      </c>
      <c r="AK107" s="69">
        <f>SUMIFS('Other Costs'!$D:$D,'Other Costs'!$A:$A,Heron!$A107,'Other Costs'!$C:$C,"&lt;="&amp;Heron!AK$9,'Other Costs'!$C:$C,"&gt;"&amp;Heron!AJ$9)</f>
        <v/>
      </c>
      <c r="AL107" s="69">
        <f>SUMIFS('Other Costs'!$D:$D,'Other Costs'!$A:$A,Heron!$A107,'Other Costs'!$C:$C,"&lt;="&amp;Heron!AL$9,'Other Costs'!$C:$C,"&gt;"&amp;Heron!AK$9)</f>
        <v/>
      </c>
      <c r="AM107" s="69">
        <f>SUMIFS('Other Costs'!$D:$D,'Other Costs'!$A:$A,Heron!$A107,'Other Costs'!$C:$C,"&lt;="&amp;Heron!AM$9,'Other Costs'!$C:$C,"&gt;"&amp;Heron!AL$9)</f>
        <v/>
      </c>
      <c r="AN107" s="69">
        <f>SUMIFS('Other Costs'!$D:$D,'Other Costs'!$A:$A,Heron!$A107,'Other Costs'!$C:$C,"&lt;="&amp;Heron!AN$9,'Other Costs'!$C:$C,"&gt;"&amp;Heron!AM$9)</f>
        <v/>
      </c>
      <c r="AO107" s="69">
        <f>SUMIFS('Other Costs'!$D:$D,'Other Costs'!$A:$A,Heron!$A107,'Other Costs'!$C:$C,"&lt;="&amp;Heron!AO$9,'Other Costs'!$C:$C,"&gt;"&amp;Heron!AN$9)</f>
        <v/>
      </c>
      <c r="AP107" s="69">
        <f>SUMIFS('Other Costs'!$D:$D,'Other Costs'!$A:$A,Heron!$A107,'Other Costs'!$C:$C,"&lt;="&amp;Heron!AP$9,'Other Costs'!$C:$C,"&gt;"&amp;Heron!AO$9)</f>
        <v/>
      </c>
      <c r="AQ107" s="69">
        <f>SUMIFS('Other Costs'!$D:$D,'Other Costs'!$A:$A,Heron!$A107,'Other Costs'!$C:$C,"&lt;="&amp;Heron!AQ$9,'Other Costs'!$C:$C,"&gt;"&amp;Heron!AP$9)</f>
        <v/>
      </c>
      <c r="AR107" s="69">
        <f>SUMIFS('Other Costs'!$D:$D,'Other Costs'!$A:$A,Heron!$A107,'Other Costs'!$C:$C,"&lt;="&amp;Heron!AR$9,'Other Costs'!$C:$C,"&gt;"&amp;Heron!AQ$9)</f>
        <v/>
      </c>
      <c r="AS107" s="69">
        <f>SUMIFS('Other Costs'!$D:$D,'Other Costs'!$A:$A,Heron!$A107,'Other Costs'!$C:$C,"&lt;="&amp;Heron!AS$9,'Other Costs'!$C:$C,"&gt;"&amp;Heron!AR$9)</f>
        <v/>
      </c>
      <c r="AT107" s="69">
        <f>SUMIFS('Other Costs'!$D:$D,'Other Costs'!$A:$A,Heron!$A107,'Other Costs'!$C:$C,"&lt;="&amp;Heron!AT$9,'Other Costs'!$C:$C,"&gt;"&amp;Heron!AS$9)</f>
        <v/>
      </c>
      <c r="AU107" s="69">
        <f>SUMIFS('Other Costs'!$D:$D,'Other Costs'!$A:$A,Heron!$A107,'Other Costs'!$C:$C,"&lt;="&amp;Heron!AU$9,'Other Costs'!$C:$C,"&gt;"&amp;Heron!AT$9)</f>
        <v/>
      </c>
      <c r="AV107" s="69">
        <f>SUMIFS('Other Costs'!$D:$D,'Other Costs'!$A:$A,Heron!$A107,'Other Costs'!$C:$C,"&lt;="&amp;Heron!AV$9,'Other Costs'!$C:$C,"&gt;"&amp;Heron!AU$9)</f>
        <v/>
      </c>
      <c r="AW107" s="69">
        <f>SUMIFS('Other Costs'!$D:$D,'Other Costs'!$A:$A,Heron!$A107,'Other Costs'!$C:$C,"&lt;="&amp;Heron!AW$9,'Other Costs'!$C:$C,"&gt;"&amp;Heron!AV$9)</f>
        <v/>
      </c>
      <c r="AX107" s="69">
        <f>SUMIFS('Other Costs'!$D:$D,'Other Costs'!$A:$A,Heron!$A107,'Other Costs'!$C:$C,"&lt;="&amp;Heron!AX$9,'Other Costs'!$C:$C,"&gt;"&amp;Heron!AW$9)</f>
        <v/>
      </c>
      <c r="AY107" s="69">
        <f>SUMIFS('Other Costs'!$D:$D,'Other Costs'!$A:$A,Heron!$A107,'Other Costs'!$C:$C,"&lt;="&amp;Heron!AY$9,'Other Costs'!$C:$C,"&gt;"&amp;Heron!AX$9)</f>
        <v/>
      </c>
      <c r="AZ107" s="69">
        <f>SUMIFS('Other Costs'!$D:$D,'Other Costs'!$A:$A,Heron!$A107,'Other Costs'!$C:$C,"&lt;="&amp;Heron!AZ$9,'Other Costs'!$C:$C,"&gt;"&amp;Heron!AY$9)</f>
        <v/>
      </c>
      <c r="BA107" s="69">
        <f>SUMIFS('Other Costs'!$D:$D,'Other Costs'!$A:$A,Heron!$A107,'Other Costs'!$C:$C,"&lt;="&amp;Heron!BA$9,'Other Costs'!$C:$C,"&gt;"&amp;Heron!AZ$9)</f>
        <v/>
      </c>
      <c r="BB107" s="69">
        <f>SUMIFS('Other Costs'!$D:$D,'Other Costs'!$A:$A,Heron!$A107,'Other Costs'!$C:$C,"&lt;="&amp;Heron!BB$9,'Other Costs'!$C:$C,"&gt;"&amp;Heron!BA$9)</f>
        <v/>
      </c>
      <c r="BC107" s="69">
        <f>SUMIFS('Other Costs'!$D:$D,'Other Costs'!$A:$A,Heron!$A107,'Other Costs'!$C:$C,"&lt;="&amp;Heron!BC$9,'Other Costs'!$C:$C,"&gt;"&amp;Heron!BB$9)</f>
        <v/>
      </c>
      <c r="BD107" s="69">
        <f>SUMIFS('Other Costs'!$D:$D,'Other Costs'!$A:$A,Heron!$A107,'Other Costs'!$C:$C,"&lt;="&amp;Heron!BD$9,'Other Costs'!$C:$C,"&gt;"&amp;Heron!BC$9)</f>
        <v/>
      </c>
      <c r="BE107" s="69">
        <f>SUMIFS('Other Costs'!$D:$D,'Other Costs'!$A:$A,Heron!$A107,'Other Costs'!$C:$C,"&lt;="&amp;Heron!BE$9,'Other Costs'!$C:$C,"&gt;"&amp;Heron!BD$9)</f>
        <v/>
      </c>
      <c r="BF107" s="69">
        <f>SUMIFS('Other Costs'!$D:$D,'Other Costs'!$A:$A,Heron!$A107,'Other Costs'!$C:$C,"&lt;="&amp;Heron!BF$9,'Other Costs'!$C:$C,"&gt;"&amp;Heron!BE$9)</f>
        <v/>
      </c>
      <c r="BG107" s="69">
        <f>SUMIFS('Other Costs'!$D:$D,'Other Costs'!$A:$A,Heron!$A107,'Other Costs'!$C:$C,"&lt;="&amp;Heron!BG$9,'Other Costs'!$C:$C,"&gt;"&amp;Heron!BF$9)</f>
        <v/>
      </c>
      <c r="BH107" s="66">
        <f>sum(D107:BG107)</f>
        <v/>
      </c>
    </row>
    <row r="108">
      <c r="A108" s="65" t="inlineStr">
        <is>
          <t>OppInvest</t>
        </is>
      </c>
      <c r="D108" s="69">
        <f>SUMIFS('Other Costs'!$D:$D,'Other Costs'!$A:$A,Heron!$A108,'Other Costs'!$C:$C,"&lt;="&amp;Heron!D$9,'Other Costs'!$C:$C,"&gt;"&amp;Heron!C$9)</f>
        <v/>
      </c>
      <c r="E108" s="69">
        <f>SUMIFS('Other Costs'!$D:$D,'Other Costs'!$A:$A,Heron!$A108,'Other Costs'!$C:$C,"&lt;="&amp;Heron!E$9,'Other Costs'!$C:$C,"&gt;"&amp;Heron!D$9)</f>
        <v/>
      </c>
      <c r="F108" s="69">
        <f>SUMIFS('Other Costs'!$D:$D,'Other Costs'!$A:$A,Heron!$A108,'Other Costs'!$C:$C,"&lt;="&amp;Heron!F$9,'Other Costs'!$C:$C,"&gt;"&amp;Heron!E$9)</f>
        <v/>
      </c>
      <c r="G108" s="69">
        <f>SUMIFS('Other Costs'!$D:$D,'Other Costs'!$A:$A,Heron!$A108,'Other Costs'!$C:$C,"&lt;="&amp;Heron!G$9,'Other Costs'!$C:$C,"&gt;"&amp;Heron!F$9)</f>
        <v/>
      </c>
      <c r="H108" s="69">
        <f>SUMIFS('Other Costs'!$D:$D,'Other Costs'!$A:$A,Heron!$A108,'Other Costs'!$C:$C,"&lt;="&amp;Heron!H$9,'Other Costs'!$C:$C,"&gt;"&amp;Heron!G$9)</f>
        <v/>
      </c>
      <c r="I108" s="69">
        <f>SUMIFS('Other Costs'!$D:$D,'Other Costs'!$A:$A,Heron!$A108,'Other Costs'!$C:$C,"&lt;="&amp;Heron!I$9,'Other Costs'!$C:$C,"&gt;"&amp;Heron!H$9)</f>
        <v/>
      </c>
      <c r="J108" s="69">
        <f>SUMIFS('Other Costs'!$D:$D,'Other Costs'!$A:$A,Heron!$A108,'Other Costs'!$C:$C,"&lt;="&amp;Heron!J$9,'Other Costs'!$C:$C,"&gt;"&amp;Heron!I$9)</f>
        <v/>
      </c>
      <c r="K108" s="69">
        <f>SUMIFS('Other Costs'!$D:$D,'Other Costs'!$A:$A,Heron!$A108,'Other Costs'!$C:$C,"&lt;="&amp;Heron!K$9,'Other Costs'!$C:$C,"&gt;"&amp;Heron!J$9)</f>
        <v/>
      </c>
      <c r="L108" s="69">
        <f>SUMIFS('Other Costs'!$D:$D,'Other Costs'!$A:$A,Heron!$A108,'Other Costs'!$C:$C,"&lt;="&amp;Heron!L$9,'Other Costs'!$C:$C,"&gt;"&amp;Heron!K$9)</f>
        <v/>
      </c>
      <c r="M108" s="69">
        <f>SUMIFS('Other Costs'!$D:$D,'Other Costs'!$A:$A,Heron!$A108,'Other Costs'!$C:$C,"&lt;="&amp;Heron!M$9,'Other Costs'!$C:$C,"&gt;"&amp;Heron!L$9)</f>
        <v/>
      </c>
      <c r="N108" s="69">
        <f>SUMIFS('Other Costs'!$D:$D,'Other Costs'!$A:$A,Heron!$A108,'Other Costs'!$C:$C,"&lt;="&amp;Heron!N$9,'Other Costs'!$C:$C,"&gt;"&amp;Heron!M$9)</f>
        <v/>
      </c>
      <c r="O108" s="69">
        <f>SUMIFS('Other Costs'!$D:$D,'Other Costs'!$A:$A,Heron!$A108,'Other Costs'!$C:$C,"&lt;="&amp;Heron!O$9,'Other Costs'!$C:$C,"&gt;"&amp;Heron!N$9)</f>
        <v/>
      </c>
      <c r="P108" s="69">
        <f>SUMIFS('Other Costs'!$D:$D,'Other Costs'!$A:$A,Heron!$A108,'Other Costs'!$C:$C,"&lt;="&amp;Heron!P$9,'Other Costs'!$C:$C,"&gt;"&amp;Heron!O$9)</f>
        <v/>
      </c>
      <c r="Q108" s="69">
        <f>SUMIFS('Other Costs'!$D:$D,'Other Costs'!$A:$A,Heron!$A108,'Other Costs'!$C:$C,"&lt;="&amp;Heron!Q$9,'Other Costs'!$C:$C,"&gt;"&amp;Heron!P$9)</f>
        <v/>
      </c>
      <c r="R108" s="69">
        <f>SUMIFS('Other Costs'!$D:$D,'Other Costs'!$A:$A,Heron!$A108,'Other Costs'!$C:$C,"&lt;="&amp;Heron!R$9,'Other Costs'!$C:$C,"&gt;"&amp;Heron!Q$9)</f>
        <v/>
      </c>
      <c r="S108" s="69">
        <f>SUMIFS('Other Costs'!$D:$D,'Other Costs'!$A:$A,Heron!$A108,'Other Costs'!$C:$C,"&lt;="&amp;Heron!S$9,'Other Costs'!$C:$C,"&gt;"&amp;Heron!R$9)</f>
        <v/>
      </c>
      <c r="T108" s="69">
        <f>SUMIFS('Other Costs'!$D:$D,'Other Costs'!$A:$A,Heron!$A108,'Other Costs'!$C:$C,"&lt;="&amp;Heron!T$9,'Other Costs'!$C:$C,"&gt;"&amp;Heron!S$9)</f>
        <v/>
      </c>
      <c r="U108" s="69">
        <f>SUMIFS('Other Costs'!$D:$D,'Other Costs'!$A:$A,Heron!$A108,'Other Costs'!$C:$C,"&lt;="&amp;Heron!U$9,'Other Costs'!$C:$C,"&gt;"&amp;Heron!T$9)</f>
        <v/>
      </c>
      <c r="V108" s="69">
        <f>SUMIFS('Other Costs'!$D:$D,'Other Costs'!$A:$A,Heron!$A108,'Other Costs'!$C:$C,"&lt;="&amp;Heron!V$9,'Other Costs'!$C:$C,"&gt;"&amp;Heron!U$9)</f>
        <v/>
      </c>
      <c r="W108" s="69">
        <f>SUMIFS('Other Costs'!$D:$D,'Other Costs'!$A:$A,Heron!$A108,'Other Costs'!$C:$C,"&lt;="&amp;Heron!W$9,'Other Costs'!$C:$C,"&gt;"&amp;Heron!V$9)</f>
        <v/>
      </c>
      <c r="X108" s="69">
        <f>SUMIFS('Other Costs'!$D:$D,'Other Costs'!$A:$A,Heron!$A108,'Other Costs'!$C:$C,"&lt;="&amp;Heron!X$9,'Other Costs'!$C:$C,"&gt;"&amp;Heron!W$9)</f>
        <v/>
      </c>
      <c r="Y108" s="69">
        <f>SUMIFS('Other Costs'!$D:$D,'Other Costs'!$A:$A,Heron!$A108,'Other Costs'!$C:$C,"&lt;="&amp;Heron!Y$9,'Other Costs'!$C:$C,"&gt;"&amp;Heron!X$9)</f>
        <v/>
      </c>
      <c r="Z108" s="69">
        <f>SUMIFS('Other Costs'!$D:$D,'Other Costs'!$A:$A,Heron!$A108,'Other Costs'!$C:$C,"&lt;="&amp;Heron!Z$9,'Other Costs'!$C:$C,"&gt;"&amp;Heron!Y$9)</f>
        <v/>
      </c>
      <c r="AA108" s="69">
        <f>SUMIFS('Other Costs'!$D:$D,'Other Costs'!$A:$A,Heron!$A108,'Other Costs'!$C:$C,"&lt;="&amp;Heron!AA$9,'Other Costs'!$C:$C,"&gt;"&amp;Heron!Z$9)</f>
        <v/>
      </c>
      <c r="AB108" s="69">
        <f>SUMIFS('Other Costs'!$D:$D,'Other Costs'!$A:$A,Heron!$A108,'Other Costs'!$C:$C,"&lt;="&amp;Heron!AB$9,'Other Costs'!$C:$C,"&gt;"&amp;Heron!AA$9)</f>
        <v/>
      </c>
      <c r="AC108" s="69">
        <f>SUMIFS('Other Costs'!$D:$D,'Other Costs'!$A:$A,Heron!$A108,'Other Costs'!$C:$C,"&lt;="&amp;Heron!AC$9,'Other Costs'!$C:$C,"&gt;"&amp;Heron!AB$9)</f>
        <v/>
      </c>
      <c r="AD108" s="69">
        <f>SUMIFS('Other Costs'!$D:$D,'Other Costs'!$A:$A,Heron!$A108,'Other Costs'!$C:$C,"&lt;="&amp;Heron!AD$9,'Other Costs'!$C:$C,"&gt;"&amp;Heron!AC$9)</f>
        <v/>
      </c>
      <c r="AE108" s="69">
        <f>SUMIFS('Other Costs'!$D:$D,'Other Costs'!$A:$A,Heron!$A108,'Other Costs'!$C:$C,"&lt;="&amp;Heron!AE$9,'Other Costs'!$C:$C,"&gt;"&amp;Heron!AD$9)</f>
        <v/>
      </c>
      <c r="AF108" s="69">
        <f>SUMIFS('Other Costs'!$D:$D,'Other Costs'!$A:$A,Heron!$A108,'Other Costs'!$C:$C,"&lt;="&amp;Heron!AF$9,'Other Costs'!$C:$C,"&gt;"&amp;Heron!AE$9)</f>
        <v/>
      </c>
      <c r="AG108" s="69">
        <f>SUMIFS('Other Costs'!$D:$D,'Other Costs'!$A:$A,Heron!$A108,'Other Costs'!$C:$C,"&lt;="&amp;Heron!AG$9,'Other Costs'!$C:$C,"&gt;"&amp;Heron!AF$9)</f>
        <v/>
      </c>
      <c r="AH108" s="69">
        <f>SUMIFS('Other Costs'!$D:$D,'Other Costs'!$A:$A,Heron!$A108,'Other Costs'!$C:$C,"&lt;="&amp;Heron!AH$9,'Other Costs'!$C:$C,"&gt;"&amp;Heron!AG$9)</f>
        <v/>
      </c>
      <c r="AI108" s="69">
        <f>SUMIFS('Other Costs'!$D:$D,'Other Costs'!$A:$A,Heron!$A108,'Other Costs'!$C:$C,"&lt;="&amp;Heron!AI$9,'Other Costs'!$C:$C,"&gt;"&amp;Heron!AH$9)</f>
        <v/>
      </c>
      <c r="AJ108" s="69">
        <f>SUMIFS('Other Costs'!$D:$D,'Other Costs'!$A:$A,Heron!$A108,'Other Costs'!$C:$C,"&lt;="&amp;Heron!AJ$9,'Other Costs'!$C:$C,"&gt;"&amp;Heron!AI$9)</f>
        <v/>
      </c>
      <c r="AK108" s="69">
        <f>SUMIFS('Other Costs'!$D:$D,'Other Costs'!$A:$A,Heron!$A108,'Other Costs'!$C:$C,"&lt;="&amp;Heron!AK$9,'Other Costs'!$C:$C,"&gt;"&amp;Heron!AJ$9)</f>
        <v/>
      </c>
      <c r="AL108" s="69">
        <f>SUMIFS('Other Costs'!$D:$D,'Other Costs'!$A:$A,Heron!$A108,'Other Costs'!$C:$C,"&lt;="&amp;Heron!AL$9,'Other Costs'!$C:$C,"&gt;"&amp;Heron!AK$9)</f>
        <v/>
      </c>
      <c r="AM108" s="69">
        <f>SUMIFS('Other Costs'!$D:$D,'Other Costs'!$A:$A,Heron!$A108,'Other Costs'!$C:$C,"&lt;="&amp;Heron!AM$9,'Other Costs'!$C:$C,"&gt;"&amp;Heron!AL$9)</f>
        <v/>
      </c>
      <c r="AN108" s="69">
        <f>SUMIFS('Other Costs'!$D:$D,'Other Costs'!$A:$A,Heron!$A108,'Other Costs'!$C:$C,"&lt;="&amp;Heron!AN$9,'Other Costs'!$C:$C,"&gt;"&amp;Heron!AM$9)</f>
        <v/>
      </c>
      <c r="AO108" s="69">
        <f>SUMIFS('Other Costs'!$D:$D,'Other Costs'!$A:$A,Heron!$A108,'Other Costs'!$C:$C,"&lt;="&amp;Heron!AO$9,'Other Costs'!$C:$C,"&gt;"&amp;Heron!AN$9)</f>
        <v/>
      </c>
      <c r="AP108" s="69">
        <f>SUMIFS('Other Costs'!$D:$D,'Other Costs'!$A:$A,Heron!$A108,'Other Costs'!$C:$C,"&lt;="&amp;Heron!AP$9,'Other Costs'!$C:$C,"&gt;"&amp;Heron!AO$9)</f>
        <v/>
      </c>
      <c r="AQ108" s="69">
        <f>SUMIFS('Other Costs'!$D:$D,'Other Costs'!$A:$A,Heron!$A108,'Other Costs'!$C:$C,"&lt;="&amp;Heron!AQ$9,'Other Costs'!$C:$C,"&gt;"&amp;Heron!AP$9)</f>
        <v/>
      </c>
      <c r="AR108" s="69">
        <f>SUMIFS('Other Costs'!$D:$D,'Other Costs'!$A:$A,Heron!$A108,'Other Costs'!$C:$C,"&lt;="&amp;Heron!AR$9,'Other Costs'!$C:$C,"&gt;"&amp;Heron!AQ$9)</f>
        <v/>
      </c>
      <c r="AS108" s="69">
        <f>SUMIFS('Other Costs'!$D:$D,'Other Costs'!$A:$A,Heron!$A108,'Other Costs'!$C:$C,"&lt;="&amp;Heron!AS$9,'Other Costs'!$C:$C,"&gt;"&amp;Heron!AR$9)</f>
        <v/>
      </c>
      <c r="AT108" s="69">
        <f>SUMIFS('Other Costs'!$D:$D,'Other Costs'!$A:$A,Heron!$A108,'Other Costs'!$C:$C,"&lt;="&amp;Heron!AT$9,'Other Costs'!$C:$C,"&gt;"&amp;Heron!AS$9)</f>
        <v/>
      </c>
      <c r="AU108" s="69">
        <f>SUMIFS('Other Costs'!$D:$D,'Other Costs'!$A:$A,Heron!$A108,'Other Costs'!$C:$C,"&lt;="&amp;Heron!AU$9,'Other Costs'!$C:$C,"&gt;"&amp;Heron!AT$9)</f>
        <v/>
      </c>
      <c r="AV108" s="69">
        <f>SUMIFS('Other Costs'!$D:$D,'Other Costs'!$A:$A,Heron!$A108,'Other Costs'!$C:$C,"&lt;="&amp;Heron!AV$9,'Other Costs'!$C:$C,"&gt;"&amp;Heron!AU$9)</f>
        <v/>
      </c>
      <c r="AW108" s="69">
        <f>SUMIFS('Other Costs'!$D:$D,'Other Costs'!$A:$A,Heron!$A108,'Other Costs'!$C:$C,"&lt;="&amp;Heron!AW$9,'Other Costs'!$C:$C,"&gt;"&amp;Heron!AV$9)</f>
        <v/>
      </c>
      <c r="AX108" s="69">
        <f>SUMIFS('Other Costs'!$D:$D,'Other Costs'!$A:$A,Heron!$A108,'Other Costs'!$C:$C,"&lt;="&amp;Heron!AX$9,'Other Costs'!$C:$C,"&gt;"&amp;Heron!AW$9)</f>
        <v/>
      </c>
      <c r="AY108" s="69">
        <f>SUMIFS('Other Costs'!$D:$D,'Other Costs'!$A:$A,Heron!$A108,'Other Costs'!$C:$C,"&lt;="&amp;Heron!AY$9,'Other Costs'!$C:$C,"&gt;"&amp;Heron!AX$9)</f>
        <v/>
      </c>
      <c r="AZ108" s="69">
        <f>SUMIFS('Other Costs'!$D:$D,'Other Costs'!$A:$A,Heron!$A108,'Other Costs'!$C:$C,"&lt;="&amp;Heron!AZ$9,'Other Costs'!$C:$C,"&gt;"&amp;Heron!AY$9)</f>
        <v/>
      </c>
      <c r="BA108" s="69">
        <f>SUMIFS('Other Costs'!$D:$D,'Other Costs'!$A:$A,Heron!$A108,'Other Costs'!$C:$C,"&lt;="&amp;Heron!BA$9,'Other Costs'!$C:$C,"&gt;"&amp;Heron!AZ$9)</f>
        <v/>
      </c>
      <c r="BB108" s="69">
        <f>SUMIFS('Other Costs'!$D:$D,'Other Costs'!$A:$A,Heron!$A108,'Other Costs'!$C:$C,"&lt;="&amp;Heron!BB$9,'Other Costs'!$C:$C,"&gt;"&amp;Heron!BA$9)</f>
        <v/>
      </c>
      <c r="BC108" s="69">
        <f>SUMIFS('Other Costs'!$D:$D,'Other Costs'!$A:$A,Heron!$A108,'Other Costs'!$C:$C,"&lt;="&amp;Heron!BC$9,'Other Costs'!$C:$C,"&gt;"&amp;Heron!BB$9)</f>
        <v/>
      </c>
      <c r="BD108" s="69">
        <f>SUMIFS('Other Costs'!$D:$D,'Other Costs'!$A:$A,Heron!$A108,'Other Costs'!$C:$C,"&lt;="&amp;Heron!BD$9,'Other Costs'!$C:$C,"&gt;"&amp;Heron!BC$9)</f>
        <v/>
      </c>
      <c r="BE108" s="69">
        <f>SUMIFS('Other Costs'!$D:$D,'Other Costs'!$A:$A,Heron!$A108,'Other Costs'!$C:$C,"&lt;="&amp;Heron!BE$9,'Other Costs'!$C:$C,"&gt;"&amp;Heron!BD$9)</f>
        <v/>
      </c>
      <c r="BF108" s="69">
        <f>SUMIFS('Other Costs'!$D:$D,'Other Costs'!$A:$A,Heron!$A108,'Other Costs'!$C:$C,"&lt;="&amp;Heron!BF$9,'Other Costs'!$C:$C,"&gt;"&amp;Heron!BE$9)</f>
        <v/>
      </c>
      <c r="BG108" s="69">
        <f>SUMIFS('Other Costs'!$D:$D,'Other Costs'!$A:$A,Heron!$A108,'Other Costs'!$C:$C,"&lt;="&amp;Heron!BG$9,'Other Costs'!$C:$C,"&gt;"&amp;Heron!BF$9)</f>
        <v/>
      </c>
      <c r="BH108" s="66">
        <f>sum(D108:BG108)</f>
        <v/>
      </c>
    </row>
    <row r="109">
      <c r="A109" s="65" t="inlineStr">
        <is>
          <t>Professional Fees</t>
        </is>
      </c>
      <c r="D109" s="69">
        <f>SUMIFS('Other Costs'!$D:$D,'Other Costs'!$A:$A,Heron!$A109,'Other Costs'!$C:$C,"&lt;="&amp;Heron!D$9,'Other Costs'!$C:$C,"&gt;"&amp;Heron!C$9)</f>
        <v/>
      </c>
      <c r="E109" s="69">
        <f>SUMIFS('Other Costs'!$D:$D,'Other Costs'!$A:$A,Heron!$A109,'Other Costs'!$C:$C,"&lt;="&amp;Heron!E$9,'Other Costs'!$C:$C,"&gt;"&amp;Heron!D$9)</f>
        <v/>
      </c>
      <c r="F109" s="69">
        <f>SUMIFS('Other Costs'!$D:$D,'Other Costs'!$A:$A,Heron!$A109,'Other Costs'!$C:$C,"&lt;="&amp;Heron!F$9,'Other Costs'!$C:$C,"&gt;"&amp;Heron!E$9)</f>
        <v/>
      </c>
      <c r="G109" s="69">
        <f>SUMIFS('Other Costs'!$D:$D,'Other Costs'!$A:$A,Heron!$A109,'Other Costs'!$C:$C,"&lt;="&amp;Heron!G$9,'Other Costs'!$C:$C,"&gt;"&amp;Heron!F$9)</f>
        <v/>
      </c>
      <c r="H109" s="69">
        <f>SUMIFS('Other Costs'!$D:$D,'Other Costs'!$A:$A,Heron!$A109,'Other Costs'!$C:$C,"&lt;="&amp;Heron!H$9,'Other Costs'!$C:$C,"&gt;"&amp;Heron!G$9)</f>
        <v/>
      </c>
      <c r="I109" s="69">
        <f>SUMIFS('Other Costs'!$D:$D,'Other Costs'!$A:$A,Heron!$A109,'Other Costs'!$C:$C,"&lt;="&amp;Heron!I$9,'Other Costs'!$C:$C,"&gt;"&amp;Heron!H$9)</f>
        <v/>
      </c>
      <c r="J109" s="69">
        <f>SUMIFS('Other Costs'!$D:$D,'Other Costs'!$A:$A,Heron!$A109,'Other Costs'!$C:$C,"&lt;="&amp;Heron!J$9,'Other Costs'!$C:$C,"&gt;"&amp;Heron!I$9)</f>
        <v/>
      </c>
      <c r="K109" s="69">
        <f>SUMIFS('Other Costs'!$D:$D,'Other Costs'!$A:$A,Heron!$A109,'Other Costs'!$C:$C,"&lt;="&amp;Heron!K$9,'Other Costs'!$C:$C,"&gt;"&amp;Heron!J$9)</f>
        <v/>
      </c>
      <c r="L109" s="69">
        <f>SUMIFS('Other Costs'!$D:$D,'Other Costs'!$A:$A,Heron!$A109,'Other Costs'!$C:$C,"&lt;="&amp;Heron!L$9,'Other Costs'!$C:$C,"&gt;"&amp;Heron!K$9)</f>
        <v/>
      </c>
      <c r="M109" s="69">
        <f>SUMIFS('Other Costs'!$D:$D,'Other Costs'!$A:$A,Heron!$A109,'Other Costs'!$C:$C,"&lt;="&amp;Heron!M$9,'Other Costs'!$C:$C,"&gt;"&amp;Heron!L$9)</f>
        <v/>
      </c>
      <c r="N109" s="69">
        <f>SUMIFS('Other Costs'!$D:$D,'Other Costs'!$A:$A,Heron!$A109,'Other Costs'!$C:$C,"&lt;="&amp;Heron!N$9,'Other Costs'!$C:$C,"&gt;"&amp;Heron!M$9)</f>
        <v/>
      </c>
      <c r="O109" s="69">
        <f>SUMIFS('Other Costs'!$D:$D,'Other Costs'!$A:$A,Heron!$A109,'Other Costs'!$C:$C,"&lt;="&amp;Heron!O$9,'Other Costs'!$C:$C,"&gt;"&amp;Heron!N$9)</f>
        <v/>
      </c>
      <c r="P109" s="69">
        <f>SUMIFS('Other Costs'!$D:$D,'Other Costs'!$A:$A,Heron!$A109,'Other Costs'!$C:$C,"&lt;="&amp;Heron!P$9,'Other Costs'!$C:$C,"&gt;"&amp;Heron!O$9)</f>
        <v/>
      </c>
      <c r="Q109" s="69">
        <f>SUMIFS('Other Costs'!$D:$D,'Other Costs'!$A:$A,Heron!$A109,'Other Costs'!$C:$C,"&lt;="&amp;Heron!Q$9,'Other Costs'!$C:$C,"&gt;"&amp;Heron!P$9)</f>
        <v/>
      </c>
      <c r="R109" s="69">
        <f>SUMIFS('Other Costs'!$D:$D,'Other Costs'!$A:$A,Heron!$A109,'Other Costs'!$C:$C,"&lt;="&amp;Heron!R$9,'Other Costs'!$C:$C,"&gt;"&amp;Heron!Q$9)</f>
        <v/>
      </c>
      <c r="S109" s="69">
        <f>SUMIFS('Other Costs'!$D:$D,'Other Costs'!$A:$A,Heron!$A109,'Other Costs'!$C:$C,"&lt;="&amp;Heron!S$9,'Other Costs'!$C:$C,"&gt;"&amp;Heron!R$9)</f>
        <v/>
      </c>
      <c r="T109" s="69">
        <f>SUMIFS('Other Costs'!$D:$D,'Other Costs'!$A:$A,Heron!$A109,'Other Costs'!$C:$C,"&lt;="&amp;Heron!T$9,'Other Costs'!$C:$C,"&gt;"&amp;Heron!S$9)</f>
        <v/>
      </c>
      <c r="U109" s="69">
        <f>SUMIFS('Other Costs'!$D:$D,'Other Costs'!$A:$A,Heron!$A109,'Other Costs'!$C:$C,"&lt;="&amp;Heron!U$9,'Other Costs'!$C:$C,"&gt;"&amp;Heron!T$9)</f>
        <v/>
      </c>
      <c r="V109" s="69">
        <f>SUMIFS('Other Costs'!$D:$D,'Other Costs'!$A:$A,Heron!$A109,'Other Costs'!$C:$C,"&lt;="&amp;Heron!V$9,'Other Costs'!$C:$C,"&gt;"&amp;Heron!U$9)</f>
        <v/>
      </c>
      <c r="W109" s="69">
        <f>SUMIFS('Other Costs'!$D:$D,'Other Costs'!$A:$A,Heron!$A109,'Other Costs'!$C:$C,"&lt;="&amp;Heron!W$9,'Other Costs'!$C:$C,"&gt;"&amp;Heron!V$9)</f>
        <v/>
      </c>
      <c r="X109" s="69">
        <f>SUMIFS('Other Costs'!$D:$D,'Other Costs'!$A:$A,Heron!$A109,'Other Costs'!$C:$C,"&lt;="&amp;Heron!X$9,'Other Costs'!$C:$C,"&gt;"&amp;Heron!W$9)</f>
        <v/>
      </c>
      <c r="Y109" s="69">
        <f>SUMIFS('Other Costs'!$D:$D,'Other Costs'!$A:$A,Heron!$A109,'Other Costs'!$C:$C,"&lt;="&amp;Heron!Y$9,'Other Costs'!$C:$C,"&gt;"&amp;Heron!X$9)</f>
        <v/>
      </c>
      <c r="Z109" s="69">
        <f>SUMIFS('Other Costs'!$D:$D,'Other Costs'!$A:$A,Heron!$A109,'Other Costs'!$C:$C,"&lt;="&amp;Heron!Z$9,'Other Costs'!$C:$C,"&gt;"&amp;Heron!Y$9)</f>
        <v/>
      </c>
      <c r="AA109" s="69">
        <f>SUMIFS('Other Costs'!$D:$D,'Other Costs'!$A:$A,Heron!$A109,'Other Costs'!$C:$C,"&lt;="&amp;Heron!AA$9,'Other Costs'!$C:$C,"&gt;"&amp;Heron!Z$9)</f>
        <v/>
      </c>
      <c r="AB109" s="69">
        <f>SUMIFS('Other Costs'!$D:$D,'Other Costs'!$A:$A,Heron!$A109,'Other Costs'!$C:$C,"&lt;="&amp;Heron!AB$9,'Other Costs'!$C:$C,"&gt;"&amp;Heron!AA$9)</f>
        <v/>
      </c>
      <c r="AC109" s="69">
        <f>SUMIFS('Other Costs'!$D:$D,'Other Costs'!$A:$A,Heron!$A109,'Other Costs'!$C:$C,"&lt;="&amp;Heron!AC$9,'Other Costs'!$C:$C,"&gt;"&amp;Heron!AB$9)</f>
        <v/>
      </c>
      <c r="AD109" s="69">
        <f>SUMIFS('Other Costs'!$D:$D,'Other Costs'!$A:$A,Heron!$A109,'Other Costs'!$C:$C,"&lt;="&amp;Heron!AD$9,'Other Costs'!$C:$C,"&gt;"&amp;Heron!AC$9)</f>
        <v/>
      </c>
      <c r="AE109" s="69">
        <f>SUMIFS('Other Costs'!$D:$D,'Other Costs'!$A:$A,Heron!$A109,'Other Costs'!$C:$C,"&lt;="&amp;Heron!AE$9,'Other Costs'!$C:$C,"&gt;"&amp;Heron!AD$9)</f>
        <v/>
      </c>
      <c r="AF109" s="69">
        <f>SUMIFS('Other Costs'!$D:$D,'Other Costs'!$A:$A,Heron!$A109,'Other Costs'!$C:$C,"&lt;="&amp;Heron!AF$9,'Other Costs'!$C:$C,"&gt;"&amp;Heron!AE$9)</f>
        <v/>
      </c>
      <c r="AG109" s="69">
        <f>SUMIFS('Other Costs'!$D:$D,'Other Costs'!$A:$A,Heron!$A109,'Other Costs'!$C:$C,"&lt;="&amp;Heron!AG$9,'Other Costs'!$C:$C,"&gt;"&amp;Heron!AF$9)</f>
        <v/>
      </c>
      <c r="AH109" s="69">
        <f>SUMIFS('Other Costs'!$D:$D,'Other Costs'!$A:$A,Heron!$A109,'Other Costs'!$C:$C,"&lt;="&amp;Heron!AH$9,'Other Costs'!$C:$C,"&gt;"&amp;Heron!AG$9)</f>
        <v/>
      </c>
      <c r="AI109" s="69">
        <f>SUMIFS('Other Costs'!$D:$D,'Other Costs'!$A:$A,Heron!$A109,'Other Costs'!$C:$C,"&lt;="&amp;Heron!AI$9,'Other Costs'!$C:$C,"&gt;"&amp;Heron!AH$9)</f>
        <v/>
      </c>
      <c r="AJ109" s="69">
        <f>SUMIFS('Other Costs'!$D:$D,'Other Costs'!$A:$A,Heron!$A109,'Other Costs'!$C:$C,"&lt;="&amp;Heron!AJ$9,'Other Costs'!$C:$C,"&gt;"&amp;Heron!AI$9)</f>
        <v/>
      </c>
      <c r="AK109" s="69">
        <f>SUMIFS('Other Costs'!$D:$D,'Other Costs'!$A:$A,Heron!$A109,'Other Costs'!$C:$C,"&lt;="&amp;Heron!AK$9,'Other Costs'!$C:$C,"&gt;"&amp;Heron!AJ$9)</f>
        <v/>
      </c>
      <c r="AL109" s="69">
        <f>SUMIFS('Other Costs'!$D:$D,'Other Costs'!$A:$A,Heron!$A109,'Other Costs'!$C:$C,"&lt;="&amp;Heron!AL$9,'Other Costs'!$C:$C,"&gt;"&amp;Heron!AK$9)</f>
        <v/>
      </c>
      <c r="AM109" s="69">
        <f>SUMIFS('Other Costs'!$D:$D,'Other Costs'!$A:$A,Heron!$A109,'Other Costs'!$C:$C,"&lt;="&amp;Heron!AM$9,'Other Costs'!$C:$C,"&gt;"&amp;Heron!AL$9)</f>
        <v/>
      </c>
      <c r="AN109" s="69">
        <f>SUMIFS('Other Costs'!$D:$D,'Other Costs'!$A:$A,Heron!$A109,'Other Costs'!$C:$C,"&lt;="&amp;Heron!AN$9,'Other Costs'!$C:$C,"&gt;"&amp;Heron!AM$9)</f>
        <v/>
      </c>
      <c r="AO109" s="69">
        <f>SUMIFS('Other Costs'!$D:$D,'Other Costs'!$A:$A,Heron!$A109,'Other Costs'!$C:$C,"&lt;="&amp;Heron!AO$9,'Other Costs'!$C:$C,"&gt;"&amp;Heron!AN$9)</f>
        <v/>
      </c>
      <c r="AP109" s="69">
        <f>SUMIFS('Other Costs'!$D:$D,'Other Costs'!$A:$A,Heron!$A109,'Other Costs'!$C:$C,"&lt;="&amp;Heron!AP$9,'Other Costs'!$C:$C,"&gt;"&amp;Heron!AO$9)</f>
        <v/>
      </c>
      <c r="AQ109" s="69">
        <f>SUMIFS('Other Costs'!$D:$D,'Other Costs'!$A:$A,Heron!$A109,'Other Costs'!$C:$C,"&lt;="&amp;Heron!AQ$9,'Other Costs'!$C:$C,"&gt;"&amp;Heron!AP$9)</f>
        <v/>
      </c>
      <c r="AR109" s="69">
        <f>SUMIFS('Other Costs'!$D:$D,'Other Costs'!$A:$A,Heron!$A109,'Other Costs'!$C:$C,"&lt;="&amp;Heron!AR$9,'Other Costs'!$C:$C,"&gt;"&amp;Heron!AQ$9)</f>
        <v/>
      </c>
      <c r="AS109" s="69">
        <f>SUMIFS('Other Costs'!$D:$D,'Other Costs'!$A:$A,Heron!$A109,'Other Costs'!$C:$C,"&lt;="&amp;Heron!AS$9,'Other Costs'!$C:$C,"&gt;"&amp;Heron!AR$9)</f>
        <v/>
      </c>
      <c r="AT109" s="69">
        <f>SUMIFS('Other Costs'!$D:$D,'Other Costs'!$A:$A,Heron!$A109,'Other Costs'!$C:$C,"&lt;="&amp;Heron!AT$9,'Other Costs'!$C:$C,"&gt;"&amp;Heron!AS$9)</f>
        <v/>
      </c>
      <c r="AU109" s="69">
        <f>SUMIFS('Other Costs'!$D:$D,'Other Costs'!$A:$A,Heron!$A109,'Other Costs'!$C:$C,"&lt;="&amp;Heron!AU$9,'Other Costs'!$C:$C,"&gt;"&amp;Heron!AT$9)</f>
        <v/>
      </c>
      <c r="AV109" s="69">
        <f>SUMIFS('Other Costs'!$D:$D,'Other Costs'!$A:$A,Heron!$A109,'Other Costs'!$C:$C,"&lt;="&amp;Heron!AV$9,'Other Costs'!$C:$C,"&gt;"&amp;Heron!AU$9)</f>
        <v/>
      </c>
      <c r="AW109" s="69">
        <f>SUMIFS('Other Costs'!$D:$D,'Other Costs'!$A:$A,Heron!$A109,'Other Costs'!$C:$C,"&lt;="&amp;Heron!AW$9,'Other Costs'!$C:$C,"&gt;"&amp;Heron!AV$9)</f>
        <v/>
      </c>
      <c r="AX109" s="69">
        <f>SUMIFS('Other Costs'!$D:$D,'Other Costs'!$A:$A,Heron!$A109,'Other Costs'!$C:$C,"&lt;="&amp;Heron!AX$9,'Other Costs'!$C:$C,"&gt;"&amp;Heron!AW$9)</f>
        <v/>
      </c>
      <c r="AY109" s="69">
        <f>SUMIFS('Other Costs'!$D:$D,'Other Costs'!$A:$A,Heron!$A109,'Other Costs'!$C:$C,"&lt;="&amp;Heron!AY$9,'Other Costs'!$C:$C,"&gt;"&amp;Heron!AX$9)</f>
        <v/>
      </c>
      <c r="AZ109" s="69">
        <f>SUMIFS('Other Costs'!$D:$D,'Other Costs'!$A:$A,Heron!$A109,'Other Costs'!$C:$C,"&lt;="&amp;Heron!AZ$9,'Other Costs'!$C:$C,"&gt;"&amp;Heron!AY$9)</f>
        <v/>
      </c>
      <c r="BA109" s="69">
        <f>SUMIFS('Other Costs'!$D:$D,'Other Costs'!$A:$A,Heron!$A109,'Other Costs'!$C:$C,"&lt;="&amp;Heron!BA$9,'Other Costs'!$C:$C,"&gt;"&amp;Heron!AZ$9)</f>
        <v/>
      </c>
      <c r="BB109" s="69">
        <f>SUMIFS('Other Costs'!$D:$D,'Other Costs'!$A:$A,Heron!$A109,'Other Costs'!$C:$C,"&lt;="&amp;Heron!BB$9,'Other Costs'!$C:$C,"&gt;"&amp;Heron!BA$9)</f>
        <v/>
      </c>
      <c r="BC109" s="69">
        <f>SUMIFS('Other Costs'!$D:$D,'Other Costs'!$A:$A,Heron!$A109,'Other Costs'!$C:$C,"&lt;="&amp;Heron!BC$9,'Other Costs'!$C:$C,"&gt;"&amp;Heron!BB$9)</f>
        <v/>
      </c>
      <c r="BD109" s="69">
        <f>SUMIFS('Other Costs'!$D:$D,'Other Costs'!$A:$A,Heron!$A109,'Other Costs'!$C:$C,"&lt;="&amp;Heron!BD$9,'Other Costs'!$C:$C,"&gt;"&amp;Heron!BC$9)</f>
        <v/>
      </c>
      <c r="BE109" s="69">
        <f>SUMIFS('Other Costs'!$D:$D,'Other Costs'!$A:$A,Heron!$A109,'Other Costs'!$C:$C,"&lt;="&amp;Heron!BE$9,'Other Costs'!$C:$C,"&gt;"&amp;Heron!BD$9)</f>
        <v/>
      </c>
      <c r="BF109" s="69">
        <f>SUMIFS('Other Costs'!$D:$D,'Other Costs'!$A:$A,Heron!$A109,'Other Costs'!$C:$C,"&lt;="&amp;Heron!BF$9,'Other Costs'!$C:$C,"&gt;"&amp;Heron!BE$9)</f>
        <v/>
      </c>
      <c r="BG109" s="69">
        <f>SUMIFS('Other Costs'!$D:$D,'Other Costs'!$A:$A,Heron!$A109,'Other Costs'!$C:$C,"&lt;="&amp;Heron!BG$9,'Other Costs'!$C:$C,"&gt;"&amp;Heron!BF$9)</f>
        <v/>
      </c>
      <c r="BH109" s="66">
        <f>sum(D109:BG109)</f>
        <v/>
      </c>
    </row>
    <row r="110">
      <c r="A110" s="65" t="inlineStr">
        <is>
          <t>Rent Salaries and Wages</t>
        </is>
      </c>
      <c r="D110" s="69">
        <f>SUMIFS('Other Costs'!$D:$D,'Other Costs'!$A:$A,Heron!$A110,'Other Costs'!$C:$C,"&lt;="&amp;Heron!D$9,'Other Costs'!$C:$C,"&gt;"&amp;Heron!C$9)</f>
        <v/>
      </c>
      <c r="E110" s="69">
        <f>SUMIFS('Other Costs'!$D:$D,'Other Costs'!$A:$A,Heron!$A110,'Other Costs'!$C:$C,"&lt;="&amp;Heron!E$9,'Other Costs'!$C:$C,"&gt;"&amp;Heron!D$9)</f>
        <v/>
      </c>
      <c r="F110" s="69">
        <f>SUMIFS('Other Costs'!$D:$D,'Other Costs'!$A:$A,Heron!$A110,'Other Costs'!$C:$C,"&lt;="&amp;Heron!F$9,'Other Costs'!$C:$C,"&gt;"&amp;Heron!E$9)</f>
        <v/>
      </c>
      <c r="G110" s="69">
        <f>SUMIFS('Other Costs'!$D:$D,'Other Costs'!$A:$A,Heron!$A110,'Other Costs'!$C:$C,"&lt;="&amp;Heron!G$9,'Other Costs'!$C:$C,"&gt;"&amp;Heron!F$9)</f>
        <v/>
      </c>
      <c r="H110" s="69">
        <f>SUMIFS('Other Costs'!$D:$D,'Other Costs'!$A:$A,Heron!$A110,'Other Costs'!$C:$C,"&lt;="&amp;Heron!H$9,'Other Costs'!$C:$C,"&gt;"&amp;Heron!G$9)</f>
        <v/>
      </c>
      <c r="I110" s="69">
        <f>SUMIFS('Other Costs'!$D:$D,'Other Costs'!$A:$A,Heron!$A110,'Other Costs'!$C:$C,"&lt;="&amp;Heron!I$9,'Other Costs'!$C:$C,"&gt;"&amp;Heron!H$9)</f>
        <v/>
      </c>
      <c r="J110" s="69">
        <f>SUMIFS('Other Costs'!$D:$D,'Other Costs'!$A:$A,Heron!$A110,'Other Costs'!$C:$C,"&lt;="&amp;Heron!J$9,'Other Costs'!$C:$C,"&gt;"&amp;Heron!I$9)</f>
        <v/>
      </c>
      <c r="K110" s="69">
        <f>SUMIFS('Other Costs'!$D:$D,'Other Costs'!$A:$A,Heron!$A110,'Other Costs'!$C:$C,"&lt;="&amp;Heron!K$9,'Other Costs'!$C:$C,"&gt;"&amp;Heron!J$9)</f>
        <v/>
      </c>
      <c r="L110" s="69">
        <f>SUMIFS('Other Costs'!$D:$D,'Other Costs'!$A:$A,Heron!$A110,'Other Costs'!$C:$C,"&lt;="&amp;Heron!L$9,'Other Costs'!$C:$C,"&gt;"&amp;Heron!K$9)</f>
        <v/>
      </c>
      <c r="M110" s="69">
        <f>SUMIFS('Other Costs'!$D:$D,'Other Costs'!$A:$A,Heron!$A110,'Other Costs'!$C:$C,"&lt;="&amp;Heron!M$9,'Other Costs'!$C:$C,"&gt;"&amp;Heron!L$9)</f>
        <v/>
      </c>
      <c r="N110" s="69">
        <f>SUMIFS('Other Costs'!$D:$D,'Other Costs'!$A:$A,Heron!$A110,'Other Costs'!$C:$C,"&lt;="&amp;Heron!N$9,'Other Costs'!$C:$C,"&gt;"&amp;Heron!M$9)</f>
        <v/>
      </c>
      <c r="O110" s="69">
        <f>SUMIFS('Other Costs'!$D:$D,'Other Costs'!$A:$A,Heron!$A110,'Other Costs'!$C:$C,"&lt;="&amp;Heron!O$9,'Other Costs'!$C:$C,"&gt;"&amp;Heron!N$9)</f>
        <v/>
      </c>
      <c r="P110" s="69">
        <f>SUMIFS('Other Costs'!$D:$D,'Other Costs'!$A:$A,Heron!$A110,'Other Costs'!$C:$C,"&lt;="&amp;Heron!P$9,'Other Costs'!$C:$C,"&gt;"&amp;Heron!O$9)</f>
        <v/>
      </c>
      <c r="Q110" s="69">
        <f>SUMIFS('Other Costs'!$D:$D,'Other Costs'!$A:$A,Heron!$A110,'Other Costs'!$C:$C,"&lt;="&amp;Heron!Q$9,'Other Costs'!$C:$C,"&gt;"&amp;Heron!P$9)</f>
        <v/>
      </c>
      <c r="R110" s="69">
        <f>SUMIFS('Other Costs'!$D:$D,'Other Costs'!$A:$A,Heron!$A110,'Other Costs'!$C:$C,"&lt;="&amp;Heron!R$9,'Other Costs'!$C:$C,"&gt;"&amp;Heron!Q$9)</f>
        <v/>
      </c>
      <c r="S110" s="69">
        <f>SUMIFS('Other Costs'!$D:$D,'Other Costs'!$A:$A,Heron!$A110,'Other Costs'!$C:$C,"&lt;="&amp;Heron!S$9,'Other Costs'!$C:$C,"&gt;"&amp;Heron!R$9)</f>
        <v/>
      </c>
      <c r="T110" s="69">
        <f>SUMIFS('Other Costs'!$D:$D,'Other Costs'!$A:$A,Heron!$A110,'Other Costs'!$C:$C,"&lt;="&amp;Heron!T$9,'Other Costs'!$C:$C,"&gt;"&amp;Heron!S$9)</f>
        <v/>
      </c>
      <c r="U110" s="69">
        <f>SUMIFS('Other Costs'!$D:$D,'Other Costs'!$A:$A,Heron!$A110,'Other Costs'!$C:$C,"&lt;="&amp;Heron!U$9,'Other Costs'!$C:$C,"&gt;"&amp;Heron!T$9)</f>
        <v/>
      </c>
      <c r="V110" s="69">
        <f>SUMIFS('Other Costs'!$D:$D,'Other Costs'!$A:$A,Heron!$A110,'Other Costs'!$C:$C,"&lt;="&amp;Heron!V$9,'Other Costs'!$C:$C,"&gt;"&amp;Heron!U$9)</f>
        <v/>
      </c>
      <c r="W110" s="69">
        <f>SUMIFS('Other Costs'!$D:$D,'Other Costs'!$A:$A,Heron!$A110,'Other Costs'!$C:$C,"&lt;="&amp;Heron!W$9,'Other Costs'!$C:$C,"&gt;"&amp;Heron!V$9)</f>
        <v/>
      </c>
      <c r="X110" s="69">
        <f>SUMIFS('Other Costs'!$D:$D,'Other Costs'!$A:$A,Heron!$A110,'Other Costs'!$C:$C,"&lt;="&amp;Heron!X$9,'Other Costs'!$C:$C,"&gt;"&amp;Heron!W$9)</f>
        <v/>
      </c>
      <c r="Y110" s="69">
        <f>SUMIFS('Other Costs'!$D:$D,'Other Costs'!$A:$A,Heron!$A110,'Other Costs'!$C:$C,"&lt;="&amp;Heron!Y$9,'Other Costs'!$C:$C,"&gt;"&amp;Heron!X$9)</f>
        <v/>
      </c>
      <c r="Z110" s="69">
        <f>SUMIFS('Other Costs'!$D:$D,'Other Costs'!$A:$A,Heron!$A110,'Other Costs'!$C:$C,"&lt;="&amp;Heron!Z$9,'Other Costs'!$C:$C,"&gt;"&amp;Heron!Y$9)</f>
        <v/>
      </c>
      <c r="AA110" s="69">
        <f>SUMIFS('Other Costs'!$D:$D,'Other Costs'!$A:$A,Heron!$A110,'Other Costs'!$C:$C,"&lt;="&amp;Heron!AA$9,'Other Costs'!$C:$C,"&gt;"&amp;Heron!Z$9)</f>
        <v/>
      </c>
      <c r="AB110" s="69">
        <f>SUMIFS('Other Costs'!$D:$D,'Other Costs'!$A:$A,Heron!$A110,'Other Costs'!$C:$C,"&lt;="&amp;Heron!AB$9,'Other Costs'!$C:$C,"&gt;"&amp;Heron!AA$9)</f>
        <v/>
      </c>
      <c r="AC110" s="69">
        <f>SUMIFS('Other Costs'!$D:$D,'Other Costs'!$A:$A,Heron!$A110,'Other Costs'!$C:$C,"&lt;="&amp;Heron!AC$9,'Other Costs'!$C:$C,"&gt;"&amp;Heron!AB$9)</f>
        <v/>
      </c>
      <c r="AD110" s="69">
        <f>SUMIFS('Other Costs'!$D:$D,'Other Costs'!$A:$A,Heron!$A110,'Other Costs'!$C:$C,"&lt;="&amp;Heron!AD$9,'Other Costs'!$C:$C,"&gt;"&amp;Heron!AC$9)</f>
        <v/>
      </c>
      <c r="AE110" s="69">
        <f>SUMIFS('Other Costs'!$D:$D,'Other Costs'!$A:$A,Heron!$A110,'Other Costs'!$C:$C,"&lt;="&amp;Heron!AE$9,'Other Costs'!$C:$C,"&gt;"&amp;Heron!AD$9)</f>
        <v/>
      </c>
      <c r="AF110" s="69">
        <f>SUMIFS('Other Costs'!$D:$D,'Other Costs'!$A:$A,Heron!$A110,'Other Costs'!$C:$C,"&lt;="&amp;Heron!AF$9,'Other Costs'!$C:$C,"&gt;"&amp;Heron!AE$9)</f>
        <v/>
      </c>
      <c r="AG110" s="69">
        <f>SUMIFS('Other Costs'!$D:$D,'Other Costs'!$A:$A,Heron!$A110,'Other Costs'!$C:$C,"&lt;="&amp;Heron!AG$9,'Other Costs'!$C:$C,"&gt;"&amp;Heron!AF$9)</f>
        <v/>
      </c>
      <c r="AH110" s="69">
        <f>SUMIFS('Other Costs'!$D:$D,'Other Costs'!$A:$A,Heron!$A110,'Other Costs'!$C:$C,"&lt;="&amp;Heron!AH$9,'Other Costs'!$C:$C,"&gt;"&amp;Heron!AG$9)</f>
        <v/>
      </c>
      <c r="AI110" s="69">
        <f>SUMIFS('Other Costs'!$D:$D,'Other Costs'!$A:$A,Heron!$A110,'Other Costs'!$C:$C,"&lt;="&amp;Heron!AI$9,'Other Costs'!$C:$C,"&gt;"&amp;Heron!AH$9)</f>
        <v/>
      </c>
      <c r="AJ110" s="69">
        <f>SUMIFS('Other Costs'!$D:$D,'Other Costs'!$A:$A,Heron!$A110,'Other Costs'!$C:$C,"&lt;="&amp;Heron!AJ$9,'Other Costs'!$C:$C,"&gt;"&amp;Heron!AI$9)</f>
        <v/>
      </c>
      <c r="AK110" s="69">
        <f>SUMIFS('Other Costs'!$D:$D,'Other Costs'!$A:$A,Heron!$A110,'Other Costs'!$C:$C,"&lt;="&amp;Heron!AK$9,'Other Costs'!$C:$C,"&gt;"&amp;Heron!AJ$9)</f>
        <v/>
      </c>
      <c r="AL110" s="69">
        <f>SUMIFS('Other Costs'!$D:$D,'Other Costs'!$A:$A,Heron!$A110,'Other Costs'!$C:$C,"&lt;="&amp;Heron!AL$9,'Other Costs'!$C:$C,"&gt;"&amp;Heron!AK$9)</f>
        <v/>
      </c>
      <c r="AM110" s="69">
        <f>SUMIFS('Other Costs'!$D:$D,'Other Costs'!$A:$A,Heron!$A110,'Other Costs'!$C:$C,"&lt;="&amp;Heron!AM$9,'Other Costs'!$C:$C,"&gt;"&amp;Heron!AL$9)</f>
        <v/>
      </c>
      <c r="AN110" s="69">
        <f>SUMIFS('Other Costs'!$D:$D,'Other Costs'!$A:$A,Heron!$A110,'Other Costs'!$C:$C,"&lt;="&amp;Heron!AN$9,'Other Costs'!$C:$C,"&gt;"&amp;Heron!AM$9)</f>
        <v/>
      </c>
      <c r="AO110" s="69">
        <f>SUMIFS('Other Costs'!$D:$D,'Other Costs'!$A:$A,Heron!$A110,'Other Costs'!$C:$C,"&lt;="&amp;Heron!AO$9,'Other Costs'!$C:$C,"&gt;"&amp;Heron!AN$9)</f>
        <v/>
      </c>
      <c r="AP110" s="69">
        <f>SUMIFS('Other Costs'!$D:$D,'Other Costs'!$A:$A,Heron!$A110,'Other Costs'!$C:$C,"&lt;="&amp;Heron!AP$9,'Other Costs'!$C:$C,"&gt;"&amp;Heron!AO$9)</f>
        <v/>
      </c>
      <c r="AQ110" s="69">
        <f>SUMIFS('Other Costs'!$D:$D,'Other Costs'!$A:$A,Heron!$A110,'Other Costs'!$C:$C,"&lt;="&amp;Heron!AQ$9,'Other Costs'!$C:$C,"&gt;"&amp;Heron!AP$9)</f>
        <v/>
      </c>
      <c r="AR110" s="69">
        <f>SUMIFS('Other Costs'!$D:$D,'Other Costs'!$A:$A,Heron!$A110,'Other Costs'!$C:$C,"&lt;="&amp;Heron!AR$9,'Other Costs'!$C:$C,"&gt;"&amp;Heron!AQ$9)</f>
        <v/>
      </c>
      <c r="AS110" s="69">
        <f>SUMIFS('Other Costs'!$D:$D,'Other Costs'!$A:$A,Heron!$A110,'Other Costs'!$C:$C,"&lt;="&amp;Heron!AS$9,'Other Costs'!$C:$C,"&gt;"&amp;Heron!AR$9)</f>
        <v/>
      </c>
      <c r="AT110" s="69">
        <f>SUMIFS('Other Costs'!$D:$D,'Other Costs'!$A:$A,Heron!$A110,'Other Costs'!$C:$C,"&lt;="&amp;Heron!AT$9,'Other Costs'!$C:$C,"&gt;"&amp;Heron!AS$9)</f>
        <v/>
      </c>
      <c r="AU110" s="69">
        <f>SUMIFS('Other Costs'!$D:$D,'Other Costs'!$A:$A,Heron!$A110,'Other Costs'!$C:$C,"&lt;="&amp;Heron!AU$9,'Other Costs'!$C:$C,"&gt;"&amp;Heron!AT$9)</f>
        <v/>
      </c>
      <c r="AV110" s="69">
        <f>SUMIFS('Other Costs'!$D:$D,'Other Costs'!$A:$A,Heron!$A110,'Other Costs'!$C:$C,"&lt;="&amp;Heron!AV$9,'Other Costs'!$C:$C,"&gt;"&amp;Heron!AU$9)</f>
        <v/>
      </c>
      <c r="AW110" s="69">
        <f>SUMIFS('Other Costs'!$D:$D,'Other Costs'!$A:$A,Heron!$A110,'Other Costs'!$C:$C,"&lt;="&amp;Heron!AW$9,'Other Costs'!$C:$C,"&gt;"&amp;Heron!AV$9)</f>
        <v/>
      </c>
      <c r="AX110" s="69">
        <f>SUMIFS('Other Costs'!$D:$D,'Other Costs'!$A:$A,Heron!$A110,'Other Costs'!$C:$C,"&lt;="&amp;Heron!AX$9,'Other Costs'!$C:$C,"&gt;"&amp;Heron!AW$9)</f>
        <v/>
      </c>
      <c r="AY110" s="69">
        <f>SUMIFS('Other Costs'!$D:$D,'Other Costs'!$A:$A,Heron!$A110,'Other Costs'!$C:$C,"&lt;="&amp;Heron!AY$9,'Other Costs'!$C:$C,"&gt;"&amp;Heron!AX$9)</f>
        <v/>
      </c>
      <c r="AZ110" s="69">
        <f>SUMIFS('Other Costs'!$D:$D,'Other Costs'!$A:$A,Heron!$A110,'Other Costs'!$C:$C,"&lt;="&amp;Heron!AZ$9,'Other Costs'!$C:$C,"&gt;"&amp;Heron!AY$9)</f>
        <v/>
      </c>
      <c r="BA110" s="69">
        <f>SUMIFS('Other Costs'!$D:$D,'Other Costs'!$A:$A,Heron!$A110,'Other Costs'!$C:$C,"&lt;="&amp;Heron!BA$9,'Other Costs'!$C:$C,"&gt;"&amp;Heron!AZ$9)</f>
        <v/>
      </c>
      <c r="BB110" s="69">
        <f>SUMIFS('Other Costs'!$D:$D,'Other Costs'!$A:$A,Heron!$A110,'Other Costs'!$C:$C,"&lt;="&amp;Heron!BB$9,'Other Costs'!$C:$C,"&gt;"&amp;Heron!BA$9)</f>
        <v/>
      </c>
      <c r="BC110" s="69">
        <f>SUMIFS('Other Costs'!$D:$D,'Other Costs'!$A:$A,Heron!$A110,'Other Costs'!$C:$C,"&lt;="&amp;Heron!BC$9,'Other Costs'!$C:$C,"&gt;"&amp;Heron!BB$9)</f>
        <v/>
      </c>
      <c r="BD110" s="69">
        <f>SUMIFS('Other Costs'!$D:$D,'Other Costs'!$A:$A,Heron!$A110,'Other Costs'!$C:$C,"&lt;="&amp;Heron!BD$9,'Other Costs'!$C:$C,"&gt;"&amp;Heron!BC$9)</f>
        <v/>
      </c>
      <c r="BE110" s="69">
        <f>SUMIFS('Other Costs'!$D:$D,'Other Costs'!$A:$A,Heron!$A110,'Other Costs'!$C:$C,"&lt;="&amp;Heron!BE$9,'Other Costs'!$C:$C,"&gt;"&amp;Heron!BD$9)</f>
        <v/>
      </c>
      <c r="BF110" s="69">
        <f>SUMIFS('Other Costs'!$D:$D,'Other Costs'!$A:$A,Heron!$A110,'Other Costs'!$C:$C,"&lt;="&amp;Heron!BF$9,'Other Costs'!$C:$C,"&gt;"&amp;Heron!BE$9)</f>
        <v/>
      </c>
      <c r="BG110" s="69">
        <f>SUMIFS('Other Costs'!$D:$D,'Other Costs'!$A:$A,Heron!$A110,'Other Costs'!$C:$C,"&lt;="&amp;Heron!BG$9,'Other Costs'!$C:$C,"&gt;"&amp;Heron!BF$9)</f>
        <v/>
      </c>
      <c r="BH110" s="66">
        <f>sum(D110:BG110)</f>
        <v/>
      </c>
    </row>
    <row r="112">
      <c r="A112" s="64" t="inlineStr">
        <is>
          <t>Total Expenses</t>
        </is>
      </c>
      <c r="D112" s="67">
        <f>sum(D29:D110)</f>
        <v/>
      </c>
      <c r="E112" s="67">
        <f>sum(E29:E110)</f>
        <v/>
      </c>
      <c r="F112" s="67">
        <f>sum(F29:F110)</f>
        <v/>
      </c>
      <c r="G112" s="67">
        <f>sum(G29:G110)</f>
        <v/>
      </c>
      <c r="H112" s="67">
        <f>sum(H29:H110)</f>
        <v/>
      </c>
      <c r="I112" s="67">
        <f>sum(I29:I110)</f>
        <v/>
      </c>
      <c r="J112" s="67">
        <f>sum(J29:J110)</f>
        <v/>
      </c>
      <c r="K112" s="67">
        <f>sum(K29:K110)</f>
        <v/>
      </c>
      <c r="L112" s="67">
        <f>sum(L29:L110)</f>
        <v/>
      </c>
      <c r="M112" s="67">
        <f>sum(M29:M110)</f>
        <v/>
      </c>
      <c r="N112" s="67">
        <f>sum(N29:N110)</f>
        <v/>
      </c>
      <c r="O112" s="67">
        <f>sum(O29:O110)</f>
        <v/>
      </c>
      <c r="P112" s="67">
        <f>sum(P29:P110)</f>
        <v/>
      </c>
      <c r="Q112" s="67">
        <f>sum(Q29:Q110)</f>
        <v/>
      </c>
      <c r="R112" s="67">
        <f>sum(R29:R110)</f>
        <v/>
      </c>
      <c r="S112" s="67">
        <f>sum(S29:S110)</f>
        <v/>
      </c>
      <c r="T112" s="67">
        <f>sum(T29:T110)</f>
        <v/>
      </c>
      <c r="U112" s="67">
        <f>sum(U29:U110)</f>
        <v/>
      </c>
      <c r="V112" s="67">
        <f>sum(V29:V110)</f>
        <v/>
      </c>
      <c r="W112" s="67">
        <f>sum(W29:W110)</f>
        <v/>
      </c>
      <c r="X112" s="67">
        <f>sum(X29:X110)</f>
        <v/>
      </c>
      <c r="Y112" s="67">
        <f>sum(Y29:Y110)</f>
        <v/>
      </c>
      <c r="Z112" s="67">
        <f>sum(Z29:Z110)</f>
        <v/>
      </c>
      <c r="AA112" s="67">
        <f>sum(AA29:AA110)</f>
        <v/>
      </c>
      <c r="AB112" s="67">
        <f>sum(AB29:AB110)</f>
        <v/>
      </c>
      <c r="AC112" s="67">
        <f>sum(AC29:AC110)</f>
        <v/>
      </c>
      <c r="AD112" s="67">
        <f>sum(AD29:AD110)</f>
        <v/>
      </c>
      <c r="AE112" s="67">
        <f>sum(AE29:AE110)</f>
        <v/>
      </c>
      <c r="AF112" s="67">
        <f>sum(AF29:AF110)</f>
        <v/>
      </c>
      <c r="AG112" s="67">
        <f>sum(AG29:AG110)</f>
        <v/>
      </c>
      <c r="AH112" s="67">
        <f>sum(AH29:AH110)</f>
        <v/>
      </c>
      <c r="AI112" s="67">
        <f>sum(AI29:AI110)</f>
        <v/>
      </c>
      <c r="AJ112" s="67">
        <f>sum(AJ29:AJ110)</f>
        <v/>
      </c>
      <c r="AK112" s="67">
        <f>sum(AK29:AK110)</f>
        <v/>
      </c>
      <c r="AL112" s="67">
        <f>sum(AL29:AL110)</f>
        <v/>
      </c>
      <c r="AM112" s="67">
        <f>sum(AM29:AM110)</f>
        <v/>
      </c>
      <c r="AN112" s="67">
        <f>sum(AN29:AN110)</f>
        <v/>
      </c>
      <c r="AO112" s="67">
        <f>sum(AO29:AO110)</f>
        <v/>
      </c>
      <c r="AP112" s="67">
        <f>sum(AP29:AP110)</f>
        <v/>
      </c>
      <c r="AQ112" s="67">
        <f>sum(AQ29:AQ110)</f>
        <v/>
      </c>
      <c r="AR112" s="67">
        <f>sum(AR29:AR110)</f>
        <v/>
      </c>
      <c r="AS112" s="67">
        <f>sum(AS29:AS110)</f>
        <v/>
      </c>
      <c r="AT112" s="67">
        <f>sum(AT29:AT110)</f>
        <v/>
      </c>
      <c r="AU112" s="67">
        <f>sum(AU29:AU110)</f>
        <v/>
      </c>
      <c r="AV112" s="67">
        <f>sum(AV29:AV110)</f>
        <v/>
      </c>
      <c r="AW112" s="67">
        <f>sum(AW29:AW110)</f>
        <v/>
      </c>
      <c r="AX112" s="67">
        <f>sum(AX29:AX110)</f>
        <v/>
      </c>
      <c r="AY112" s="67">
        <f>sum(AY29:AY110)</f>
        <v/>
      </c>
      <c r="AZ112" s="67">
        <f>sum(AZ29:AZ110)</f>
        <v/>
      </c>
      <c r="BA112" s="67">
        <f>sum(BA29:BA110)</f>
        <v/>
      </c>
      <c r="BB112" s="67">
        <f>sum(BB29:BB110)</f>
        <v/>
      </c>
      <c r="BC112" s="67">
        <f>sum(BC29:BC110)</f>
        <v/>
      </c>
      <c r="BD112" s="67">
        <f>sum(BD29:BD110)</f>
        <v/>
      </c>
      <c r="BE112" s="67">
        <f>sum(BE29:BE110)</f>
        <v/>
      </c>
      <c r="BF112" s="67">
        <f>sum(BF29:BF110)</f>
        <v/>
      </c>
      <c r="BG112" s="67">
        <f>sum(BG29:BG110)</f>
        <v/>
      </c>
      <c r="BH112" s="67">
        <f>sum(BH29:BH110)</f>
        <v/>
      </c>
      <c r="BI112" s="67">
        <f>sum(BI29:BI110)</f>
        <v/>
      </c>
    </row>
    <row r="115">
      <c r="A115" s="64" t="inlineStr">
        <is>
          <t>Net Profit</t>
        </is>
      </c>
      <c r="D115" s="67">
        <f>D25-D112</f>
        <v/>
      </c>
      <c r="E115" s="67">
        <f>E25-E112</f>
        <v/>
      </c>
      <c r="F115" s="67">
        <f>F25-F112</f>
        <v/>
      </c>
      <c r="G115" s="67">
        <f>G25-G112</f>
        <v/>
      </c>
      <c r="H115" s="67">
        <f>H25-H112</f>
        <v/>
      </c>
      <c r="I115" s="67">
        <f>I25-I112</f>
        <v/>
      </c>
      <c r="J115" s="67">
        <f>J25-J112</f>
        <v/>
      </c>
      <c r="K115" s="67">
        <f>K25-K112</f>
        <v/>
      </c>
      <c r="L115" s="67">
        <f>L25-L112</f>
        <v/>
      </c>
      <c r="M115" s="67">
        <f>M25-M112</f>
        <v/>
      </c>
      <c r="N115" s="67">
        <f>N25-N112</f>
        <v/>
      </c>
      <c r="O115" s="67">
        <f>O25-O112</f>
        <v/>
      </c>
      <c r="P115" s="67">
        <f>P25-P112</f>
        <v/>
      </c>
      <c r="Q115" s="67">
        <f>Q25-Q112</f>
        <v/>
      </c>
      <c r="R115" s="67">
        <f>R25-R112</f>
        <v/>
      </c>
      <c r="S115" s="67">
        <f>S25-S112</f>
        <v/>
      </c>
      <c r="T115" s="67">
        <f>T25-T112</f>
        <v/>
      </c>
      <c r="U115" s="67">
        <f>U25-U112</f>
        <v/>
      </c>
      <c r="V115" s="67">
        <f>V25-V112</f>
        <v/>
      </c>
      <c r="W115" s="67">
        <f>W25-W112</f>
        <v/>
      </c>
      <c r="X115" s="67">
        <f>X25-X112</f>
        <v/>
      </c>
      <c r="Y115" s="67">
        <f>Y25-Y112</f>
        <v/>
      </c>
      <c r="Z115" s="67">
        <f>Z25-Z112</f>
        <v/>
      </c>
      <c r="AA115" s="67">
        <f>AA25-AA112</f>
        <v/>
      </c>
      <c r="AB115" s="67">
        <f>AB25-AB112</f>
        <v/>
      </c>
      <c r="AC115" s="67">
        <f>AC25-AC112</f>
        <v/>
      </c>
      <c r="AD115" s="67">
        <f>AD25-AD112</f>
        <v/>
      </c>
      <c r="AE115" s="67">
        <f>AE25-AE112</f>
        <v/>
      </c>
      <c r="AF115" s="67">
        <f>AF25-AF112</f>
        <v/>
      </c>
      <c r="AG115" s="67">
        <f>AG25-AG112</f>
        <v/>
      </c>
      <c r="AH115" s="67">
        <f>AH25-AH112</f>
        <v/>
      </c>
      <c r="AI115" s="67">
        <f>AI25-AI112</f>
        <v/>
      </c>
      <c r="AJ115" s="67">
        <f>AJ25-AJ112</f>
        <v/>
      </c>
      <c r="AK115" s="67">
        <f>AK25-AK112</f>
        <v/>
      </c>
      <c r="AL115" s="67">
        <f>AL25-AL112</f>
        <v/>
      </c>
      <c r="AM115" s="67">
        <f>AM25-AM112</f>
        <v/>
      </c>
      <c r="AN115" s="67">
        <f>AN25-AN112</f>
        <v/>
      </c>
      <c r="AO115" s="67">
        <f>AO25-AO112</f>
        <v/>
      </c>
      <c r="AP115" s="67">
        <f>AP25-AP112</f>
        <v/>
      </c>
      <c r="AQ115" s="67">
        <f>AQ25-AQ112</f>
        <v/>
      </c>
      <c r="AR115" s="67">
        <f>AR25-AR112</f>
        <v/>
      </c>
      <c r="AS115" s="67">
        <f>AS25-AS112</f>
        <v/>
      </c>
      <c r="AT115" s="67">
        <f>AT25-AT112</f>
        <v/>
      </c>
      <c r="AU115" s="67">
        <f>AU25-AU112</f>
        <v/>
      </c>
      <c r="AV115" s="67">
        <f>AV25-AV112</f>
        <v/>
      </c>
      <c r="AW115" s="67">
        <f>AW25-AW112</f>
        <v/>
      </c>
      <c r="AX115" s="67">
        <f>AX25-AX112</f>
        <v/>
      </c>
      <c r="AY115" s="67">
        <f>AY25-AY112</f>
        <v/>
      </c>
      <c r="AZ115" s="67">
        <f>AZ25-AZ112</f>
        <v/>
      </c>
      <c r="BA115" s="67">
        <f>BA25-BA112</f>
        <v/>
      </c>
      <c r="BB115" s="67">
        <f>BB25-BB112</f>
        <v/>
      </c>
      <c r="BC115" s="67">
        <f>BC25-BC112</f>
        <v/>
      </c>
      <c r="BD115" s="67">
        <f>BD25-BD112</f>
        <v/>
      </c>
      <c r="BE115" s="67">
        <f>BE25-BE112</f>
        <v/>
      </c>
      <c r="BF115" s="67">
        <f>BF25-BF112</f>
        <v/>
      </c>
      <c r="BG115" s="67">
        <f>BG25-BG112</f>
        <v/>
      </c>
      <c r="BH115" s="67">
        <f>BH25-BH112</f>
        <v/>
      </c>
      <c r="BI115" s="67">
        <f>BI25-BI112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F204E"/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cols>
    <col width="60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70" t="inlineStr"/>
      <c r="B1" s="70" t="n"/>
      <c r="C1" s="70" t="n"/>
      <c r="D1" s="70" t="n"/>
      <c r="E1" s="71" t="inlineStr">
        <is>
          <t>C.3_d</t>
        </is>
      </c>
    </row>
    <row r="2">
      <c r="A2" s="72" t="inlineStr">
        <is>
          <t>NSST HERON PROJECT REPORT</t>
        </is>
      </c>
      <c r="B2" s="73" t="n"/>
      <c r="C2" s="73" t="n"/>
      <c r="D2" s="73" t="n"/>
      <c r="E2" s="74" t="n"/>
    </row>
    <row r="3">
      <c r="A3" s="75" t="inlineStr">
        <is>
          <t>Report Date</t>
        </is>
      </c>
      <c r="B3" s="76" t="n">
        <v>45382</v>
      </c>
      <c r="C3" s="73" t="n"/>
      <c r="D3" s="73" t="n"/>
      <c r="E3" s="74" t="n"/>
    </row>
    <row r="4">
      <c r="A4" s="75" t="inlineStr">
        <is>
          <t>Development</t>
        </is>
      </c>
      <c r="B4" s="77" t="inlineStr">
        <is>
          <t>Heron Fields and Heron View</t>
        </is>
      </c>
      <c r="C4" s="73" t="n"/>
      <c r="D4" s="73" t="n"/>
      <c r="E4" s="74" t="n"/>
    </row>
    <row r="5">
      <c r="A5" s="78" t="inlineStr">
        <is>
          <t>CAPITAL</t>
        </is>
      </c>
      <c r="B5" s="73" t="n"/>
      <c r="C5" s="73" t="n"/>
      <c r="D5" s="73" t="n"/>
      <c r="E5" s="74" t="n"/>
    </row>
    <row r="6">
      <c r="A6" s="75" t="inlineStr">
        <is>
          <t>Total Investment capital to be raised (Estimated)</t>
        </is>
      </c>
      <c r="B6" s="79" t="n">
        <v>236217976.39</v>
      </c>
      <c r="C6" s="73" t="n"/>
      <c r="D6" s="73" t="n"/>
      <c r="E6" s="74" t="n"/>
    </row>
    <row r="7">
      <c r="A7" s="75" t="inlineStr">
        <is>
          <t>Total Investment capital received</t>
        </is>
      </c>
      <c r="B7" s="79">
        <f>SUMIFS(Investors!$M:$M,Investors!$P:$P,FALSE,Investors!$I:$I,"&lt;="&amp;'NSST Print'!B3)</f>
        <v/>
      </c>
      <c r="C7" s="73" t="n"/>
      <c r="D7" s="73" t="n"/>
      <c r="E7" s="74" t="n"/>
    </row>
    <row r="8">
      <c r="A8" s="75" t="inlineStr">
        <is>
          <t>Total Funds Drawn Down into Development</t>
        </is>
      </c>
      <c r="B8" s="79">
        <f>SUMIFS(Investors!$M:$M,Investors!$J:$J,"&lt;="&amp;'NSST Print'!B3)</f>
        <v/>
      </c>
      <c r="C8" s="73" t="n"/>
      <c r="D8" s="73" t="n"/>
      <c r="E8" s="74" t="n"/>
    </row>
    <row r="9">
      <c r="A9" s="75" t="inlineStr">
        <is>
          <t>Momentum Investment Account</t>
        </is>
      </c>
      <c r="B9" s="79">
        <f>Dashboard!B13</f>
        <v/>
      </c>
      <c r="C9" s="73" t="n"/>
      <c r="D9" s="73" t="n"/>
      <c r="E9" s="74" t="n"/>
    </row>
    <row r="10" hidden="1">
      <c r="A10" s="75" t="inlineStr">
        <is>
          <t>Capital not Raised</t>
        </is>
      </c>
      <c r="B10" s="79">
        <f>B6-B7-B11</f>
        <v/>
      </c>
      <c r="C10" s="73" t="n"/>
      <c r="D10" s="73" t="n"/>
      <c r="E10" s="74" t="n"/>
    </row>
    <row r="11">
      <c r="A11" s="75" t="inlineStr">
        <is>
          <t>Available to be raised (Estimated)</t>
        </is>
      </c>
      <c r="B11" s="79">
        <f>SUMIFS(Opportunities!$E:$E,Opportunities!$D:$D,FALSE,Opportunities!$C:$C,FALSE)-SUMIFS(Opportunities!$H:$H,Opportunities!$D:$D,FALSE,Opportunities!$C:$C,FALSE)</f>
        <v/>
      </c>
      <c r="C11" s="73" t="n"/>
      <c r="D11" s="73" t="n"/>
      <c r="E11" s="74" t="n"/>
    </row>
    <row r="12">
      <c r="A12" s="75" t="inlineStr">
        <is>
          <t>Capital repaid</t>
        </is>
      </c>
      <c r="B12" s="79">
        <f>SUMIFS(Investors!$M:$M,Investors!$G:$G,TRUE,Investors!$K:$K,"&lt;="&amp;'NSST Print'!B3)-(SUMIFS(Investors!$M:$M,Investors!$G:$G,FALSE,Investors!$O:$O,TRUE,Investors!$K:$K,"&lt;="&amp;'NSST Print'!B3)-(SUMIFS(Investors!$M:$M,Investors!$I:$I,"&lt;="&amp;'NSST Print'!B3,Investors!$J:$J,"&gt;"&amp;'NSST Print'!B3)+SUMIFS(Investors!$M:$M,Investors!$I:$I,"&lt;="&amp;'NSST Print'!B3,Investors!$J:$J,"")))</f>
        <v/>
      </c>
      <c r="C12" s="73" t="n"/>
      <c r="D12" s="73" t="n"/>
      <c r="E12" s="74" t="n"/>
    </row>
    <row r="13">
      <c r="A13" s="75" t="inlineStr">
        <is>
          <t>Current Investor Capital deployed</t>
        </is>
      </c>
      <c r="B13" s="79">
        <f>SUMIFS(Investors!$M:$M,Investors!$O:$O,FALSE,Investors!$P:$P,FALSE,Investors!$K:$K,"&gt;"&amp;'NSST Print'!$B$3,Investors!$I:$I,"&lt;="&amp;'NSST Print'!$B$3)-(SUMIFS(Investors!$M:$M,Investors!$I:$I,"&lt;="&amp;'NSST Print'!B3,Investors!$J:$J,"&gt;"&amp;'NSST Print'!B3)+SUMIFS(Investors!$M:$M,Investors!$I:$I,"&lt;="&amp;'NSST Print'!B3,Investors!$J:$J,""))</f>
        <v/>
      </c>
      <c r="C13" s="73" t="n"/>
      <c r="D13" s="73" t="n"/>
      <c r="E13" s="74" t="n"/>
    </row>
    <row r="14">
      <c r="A14" s="78" t="inlineStr">
        <is>
          <t>INVESTMENTS</t>
        </is>
      </c>
      <c r="B14" s="73" t="n"/>
      <c r="C14" s="73" t="n"/>
      <c r="D14" s="73" t="n"/>
      <c r="E14" s="74" t="n"/>
    </row>
    <row r="15">
      <c r="A15" s="75" t="inlineStr">
        <is>
          <t>No. of Capital Investments received</t>
        </is>
      </c>
      <c r="B15" s="77">
        <f>COUNTIFS(Investors!$G:$G,FALSE)+COUNTIFS(Investors!$G:$G,TRUE)</f>
        <v/>
      </c>
      <c r="C15" s="73" t="n"/>
      <c r="D15" s="73" t="n"/>
      <c r="E15" s="74" t="n"/>
    </row>
    <row r="16">
      <c r="A16" s="75" t="inlineStr">
        <is>
          <t>No. Investments exited to date</t>
        </is>
      </c>
      <c r="B16" s="77">
        <f>COUNTIFS(Investors!$G:$G,TRUE)+COUNTIFS(Investors!$G:$G,FALSE,Investors!$O:$O,TRUE,Investors!$P:$P,FALSE)</f>
        <v/>
      </c>
      <c r="C16" s="73" t="n"/>
      <c r="D16" s="73" t="n"/>
      <c r="E16" s="74" t="n"/>
    </row>
    <row r="17">
      <c r="A17" s="75" t="inlineStr">
        <is>
          <t>No. Investments still in Development</t>
        </is>
      </c>
      <c r="B17" s="77">
        <f>B15-B16</f>
        <v/>
      </c>
      <c r="C17" s="73" t="n"/>
      <c r="D17" s="73" t="n"/>
      <c r="E17" s="74" t="n"/>
    </row>
    <row r="18">
      <c r="A18" s="78" t="inlineStr">
        <is>
          <t>SALES INCOME</t>
        </is>
      </c>
      <c r="B18" s="73" t="n"/>
      <c r="C18" s="73" t="n"/>
      <c r="D18" s="73" t="n"/>
      <c r="E18" s="74" t="n"/>
    </row>
    <row r="19">
      <c r="A19" s="75" t="inlineStr"/>
      <c r="B19" s="79" t="inlineStr">
        <is>
          <t>Total</t>
        </is>
      </c>
      <c r="C19" s="79" t="inlineStr">
        <is>
          <t>Transferred</t>
        </is>
      </c>
      <c r="D19" s="79" t="inlineStr">
        <is>
          <t>Sold</t>
        </is>
      </c>
      <c r="E19" s="79" t="inlineStr">
        <is>
          <t>Remaining</t>
        </is>
      </c>
    </row>
    <row r="20">
      <c r="A20" s="75" t="inlineStr">
        <is>
          <t>Units</t>
        </is>
      </c>
      <c r="B20" s="77">
        <f>COUNTIFS(Sales!$E:$E,TRUE,Sales!$A:$A,"&lt;&gt;"&amp;"Endulini")+COUNTIFS(Sales!$E:$E,FALSE,Sales!$A:$A,"&lt;&gt;"&amp;"Endulini")</f>
        <v/>
      </c>
      <c r="C20" s="77">
        <f>COUNTIFS(Sales!$E:$E,TRUE,Sales!$A:$A,"&lt;&gt;"&amp;"Endulini")</f>
        <v/>
      </c>
      <c r="D20" s="77">
        <f>COUNTIFS(Sales!$E:$E,FALSE,Sales!$D:$D,TRUE,Sales!$A:$A,"&lt;&gt;"&amp;"Endulini")</f>
        <v/>
      </c>
      <c r="E20" s="77">
        <f>COUNTIFS(Sales!$E:$E,FALSE,Sales!$D:$D,FALSE,Sales!$A:$A,"&lt;&gt;"&amp;"Endulini")</f>
        <v/>
      </c>
    </row>
    <row r="21">
      <c r="A21" s="75" t="inlineStr">
        <is>
          <t>Sales Income</t>
        </is>
      </c>
      <c r="B21" s="80">
        <f>SUMIFS(Sales!$K:$K,Sales!$A:$A,"&lt;&gt;"&amp;"Endulini",Sales!$D:$D,TRUE)+SUMIFS(Sales!$K:$K,Sales!$A:$A,"&lt;&gt;"&amp;"Endulini",Sales!$D:$D,FALSE)+C46</f>
        <v/>
      </c>
      <c r="C21" s="80">
        <f>SUMIFS(Sales!$K:$K,Sales!$E:$E,TRUE,Sales!$A:$A,"&lt;&gt;"&amp;"Endulini")</f>
        <v/>
      </c>
      <c r="D21" s="80">
        <f>SUMIFS(Sales!$K:$K,Sales!$E:$E,FALSE,Sales!$D:$D,TRUE,Sales!$A:$A,"&lt;&gt;"&amp;"Endulini")</f>
        <v/>
      </c>
      <c r="E21" s="80">
        <f>SUMIFS(Sales!$K:$K,Sales!$E:$E,FALSE,Sales!$D:$D,FALSE,Sales!$A:$A,"&lt;&gt;"&amp;"Endulini")+C46</f>
        <v/>
      </c>
    </row>
    <row r="22">
      <c r="A22" s="75" t="inlineStr">
        <is>
          <t>Commission</t>
        </is>
      </c>
      <c r="B22" s="80">
        <f>(SUMIFS(Sales!$O:$O,Sales!$A:$A,"&lt;&gt;"&amp;"Endulini",Sales!$D:$D,TRUE)+SUMIFS(Sales!$O:$O,Sales!$A:$A,"&lt;&gt;"&amp;"Endulini",Sales!$D:$D,FALSE))/1.15-C52</f>
        <v/>
      </c>
      <c r="C22" s="80">
        <f>SUMIFS(Sales!$O:$O,Sales!$E:$E,TRUE,Sales!$A:$A,"&lt;&gt;"&amp;"Endulini")/1.15</f>
        <v/>
      </c>
      <c r="D22" s="80">
        <f>SUMIFS(Sales!$O:$O,Sales!$E:$E,FALSE,Sales!$D:$D,TRUE,Sales!$A:$A,"&lt;&gt;"&amp;"Endulini")/1.15</f>
        <v/>
      </c>
      <c r="E22" s="80">
        <f>SUMIFS(Sales!$O:$O,Sales!$E:$E,FALSE,Sales!$D:$D,FALSE,Sales!$A:$A,"&lt;&gt;"&amp;"Endulini")/1.15-C52</f>
        <v/>
      </c>
    </row>
    <row r="23">
      <c r="A23" s="75" t="inlineStr">
        <is>
          <t>Transfer Fees</t>
        </is>
      </c>
      <c r="B23" s="80">
        <f>SUMIFS(Sales!$L:$L,Sales!$A:$A,"&lt;&gt;"&amp;"Endulini",Sales!$D:$D,TRUE)+SUMIFS(Sales!$L:$L,Sales!$A:$A,"&lt;&gt;"&amp;"Endulini",Sales!$D:$D,FALSE)</f>
        <v/>
      </c>
      <c r="C23" s="80">
        <f>SUMIFS(Sales!$L:$L,Sales!$E:$E,TRUE,Sales!$A:$A,"&lt;&gt;"&amp;"Endulini")</f>
        <v/>
      </c>
      <c r="D23" s="80">
        <f>SUMIFS(Sales!$L:$L,Sales!$E:$E,FALSE,Sales!$D:$D,TRUE,Sales!$A:$A,"&lt;&gt;"&amp;"Endulini")</f>
        <v/>
      </c>
      <c r="E23" s="80">
        <f>SUMIFS(Sales!$L:$L,Sales!$E:$E,FALSE,Sales!$D:$D,FALSE,Sales!$A:$A,"&lt;&gt;"&amp;"Endulini")</f>
        <v/>
      </c>
    </row>
    <row r="24">
      <c r="A24" s="75" t="inlineStr">
        <is>
          <t>Bond Registration</t>
        </is>
      </c>
      <c r="B24" s="80">
        <f>SUMIFS(Sales!$P:$P,Sales!$A:$A,"&lt;&gt;"&amp;"Endulini",Sales!$D:$D,TRUE)+SUMIFS(Sales!$P:$P,Sales!$A:$A,"&lt;&gt;"&amp;"Endulini",Sales!$D:$D,FALSE)</f>
        <v/>
      </c>
      <c r="C24" s="80">
        <f>SUMIFS(Sales!$P:$P,Sales!$E:$E,TRUE,Sales!$A:$A,"&lt;&gt;"&amp;"Endulini")</f>
        <v/>
      </c>
      <c r="D24" s="80">
        <f>SUMIFS(Sales!$P:$P,Sales!$E:$E,FALSE,Sales!$D:$D,TRUE,Sales!$A:$A,"&lt;&gt;"&amp;"Endulini")</f>
        <v/>
      </c>
      <c r="E24" s="80">
        <f>SUMIFS(Sales!$P:$P,Sales!$E:$E,FALSE,Sales!$D:$D,FALSE,Sales!$A:$A,"&lt;&gt;"&amp;"Endulini")</f>
        <v/>
      </c>
    </row>
    <row r="25">
      <c r="A25" s="75" t="inlineStr">
        <is>
          <t>Security Release Fee</t>
        </is>
      </c>
      <c r="B25" s="80">
        <f>SUMIFS(Sales!$M:$M,Sales!$A:$A,"&lt;&gt;"&amp;"Endulini",Sales!$D:$D,TRUE)+SUMIFS(Sales!$M:$M,Sales!$A:$A,"&lt;&gt;"&amp;"Endulini",Sales!$D:$D,FALSE)</f>
        <v/>
      </c>
      <c r="C25" s="80">
        <f>SUMIFS(Sales!$M:$M,Sales!$E:$E,TRUE,Sales!$A:$A,"&lt;&gt;"&amp;"Endulini")</f>
        <v/>
      </c>
      <c r="D25" s="80">
        <f>SUMIFS(Sales!$M:$M,Sales!$E:$E,FALSE,Sales!$D:$D,TRUE,Sales!$A:$A,"&lt;&gt;"&amp;"Endulini")</f>
        <v/>
      </c>
      <c r="E25" s="80">
        <f>SUMIFS(Sales!$M:$M,Sales!$E:$E,FALSE,Sales!$D:$D,FALSE,Sales!$A:$A,"&lt;&gt;"&amp;"Endulini")</f>
        <v/>
      </c>
    </row>
    <row r="26">
      <c r="A26" s="75" t="inlineStr">
        <is>
          <t>Unforseen (0.05%)</t>
        </is>
      </c>
      <c r="B26" s="80">
        <f>SUMIFS(Sales!$N:$N,Sales!$A:$A,"&lt;&gt;"&amp;"Endulini",Sales!$D:$D,TRUE)+SUMIFS(Sales!$N:$N,Sales!$A:$A,"&lt;&gt;"&amp;"Endulini",Sales!$D:$D,FALSE)-C53</f>
        <v/>
      </c>
      <c r="C26" s="80">
        <f>SUMIFS(Sales!$N:$N,Sales!$E:$E,TRUE,Sales!$A:$A,"&lt;&gt;"&amp;"Endulini")</f>
        <v/>
      </c>
      <c r="D26" s="80">
        <f>SUMIFS(Sales!$N:$N,Sales!$E:$E,FALSE,Sales!$D:$D,TRUE,Sales!$A:$A,"&lt;&gt;"&amp;"Endulini")</f>
        <v/>
      </c>
      <c r="E26" s="80">
        <f>SUMIFS(Sales!$N:$N,Sales!$E:$E,FALSE,Sales!$D:$D,FALSE,Sales!$A:$A,"&lt;&gt;"&amp;"Endulini")-C53</f>
        <v/>
      </c>
    </row>
    <row r="27">
      <c r="A27" s="75" t="inlineStr">
        <is>
          <t>Transfer Income</t>
        </is>
      </c>
      <c r="B27" s="80">
        <f>B21-SUM(B22:B26)</f>
        <v/>
      </c>
      <c r="C27" s="80">
        <f>C21-SUM(C22:C26)</f>
        <v/>
      </c>
      <c r="D27" s="80">
        <f>D21-SUM(D22:D26)</f>
        <v/>
      </c>
      <c r="E27" s="80">
        <f>E21-SUM(E22:E26)</f>
        <v/>
      </c>
    </row>
    <row r="28">
      <c r="A28" s="78" t="inlineStr">
        <is>
          <t>INTEREST</t>
        </is>
      </c>
      <c r="B28" s="73" t="n"/>
      <c r="C28" s="73" t="n"/>
      <c r="D28" s="73" t="n"/>
      <c r="E28" s="74" t="n"/>
    </row>
    <row r="29">
      <c r="A29" s="75" t="inlineStr">
        <is>
          <t>Total Estimated Interest</t>
        </is>
      </c>
      <c r="B29" s="79">
        <f>SUMIFS(Investors!$S:$S,Investors!$G:$G,FALSE)+SUMIFS(Investors!$S:$S,Investors!$G:$G,TRUE)</f>
        <v/>
      </c>
      <c r="C29" s="73" t="n"/>
      <c r="D29" s="73" t="n"/>
      <c r="E29" s="74" t="n"/>
    </row>
    <row r="30">
      <c r="A30" s="75" t="inlineStr">
        <is>
          <t>Interest Paid to Date</t>
        </is>
      </c>
      <c r="B30" s="79">
        <f>SUMIFS(Investors!$S:$S,Investors!$G:$G,TRUE)+SUMIFS(Investors!$S:$S,Investors!$G:$G,FALSE,Investors!$O:$O,TRUE)</f>
        <v/>
      </c>
      <c r="C30" s="73" t="n"/>
      <c r="D30" s="73" t="n"/>
      <c r="E30" s="74" t="n"/>
    </row>
    <row r="31" hidden="1">
      <c r="A31" s="75" t="inlineStr">
        <is>
          <t>Remaining Interest to Exit</t>
        </is>
      </c>
      <c r="B31" s="79">
        <f>B29-B30</f>
        <v/>
      </c>
      <c r="C31" s="73" t="n"/>
      <c r="D31" s="73" t="n"/>
      <c r="E31" s="74" t="n"/>
    </row>
    <row r="32" hidden="1">
      <c r="A32" s="75" t="inlineStr">
        <is>
          <t>Interest Due to date</t>
        </is>
      </c>
      <c r="B32" s="79">
        <f>SUMIFS(Investors!$T:$T,Investors!$G:$G,FALSE,Investors!$O:$O,FALSE)+SUMIFS(Investors!$Q:$Q,Investors!$G:$G,FALSE,Investors!$O:$O,FALSE)</f>
        <v/>
      </c>
      <c r="C32" s="73" t="n"/>
      <c r="D32" s="73" t="n"/>
      <c r="E32" s="74" t="n"/>
    </row>
    <row r="33" hidden="1">
      <c r="A33" s="75" t="inlineStr">
        <is>
          <t>Interest Due to be Earned to Exit</t>
        </is>
      </c>
      <c r="B33" s="79">
        <f>B31-B32</f>
        <v/>
      </c>
      <c r="C33" s="73" t="n"/>
      <c r="D33" s="73" t="n"/>
      <c r="E33" s="74" t="n"/>
    </row>
    <row r="34">
      <c r="A34" s="78" t="inlineStr">
        <is>
          <t>FUNDING AVAILABLE</t>
        </is>
      </c>
      <c r="B34" s="73" t="n"/>
      <c r="C34" s="73" t="n"/>
      <c r="D34" s="73" t="n"/>
      <c r="E34" s="74" t="n"/>
    </row>
    <row r="35">
      <c r="A35" s="75" t="inlineStr">
        <is>
          <t>Total Draw funds available</t>
        </is>
      </c>
      <c r="B35" s="79">
        <f>Dashboard!B20</f>
        <v/>
      </c>
      <c r="C35" s="73" t="n"/>
      <c r="D35" s="73" t="n"/>
      <c r="E35" s="74" t="n"/>
    </row>
    <row r="36">
      <c r="A36" s="75" t="inlineStr">
        <is>
          <t>Projected Heron Projects Income</t>
        </is>
      </c>
      <c r="B36" s="79">
        <f>Dashboard!B11+C46</f>
        <v/>
      </c>
      <c r="C36" s="73" t="n"/>
      <c r="D36" s="73" t="n"/>
      <c r="E36" s="74" t="n"/>
    </row>
    <row r="37">
      <c r="A37" s="75" t="inlineStr">
        <is>
          <t>Total Current Funds Available</t>
        </is>
      </c>
      <c r="B37" s="79">
        <f>B35+B36</f>
        <v/>
      </c>
      <c r="C37" s="73" t="n"/>
      <c r="D37" s="73" t="n"/>
      <c r="E37" s="74" t="n"/>
    </row>
    <row r="38">
      <c r="A38" s="75" t="inlineStr">
        <is>
          <t>Current Construction Cost</t>
        </is>
      </c>
      <c r="B38" s="79">
        <f>-Dashboard!B28+C47+C48+C49+C50+C51</f>
        <v/>
      </c>
      <c r="C38" s="73" t="n"/>
      <c r="D38" s="73" t="n"/>
      <c r="E38" s="74" t="n"/>
    </row>
    <row r="39">
      <c r="A39" s="75" t="inlineStr">
        <is>
          <t>Total funds (required)/Surplus</t>
        </is>
      </c>
      <c r="B39" s="79">
        <f>B37-B38</f>
        <v/>
      </c>
      <c r="C39" s="73" t="n"/>
      <c r="D39" s="73" t="n"/>
      <c r="E39" s="74" t="n"/>
    </row>
    <row r="40">
      <c r="A40" s="78" t="inlineStr">
        <is>
          <t>PROJECTED PROFIT</t>
        </is>
      </c>
      <c r="B40" s="73" t="n"/>
      <c r="C40" s="73" t="n"/>
      <c r="D40" s="73" t="n"/>
      <c r="E40" s="74" t="n"/>
    </row>
    <row r="41">
      <c r="A41" s="75" t="inlineStr">
        <is>
          <t>Projected Nett Revenue</t>
        </is>
      </c>
      <c r="B41" s="79">
        <f>+B21+SUM(B56:B63)</f>
        <v/>
      </c>
      <c r="C41" s="73" t="n"/>
      <c r="D41" s="73" t="n"/>
      <c r="E41" s="74" t="n"/>
    </row>
    <row r="42">
      <c r="A42" s="75" t="inlineStr">
        <is>
          <t>Other Income (interest received)</t>
        </is>
      </c>
      <c r="B42" s="79">
        <f>-SUMIFS(Xero!$F:$F,Xero!$E:$E,"Interest Received - Momentum")</f>
        <v/>
      </c>
      <c r="C42" s="73" t="n"/>
      <c r="D42" s="73" t="n"/>
      <c r="E42" s="74" t="n"/>
    </row>
    <row r="43">
      <c r="A43" s="75" t="inlineStr">
        <is>
          <t>Total Estimated Development and Sales Costs</t>
        </is>
      </c>
      <c r="B43" s="79">
        <f>+B78-C47-C48-C49-C50+SUM(D22:E26)</f>
        <v/>
      </c>
      <c r="C43" s="73" t="n"/>
      <c r="D43" s="73" t="n"/>
      <c r="E43" s="74" t="n"/>
    </row>
    <row r="44">
      <c r="A44" s="75" t="inlineStr">
        <is>
          <t>Interest Expense</t>
        </is>
      </c>
      <c r="B44" s="79">
        <f>B29-B30-C51</f>
        <v/>
      </c>
      <c r="C44" s="73" t="n"/>
      <c r="D44" s="73" t="n"/>
      <c r="E44" s="74" t="n"/>
    </row>
    <row r="45">
      <c r="A45" s="75" t="inlineStr">
        <is>
          <t>Profit</t>
        </is>
      </c>
      <c r="B45" s="79">
        <f>B41+B42-B43-B44</f>
        <v/>
      </c>
      <c r="C45" s="73" t="n"/>
      <c r="D45" s="73" t="n"/>
      <c r="E45" s="74" t="n"/>
    </row>
    <row r="46">
      <c r="A46" s="70" t="inlineStr">
        <is>
          <t>Sales Increase</t>
        </is>
      </c>
      <c r="B46" s="81" t="n">
        <v>0</v>
      </c>
      <c r="C46" s="82">
        <f>SUMIFS(Sales!$K:$K,Sales!$E:$E,FALSE,Sales!$D:$D,FALSE,Sales!$A:$A,"&lt;&gt;"&amp;"Endulini")*B46</f>
        <v/>
      </c>
      <c r="D46" s="82" t="inlineStr"/>
      <c r="E46" s="82">
        <f>C46/$E$20</f>
        <v/>
      </c>
    </row>
    <row r="47">
      <c r="A47" s="70" t="inlineStr">
        <is>
          <t>CPC Construction</t>
        </is>
      </c>
      <c r="B47" s="81" t="n">
        <v>0</v>
      </c>
      <c r="C47" s="82">
        <f>SUMIFS('Updated Construction'!$F:$F,'Updated Construction'!$D:$D,FALSE)*B47</f>
        <v/>
      </c>
      <c r="D47" s="82">
        <f>SUMIFS('Updated Construction'!$F:$F,'Updated Construction'!$D:$D,FALSE)-C47</f>
        <v/>
      </c>
      <c r="E47" s="82">
        <f>C47/$E$20</f>
        <v/>
      </c>
    </row>
    <row r="48">
      <c r="A48" s="70" t="inlineStr">
        <is>
          <t>Rent Salaries and wages</t>
        </is>
      </c>
      <c r="B48" s="83" t="n">
        <v>0</v>
      </c>
      <c r="C48" s="82">
        <f>400000*B48</f>
        <v/>
      </c>
      <c r="D48" s="82">
        <f>SUMIFS('Other Costs'!$D:$D,'Other Costs'!$A:$A,'NSST Print'!$A48,'Other Costs'!$C:$C,"&gt;"&amp;'NSST Print'!$B$3)-C48</f>
        <v/>
      </c>
      <c r="E48" s="82">
        <f>C48/$E$20</f>
        <v/>
      </c>
    </row>
    <row r="49">
      <c r="A49" s="70" t="inlineStr">
        <is>
          <t>CPSD</t>
        </is>
      </c>
      <c r="B49" s="81" t="n">
        <v>0</v>
      </c>
      <c r="C49" s="82">
        <f>SUMIFS('Other Costs'!$D:$D,'Other Costs'!$A:$A,'NSST Print'!$A49,'Other Costs'!$C:$C,"&gt;"&amp;'NSST Print'!$B$3)*B49</f>
        <v/>
      </c>
      <c r="D49" s="82">
        <f>SUMIFS('Other Costs'!$D:$D,'Other Costs'!$A:$A,'NSST Print'!$A49,'Other Costs'!$C:$C,"&gt;"&amp;'NSST Print'!$B$3)-C49</f>
        <v/>
      </c>
      <c r="E49" s="82">
        <f>C49/$E$20</f>
        <v/>
      </c>
    </row>
    <row r="50">
      <c r="A50" s="70" t="inlineStr">
        <is>
          <t>OppInvest</t>
        </is>
      </c>
      <c r="B50" s="81" t="n">
        <v>0</v>
      </c>
      <c r="C50" s="82">
        <f>SUMIFS('Other Costs'!$D:$D,'Other Costs'!$A:$A,'NSST Print'!$A75,'Other Costs'!$C:$C,"&gt;"&amp;'NSST Print'!$B$3)*B50</f>
        <v/>
      </c>
      <c r="D50" s="82">
        <f>SUMIFS('Other Costs'!$D:$D,'Other Costs'!$A:$A,'NSST Print'!$A75,'Other Costs'!$C:$C,"&gt;"&amp;'NSST Print'!$B$3)-C50</f>
        <v/>
      </c>
      <c r="E50" s="82">
        <f>C50/$E$20</f>
        <v/>
      </c>
    </row>
    <row r="51">
      <c r="A51" s="70" t="inlineStr">
        <is>
          <t>investor interest</t>
        </is>
      </c>
      <c r="B51" s="81" t="n">
        <v>0</v>
      </c>
      <c r="C51" s="82">
        <f>(B29-B30)*B51</f>
        <v/>
      </c>
      <c r="D51" s="82">
        <f>(B29-B30)-C51</f>
        <v/>
      </c>
      <c r="E51" s="82">
        <f>C51/$E$20</f>
        <v/>
      </c>
    </row>
    <row r="52">
      <c r="A52" s="70" t="inlineStr">
        <is>
          <t>Commissions</t>
        </is>
      </c>
      <c r="B52" s="81" t="n">
        <v>0</v>
      </c>
      <c r="C52" s="82">
        <f>SUMIFS(Sales!$O:$O,Sales!$E:$E,FALSE,Sales!$D:$D,FALSE,Sales!$A:$A,"&lt;&gt;"&amp;"Endulini")/1.15*B52</f>
        <v/>
      </c>
      <c r="D52" s="82">
        <f>SUMIFS(Sales!$O:$O,Sales!$E:$E,FALSE,Sales!$D:$D,FALSE,Sales!$A:$A,"&lt;&gt;"&amp;"Endulini")/1.15-C52</f>
        <v/>
      </c>
      <c r="E52" s="82">
        <f>C52/$E$20</f>
        <v/>
      </c>
    </row>
    <row r="53">
      <c r="A53" s="70" t="inlineStr">
        <is>
          <t>Unforseen</t>
        </is>
      </c>
      <c r="B53" s="81" t="n">
        <v>0</v>
      </c>
      <c r="C53" s="82">
        <f>SUMIFS(Sales!$N:$N,Sales!$E:$E,FALSE,Sales!$D:$D,FALSE,Sales!$A:$A,"&lt;&gt;"&amp;"Endulini")*B53</f>
        <v/>
      </c>
      <c r="D53" s="82">
        <f>SUMIFS(Sales!$N:$N,Sales!$E:$E,FALSE,Sales!$D:$D,FALSE,Sales!$A:$A,"&lt;&gt;"&amp;"Endulini")-C53</f>
        <v/>
      </c>
      <c r="E53" s="82">
        <f>C53/$E$20</f>
        <v/>
      </c>
    </row>
    <row r="54">
      <c r="A54" s="70" t="n"/>
      <c r="B54" s="82" t="n"/>
      <c r="C54" s="82" t="n"/>
      <c r="D54" s="82" t="n"/>
      <c r="E54" s="82" t="n"/>
    </row>
    <row r="55">
      <c r="A55" s="70" t="n"/>
      <c r="B55" s="82" t="n"/>
      <c r="C55" s="82" t="n"/>
      <c r="D55" s="82" t="n"/>
      <c r="E55" s="82" t="n"/>
    </row>
    <row r="56">
      <c r="A56" s="70" t="inlineStr">
        <is>
          <t>Rental Income</t>
        </is>
      </c>
      <c r="B56" s="82">
        <f>-SUMIFS(Xero!$F:$F,Xero!$E:$E,'NSST Print'!$A56)</f>
        <v/>
      </c>
      <c r="C56" s="82" t="n"/>
      <c r="D56" s="82" t="n"/>
      <c r="E56" s="82" t="n"/>
    </row>
    <row r="57">
      <c r="A57" s="70" t="inlineStr">
        <is>
          <t>Sales - Heron Fields occupational rent</t>
        </is>
      </c>
      <c r="B57" s="82">
        <f>-SUMIFS(Xero!$F:$F,Xero!$E:$E,'NSST Print'!$A57)</f>
        <v/>
      </c>
      <c r="C57" s="82" t="n"/>
      <c r="D57" s="82" t="n"/>
      <c r="E57" s="82" t="n"/>
    </row>
    <row r="58">
      <c r="A58" s="70" t="inlineStr">
        <is>
          <t>Sales - Heron View Occupational Rent</t>
        </is>
      </c>
      <c r="B58" s="82">
        <f>-SUMIFS(Xero!$F:$F,Xero!$E:$E,'NSST Print'!$A58)</f>
        <v/>
      </c>
      <c r="C58" s="82" t="n"/>
      <c r="D58" s="82" t="n"/>
      <c r="E58" s="82" t="n"/>
    </row>
    <row r="59">
      <c r="A59" s="70" t="inlineStr">
        <is>
          <t>Bond Origination</t>
        </is>
      </c>
      <c r="B59" s="82">
        <f>-SUMIFS(Xero!$F:$F,Xero!$E:$E,'NSST Print'!$A59)</f>
        <v/>
      </c>
      <c r="C59" s="82" t="n"/>
      <c r="D59" s="82" t="n"/>
      <c r="E59" s="82" t="n"/>
    </row>
    <row r="60">
      <c r="A60" s="70" t="inlineStr">
        <is>
          <t>Interest Received - Deposit Grey Heron</t>
        </is>
      </c>
      <c r="B60" s="82">
        <f>-SUMIFS(Xero!$F:$F,Xero!$E:$E,'NSST Print'!$A60)</f>
        <v/>
      </c>
      <c r="C60" s="82" t="n"/>
      <c r="D60" s="82" t="n"/>
      <c r="E60" s="82" t="n"/>
    </row>
    <row r="61">
      <c r="A61" s="70" t="inlineStr">
        <is>
          <t>Interest Received - Deposits</t>
        </is>
      </c>
      <c r="B61" s="82">
        <f>-SUMIFS(Xero!$F:$F,Xero!$E:$E,'NSST Print'!$A61)</f>
        <v/>
      </c>
      <c r="C61" s="82" t="n"/>
      <c r="D61" s="82" t="n"/>
      <c r="E61" s="82" t="n"/>
    </row>
    <row r="62">
      <c r="A62" s="70" t="inlineStr">
        <is>
          <t>Interest Received - STBB Trust Account</t>
        </is>
      </c>
      <c r="B62" s="82">
        <f>-SUMIFS(Xero!$F:$F,Xero!$E:$E,'NSST Print'!$A62)</f>
        <v/>
      </c>
      <c r="C62" s="82" t="n"/>
      <c r="D62" s="82" t="n"/>
      <c r="E62" s="82" t="n"/>
    </row>
    <row r="63">
      <c r="A63" s="70" t="inlineStr">
        <is>
          <t>Revaluation of Land (Not Incl)</t>
        </is>
      </c>
      <c r="B63" s="82">
        <f>-SUMIFS(Xero!$F:$F,Xero!$E:$E,'NSST Print'!$A63)</f>
        <v/>
      </c>
      <c r="C63" s="82" t="n"/>
      <c r="D63" s="82" t="n"/>
      <c r="E63" s="82" t="n"/>
    </row>
    <row r="64">
      <c r="A64" s="70" t="n"/>
      <c r="B64" s="82" t="n"/>
      <c r="C64" s="82" t="n"/>
      <c r="D64" s="82" t="n"/>
      <c r="E64" s="82" t="n"/>
    </row>
    <row r="65">
      <c r="A65" s="70" t="n"/>
      <c r="B65" s="82" t="n"/>
      <c r="C65" s="82" t="n"/>
      <c r="D65" s="82" t="n"/>
      <c r="E65" s="82" t="n"/>
    </row>
    <row r="66">
      <c r="A66" s="70" t="inlineStr">
        <is>
          <t>Costs</t>
        </is>
      </c>
      <c r="B66" s="82">
        <f>SUMIFS(Xero!$F:$F,Xero!$C:$C,"Expenses",Xero!$A:$A,"&lt;&gt;"&amp;Heron!$A$6)</f>
        <v/>
      </c>
      <c r="C66" s="82" t="n"/>
      <c r="D66" s="82" t="n"/>
      <c r="E66" s="82" t="n"/>
    </row>
    <row r="67">
      <c r="A67" s="70" t="inlineStr">
        <is>
          <t>Heron View Land</t>
        </is>
      </c>
      <c r="B67" s="82">
        <f>SUMIFS(Xero!$F:$F,Xero!$E:$E,'NSST Print'!$A67)</f>
        <v/>
      </c>
      <c r="C67" s="82" t="n"/>
      <c r="D67" s="82" t="n"/>
      <c r="E67" s="82" t="n"/>
    </row>
    <row r="68">
      <c r="A68" s="70" t="inlineStr">
        <is>
          <t>COS - Heron Fields - Construction</t>
        </is>
      </c>
      <c r="B68" s="82">
        <f>SUMIFS(Xero!$F:$F,Xero!$E:$E,'NSST Print'!$A68)</f>
        <v/>
      </c>
      <c r="C68" s="82" t="n"/>
      <c r="D68" s="82" t="n"/>
      <c r="E68" s="82" t="n"/>
    </row>
    <row r="69">
      <c r="A69" s="70" t="inlineStr">
        <is>
          <t>COS - Heron Fields - P &amp; G</t>
        </is>
      </c>
      <c r="B69" s="82">
        <f>SUMIFS(Xero!$F:$F,Xero!$E:$E,'NSST Print'!$A69)</f>
        <v/>
      </c>
      <c r="C69" s="82" t="n"/>
      <c r="D69" s="82" t="n"/>
      <c r="E69" s="82" t="n"/>
    </row>
    <row r="70">
      <c r="A70" s="70" t="inlineStr">
        <is>
          <t>COS - Heron Fields - Printing &amp; Stationary</t>
        </is>
      </c>
      <c r="B70" s="82">
        <f>SUMIFS(Xero!$F:$F,Xero!$E:$E,'NSST Print'!$A70)</f>
        <v/>
      </c>
      <c r="C70" s="82" t="n"/>
      <c r="D70" s="82" t="n"/>
      <c r="E70" s="82" t="n"/>
    </row>
    <row r="71">
      <c r="A71" s="70" t="inlineStr">
        <is>
          <t>COS - Heron View - Construction</t>
        </is>
      </c>
      <c r="B71" s="82">
        <f>SUMIFS(Xero!$F:$F,Xero!$E:$E,'NSST Print'!$A71)+SUMIFS('Updated Construction'!$F:$F,'Updated Construction'!$D:$D,FALSE)</f>
        <v/>
      </c>
      <c r="C71" s="82" t="n"/>
      <c r="D71" s="82" t="n"/>
      <c r="E71" s="82" t="n"/>
    </row>
    <row r="72">
      <c r="A72" s="70" t="inlineStr">
        <is>
          <t>COS - Heron View - P&amp;G</t>
        </is>
      </c>
      <c r="B72" s="82">
        <f>SUMIFS(Xero!$F:$F,Xero!$E:$E,'NSST Print'!$A72)</f>
        <v/>
      </c>
      <c r="C72" s="82" t="n"/>
      <c r="D72" s="82" t="n"/>
      <c r="E72" s="82" t="n"/>
    </row>
    <row r="73">
      <c r="A73" s="70" t="inlineStr">
        <is>
          <t>COS - Heron View - Printing &amp; Stationary</t>
        </is>
      </c>
      <c r="B73" s="82">
        <f>SUMIFS(Xero!$F:$F,Xero!$E:$E,'NSST Print'!$A73)</f>
        <v/>
      </c>
      <c r="C73" s="82" t="n"/>
      <c r="D73" s="82" t="n"/>
      <c r="E73" s="82" t="n"/>
    </row>
    <row r="74">
      <c r="A74" s="70" t="inlineStr">
        <is>
          <t>CPSD</t>
        </is>
      </c>
      <c r="B74" s="82">
        <f>SUMIFS('Other Costs'!$D:$D,'Other Costs'!$A:$A,'NSST Print'!$A74)</f>
        <v/>
      </c>
      <c r="C74" s="82" t="n"/>
      <c r="D74" s="82" t="n"/>
      <c r="E74" s="82" t="n"/>
    </row>
    <row r="75">
      <c r="A75" s="70" t="inlineStr">
        <is>
          <t>OppInvest</t>
        </is>
      </c>
      <c r="B75" s="82">
        <f>SUMIFS('Other Costs'!$D:$D,'Other Costs'!$A:$A,'NSST Print'!$A75)</f>
        <v/>
      </c>
      <c r="C75" s="82" t="n"/>
      <c r="D75" s="82" t="n"/>
      <c r="E75" s="82" t="n"/>
    </row>
    <row r="76">
      <c r="A76" s="70" t="inlineStr">
        <is>
          <t>Professional Fees</t>
        </is>
      </c>
      <c r="B76" s="82">
        <f>SUMIFS('Other Costs'!$D:$D,'Other Costs'!$A:$A,'NSST Print'!$A76)</f>
        <v/>
      </c>
      <c r="C76" s="82" t="n"/>
      <c r="D76" s="82" t="n"/>
      <c r="E76" s="82" t="n"/>
    </row>
    <row r="77">
      <c r="A77" s="70" t="inlineStr">
        <is>
          <t>Rent Salaries and Wages</t>
        </is>
      </c>
      <c r="B77" s="82">
        <f>SUMIFS('Other Costs'!$D:$D,'Other Costs'!$A:$A,'NSST Print'!$A77)</f>
        <v/>
      </c>
      <c r="C77" s="82" t="n"/>
      <c r="D77" s="82" t="n"/>
      <c r="E77" s="82" t="n"/>
    </row>
    <row r="78">
      <c r="A78" s="70" t="inlineStr">
        <is>
          <t>Total Costs</t>
        </is>
      </c>
      <c r="B78" s="82">
        <f>SUM(B66:B77)</f>
        <v/>
      </c>
      <c r="C78" s="82" t="n"/>
      <c r="D78" s="82" t="n"/>
      <c r="E78" s="82" t="n"/>
    </row>
  </sheetData>
  <mergeCells count="36">
    <mergeCell ref="A1:D1"/>
    <mergeCell ref="A2:E2"/>
    <mergeCell ref="A5:E5"/>
    <mergeCell ref="A14:E14"/>
    <mergeCell ref="A18:E18"/>
    <mergeCell ref="A28:E28"/>
    <mergeCell ref="A34:E34"/>
    <mergeCell ref="A40:E40"/>
    <mergeCell ref="B3:E3"/>
    <mergeCell ref="B4:E4"/>
    <mergeCell ref="B6:E6"/>
    <mergeCell ref="B7:E7"/>
    <mergeCell ref="B8:E8"/>
    <mergeCell ref="B9:E9"/>
    <mergeCell ref="B10:E10"/>
    <mergeCell ref="B11:E11"/>
    <mergeCell ref="B12:E12"/>
    <mergeCell ref="B13:E13"/>
    <mergeCell ref="B15:E15"/>
    <mergeCell ref="B16:E16"/>
    <mergeCell ref="B17:E17"/>
    <mergeCell ref="B29:E29"/>
    <mergeCell ref="B30:E30"/>
    <mergeCell ref="B31:E31"/>
    <mergeCell ref="B32:E32"/>
    <mergeCell ref="B33:E33"/>
    <mergeCell ref="B35:E35"/>
    <mergeCell ref="B36:E36"/>
    <mergeCell ref="B37:E37"/>
    <mergeCell ref="B38:E38"/>
    <mergeCell ref="B39:E39"/>
    <mergeCell ref="B41:E41"/>
    <mergeCell ref="B42:E42"/>
    <mergeCell ref="B43:E43"/>
    <mergeCell ref="B44:E44"/>
    <mergeCell ref="B45:E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FF204E"/>
    <outlinePr summaryBelow="1" summaryRight="1"/>
    <pageSetUpPr/>
  </sheetPr>
  <dimension ref="A1:X54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5" customWidth="1" min="1" max="1"/>
    <col hidden="1" width="15" customWidth="1" min="2" max="2"/>
    <col width="15" customWidth="1" min="3" max="3"/>
    <col width="15" customWidth="1" min="4" max="4"/>
    <col width="33" customWidth="1" min="5" max="5"/>
    <col width="15" customWidth="1" min="6" max="6"/>
    <col hidden="1" width="15" customWidth="1" min="7" max="7"/>
    <col hidden="1" width="15" customWidth="1" min="8" max="8"/>
    <col hidden="1" width="15" customWidth="1" min="9" max="9"/>
    <col hidden="1" width="15" customWidth="1" min="10" max="10"/>
    <col hidden="1" width="15" customWidth="1" min="11" max="11"/>
    <col hidden="1" width="15" customWidth="1" min="12" max="12"/>
    <col hidden="1" width="15" customWidth="1" min="13" max="13"/>
    <col width="15" customWidth="1" min="14" max="14"/>
    <col hidden="1"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hidden="1" width="15" customWidth="1" min="20" max="20"/>
    <col hidden="1" width="15" customWidth="1" min="21" max="21"/>
    <col width="15" customWidth="1" min="22" max="22"/>
    <col width="15" customWidth="1" min="23" max="23"/>
    <col hidden="1" width="15" customWidth="1" min="24" max="24"/>
  </cols>
  <sheetData>
    <row r="1">
      <c r="A1" s="84" t="inlineStr">
        <is>
          <t>Investor Exit List - 2024-03-31 00:00:00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5" t="n"/>
    </row>
    <row r="2" ht="55" customHeight="1">
      <c r="A2" s="85" t="inlineStr">
        <is>
          <t>Total Units</t>
        </is>
      </c>
      <c r="B2" s="85" t="inlineStr">
        <is>
          <t>Investment Number</t>
        </is>
      </c>
      <c r="C2" s="85" t="inlineStr">
        <is>
          <t>Unit Number</t>
        </is>
      </c>
      <c r="D2" s="85" t="inlineStr">
        <is>
          <t>Block</t>
        </is>
      </c>
      <c r="E2" s="85" t="inlineStr">
        <is>
          <t>Investor</t>
        </is>
      </c>
      <c r="F2" s="85" t="inlineStr">
        <is>
          <t>Capital Amount</t>
        </is>
      </c>
      <c r="G2" s="85" t="inlineStr">
        <is>
          <t>Fund Release Date</t>
        </is>
      </c>
      <c r="H2" s="85" t="inlineStr">
        <is>
          <t>Unit Sold Status</t>
        </is>
      </c>
      <c r="I2" s="85" t="inlineStr">
        <is>
          <t>Unit Transferred Status</t>
        </is>
      </c>
      <c r="J2" s="85" t="inlineStr">
        <is>
          <t>Estimated Transfer Date</t>
        </is>
      </c>
      <c r="K2" s="85" t="inlineStr">
        <is>
          <t>Actual Transfer Date</t>
        </is>
      </c>
      <c r="L2" s="85" t="inlineStr">
        <is>
          <t>Exit Deadline (730 Days)</t>
        </is>
      </c>
      <c r="M2" s="85" t="inlineStr">
        <is>
          <t>Current Report Date</t>
        </is>
      </c>
      <c r="N2" s="85" t="inlineStr">
        <is>
          <t>Days To Contract Exit</t>
        </is>
      </c>
      <c r="O2" s="85" t="inlineStr">
        <is>
          <t>Days To Estimated Exit</t>
        </is>
      </c>
      <c r="P2" s="85" t="inlineStr">
        <is>
          <t>Investor Contract Expiry Exit</t>
        </is>
      </c>
      <c r="Q2" s="85" t="inlineStr">
        <is>
          <t>Capital &amp; Interest To Be Exited</t>
        </is>
      </c>
      <c r="R2" s="85" t="inlineStr">
        <is>
          <t>Investor Exit Value On Sales</t>
        </is>
      </c>
      <c r="S2" s="85" t="inlineStr">
        <is>
          <t>Exited By Developer</t>
        </is>
      </c>
      <c r="T2" s="85" t="inlineStr">
        <is>
          <t>Date Of Exit</t>
        </is>
      </c>
      <c r="U2" s="85" t="inlineStr">
        <is>
          <t>Early Release</t>
        </is>
      </c>
      <c r="V2" s="85" t="inlineStr">
        <is>
          <t>Investor Pay Back On Transfer</t>
        </is>
      </c>
      <c r="W2" s="85" t="inlineStr">
        <is>
          <t>Developer &amp; Unbonded</t>
        </is>
      </c>
      <c r="X2" s="85" t="inlineStr">
        <is>
          <t>Still Pledged</t>
        </is>
      </c>
    </row>
    <row r="3" ht="30" customHeight="1">
      <c r="A3" s="86">
        <f>COUNTIFS(Sales!$E:$E,FALSE,Sales!$A:$A,"&lt;&gt;"&amp;"Endulini",Sales!$D:$D,TRUE)+COUNTIFS(Sales!$E:$E,FALSE,Sales!$A:$A,"&lt;&gt;"&amp;"Endulini",Sales!$D:$D,FALSE)</f>
        <v/>
      </c>
      <c r="B3" s="87" t="n"/>
      <c r="C3" s="86">
        <f>COUNTIFS(Investors!$G:$G,FALSE)+COUNTIFS(Investors!$G:$G,TRUE)-(COUNTIFS(Investors!$G:$G,TRUE)+COUNTIFS(Investors!$G:$G,FALSE,Investors!$O:$O,TRUE,Investors!$P:$P,FALSE))</f>
        <v/>
      </c>
      <c r="D3" s="87" t="n"/>
      <c r="E3" s="87" t="n"/>
      <c r="F3" s="88">
        <f>SUM(F4:F548)</f>
        <v/>
      </c>
      <c r="G3" s="87" t="n"/>
      <c r="H3" s="87" t="n"/>
      <c r="I3" s="87" t="n"/>
      <c r="J3" s="87" t="n"/>
      <c r="K3" s="87" t="n"/>
      <c r="L3" s="87" t="n"/>
      <c r="M3" s="87" t="n"/>
      <c r="N3" s="87" t="n"/>
      <c r="O3" s="87" t="n"/>
      <c r="P3" s="88">
        <f>SUM(P4:P548)</f>
        <v/>
      </c>
      <c r="Q3" s="88">
        <f>SUM(Q4:Q548)</f>
        <v/>
      </c>
      <c r="R3" s="88">
        <f>SUM(R4:R548)</f>
        <v/>
      </c>
      <c r="S3" s="88">
        <f>SUBTOTAL(109,S4:S548)</f>
        <v/>
      </c>
      <c r="T3" s="87" t="n"/>
      <c r="U3" s="87" t="n"/>
      <c r="V3" s="88">
        <f>SUM(V4:V548)</f>
        <v/>
      </c>
      <c r="W3" s="88">
        <f>SUM(W4:W548)</f>
        <v/>
      </c>
      <c r="X3" s="87" t="n"/>
    </row>
    <row r="4" hidden="1">
      <c r="A4" s="89" t="inlineStr">
        <is>
          <t>ZCAM01</t>
        </is>
      </c>
      <c r="B4" s="89" t="n">
        <v>2</v>
      </c>
      <c r="C4" s="89" t="inlineStr">
        <is>
          <t>HFA101</t>
        </is>
      </c>
      <c r="D4" s="89" t="inlineStr">
        <is>
          <t>A</t>
        </is>
      </c>
      <c r="E4" s="89" t="inlineStr">
        <is>
          <t>Campbell Jeremy &amp; Rosaline</t>
        </is>
      </c>
      <c r="F4" s="90">
        <f>SUMIFS(Investors!$M:$M,Investors!$O:$O,FALSE,Investors!$P:$P,FALSE,Investors!$K:$K,"&gt;"&amp;'NSST Print'!$B$3,Investors!$I:$I,"&lt;="&amp;'NSST Print'!$B$3,Investors!$A:$A,'Investor Exit List'!$A4,Investors!$E:$E,'Investor Exit List'!$C4,Investors!$L:$L,'Investor Exit List'!$B4)-(SUMIFS(Investors!$M:$M,Investors!$I:$I,"&lt;="&amp;'NSST Print'!$B$3,Investors!$J:$J,"&gt;"&amp;'NSST Print'!$B$3,Investors!$A:$A,'Investor Exit List'!$A4,Investors!$E:$E,'Investor Exit List'!$C4,Investors!$L:$L,'Investor Exit List'!$B4)+SUMIFS(Investors!$M:$M,Investors!$I:$I,"&lt;="&amp;'NSST Print'!$B$3,Investors!$J:$J,"",Investors!$A:$A,'Investor Exit List'!$A4,Investors!$E:$E,'Investor Exit List'!$C4,Investors!$L:$L,'Investor Exit List'!$B4))</f>
        <v/>
      </c>
      <c r="G4" s="91" t="n">
        <v>44610</v>
      </c>
      <c r="H4" s="89" t="b">
        <v>1</v>
      </c>
      <c r="I4" s="89" t="b">
        <v>1</v>
      </c>
      <c r="J4" s="91" t="n">
        <v>44887</v>
      </c>
      <c r="K4" s="91">
        <f>IF(I4=TRUE,J4,"")</f>
        <v/>
      </c>
      <c r="L4" s="91">
        <f>G4+730</f>
        <v/>
      </c>
      <c r="M4" s="91" t="n">
        <v>45382</v>
      </c>
      <c r="N4" s="92">
        <f>IFERROR(IF(G4&lt;&gt;"",IF(I4=TRUE,0,IF(U4=TRUE,0,L4-M4)),0),0)</f>
        <v/>
      </c>
      <c r="O4" s="92">
        <f>IF(N4&gt;0,IF(N4&lt;=180,N4,0),0)</f>
        <v/>
      </c>
      <c r="P4" s="90">
        <f>IF(AND(N4&lt;90,N4&gt;0),Q4,0)</f>
        <v/>
      </c>
      <c r="Q4" s="90">
        <f>SUMIFS(Investors!$M:$M,Investors!$O:$O,FALSE,Investors!$P:$P,FALSE,Investors!$K:$K,"&gt;"&amp;'NSST Print'!$B$3,Investors!$I:$I,"&lt;="&amp;'NSST Print'!$B$3,Investors!$A:$A,'Investor Exit List'!$A4,Investors!$E:$E,'Investor Exit List'!$C4,Investors!$L:$L,'Investor Exit List'!$B4)-(SUMIFS(Investors!$M:$M,Investors!$I:$I,"&lt;="&amp;'NSST Print'!$B$3,Investors!$J:$J,"&gt;"&amp;'NSST Print'!$B$3,Investors!$A:$A,'Investor Exit List'!$A4,Investors!$E:$E,'Investor Exit List'!$C4,Investors!$L:$L,'Investor Exit List'!$B4)+SUMIFS(Investors!$M:$M,Investors!$I:$I,"&lt;="&amp;'NSST Print'!$B$3,Investors!$J:$J,"",Investors!$A:$A,'Investor Exit List'!$A4,Investors!$E:$E,'Investor Exit List'!$C4,Investors!$L:$L,'Investor Exit List'!$B4))+SUMIFS(Investors!$S:$S,Investors!$O:$O,FALSE,Investors!$P:$P,FALSE,Investors!$K:$K,"&gt;"&amp;'NSST Print'!$B$3,Investors!$I:$I,"&lt;="&amp;'NSST Print'!$B$3,Investors!$A:$A,'Investor Exit List'!$A4,Investors!$E:$E,'Investor Exit List'!$C4,Investors!$L:$L,'Investor Exit List'!$B4)-(SUMIFS(Investors!$S:$S,Investors!$I:$I,"&lt;="&amp;'NSST Print'!$B$3,Investors!$J:$J,"&gt;"&amp;'NSST Print'!$B$3,Investors!$A:$A,'Investor Exit List'!$A4,Investors!$E:$E,'Investor Exit List'!$C4,Investors!$L:$L,'Investor Exit List'!$B4)+SUMIFS(Investors!$S:$S,Investors!$I:$I,"&lt;="&amp;'NSST Print'!$B$3,Investors!$J:$J,"",Investors!$A:$A,'Investor Exit List'!$A4,Investors!$E:$E,'Investor Exit List'!$C4,Investors!$L:$L,'Investor Exit List'!$B4))</f>
        <v/>
      </c>
      <c r="R4" s="90">
        <f>IF(AND(H4=TRUE,I4=FALSE),Q4,0)</f>
        <v/>
      </c>
      <c r="S4" s="90">
        <f>SUMIFS(Investors!$M:$M,Investors!$O:$O,TRUE,Investors!$A:$A,'Investor Exit List'!$A4,Investors!$E:$E,'Investor Exit List'!$C4,Investors!$L:$L,'Investor Exit List'!$B4)+SUMIFS(Investors!$S:$S,Investors!$O:$O,TRUE,Investors!$A:$A,'Investor Exit List'!$A4,Investors!$E:$E,'Investor Exit List'!$C4,Investors!$L:$L,'Investor Exit List'!$B4)</f>
        <v/>
      </c>
      <c r="T4" s="91">
        <f>IF(U4=TRUE,$J4,"")</f>
        <v/>
      </c>
      <c r="U4" s="89" t="b">
        <v>0</v>
      </c>
      <c r="V4" s="90">
        <f>IF(AND(H4=TRUE,OR(K4="",K4&gt;M4)),S4,0)</f>
        <v/>
      </c>
      <c r="W4" s="89" t="n">
        <v>0</v>
      </c>
      <c r="X4" s="89" t="b">
        <v>0</v>
      </c>
    </row>
    <row r="5" hidden="1">
      <c r="A5" s="89" t="inlineStr">
        <is>
          <t>ZSCH01</t>
        </is>
      </c>
      <c r="B5" s="89" t="n">
        <v>10</v>
      </c>
      <c r="C5" s="89" t="inlineStr">
        <is>
          <t>HFA101</t>
        </is>
      </c>
      <c r="D5" s="89" t="inlineStr">
        <is>
          <t>A</t>
        </is>
      </c>
      <c r="E5" s="89" t="inlineStr">
        <is>
          <t>Schubert Inge</t>
        </is>
      </c>
      <c r="F5" s="90">
        <f>SUMIFS(Investors!$M:$M,Investors!$O:$O,FALSE,Investors!$P:$P,FALSE,Investors!$K:$K,"&gt;"&amp;'NSST Print'!$B$3,Investors!$I:$I,"&lt;="&amp;'NSST Print'!$B$3,Investors!$A:$A,'Investor Exit List'!$A5,Investors!$E:$E,'Investor Exit List'!$C5,Investors!$L:$L,'Investor Exit List'!$B5)-(SUMIFS(Investors!$M:$M,Investors!$I:$I,"&lt;="&amp;'NSST Print'!$B$3,Investors!$J:$J,"&gt;"&amp;'NSST Print'!$B$3,Investors!$A:$A,'Investor Exit List'!$A5,Investors!$E:$E,'Investor Exit List'!$C5,Investors!$L:$L,'Investor Exit List'!$B5)+SUMIFS(Investors!$M:$M,Investors!$I:$I,"&lt;="&amp;'NSST Print'!$B$3,Investors!$J:$J,"",Investors!$A:$A,'Investor Exit List'!$A5,Investors!$E:$E,'Investor Exit List'!$C5,Investors!$L:$L,'Investor Exit List'!$B5))</f>
        <v/>
      </c>
      <c r="G5" s="91" t="n">
        <v>44316</v>
      </c>
      <c r="H5" s="89" t="b">
        <v>1</v>
      </c>
      <c r="I5" s="89" t="b">
        <v>1</v>
      </c>
      <c r="J5" s="91" t="n">
        <v>44887</v>
      </c>
      <c r="K5" s="91">
        <f>IF(I5=TRUE,J5,"")</f>
        <v/>
      </c>
      <c r="L5" s="91">
        <f>G5+730</f>
        <v/>
      </c>
      <c r="M5" s="91" t="n">
        <v>45382</v>
      </c>
      <c r="N5" s="92">
        <f>IFERROR(IF(G5&lt;&gt;"",IF(I5=TRUE,0,IF(U5=TRUE,0,L5-M5)),0),0)</f>
        <v/>
      </c>
      <c r="O5" s="92">
        <f>IF(N5&gt;0,IF(N5&lt;=180,N5,0),0)</f>
        <v/>
      </c>
      <c r="P5" s="90">
        <f>IF(AND(N5&lt;90,N5&gt;0),Q5,0)</f>
        <v/>
      </c>
      <c r="Q5" s="90">
        <f>SUMIFS(Investors!$M:$M,Investors!$O:$O,FALSE,Investors!$P:$P,FALSE,Investors!$K:$K,"&gt;"&amp;'NSST Print'!$B$3,Investors!$I:$I,"&lt;="&amp;'NSST Print'!$B$3,Investors!$A:$A,'Investor Exit List'!$A5,Investors!$E:$E,'Investor Exit List'!$C5,Investors!$L:$L,'Investor Exit List'!$B5)-(SUMIFS(Investors!$M:$M,Investors!$I:$I,"&lt;="&amp;'NSST Print'!$B$3,Investors!$J:$J,"&gt;"&amp;'NSST Print'!$B$3,Investors!$A:$A,'Investor Exit List'!$A5,Investors!$E:$E,'Investor Exit List'!$C5,Investors!$L:$L,'Investor Exit List'!$B5)+SUMIFS(Investors!$M:$M,Investors!$I:$I,"&lt;="&amp;'NSST Print'!$B$3,Investors!$J:$J,"",Investors!$A:$A,'Investor Exit List'!$A5,Investors!$E:$E,'Investor Exit List'!$C5,Investors!$L:$L,'Investor Exit List'!$B5))+SUMIFS(Investors!$S:$S,Investors!$O:$O,FALSE,Investors!$P:$P,FALSE,Investors!$K:$K,"&gt;"&amp;'NSST Print'!$B$3,Investors!$I:$I,"&lt;="&amp;'NSST Print'!$B$3,Investors!$A:$A,'Investor Exit List'!$A5,Investors!$E:$E,'Investor Exit List'!$C5,Investors!$L:$L,'Investor Exit List'!$B5)-(SUMIFS(Investors!$S:$S,Investors!$I:$I,"&lt;="&amp;'NSST Print'!$B$3,Investors!$J:$J,"&gt;"&amp;'NSST Print'!$B$3,Investors!$A:$A,'Investor Exit List'!$A5,Investors!$E:$E,'Investor Exit List'!$C5,Investors!$L:$L,'Investor Exit List'!$B5)+SUMIFS(Investors!$S:$S,Investors!$I:$I,"&lt;="&amp;'NSST Print'!$B$3,Investors!$J:$J,"",Investors!$A:$A,'Investor Exit List'!$A5,Investors!$E:$E,'Investor Exit List'!$C5,Investors!$L:$L,'Investor Exit List'!$B5))</f>
        <v/>
      </c>
      <c r="R5" s="90">
        <f>IF(AND(H5=TRUE,I5=FALSE),Q5,0)</f>
        <v/>
      </c>
      <c r="S5" s="90">
        <f>SUMIFS(Investors!$M:$M,Investors!$O:$O,TRUE,Investors!$A:$A,'Investor Exit List'!$A5,Investors!$E:$E,'Investor Exit List'!$C5,Investors!$L:$L,'Investor Exit List'!$B5)+SUMIFS(Investors!$S:$S,Investors!$O:$O,TRUE,Investors!$A:$A,'Investor Exit List'!$A5,Investors!$E:$E,'Investor Exit List'!$C5,Investors!$L:$L,'Investor Exit List'!$B5)</f>
        <v/>
      </c>
      <c r="T5" s="91">
        <f>IF(U5=TRUE,$J5,"")</f>
        <v/>
      </c>
      <c r="U5" s="89" t="b">
        <v>0</v>
      </c>
      <c r="V5" s="90">
        <f>IF(AND(H5=TRUE,OR(K5="",K5&gt;M5)),S5,0)</f>
        <v/>
      </c>
      <c r="W5" s="89" t="n">
        <v>0</v>
      </c>
      <c r="X5" s="89" t="b">
        <v>0</v>
      </c>
    </row>
    <row r="6" hidden="1">
      <c r="A6" s="89" t="inlineStr">
        <is>
          <t>ZZYL03</t>
        </is>
      </c>
      <c r="B6" s="89" t="n">
        <v>1</v>
      </c>
      <c r="C6" s="89" t="inlineStr">
        <is>
          <t>HFA102</t>
        </is>
      </c>
      <c r="D6" s="89" t="inlineStr">
        <is>
          <t>A</t>
        </is>
      </c>
      <c r="E6" s="89" t="inlineStr">
        <is>
          <t>Zylstra Sandra Robyn</t>
        </is>
      </c>
      <c r="F6" s="90">
        <f>SUMIFS(Investors!$M:$M,Investors!$O:$O,FALSE,Investors!$P:$P,FALSE,Investors!$K:$K,"&gt;"&amp;'NSST Print'!$B$3,Investors!$I:$I,"&lt;="&amp;'NSST Print'!$B$3,Investors!$A:$A,'Investor Exit List'!$A6,Investors!$E:$E,'Investor Exit List'!$C6,Investors!$L:$L,'Investor Exit List'!$B6)-(SUMIFS(Investors!$M:$M,Investors!$I:$I,"&lt;="&amp;'NSST Print'!$B$3,Investors!$J:$J,"&gt;"&amp;'NSST Print'!$B$3,Investors!$A:$A,'Investor Exit List'!$A6,Investors!$E:$E,'Investor Exit List'!$C6,Investors!$L:$L,'Investor Exit List'!$B6)+SUMIFS(Investors!$M:$M,Investors!$I:$I,"&lt;="&amp;'NSST Print'!$B$3,Investors!$J:$J,"",Investors!$A:$A,'Investor Exit List'!$A6,Investors!$E:$E,'Investor Exit List'!$C6,Investors!$L:$L,'Investor Exit List'!$B6))</f>
        <v/>
      </c>
      <c r="G6" s="91" t="n">
        <v>44352</v>
      </c>
      <c r="H6" s="89" t="b">
        <v>1</v>
      </c>
      <c r="I6" s="89" t="b">
        <v>1</v>
      </c>
      <c r="J6" s="91" t="n">
        <v>44887</v>
      </c>
      <c r="K6" s="91">
        <f>IF(I6=TRUE,J6,"")</f>
        <v/>
      </c>
      <c r="L6" s="91">
        <f>G6+730</f>
        <v/>
      </c>
      <c r="M6" s="91" t="n">
        <v>45382</v>
      </c>
      <c r="N6" s="92">
        <f>IFERROR(IF(G6&lt;&gt;"",IF(I6=TRUE,0,IF(U6=TRUE,0,L6-M6)),0),0)</f>
        <v/>
      </c>
      <c r="O6" s="92">
        <f>IF(N6&gt;0,IF(N6&lt;=180,N6,0),0)</f>
        <v/>
      </c>
      <c r="P6" s="90">
        <f>IF(AND(N6&lt;90,N6&gt;0),Q6,0)</f>
        <v/>
      </c>
      <c r="Q6" s="90">
        <f>SUMIFS(Investors!$M:$M,Investors!$O:$O,FALSE,Investors!$P:$P,FALSE,Investors!$K:$K,"&gt;"&amp;'NSST Print'!$B$3,Investors!$I:$I,"&lt;="&amp;'NSST Print'!$B$3,Investors!$A:$A,'Investor Exit List'!$A6,Investors!$E:$E,'Investor Exit List'!$C6,Investors!$L:$L,'Investor Exit List'!$B6)-(SUMIFS(Investors!$M:$M,Investors!$I:$I,"&lt;="&amp;'NSST Print'!$B$3,Investors!$J:$J,"&gt;"&amp;'NSST Print'!$B$3,Investors!$A:$A,'Investor Exit List'!$A6,Investors!$E:$E,'Investor Exit List'!$C6,Investors!$L:$L,'Investor Exit List'!$B6)+SUMIFS(Investors!$M:$M,Investors!$I:$I,"&lt;="&amp;'NSST Print'!$B$3,Investors!$J:$J,"",Investors!$A:$A,'Investor Exit List'!$A6,Investors!$E:$E,'Investor Exit List'!$C6,Investors!$L:$L,'Investor Exit List'!$B6))+SUMIFS(Investors!$S:$S,Investors!$O:$O,FALSE,Investors!$P:$P,FALSE,Investors!$K:$K,"&gt;"&amp;'NSST Print'!$B$3,Investors!$I:$I,"&lt;="&amp;'NSST Print'!$B$3,Investors!$A:$A,'Investor Exit List'!$A6,Investors!$E:$E,'Investor Exit List'!$C6,Investors!$L:$L,'Investor Exit List'!$B6)-(SUMIFS(Investors!$S:$S,Investors!$I:$I,"&lt;="&amp;'NSST Print'!$B$3,Investors!$J:$J,"&gt;"&amp;'NSST Print'!$B$3,Investors!$A:$A,'Investor Exit List'!$A6,Investors!$E:$E,'Investor Exit List'!$C6,Investors!$L:$L,'Investor Exit List'!$B6)+SUMIFS(Investors!$S:$S,Investors!$I:$I,"&lt;="&amp;'NSST Print'!$B$3,Investors!$J:$J,"",Investors!$A:$A,'Investor Exit List'!$A6,Investors!$E:$E,'Investor Exit List'!$C6,Investors!$L:$L,'Investor Exit List'!$B6))</f>
        <v/>
      </c>
      <c r="R6" s="90">
        <f>IF(AND(H6=TRUE,I6=FALSE),Q6,0)</f>
        <v/>
      </c>
      <c r="S6" s="90">
        <f>SUMIFS(Investors!$M:$M,Investors!$O:$O,TRUE,Investors!$A:$A,'Investor Exit List'!$A6,Investors!$E:$E,'Investor Exit List'!$C6,Investors!$L:$L,'Investor Exit List'!$B6)+SUMIFS(Investors!$S:$S,Investors!$O:$O,TRUE,Investors!$A:$A,'Investor Exit List'!$A6,Investors!$E:$E,'Investor Exit List'!$C6,Investors!$L:$L,'Investor Exit List'!$B6)</f>
        <v/>
      </c>
      <c r="T6" s="91">
        <f>IF(U6=TRUE,$J6,"")</f>
        <v/>
      </c>
      <c r="U6" s="89" t="b">
        <v>0</v>
      </c>
      <c r="V6" s="90">
        <f>IF(AND(H6=TRUE,OR(K6="",K6&gt;M6)),S6,0)</f>
        <v/>
      </c>
      <c r="W6" s="89" t="n">
        <v>0</v>
      </c>
      <c r="X6" s="89" t="b">
        <v>0</v>
      </c>
    </row>
    <row r="7" hidden="1">
      <c r="A7" s="89" t="inlineStr">
        <is>
          <t>ZELE01</t>
        </is>
      </c>
      <c r="B7" s="89" t="n">
        <v>1</v>
      </c>
      <c r="C7" s="89" t="inlineStr">
        <is>
          <t>HFA103</t>
        </is>
      </c>
      <c r="D7" s="89" t="inlineStr">
        <is>
          <t>A</t>
        </is>
      </c>
      <c r="E7" s="89" t="inlineStr">
        <is>
          <t>Lew Emile Kenneth</t>
        </is>
      </c>
      <c r="F7" s="90">
        <f>SUMIFS(Investors!$M:$M,Investors!$O:$O,FALSE,Investors!$P:$P,FALSE,Investors!$K:$K,"&gt;"&amp;'NSST Print'!$B$3,Investors!$I:$I,"&lt;="&amp;'NSST Print'!$B$3,Investors!$A:$A,'Investor Exit List'!$A7,Investors!$E:$E,'Investor Exit List'!$C7,Investors!$L:$L,'Investor Exit List'!$B7)-(SUMIFS(Investors!$M:$M,Investors!$I:$I,"&lt;="&amp;'NSST Print'!$B$3,Investors!$J:$J,"&gt;"&amp;'NSST Print'!$B$3,Investors!$A:$A,'Investor Exit List'!$A7,Investors!$E:$E,'Investor Exit List'!$C7,Investors!$L:$L,'Investor Exit List'!$B7)+SUMIFS(Investors!$M:$M,Investors!$I:$I,"&lt;="&amp;'NSST Print'!$B$3,Investors!$J:$J,"",Investors!$A:$A,'Investor Exit List'!$A7,Investors!$E:$E,'Investor Exit List'!$C7,Investors!$L:$L,'Investor Exit List'!$B7))</f>
        <v/>
      </c>
      <c r="G7" s="91" t="n">
        <v>44316</v>
      </c>
      <c r="H7" s="89" t="b">
        <v>1</v>
      </c>
      <c r="I7" s="89" t="b">
        <v>1</v>
      </c>
      <c r="J7" s="91" t="n">
        <v>44887</v>
      </c>
      <c r="K7" s="91">
        <f>IF(I7=TRUE,J7,"")</f>
        <v/>
      </c>
      <c r="L7" s="91">
        <f>G7+730</f>
        <v/>
      </c>
      <c r="M7" s="91" t="n">
        <v>45382</v>
      </c>
      <c r="N7" s="92">
        <f>IFERROR(IF(G7&lt;&gt;"",IF(I7=TRUE,0,IF(U7=TRUE,0,L7-M7)),0),0)</f>
        <v/>
      </c>
      <c r="O7" s="92">
        <f>IF(N7&gt;0,IF(N7&lt;=180,N7,0),0)</f>
        <v/>
      </c>
      <c r="P7" s="90">
        <f>IF(AND(N7&lt;90,N7&gt;0),Q7,0)</f>
        <v/>
      </c>
      <c r="Q7" s="90">
        <f>SUMIFS(Investors!$M:$M,Investors!$O:$O,FALSE,Investors!$P:$P,FALSE,Investors!$K:$K,"&gt;"&amp;'NSST Print'!$B$3,Investors!$I:$I,"&lt;="&amp;'NSST Print'!$B$3,Investors!$A:$A,'Investor Exit List'!$A7,Investors!$E:$E,'Investor Exit List'!$C7,Investors!$L:$L,'Investor Exit List'!$B7)-(SUMIFS(Investors!$M:$M,Investors!$I:$I,"&lt;="&amp;'NSST Print'!$B$3,Investors!$J:$J,"&gt;"&amp;'NSST Print'!$B$3,Investors!$A:$A,'Investor Exit List'!$A7,Investors!$E:$E,'Investor Exit List'!$C7,Investors!$L:$L,'Investor Exit List'!$B7)+SUMIFS(Investors!$M:$M,Investors!$I:$I,"&lt;="&amp;'NSST Print'!$B$3,Investors!$J:$J,"",Investors!$A:$A,'Investor Exit List'!$A7,Investors!$E:$E,'Investor Exit List'!$C7,Investors!$L:$L,'Investor Exit List'!$B7))+SUMIFS(Investors!$S:$S,Investors!$O:$O,FALSE,Investors!$P:$P,FALSE,Investors!$K:$K,"&gt;"&amp;'NSST Print'!$B$3,Investors!$I:$I,"&lt;="&amp;'NSST Print'!$B$3,Investors!$A:$A,'Investor Exit List'!$A7,Investors!$E:$E,'Investor Exit List'!$C7,Investors!$L:$L,'Investor Exit List'!$B7)-(SUMIFS(Investors!$S:$S,Investors!$I:$I,"&lt;="&amp;'NSST Print'!$B$3,Investors!$J:$J,"&gt;"&amp;'NSST Print'!$B$3,Investors!$A:$A,'Investor Exit List'!$A7,Investors!$E:$E,'Investor Exit List'!$C7,Investors!$L:$L,'Investor Exit List'!$B7)+SUMIFS(Investors!$S:$S,Investors!$I:$I,"&lt;="&amp;'NSST Print'!$B$3,Investors!$J:$J,"",Investors!$A:$A,'Investor Exit List'!$A7,Investors!$E:$E,'Investor Exit List'!$C7,Investors!$L:$L,'Investor Exit List'!$B7))</f>
        <v/>
      </c>
      <c r="R7" s="90">
        <f>IF(AND(H7=TRUE,I7=FALSE),Q7,0)</f>
        <v/>
      </c>
      <c r="S7" s="90">
        <f>SUMIFS(Investors!$M:$M,Investors!$O:$O,TRUE,Investors!$A:$A,'Investor Exit List'!$A7,Investors!$E:$E,'Investor Exit List'!$C7,Investors!$L:$L,'Investor Exit List'!$B7)+SUMIFS(Investors!$S:$S,Investors!$O:$O,TRUE,Investors!$A:$A,'Investor Exit List'!$A7,Investors!$E:$E,'Investor Exit List'!$C7,Investors!$L:$L,'Investor Exit List'!$B7)</f>
        <v/>
      </c>
      <c r="T7" s="91">
        <f>IF(U7=TRUE,$J7,"")</f>
        <v/>
      </c>
      <c r="U7" s="89" t="b">
        <v>0</v>
      </c>
      <c r="V7" s="90">
        <f>IF(AND(H7=TRUE,OR(K7="",K7&gt;M7)),S7,0)</f>
        <v/>
      </c>
      <c r="W7" s="89" t="n">
        <v>0</v>
      </c>
      <c r="X7" s="89" t="b">
        <v>0</v>
      </c>
    </row>
    <row r="8" hidden="1">
      <c r="A8" s="89" t="inlineStr">
        <is>
          <t>ZHIL01</t>
        </is>
      </c>
      <c r="B8" s="89" t="n">
        <v>1</v>
      </c>
      <c r="C8" s="89" t="inlineStr">
        <is>
          <t>HFA103</t>
        </is>
      </c>
      <c r="D8" s="89" t="inlineStr">
        <is>
          <t>A</t>
        </is>
      </c>
      <c r="E8" s="89" t="inlineStr">
        <is>
          <t>Hill Trevor David</t>
        </is>
      </c>
      <c r="F8" s="90">
        <f>SUMIFS(Investors!$M:$M,Investors!$O:$O,FALSE,Investors!$P:$P,FALSE,Investors!$K:$K,"&gt;"&amp;'NSST Print'!$B$3,Investors!$I:$I,"&lt;="&amp;'NSST Print'!$B$3,Investors!$A:$A,'Investor Exit List'!$A8,Investors!$E:$E,'Investor Exit List'!$C8,Investors!$L:$L,'Investor Exit List'!$B8)-(SUMIFS(Investors!$M:$M,Investors!$I:$I,"&lt;="&amp;'NSST Print'!$B$3,Investors!$J:$J,"&gt;"&amp;'NSST Print'!$B$3,Investors!$A:$A,'Investor Exit List'!$A8,Investors!$E:$E,'Investor Exit List'!$C8,Investors!$L:$L,'Investor Exit List'!$B8)+SUMIFS(Investors!$M:$M,Investors!$I:$I,"&lt;="&amp;'NSST Print'!$B$3,Investors!$J:$J,"",Investors!$A:$A,'Investor Exit List'!$A8,Investors!$E:$E,'Investor Exit List'!$C8,Investors!$L:$L,'Investor Exit List'!$B8))</f>
        <v/>
      </c>
      <c r="G8" s="91" t="n">
        <v>44352</v>
      </c>
      <c r="H8" s="89" t="b">
        <v>1</v>
      </c>
      <c r="I8" s="89" t="b">
        <v>1</v>
      </c>
      <c r="J8" s="91" t="n">
        <v>44887</v>
      </c>
      <c r="K8" s="91">
        <f>IF(I8=TRUE,J8,"")</f>
        <v/>
      </c>
      <c r="L8" s="91">
        <f>G8+730</f>
        <v/>
      </c>
      <c r="M8" s="91" t="n">
        <v>45382</v>
      </c>
      <c r="N8" s="92">
        <f>IFERROR(IF(G8&lt;&gt;"",IF(I8=TRUE,0,IF(U8=TRUE,0,L8-M8)),0),0)</f>
        <v/>
      </c>
      <c r="O8" s="92">
        <f>IF(N8&gt;0,IF(N8&lt;=180,N8,0),0)</f>
        <v/>
      </c>
      <c r="P8" s="90">
        <f>IF(AND(N8&lt;90,N8&gt;0),Q8,0)</f>
        <v/>
      </c>
      <c r="Q8" s="90">
        <f>SUMIFS(Investors!$M:$M,Investors!$O:$O,FALSE,Investors!$P:$P,FALSE,Investors!$K:$K,"&gt;"&amp;'NSST Print'!$B$3,Investors!$I:$I,"&lt;="&amp;'NSST Print'!$B$3,Investors!$A:$A,'Investor Exit List'!$A8,Investors!$E:$E,'Investor Exit List'!$C8,Investors!$L:$L,'Investor Exit List'!$B8)-(SUMIFS(Investors!$M:$M,Investors!$I:$I,"&lt;="&amp;'NSST Print'!$B$3,Investors!$J:$J,"&gt;"&amp;'NSST Print'!$B$3,Investors!$A:$A,'Investor Exit List'!$A8,Investors!$E:$E,'Investor Exit List'!$C8,Investors!$L:$L,'Investor Exit List'!$B8)+SUMIFS(Investors!$M:$M,Investors!$I:$I,"&lt;="&amp;'NSST Print'!$B$3,Investors!$J:$J,"",Investors!$A:$A,'Investor Exit List'!$A8,Investors!$E:$E,'Investor Exit List'!$C8,Investors!$L:$L,'Investor Exit List'!$B8))+SUMIFS(Investors!$S:$S,Investors!$O:$O,FALSE,Investors!$P:$P,FALSE,Investors!$K:$K,"&gt;"&amp;'NSST Print'!$B$3,Investors!$I:$I,"&lt;="&amp;'NSST Print'!$B$3,Investors!$A:$A,'Investor Exit List'!$A8,Investors!$E:$E,'Investor Exit List'!$C8,Investors!$L:$L,'Investor Exit List'!$B8)-(SUMIFS(Investors!$S:$S,Investors!$I:$I,"&lt;="&amp;'NSST Print'!$B$3,Investors!$J:$J,"&gt;"&amp;'NSST Print'!$B$3,Investors!$A:$A,'Investor Exit List'!$A8,Investors!$E:$E,'Investor Exit List'!$C8,Investors!$L:$L,'Investor Exit List'!$B8)+SUMIFS(Investors!$S:$S,Investors!$I:$I,"&lt;="&amp;'NSST Print'!$B$3,Investors!$J:$J,"",Investors!$A:$A,'Investor Exit List'!$A8,Investors!$E:$E,'Investor Exit List'!$C8,Investors!$L:$L,'Investor Exit List'!$B8))</f>
        <v/>
      </c>
      <c r="R8" s="90">
        <f>IF(AND(H8=TRUE,I8=FALSE),Q8,0)</f>
        <v/>
      </c>
      <c r="S8" s="90">
        <f>SUMIFS(Investors!$M:$M,Investors!$O:$O,TRUE,Investors!$A:$A,'Investor Exit List'!$A8,Investors!$E:$E,'Investor Exit List'!$C8,Investors!$L:$L,'Investor Exit List'!$B8)+SUMIFS(Investors!$S:$S,Investors!$O:$O,TRUE,Investors!$A:$A,'Investor Exit List'!$A8,Investors!$E:$E,'Investor Exit List'!$C8,Investors!$L:$L,'Investor Exit List'!$B8)</f>
        <v/>
      </c>
      <c r="T8" s="91">
        <f>IF(U8=TRUE,$J8,"")</f>
        <v/>
      </c>
      <c r="U8" s="89" t="b">
        <v>0</v>
      </c>
      <c r="V8" s="90">
        <f>IF(AND(H8=TRUE,OR(K8="",K8&gt;M8)),S8,0)</f>
        <v/>
      </c>
      <c r="W8" s="89" t="n">
        <v>0</v>
      </c>
      <c r="X8" s="89" t="b">
        <v>0</v>
      </c>
    </row>
    <row r="9" hidden="1">
      <c r="A9" s="89" t="inlineStr">
        <is>
          <t>ZVAN02</t>
        </is>
      </c>
      <c r="B9" s="89" t="n">
        <v>1</v>
      </c>
      <c r="C9" s="89" t="inlineStr">
        <is>
          <t>HFA103</t>
        </is>
      </c>
      <c r="D9" s="89" t="inlineStr">
        <is>
          <t>A</t>
        </is>
      </c>
      <c r="E9" s="89" t="inlineStr">
        <is>
          <t>van Schalkwyk Agatha Dorothea</t>
        </is>
      </c>
      <c r="F9" s="90">
        <f>SUMIFS(Investors!$M:$M,Investors!$O:$O,FALSE,Investors!$P:$P,FALSE,Investors!$K:$K,"&gt;"&amp;'NSST Print'!$B$3,Investors!$I:$I,"&lt;="&amp;'NSST Print'!$B$3,Investors!$A:$A,'Investor Exit List'!$A9,Investors!$E:$E,'Investor Exit List'!$C9,Investors!$L:$L,'Investor Exit List'!$B9)-(SUMIFS(Investors!$M:$M,Investors!$I:$I,"&lt;="&amp;'NSST Print'!$B$3,Investors!$J:$J,"&gt;"&amp;'NSST Print'!$B$3,Investors!$A:$A,'Investor Exit List'!$A9,Investors!$E:$E,'Investor Exit List'!$C9,Investors!$L:$L,'Investor Exit List'!$B9)+SUMIFS(Investors!$M:$M,Investors!$I:$I,"&lt;="&amp;'NSST Print'!$B$3,Investors!$J:$J,"",Investors!$A:$A,'Investor Exit List'!$A9,Investors!$E:$E,'Investor Exit List'!$C9,Investors!$L:$L,'Investor Exit List'!$B9))</f>
        <v/>
      </c>
      <c r="G9" s="91" t="n">
        <v>44352</v>
      </c>
      <c r="H9" s="89" t="b">
        <v>1</v>
      </c>
      <c r="I9" s="89" t="b">
        <v>1</v>
      </c>
      <c r="J9" s="91" t="n">
        <v>44887</v>
      </c>
      <c r="K9" s="91">
        <f>IF(I9=TRUE,J9,"")</f>
        <v/>
      </c>
      <c r="L9" s="91">
        <f>G9+730</f>
        <v/>
      </c>
      <c r="M9" s="91" t="n">
        <v>45382</v>
      </c>
      <c r="N9" s="92">
        <f>IFERROR(IF(G9&lt;&gt;"",IF(I9=TRUE,0,IF(U9=TRUE,0,L9-M9)),0),0)</f>
        <v/>
      </c>
      <c r="O9" s="92">
        <f>IF(N9&gt;0,IF(N9&lt;=180,N9,0),0)</f>
        <v/>
      </c>
      <c r="P9" s="90">
        <f>IF(AND(N9&lt;90,N9&gt;0),Q9,0)</f>
        <v/>
      </c>
      <c r="Q9" s="90">
        <f>SUMIFS(Investors!$M:$M,Investors!$O:$O,FALSE,Investors!$P:$P,FALSE,Investors!$K:$K,"&gt;"&amp;'NSST Print'!$B$3,Investors!$I:$I,"&lt;="&amp;'NSST Print'!$B$3,Investors!$A:$A,'Investor Exit List'!$A9,Investors!$E:$E,'Investor Exit List'!$C9,Investors!$L:$L,'Investor Exit List'!$B9)-(SUMIFS(Investors!$M:$M,Investors!$I:$I,"&lt;="&amp;'NSST Print'!$B$3,Investors!$J:$J,"&gt;"&amp;'NSST Print'!$B$3,Investors!$A:$A,'Investor Exit List'!$A9,Investors!$E:$E,'Investor Exit List'!$C9,Investors!$L:$L,'Investor Exit List'!$B9)+SUMIFS(Investors!$M:$M,Investors!$I:$I,"&lt;="&amp;'NSST Print'!$B$3,Investors!$J:$J,"",Investors!$A:$A,'Investor Exit List'!$A9,Investors!$E:$E,'Investor Exit List'!$C9,Investors!$L:$L,'Investor Exit List'!$B9))+SUMIFS(Investors!$S:$S,Investors!$O:$O,FALSE,Investors!$P:$P,FALSE,Investors!$K:$K,"&gt;"&amp;'NSST Print'!$B$3,Investors!$I:$I,"&lt;="&amp;'NSST Print'!$B$3,Investors!$A:$A,'Investor Exit List'!$A9,Investors!$E:$E,'Investor Exit List'!$C9,Investors!$L:$L,'Investor Exit List'!$B9)-(SUMIFS(Investors!$S:$S,Investors!$I:$I,"&lt;="&amp;'NSST Print'!$B$3,Investors!$J:$J,"&gt;"&amp;'NSST Print'!$B$3,Investors!$A:$A,'Investor Exit List'!$A9,Investors!$E:$E,'Investor Exit List'!$C9,Investors!$L:$L,'Investor Exit List'!$B9)+SUMIFS(Investors!$S:$S,Investors!$I:$I,"&lt;="&amp;'NSST Print'!$B$3,Investors!$J:$J,"",Investors!$A:$A,'Investor Exit List'!$A9,Investors!$E:$E,'Investor Exit List'!$C9,Investors!$L:$L,'Investor Exit List'!$B9))</f>
        <v/>
      </c>
      <c r="R9" s="90">
        <f>IF(AND(H9=TRUE,I9=FALSE),Q9,0)</f>
        <v/>
      </c>
      <c r="S9" s="90">
        <f>SUMIFS(Investors!$M:$M,Investors!$O:$O,TRUE,Investors!$A:$A,'Investor Exit List'!$A9,Investors!$E:$E,'Investor Exit List'!$C9,Investors!$L:$L,'Investor Exit List'!$B9)+SUMIFS(Investors!$S:$S,Investors!$O:$O,TRUE,Investors!$A:$A,'Investor Exit List'!$A9,Investors!$E:$E,'Investor Exit List'!$C9,Investors!$L:$L,'Investor Exit List'!$B9)</f>
        <v/>
      </c>
      <c r="T9" s="91">
        <f>IF(U9=TRUE,$J9,"")</f>
        <v/>
      </c>
      <c r="U9" s="89" t="b">
        <v>0</v>
      </c>
      <c r="V9" s="90">
        <f>IF(AND(H9=TRUE,OR(K9="",K9&gt;M9)),S9,0)</f>
        <v/>
      </c>
      <c r="W9" s="89" t="n">
        <v>0</v>
      </c>
      <c r="X9" s="89" t="b">
        <v>0</v>
      </c>
    </row>
    <row r="10" hidden="1">
      <c r="A10" s="89" t="inlineStr">
        <is>
          <t>ZZYL03</t>
        </is>
      </c>
      <c r="B10" s="89" t="n">
        <v>2</v>
      </c>
      <c r="C10" s="89" t="inlineStr">
        <is>
          <t>HFA103</t>
        </is>
      </c>
      <c r="D10" s="89" t="inlineStr">
        <is>
          <t>A</t>
        </is>
      </c>
      <c r="E10" s="89" t="inlineStr">
        <is>
          <t>Zylstra Sandra Robyn</t>
        </is>
      </c>
      <c r="F10" s="90">
        <f>SUMIFS(Investors!$M:$M,Investors!$O:$O,FALSE,Investors!$P:$P,FALSE,Investors!$K:$K,"&gt;"&amp;'NSST Print'!$B$3,Investors!$I:$I,"&lt;="&amp;'NSST Print'!$B$3,Investors!$A:$A,'Investor Exit List'!$A10,Investors!$E:$E,'Investor Exit List'!$C10,Investors!$L:$L,'Investor Exit List'!$B10)-(SUMIFS(Investors!$M:$M,Investors!$I:$I,"&lt;="&amp;'NSST Print'!$B$3,Investors!$J:$J,"&gt;"&amp;'NSST Print'!$B$3,Investors!$A:$A,'Investor Exit List'!$A10,Investors!$E:$E,'Investor Exit List'!$C10,Investors!$L:$L,'Investor Exit List'!$B10)+SUMIFS(Investors!$M:$M,Investors!$I:$I,"&lt;="&amp;'NSST Print'!$B$3,Investors!$J:$J,"",Investors!$A:$A,'Investor Exit List'!$A10,Investors!$E:$E,'Investor Exit List'!$C10,Investors!$L:$L,'Investor Exit List'!$B10))</f>
        <v/>
      </c>
      <c r="G10" s="91" t="n">
        <v>44352</v>
      </c>
      <c r="H10" s="89" t="b">
        <v>1</v>
      </c>
      <c r="I10" s="89" t="b">
        <v>1</v>
      </c>
      <c r="J10" s="91" t="n">
        <v>44887</v>
      </c>
      <c r="K10" s="91">
        <f>IF(I10=TRUE,J10,"")</f>
        <v/>
      </c>
      <c r="L10" s="91">
        <f>G10+730</f>
        <v/>
      </c>
      <c r="M10" s="91" t="n">
        <v>45382</v>
      </c>
      <c r="N10" s="92">
        <f>IFERROR(IF(G10&lt;&gt;"",IF(I10=TRUE,0,IF(U10=TRUE,0,L10-M10)),0),0)</f>
        <v/>
      </c>
      <c r="O10" s="92">
        <f>IF(N10&gt;0,IF(N10&lt;=180,N10,0),0)</f>
        <v/>
      </c>
      <c r="P10" s="90">
        <f>IF(AND(N10&lt;90,N10&gt;0),Q10,0)</f>
        <v/>
      </c>
      <c r="Q10" s="90">
        <f>SUMIFS(Investors!$M:$M,Investors!$O:$O,FALSE,Investors!$P:$P,FALSE,Investors!$K:$K,"&gt;"&amp;'NSST Print'!$B$3,Investors!$I:$I,"&lt;="&amp;'NSST Print'!$B$3,Investors!$A:$A,'Investor Exit List'!$A10,Investors!$E:$E,'Investor Exit List'!$C10,Investors!$L:$L,'Investor Exit List'!$B10)-(SUMIFS(Investors!$M:$M,Investors!$I:$I,"&lt;="&amp;'NSST Print'!$B$3,Investors!$J:$J,"&gt;"&amp;'NSST Print'!$B$3,Investors!$A:$A,'Investor Exit List'!$A10,Investors!$E:$E,'Investor Exit List'!$C10,Investors!$L:$L,'Investor Exit List'!$B10)+SUMIFS(Investors!$M:$M,Investors!$I:$I,"&lt;="&amp;'NSST Print'!$B$3,Investors!$J:$J,"",Investors!$A:$A,'Investor Exit List'!$A10,Investors!$E:$E,'Investor Exit List'!$C10,Investors!$L:$L,'Investor Exit List'!$B10))+SUMIFS(Investors!$S:$S,Investors!$O:$O,FALSE,Investors!$P:$P,FALSE,Investors!$K:$K,"&gt;"&amp;'NSST Print'!$B$3,Investors!$I:$I,"&lt;="&amp;'NSST Print'!$B$3,Investors!$A:$A,'Investor Exit List'!$A10,Investors!$E:$E,'Investor Exit List'!$C10,Investors!$L:$L,'Investor Exit List'!$B10)-(SUMIFS(Investors!$S:$S,Investors!$I:$I,"&lt;="&amp;'NSST Print'!$B$3,Investors!$J:$J,"&gt;"&amp;'NSST Print'!$B$3,Investors!$A:$A,'Investor Exit List'!$A10,Investors!$E:$E,'Investor Exit List'!$C10,Investors!$L:$L,'Investor Exit List'!$B10)+SUMIFS(Investors!$S:$S,Investors!$I:$I,"&lt;="&amp;'NSST Print'!$B$3,Investors!$J:$J,"",Investors!$A:$A,'Investor Exit List'!$A10,Investors!$E:$E,'Investor Exit List'!$C10,Investors!$L:$L,'Investor Exit List'!$B10))</f>
        <v/>
      </c>
      <c r="R10" s="90">
        <f>IF(AND(H10=TRUE,I10=FALSE),Q10,0)</f>
        <v/>
      </c>
      <c r="S10" s="90">
        <f>SUMIFS(Investors!$M:$M,Investors!$O:$O,TRUE,Investors!$A:$A,'Investor Exit List'!$A10,Investors!$E:$E,'Investor Exit List'!$C10,Investors!$L:$L,'Investor Exit List'!$B10)+SUMIFS(Investors!$S:$S,Investors!$O:$O,TRUE,Investors!$A:$A,'Investor Exit List'!$A10,Investors!$E:$E,'Investor Exit List'!$C10,Investors!$L:$L,'Investor Exit List'!$B10)</f>
        <v/>
      </c>
      <c r="T10" s="91">
        <f>IF(U10=TRUE,$J10,"")</f>
        <v/>
      </c>
      <c r="U10" s="89" t="b">
        <v>0</v>
      </c>
      <c r="V10" s="90">
        <f>IF(AND(H10=TRUE,OR(K10="",K10&gt;M10)),S10,0)</f>
        <v/>
      </c>
      <c r="W10" s="89" t="n">
        <v>0</v>
      </c>
      <c r="X10" s="89" t="b">
        <v>0</v>
      </c>
    </row>
    <row r="11" hidden="1">
      <c r="A11" s="89" t="inlineStr">
        <is>
          <t>ZDEB01</t>
        </is>
      </c>
      <c r="B11" s="89" t="n">
        <v>5</v>
      </c>
      <c r="C11" s="89" t="inlineStr">
        <is>
          <t>HFA104</t>
        </is>
      </c>
      <c r="D11" s="89" t="inlineStr">
        <is>
          <t>A</t>
        </is>
      </c>
      <c r="E11" s="89" t="inlineStr">
        <is>
          <t>De Beer William Henry</t>
        </is>
      </c>
      <c r="F11" s="90">
        <f>SUMIFS(Investors!$M:$M,Investors!$O:$O,FALSE,Investors!$P:$P,FALSE,Investors!$K:$K,"&gt;"&amp;'NSST Print'!$B$3,Investors!$I:$I,"&lt;="&amp;'NSST Print'!$B$3,Investors!$A:$A,'Investor Exit List'!$A11,Investors!$E:$E,'Investor Exit List'!$C11,Investors!$L:$L,'Investor Exit List'!$B11)-(SUMIFS(Investors!$M:$M,Investors!$I:$I,"&lt;="&amp;'NSST Print'!$B$3,Investors!$J:$J,"&gt;"&amp;'NSST Print'!$B$3,Investors!$A:$A,'Investor Exit List'!$A11,Investors!$E:$E,'Investor Exit List'!$C11,Investors!$L:$L,'Investor Exit List'!$B11)+SUMIFS(Investors!$M:$M,Investors!$I:$I,"&lt;="&amp;'NSST Print'!$B$3,Investors!$J:$J,"",Investors!$A:$A,'Investor Exit List'!$A11,Investors!$E:$E,'Investor Exit List'!$C11,Investors!$L:$L,'Investor Exit List'!$B11))</f>
        <v/>
      </c>
      <c r="G11" s="91" t="n">
        <v>44352</v>
      </c>
      <c r="H11" s="89" t="b">
        <v>1</v>
      </c>
      <c r="I11" s="89" t="b">
        <v>1</v>
      </c>
      <c r="J11" s="91" t="n">
        <v>44887</v>
      </c>
      <c r="K11" s="91">
        <f>IF(I11=TRUE,J11,"")</f>
        <v/>
      </c>
      <c r="L11" s="91">
        <f>G11+730</f>
        <v/>
      </c>
      <c r="M11" s="91" t="n">
        <v>45382</v>
      </c>
      <c r="N11" s="92">
        <f>IFERROR(IF(G11&lt;&gt;"",IF(I11=TRUE,0,IF(U11=TRUE,0,L11-M11)),0),0)</f>
        <v/>
      </c>
      <c r="O11" s="92">
        <f>IF(N11&gt;0,IF(N11&lt;=180,N11,0),0)</f>
        <v/>
      </c>
      <c r="P11" s="90">
        <f>IF(AND(N11&lt;90,N11&gt;0),Q11,0)</f>
        <v/>
      </c>
      <c r="Q11" s="90">
        <f>SUMIFS(Investors!$M:$M,Investors!$O:$O,FALSE,Investors!$P:$P,FALSE,Investors!$K:$K,"&gt;"&amp;'NSST Print'!$B$3,Investors!$I:$I,"&lt;="&amp;'NSST Print'!$B$3,Investors!$A:$A,'Investor Exit List'!$A11,Investors!$E:$E,'Investor Exit List'!$C11,Investors!$L:$L,'Investor Exit List'!$B11)-(SUMIFS(Investors!$M:$M,Investors!$I:$I,"&lt;="&amp;'NSST Print'!$B$3,Investors!$J:$J,"&gt;"&amp;'NSST Print'!$B$3,Investors!$A:$A,'Investor Exit List'!$A11,Investors!$E:$E,'Investor Exit List'!$C11,Investors!$L:$L,'Investor Exit List'!$B11)+SUMIFS(Investors!$M:$M,Investors!$I:$I,"&lt;="&amp;'NSST Print'!$B$3,Investors!$J:$J,"",Investors!$A:$A,'Investor Exit List'!$A11,Investors!$E:$E,'Investor Exit List'!$C11,Investors!$L:$L,'Investor Exit List'!$B11))+SUMIFS(Investors!$S:$S,Investors!$O:$O,FALSE,Investors!$P:$P,FALSE,Investors!$K:$K,"&gt;"&amp;'NSST Print'!$B$3,Investors!$I:$I,"&lt;="&amp;'NSST Print'!$B$3,Investors!$A:$A,'Investor Exit List'!$A11,Investors!$E:$E,'Investor Exit List'!$C11,Investors!$L:$L,'Investor Exit List'!$B11)-(SUMIFS(Investors!$S:$S,Investors!$I:$I,"&lt;="&amp;'NSST Print'!$B$3,Investors!$J:$J,"&gt;"&amp;'NSST Print'!$B$3,Investors!$A:$A,'Investor Exit List'!$A11,Investors!$E:$E,'Investor Exit List'!$C11,Investors!$L:$L,'Investor Exit List'!$B11)+SUMIFS(Investors!$S:$S,Investors!$I:$I,"&lt;="&amp;'NSST Print'!$B$3,Investors!$J:$J,"",Investors!$A:$A,'Investor Exit List'!$A11,Investors!$E:$E,'Investor Exit List'!$C11,Investors!$L:$L,'Investor Exit List'!$B11))</f>
        <v/>
      </c>
      <c r="R11" s="90">
        <f>IF(AND(H11=TRUE,I11=FALSE),Q11,0)</f>
        <v/>
      </c>
      <c r="S11" s="90">
        <f>SUMIFS(Investors!$M:$M,Investors!$O:$O,TRUE,Investors!$A:$A,'Investor Exit List'!$A11,Investors!$E:$E,'Investor Exit List'!$C11,Investors!$L:$L,'Investor Exit List'!$B11)+SUMIFS(Investors!$S:$S,Investors!$O:$O,TRUE,Investors!$A:$A,'Investor Exit List'!$A11,Investors!$E:$E,'Investor Exit List'!$C11,Investors!$L:$L,'Investor Exit List'!$B11)</f>
        <v/>
      </c>
      <c r="T11" s="91">
        <f>IF(U11=TRUE,$J11,"")</f>
        <v/>
      </c>
      <c r="U11" s="89" t="b">
        <v>0</v>
      </c>
      <c r="V11" s="90">
        <f>IF(AND(H11=TRUE,OR(K11="",K11&gt;M11)),S11,0)</f>
        <v/>
      </c>
      <c r="W11" s="89" t="n">
        <v>0</v>
      </c>
      <c r="X11" s="89" t="b">
        <v>0</v>
      </c>
    </row>
    <row r="12" hidden="1">
      <c r="A12" s="89" t="inlineStr">
        <is>
          <t>ZBLO01</t>
        </is>
      </c>
      <c r="B12" s="89" t="n">
        <v>1</v>
      </c>
      <c r="C12" s="89" t="inlineStr">
        <is>
          <t>HFA105</t>
        </is>
      </c>
      <c r="D12" s="89" t="inlineStr">
        <is>
          <t>A</t>
        </is>
      </c>
      <c r="E12" s="89" t="inlineStr">
        <is>
          <t>Blows Robert Errol</t>
        </is>
      </c>
      <c r="F12" s="90">
        <f>SUMIFS(Investors!$M:$M,Investors!$O:$O,FALSE,Investors!$P:$P,FALSE,Investors!$K:$K,"&gt;"&amp;'NSST Print'!$B$3,Investors!$I:$I,"&lt;="&amp;'NSST Print'!$B$3,Investors!$A:$A,'Investor Exit List'!$A12,Investors!$E:$E,'Investor Exit List'!$C12,Investors!$L:$L,'Investor Exit List'!$B12)-(SUMIFS(Investors!$M:$M,Investors!$I:$I,"&lt;="&amp;'NSST Print'!$B$3,Investors!$J:$J,"&gt;"&amp;'NSST Print'!$B$3,Investors!$A:$A,'Investor Exit List'!$A12,Investors!$E:$E,'Investor Exit List'!$C12,Investors!$L:$L,'Investor Exit List'!$B12)+SUMIFS(Investors!$M:$M,Investors!$I:$I,"&lt;="&amp;'NSST Print'!$B$3,Investors!$J:$J,"",Investors!$A:$A,'Investor Exit List'!$A12,Investors!$E:$E,'Investor Exit List'!$C12,Investors!$L:$L,'Investor Exit List'!$B12))</f>
        <v/>
      </c>
      <c r="G12" s="91" t="n">
        <v>44352</v>
      </c>
      <c r="H12" s="89" t="b">
        <v>1</v>
      </c>
      <c r="I12" s="89" t="b">
        <v>1</v>
      </c>
      <c r="J12" s="91" t="n">
        <v>44887</v>
      </c>
      <c r="K12" s="91">
        <f>IF(I12=TRUE,J12,"")</f>
        <v/>
      </c>
      <c r="L12" s="91">
        <f>G12+730</f>
        <v/>
      </c>
      <c r="M12" s="91" t="n">
        <v>45382</v>
      </c>
      <c r="N12" s="92">
        <f>IFERROR(IF(G12&lt;&gt;"",IF(I12=TRUE,0,IF(U12=TRUE,0,L12-M12)),0),0)</f>
        <v/>
      </c>
      <c r="O12" s="92">
        <f>IF(N12&gt;0,IF(N12&lt;=180,N12,0),0)</f>
        <v/>
      </c>
      <c r="P12" s="90">
        <f>IF(AND(N12&lt;90,N12&gt;0),Q12,0)</f>
        <v/>
      </c>
      <c r="Q12" s="90">
        <f>SUMIFS(Investors!$M:$M,Investors!$O:$O,FALSE,Investors!$P:$P,FALSE,Investors!$K:$K,"&gt;"&amp;'NSST Print'!$B$3,Investors!$I:$I,"&lt;="&amp;'NSST Print'!$B$3,Investors!$A:$A,'Investor Exit List'!$A12,Investors!$E:$E,'Investor Exit List'!$C12,Investors!$L:$L,'Investor Exit List'!$B12)-(SUMIFS(Investors!$M:$M,Investors!$I:$I,"&lt;="&amp;'NSST Print'!$B$3,Investors!$J:$J,"&gt;"&amp;'NSST Print'!$B$3,Investors!$A:$A,'Investor Exit List'!$A12,Investors!$E:$E,'Investor Exit List'!$C12,Investors!$L:$L,'Investor Exit List'!$B12)+SUMIFS(Investors!$M:$M,Investors!$I:$I,"&lt;="&amp;'NSST Print'!$B$3,Investors!$J:$J,"",Investors!$A:$A,'Investor Exit List'!$A12,Investors!$E:$E,'Investor Exit List'!$C12,Investors!$L:$L,'Investor Exit List'!$B12))+SUMIFS(Investors!$S:$S,Investors!$O:$O,FALSE,Investors!$P:$P,FALSE,Investors!$K:$K,"&gt;"&amp;'NSST Print'!$B$3,Investors!$I:$I,"&lt;="&amp;'NSST Print'!$B$3,Investors!$A:$A,'Investor Exit List'!$A12,Investors!$E:$E,'Investor Exit List'!$C12,Investors!$L:$L,'Investor Exit List'!$B12)-(SUMIFS(Investors!$S:$S,Investors!$I:$I,"&lt;="&amp;'NSST Print'!$B$3,Investors!$J:$J,"&gt;"&amp;'NSST Print'!$B$3,Investors!$A:$A,'Investor Exit List'!$A12,Investors!$E:$E,'Investor Exit List'!$C12,Investors!$L:$L,'Investor Exit List'!$B12)+SUMIFS(Investors!$S:$S,Investors!$I:$I,"&lt;="&amp;'NSST Print'!$B$3,Investors!$J:$J,"",Investors!$A:$A,'Investor Exit List'!$A12,Investors!$E:$E,'Investor Exit List'!$C12,Investors!$L:$L,'Investor Exit List'!$B12))</f>
        <v/>
      </c>
      <c r="R12" s="90">
        <f>IF(AND(H12=TRUE,I12=FALSE),Q12,0)</f>
        <v/>
      </c>
      <c r="S12" s="90">
        <f>SUMIFS(Investors!$M:$M,Investors!$O:$O,TRUE,Investors!$A:$A,'Investor Exit List'!$A12,Investors!$E:$E,'Investor Exit List'!$C12,Investors!$L:$L,'Investor Exit List'!$B12)+SUMIFS(Investors!$S:$S,Investors!$O:$O,TRUE,Investors!$A:$A,'Investor Exit List'!$A12,Investors!$E:$E,'Investor Exit List'!$C12,Investors!$L:$L,'Investor Exit List'!$B12)</f>
        <v/>
      </c>
      <c r="T12" s="91">
        <f>IF(U12=TRUE,$J12,"")</f>
        <v/>
      </c>
      <c r="U12" s="89" t="b">
        <v>0</v>
      </c>
      <c r="V12" s="90">
        <f>IF(AND(H12=TRUE,OR(K12="",K12&gt;M12)),S12,0)</f>
        <v/>
      </c>
      <c r="W12" s="89" t="n">
        <v>0</v>
      </c>
      <c r="X12" s="89" t="b">
        <v>0</v>
      </c>
    </row>
    <row r="13" hidden="1">
      <c r="A13" s="89" t="inlineStr">
        <is>
          <t>ZCRO01</t>
        </is>
      </c>
      <c r="B13" s="89" t="n">
        <v>1</v>
      </c>
      <c r="C13" s="89" t="inlineStr">
        <is>
          <t>HFA105</t>
        </is>
      </c>
      <c r="D13" s="89" t="inlineStr">
        <is>
          <t>A</t>
        </is>
      </c>
      <c r="E13" s="89" t="inlineStr">
        <is>
          <t>Lunau Marc</t>
        </is>
      </c>
      <c r="F13" s="90">
        <f>SUMIFS(Investors!$M:$M,Investors!$O:$O,FALSE,Investors!$P:$P,FALSE,Investors!$K:$K,"&gt;"&amp;'NSST Print'!$B$3,Investors!$I:$I,"&lt;="&amp;'NSST Print'!$B$3,Investors!$A:$A,'Investor Exit List'!$A13,Investors!$E:$E,'Investor Exit List'!$C13,Investors!$L:$L,'Investor Exit List'!$B13)-(SUMIFS(Investors!$M:$M,Investors!$I:$I,"&lt;="&amp;'NSST Print'!$B$3,Investors!$J:$J,"&gt;"&amp;'NSST Print'!$B$3,Investors!$A:$A,'Investor Exit List'!$A13,Investors!$E:$E,'Investor Exit List'!$C13,Investors!$L:$L,'Investor Exit List'!$B13)+SUMIFS(Investors!$M:$M,Investors!$I:$I,"&lt;="&amp;'NSST Print'!$B$3,Investors!$J:$J,"",Investors!$A:$A,'Investor Exit List'!$A13,Investors!$E:$E,'Investor Exit List'!$C13,Investors!$L:$L,'Investor Exit List'!$B13))</f>
        <v/>
      </c>
      <c r="G13" s="91" t="n">
        <v>44352</v>
      </c>
      <c r="H13" s="89" t="b">
        <v>1</v>
      </c>
      <c r="I13" s="89" t="b">
        <v>1</v>
      </c>
      <c r="J13" s="91" t="n">
        <v>44887</v>
      </c>
      <c r="K13" s="91">
        <f>IF(I13=TRUE,J13,"")</f>
        <v/>
      </c>
      <c r="L13" s="91">
        <f>G13+730</f>
        <v/>
      </c>
      <c r="M13" s="91" t="n">
        <v>45382</v>
      </c>
      <c r="N13" s="92">
        <f>IFERROR(IF(G13&lt;&gt;"",IF(I13=TRUE,0,IF(U13=TRUE,0,L13-M13)),0),0)</f>
        <v/>
      </c>
      <c r="O13" s="92">
        <f>IF(N13&gt;0,IF(N13&lt;=180,N13,0),0)</f>
        <v/>
      </c>
      <c r="P13" s="90">
        <f>IF(AND(N13&lt;90,N13&gt;0),Q13,0)</f>
        <v/>
      </c>
      <c r="Q13" s="90">
        <f>SUMIFS(Investors!$M:$M,Investors!$O:$O,FALSE,Investors!$P:$P,FALSE,Investors!$K:$K,"&gt;"&amp;'NSST Print'!$B$3,Investors!$I:$I,"&lt;="&amp;'NSST Print'!$B$3,Investors!$A:$A,'Investor Exit List'!$A13,Investors!$E:$E,'Investor Exit List'!$C13,Investors!$L:$L,'Investor Exit List'!$B13)-(SUMIFS(Investors!$M:$M,Investors!$I:$I,"&lt;="&amp;'NSST Print'!$B$3,Investors!$J:$J,"&gt;"&amp;'NSST Print'!$B$3,Investors!$A:$A,'Investor Exit List'!$A13,Investors!$E:$E,'Investor Exit List'!$C13,Investors!$L:$L,'Investor Exit List'!$B13)+SUMIFS(Investors!$M:$M,Investors!$I:$I,"&lt;="&amp;'NSST Print'!$B$3,Investors!$J:$J,"",Investors!$A:$A,'Investor Exit List'!$A13,Investors!$E:$E,'Investor Exit List'!$C13,Investors!$L:$L,'Investor Exit List'!$B13))+SUMIFS(Investors!$S:$S,Investors!$O:$O,FALSE,Investors!$P:$P,FALSE,Investors!$K:$K,"&gt;"&amp;'NSST Print'!$B$3,Investors!$I:$I,"&lt;="&amp;'NSST Print'!$B$3,Investors!$A:$A,'Investor Exit List'!$A13,Investors!$E:$E,'Investor Exit List'!$C13,Investors!$L:$L,'Investor Exit List'!$B13)-(SUMIFS(Investors!$S:$S,Investors!$I:$I,"&lt;="&amp;'NSST Print'!$B$3,Investors!$J:$J,"&gt;"&amp;'NSST Print'!$B$3,Investors!$A:$A,'Investor Exit List'!$A13,Investors!$E:$E,'Investor Exit List'!$C13,Investors!$L:$L,'Investor Exit List'!$B13)+SUMIFS(Investors!$S:$S,Investors!$I:$I,"&lt;="&amp;'NSST Print'!$B$3,Investors!$J:$J,"",Investors!$A:$A,'Investor Exit List'!$A13,Investors!$E:$E,'Investor Exit List'!$C13,Investors!$L:$L,'Investor Exit List'!$B13))</f>
        <v/>
      </c>
      <c r="R13" s="90">
        <f>IF(AND(H13=TRUE,I13=FALSE),Q13,0)</f>
        <v/>
      </c>
      <c r="S13" s="90">
        <f>SUMIFS(Investors!$M:$M,Investors!$O:$O,TRUE,Investors!$A:$A,'Investor Exit List'!$A13,Investors!$E:$E,'Investor Exit List'!$C13,Investors!$L:$L,'Investor Exit List'!$B13)+SUMIFS(Investors!$S:$S,Investors!$O:$O,TRUE,Investors!$A:$A,'Investor Exit List'!$A13,Investors!$E:$E,'Investor Exit List'!$C13,Investors!$L:$L,'Investor Exit List'!$B13)</f>
        <v/>
      </c>
      <c r="T13" s="91">
        <f>IF(U13=TRUE,$J13,"")</f>
        <v/>
      </c>
      <c r="U13" s="89" t="b">
        <v>0</v>
      </c>
      <c r="V13" s="90">
        <f>IF(AND(H13=TRUE,OR(K13="",K13&gt;M13)),S13,0)</f>
        <v/>
      </c>
      <c r="W13" s="89" t="n">
        <v>0</v>
      </c>
      <c r="X13" s="89" t="b">
        <v>0</v>
      </c>
    </row>
    <row r="14" hidden="1">
      <c r="A14" s="89" t="inlineStr">
        <is>
          <t>ZDEB01</t>
        </is>
      </c>
      <c r="B14" s="89" t="n">
        <v>6</v>
      </c>
      <c r="C14" s="89" t="inlineStr">
        <is>
          <t>HFA105</t>
        </is>
      </c>
      <c r="D14" s="89" t="inlineStr">
        <is>
          <t>A</t>
        </is>
      </c>
      <c r="E14" s="89" t="inlineStr">
        <is>
          <t>De Beer William Henry</t>
        </is>
      </c>
      <c r="F14" s="90">
        <f>SUMIFS(Investors!$M:$M,Investors!$O:$O,FALSE,Investors!$P:$P,FALSE,Investors!$K:$K,"&gt;"&amp;'NSST Print'!$B$3,Investors!$I:$I,"&lt;="&amp;'NSST Print'!$B$3,Investors!$A:$A,'Investor Exit List'!$A14,Investors!$E:$E,'Investor Exit List'!$C14,Investors!$L:$L,'Investor Exit List'!$B14)-(SUMIFS(Investors!$M:$M,Investors!$I:$I,"&lt;="&amp;'NSST Print'!$B$3,Investors!$J:$J,"&gt;"&amp;'NSST Print'!$B$3,Investors!$A:$A,'Investor Exit List'!$A14,Investors!$E:$E,'Investor Exit List'!$C14,Investors!$L:$L,'Investor Exit List'!$B14)+SUMIFS(Investors!$M:$M,Investors!$I:$I,"&lt;="&amp;'NSST Print'!$B$3,Investors!$J:$J,"",Investors!$A:$A,'Investor Exit List'!$A14,Investors!$E:$E,'Investor Exit List'!$C14,Investors!$L:$L,'Investor Exit List'!$B14))</f>
        <v/>
      </c>
      <c r="G14" s="91" t="n">
        <v>44352</v>
      </c>
      <c r="H14" s="89" t="b">
        <v>1</v>
      </c>
      <c r="I14" s="89" t="b">
        <v>1</v>
      </c>
      <c r="J14" s="91" t="n">
        <v>44887</v>
      </c>
      <c r="K14" s="91">
        <f>IF(I14=TRUE,J14,"")</f>
        <v/>
      </c>
      <c r="L14" s="91">
        <f>G14+730</f>
        <v/>
      </c>
      <c r="M14" s="91" t="n">
        <v>45382</v>
      </c>
      <c r="N14" s="92">
        <f>IFERROR(IF(G14&lt;&gt;"",IF(I14=TRUE,0,IF(U14=TRUE,0,L14-M14)),0),0)</f>
        <v/>
      </c>
      <c r="O14" s="92">
        <f>IF(N14&gt;0,IF(N14&lt;=180,N14,0),0)</f>
        <v/>
      </c>
      <c r="P14" s="90">
        <f>IF(AND(N14&lt;90,N14&gt;0),Q14,0)</f>
        <v/>
      </c>
      <c r="Q14" s="90">
        <f>SUMIFS(Investors!$M:$M,Investors!$O:$O,FALSE,Investors!$P:$P,FALSE,Investors!$K:$K,"&gt;"&amp;'NSST Print'!$B$3,Investors!$I:$I,"&lt;="&amp;'NSST Print'!$B$3,Investors!$A:$A,'Investor Exit List'!$A14,Investors!$E:$E,'Investor Exit List'!$C14,Investors!$L:$L,'Investor Exit List'!$B14)-(SUMIFS(Investors!$M:$M,Investors!$I:$I,"&lt;="&amp;'NSST Print'!$B$3,Investors!$J:$J,"&gt;"&amp;'NSST Print'!$B$3,Investors!$A:$A,'Investor Exit List'!$A14,Investors!$E:$E,'Investor Exit List'!$C14,Investors!$L:$L,'Investor Exit List'!$B14)+SUMIFS(Investors!$M:$M,Investors!$I:$I,"&lt;="&amp;'NSST Print'!$B$3,Investors!$J:$J,"",Investors!$A:$A,'Investor Exit List'!$A14,Investors!$E:$E,'Investor Exit List'!$C14,Investors!$L:$L,'Investor Exit List'!$B14))+SUMIFS(Investors!$S:$S,Investors!$O:$O,FALSE,Investors!$P:$P,FALSE,Investors!$K:$K,"&gt;"&amp;'NSST Print'!$B$3,Investors!$I:$I,"&lt;="&amp;'NSST Print'!$B$3,Investors!$A:$A,'Investor Exit List'!$A14,Investors!$E:$E,'Investor Exit List'!$C14,Investors!$L:$L,'Investor Exit List'!$B14)-(SUMIFS(Investors!$S:$S,Investors!$I:$I,"&lt;="&amp;'NSST Print'!$B$3,Investors!$J:$J,"&gt;"&amp;'NSST Print'!$B$3,Investors!$A:$A,'Investor Exit List'!$A14,Investors!$E:$E,'Investor Exit List'!$C14,Investors!$L:$L,'Investor Exit List'!$B14)+SUMIFS(Investors!$S:$S,Investors!$I:$I,"&lt;="&amp;'NSST Print'!$B$3,Investors!$J:$J,"",Investors!$A:$A,'Investor Exit List'!$A14,Investors!$E:$E,'Investor Exit List'!$C14,Investors!$L:$L,'Investor Exit List'!$B14))</f>
        <v/>
      </c>
      <c r="R14" s="90">
        <f>IF(AND(H14=TRUE,I14=FALSE),Q14,0)</f>
        <v/>
      </c>
      <c r="S14" s="90">
        <f>SUMIFS(Investors!$M:$M,Investors!$O:$O,TRUE,Investors!$A:$A,'Investor Exit List'!$A14,Investors!$E:$E,'Investor Exit List'!$C14,Investors!$L:$L,'Investor Exit List'!$B14)+SUMIFS(Investors!$S:$S,Investors!$O:$O,TRUE,Investors!$A:$A,'Investor Exit List'!$A14,Investors!$E:$E,'Investor Exit List'!$C14,Investors!$L:$L,'Investor Exit List'!$B14)</f>
        <v/>
      </c>
      <c r="T14" s="91">
        <f>IF(U14=TRUE,$J14,"")</f>
        <v/>
      </c>
      <c r="U14" s="89" t="b">
        <v>0</v>
      </c>
      <c r="V14" s="90">
        <f>IF(AND(H14=TRUE,OR(K14="",K14&gt;M14)),S14,0)</f>
        <v/>
      </c>
      <c r="W14" s="89" t="n">
        <v>0</v>
      </c>
      <c r="X14" s="89" t="b">
        <v>0</v>
      </c>
    </row>
    <row r="15" hidden="1">
      <c r="A15" s="89" t="inlineStr">
        <is>
          <t>ZLAB02</t>
        </is>
      </c>
      <c r="B15" s="89" t="n">
        <v>1</v>
      </c>
      <c r="C15" s="89" t="inlineStr">
        <is>
          <t>HFA105</t>
        </is>
      </c>
      <c r="D15" s="89" t="inlineStr">
        <is>
          <t>A</t>
        </is>
      </c>
      <c r="E15" s="89" t="inlineStr">
        <is>
          <t>Labuschagne Jandre</t>
        </is>
      </c>
      <c r="F15" s="90">
        <f>SUMIFS(Investors!$M:$M,Investors!$O:$O,FALSE,Investors!$P:$P,FALSE,Investors!$K:$K,"&gt;"&amp;'NSST Print'!$B$3,Investors!$I:$I,"&lt;="&amp;'NSST Print'!$B$3,Investors!$A:$A,'Investor Exit List'!$A15,Investors!$E:$E,'Investor Exit List'!$C15,Investors!$L:$L,'Investor Exit List'!$B15)-(SUMIFS(Investors!$M:$M,Investors!$I:$I,"&lt;="&amp;'NSST Print'!$B$3,Investors!$J:$J,"&gt;"&amp;'NSST Print'!$B$3,Investors!$A:$A,'Investor Exit List'!$A15,Investors!$E:$E,'Investor Exit List'!$C15,Investors!$L:$L,'Investor Exit List'!$B15)+SUMIFS(Investors!$M:$M,Investors!$I:$I,"&lt;="&amp;'NSST Print'!$B$3,Investors!$J:$J,"",Investors!$A:$A,'Investor Exit List'!$A15,Investors!$E:$E,'Investor Exit List'!$C15,Investors!$L:$L,'Investor Exit List'!$B15))</f>
        <v/>
      </c>
      <c r="G15" s="91" t="n">
        <v>44618</v>
      </c>
      <c r="H15" s="89" t="b">
        <v>1</v>
      </c>
      <c r="I15" s="89" t="b">
        <v>1</v>
      </c>
      <c r="J15" s="91" t="n">
        <v>44887</v>
      </c>
      <c r="K15" s="91">
        <f>IF(I15=TRUE,J15,"")</f>
        <v/>
      </c>
      <c r="L15" s="91">
        <f>G15+730</f>
        <v/>
      </c>
      <c r="M15" s="91" t="n">
        <v>45382</v>
      </c>
      <c r="N15" s="92">
        <f>IFERROR(IF(G15&lt;&gt;"",IF(I15=TRUE,0,IF(U15=TRUE,0,L15-M15)),0),0)</f>
        <v/>
      </c>
      <c r="O15" s="92">
        <f>IF(N15&gt;0,IF(N15&lt;=180,N15,0),0)</f>
        <v/>
      </c>
      <c r="P15" s="90">
        <f>IF(AND(N15&lt;90,N15&gt;0),Q15,0)</f>
        <v/>
      </c>
      <c r="Q15" s="90">
        <f>SUMIFS(Investors!$M:$M,Investors!$O:$O,FALSE,Investors!$P:$P,FALSE,Investors!$K:$K,"&gt;"&amp;'NSST Print'!$B$3,Investors!$I:$I,"&lt;="&amp;'NSST Print'!$B$3,Investors!$A:$A,'Investor Exit List'!$A15,Investors!$E:$E,'Investor Exit List'!$C15,Investors!$L:$L,'Investor Exit List'!$B15)-(SUMIFS(Investors!$M:$M,Investors!$I:$I,"&lt;="&amp;'NSST Print'!$B$3,Investors!$J:$J,"&gt;"&amp;'NSST Print'!$B$3,Investors!$A:$A,'Investor Exit List'!$A15,Investors!$E:$E,'Investor Exit List'!$C15,Investors!$L:$L,'Investor Exit List'!$B15)+SUMIFS(Investors!$M:$M,Investors!$I:$I,"&lt;="&amp;'NSST Print'!$B$3,Investors!$J:$J,"",Investors!$A:$A,'Investor Exit List'!$A15,Investors!$E:$E,'Investor Exit List'!$C15,Investors!$L:$L,'Investor Exit List'!$B15))+SUMIFS(Investors!$S:$S,Investors!$O:$O,FALSE,Investors!$P:$P,FALSE,Investors!$K:$K,"&gt;"&amp;'NSST Print'!$B$3,Investors!$I:$I,"&lt;="&amp;'NSST Print'!$B$3,Investors!$A:$A,'Investor Exit List'!$A15,Investors!$E:$E,'Investor Exit List'!$C15,Investors!$L:$L,'Investor Exit List'!$B15)-(SUMIFS(Investors!$S:$S,Investors!$I:$I,"&lt;="&amp;'NSST Print'!$B$3,Investors!$J:$J,"&gt;"&amp;'NSST Print'!$B$3,Investors!$A:$A,'Investor Exit List'!$A15,Investors!$E:$E,'Investor Exit List'!$C15,Investors!$L:$L,'Investor Exit List'!$B15)+SUMIFS(Investors!$S:$S,Investors!$I:$I,"&lt;="&amp;'NSST Print'!$B$3,Investors!$J:$J,"",Investors!$A:$A,'Investor Exit List'!$A15,Investors!$E:$E,'Investor Exit List'!$C15,Investors!$L:$L,'Investor Exit List'!$B15))</f>
        <v/>
      </c>
      <c r="R15" s="90">
        <f>IF(AND(H15=TRUE,I15=FALSE),Q15,0)</f>
        <v/>
      </c>
      <c r="S15" s="90">
        <f>SUMIFS(Investors!$M:$M,Investors!$O:$O,TRUE,Investors!$A:$A,'Investor Exit List'!$A15,Investors!$E:$E,'Investor Exit List'!$C15,Investors!$L:$L,'Investor Exit List'!$B15)+SUMIFS(Investors!$S:$S,Investors!$O:$O,TRUE,Investors!$A:$A,'Investor Exit List'!$A15,Investors!$E:$E,'Investor Exit List'!$C15,Investors!$L:$L,'Investor Exit List'!$B15)</f>
        <v/>
      </c>
      <c r="T15" s="91">
        <f>IF(U15=TRUE,$J15,"")</f>
        <v/>
      </c>
      <c r="U15" s="89" t="b">
        <v>0</v>
      </c>
      <c r="V15" s="90">
        <f>IF(AND(H15=TRUE,OR(K15="",K15&gt;M15)),S15,0)</f>
        <v/>
      </c>
      <c r="W15" s="89" t="n">
        <v>0</v>
      </c>
      <c r="X15" s="89" t="b">
        <v>0</v>
      </c>
    </row>
    <row r="16" hidden="1">
      <c r="A16" s="89" t="inlineStr">
        <is>
          <t>ZLUN01</t>
        </is>
      </c>
      <c r="B16" s="89" t="n">
        <v>2</v>
      </c>
      <c r="C16" s="89" t="inlineStr">
        <is>
          <t>HFA105</t>
        </is>
      </c>
      <c r="D16" s="89" t="inlineStr">
        <is>
          <t>A</t>
        </is>
      </c>
      <c r="E16" s="89" t="inlineStr">
        <is>
          <t>Lunau Marc</t>
        </is>
      </c>
      <c r="F16" s="90">
        <f>SUMIFS(Investors!$M:$M,Investors!$O:$O,FALSE,Investors!$P:$P,FALSE,Investors!$K:$K,"&gt;"&amp;'NSST Print'!$B$3,Investors!$I:$I,"&lt;="&amp;'NSST Print'!$B$3,Investors!$A:$A,'Investor Exit List'!$A16,Investors!$E:$E,'Investor Exit List'!$C16,Investors!$L:$L,'Investor Exit List'!$B16)-(SUMIFS(Investors!$M:$M,Investors!$I:$I,"&lt;="&amp;'NSST Print'!$B$3,Investors!$J:$J,"&gt;"&amp;'NSST Print'!$B$3,Investors!$A:$A,'Investor Exit List'!$A16,Investors!$E:$E,'Investor Exit List'!$C16,Investors!$L:$L,'Investor Exit List'!$B16)+SUMIFS(Investors!$M:$M,Investors!$I:$I,"&lt;="&amp;'NSST Print'!$B$3,Investors!$J:$J,"",Investors!$A:$A,'Investor Exit List'!$A16,Investors!$E:$E,'Investor Exit List'!$C16,Investors!$L:$L,'Investor Exit List'!$B16))</f>
        <v/>
      </c>
      <c r="G16" s="91" t="n">
        <v>44352</v>
      </c>
      <c r="H16" s="89" t="b">
        <v>1</v>
      </c>
      <c r="I16" s="89" t="b">
        <v>1</v>
      </c>
      <c r="J16" s="91" t="n">
        <v>44887</v>
      </c>
      <c r="K16" s="91">
        <f>IF(I16=TRUE,J16,"")</f>
        <v/>
      </c>
      <c r="L16" s="91">
        <f>G16+730</f>
        <v/>
      </c>
      <c r="M16" s="91" t="n">
        <v>45382</v>
      </c>
      <c r="N16" s="92">
        <f>IFERROR(IF(G16&lt;&gt;"",IF(I16=TRUE,0,IF(U16=TRUE,0,L16-M16)),0),0)</f>
        <v/>
      </c>
      <c r="O16" s="92">
        <f>IF(N16&gt;0,IF(N16&lt;=180,N16,0),0)</f>
        <v/>
      </c>
      <c r="P16" s="90">
        <f>IF(AND(N16&lt;90,N16&gt;0),Q16,0)</f>
        <v/>
      </c>
      <c r="Q16" s="90">
        <f>SUMIFS(Investors!$M:$M,Investors!$O:$O,FALSE,Investors!$P:$P,FALSE,Investors!$K:$K,"&gt;"&amp;'NSST Print'!$B$3,Investors!$I:$I,"&lt;="&amp;'NSST Print'!$B$3,Investors!$A:$A,'Investor Exit List'!$A16,Investors!$E:$E,'Investor Exit List'!$C16,Investors!$L:$L,'Investor Exit List'!$B16)-(SUMIFS(Investors!$M:$M,Investors!$I:$I,"&lt;="&amp;'NSST Print'!$B$3,Investors!$J:$J,"&gt;"&amp;'NSST Print'!$B$3,Investors!$A:$A,'Investor Exit List'!$A16,Investors!$E:$E,'Investor Exit List'!$C16,Investors!$L:$L,'Investor Exit List'!$B16)+SUMIFS(Investors!$M:$M,Investors!$I:$I,"&lt;="&amp;'NSST Print'!$B$3,Investors!$J:$J,"",Investors!$A:$A,'Investor Exit List'!$A16,Investors!$E:$E,'Investor Exit List'!$C16,Investors!$L:$L,'Investor Exit List'!$B16))+SUMIFS(Investors!$S:$S,Investors!$O:$O,FALSE,Investors!$P:$P,FALSE,Investors!$K:$K,"&gt;"&amp;'NSST Print'!$B$3,Investors!$I:$I,"&lt;="&amp;'NSST Print'!$B$3,Investors!$A:$A,'Investor Exit List'!$A16,Investors!$E:$E,'Investor Exit List'!$C16,Investors!$L:$L,'Investor Exit List'!$B16)-(SUMIFS(Investors!$S:$S,Investors!$I:$I,"&lt;="&amp;'NSST Print'!$B$3,Investors!$J:$J,"&gt;"&amp;'NSST Print'!$B$3,Investors!$A:$A,'Investor Exit List'!$A16,Investors!$E:$E,'Investor Exit List'!$C16,Investors!$L:$L,'Investor Exit List'!$B16)+SUMIFS(Investors!$S:$S,Investors!$I:$I,"&lt;="&amp;'NSST Print'!$B$3,Investors!$J:$J,"",Investors!$A:$A,'Investor Exit List'!$A16,Investors!$E:$E,'Investor Exit List'!$C16,Investors!$L:$L,'Investor Exit List'!$B16))</f>
        <v/>
      </c>
      <c r="R16" s="90">
        <f>IF(AND(H16=TRUE,I16=FALSE),Q16,0)</f>
        <v/>
      </c>
      <c r="S16" s="90">
        <f>SUMIFS(Investors!$M:$M,Investors!$O:$O,TRUE,Investors!$A:$A,'Investor Exit List'!$A16,Investors!$E:$E,'Investor Exit List'!$C16,Investors!$L:$L,'Investor Exit List'!$B16)+SUMIFS(Investors!$S:$S,Investors!$O:$O,TRUE,Investors!$A:$A,'Investor Exit List'!$A16,Investors!$E:$E,'Investor Exit List'!$C16,Investors!$L:$L,'Investor Exit List'!$B16)</f>
        <v/>
      </c>
      <c r="T16" s="91">
        <f>IF(U16=TRUE,$J16,"")</f>
        <v/>
      </c>
      <c r="U16" s="89" t="b">
        <v>0</v>
      </c>
      <c r="V16" s="90">
        <f>IF(AND(H16=TRUE,OR(K16="",K16&gt;M16)),S16,0)</f>
        <v/>
      </c>
      <c r="W16" s="89" t="n">
        <v>0</v>
      </c>
      <c r="X16" s="89" t="b">
        <v>0</v>
      </c>
    </row>
    <row r="17" hidden="1">
      <c r="A17" s="89" t="inlineStr">
        <is>
          <t>ZRAN01</t>
        </is>
      </c>
      <c r="B17" s="89" t="n">
        <v>19</v>
      </c>
      <c r="C17" s="89" t="inlineStr">
        <is>
          <t>HFA105</t>
        </is>
      </c>
      <c r="D17" s="89" t="inlineStr">
        <is>
          <t>A</t>
        </is>
      </c>
      <c r="E17" s="89" t="inlineStr">
        <is>
          <t>Rankin Ross Partick Gemill</t>
        </is>
      </c>
      <c r="F17" s="90">
        <f>SUMIFS(Investors!$M:$M,Investors!$O:$O,FALSE,Investors!$P:$P,FALSE,Investors!$K:$K,"&gt;"&amp;'NSST Print'!$B$3,Investors!$I:$I,"&lt;="&amp;'NSST Print'!$B$3,Investors!$A:$A,'Investor Exit List'!$A17,Investors!$E:$E,'Investor Exit List'!$C17,Investors!$L:$L,'Investor Exit List'!$B17)-(SUMIFS(Investors!$M:$M,Investors!$I:$I,"&lt;="&amp;'NSST Print'!$B$3,Investors!$J:$J,"&gt;"&amp;'NSST Print'!$B$3,Investors!$A:$A,'Investor Exit List'!$A17,Investors!$E:$E,'Investor Exit List'!$C17,Investors!$L:$L,'Investor Exit List'!$B17)+SUMIFS(Investors!$M:$M,Investors!$I:$I,"&lt;="&amp;'NSST Print'!$B$3,Investors!$J:$J,"",Investors!$A:$A,'Investor Exit List'!$A17,Investors!$E:$E,'Investor Exit List'!$C17,Investors!$L:$L,'Investor Exit List'!$B17))</f>
        <v/>
      </c>
      <c r="G17" s="91" t="n">
        <v>44378</v>
      </c>
      <c r="H17" s="89" t="b">
        <v>1</v>
      </c>
      <c r="I17" s="89" t="b">
        <v>1</v>
      </c>
      <c r="J17" s="91" t="n">
        <v>44887</v>
      </c>
      <c r="K17" s="91">
        <f>IF(I17=TRUE,J17,"")</f>
        <v/>
      </c>
      <c r="L17" s="91">
        <f>G17+730</f>
        <v/>
      </c>
      <c r="M17" s="91" t="n">
        <v>45382</v>
      </c>
      <c r="N17" s="92">
        <f>IFERROR(IF(G17&lt;&gt;"",IF(I17=TRUE,0,IF(U17=TRUE,0,L17-M17)),0),0)</f>
        <v/>
      </c>
      <c r="O17" s="92">
        <f>IF(N17&gt;0,IF(N17&lt;=180,N17,0),0)</f>
        <v/>
      </c>
      <c r="P17" s="90">
        <f>IF(AND(N17&lt;90,N17&gt;0),Q17,0)</f>
        <v/>
      </c>
      <c r="Q17" s="90">
        <f>SUMIFS(Investors!$M:$M,Investors!$O:$O,FALSE,Investors!$P:$P,FALSE,Investors!$K:$K,"&gt;"&amp;'NSST Print'!$B$3,Investors!$I:$I,"&lt;="&amp;'NSST Print'!$B$3,Investors!$A:$A,'Investor Exit List'!$A17,Investors!$E:$E,'Investor Exit List'!$C17,Investors!$L:$L,'Investor Exit List'!$B17)-(SUMIFS(Investors!$M:$M,Investors!$I:$I,"&lt;="&amp;'NSST Print'!$B$3,Investors!$J:$J,"&gt;"&amp;'NSST Print'!$B$3,Investors!$A:$A,'Investor Exit List'!$A17,Investors!$E:$E,'Investor Exit List'!$C17,Investors!$L:$L,'Investor Exit List'!$B17)+SUMIFS(Investors!$M:$M,Investors!$I:$I,"&lt;="&amp;'NSST Print'!$B$3,Investors!$J:$J,"",Investors!$A:$A,'Investor Exit List'!$A17,Investors!$E:$E,'Investor Exit List'!$C17,Investors!$L:$L,'Investor Exit List'!$B17))+SUMIFS(Investors!$S:$S,Investors!$O:$O,FALSE,Investors!$P:$P,FALSE,Investors!$K:$K,"&gt;"&amp;'NSST Print'!$B$3,Investors!$I:$I,"&lt;="&amp;'NSST Print'!$B$3,Investors!$A:$A,'Investor Exit List'!$A17,Investors!$E:$E,'Investor Exit List'!$C17,Investors!$L:$L,'Investor Exit List'!$B17)-(SUMIFS(Investors!$S:$S,Investors!$I:$I,"&lt;="&amp;'NSST Print'!$B$3,Investors!$J:$J,"&gt;"&amp;'NSST Print'!$B$3,Investors!$A:$A,'Investor Exit List'!$A17,Investors!$E:$E,'Investor Exit List'!$C17,Investors!$L:$L,'Investor Exit List'!$B17)+SUMIFS(Investors!$S:$S,Investors!$I:$I,"&lt;="&amp;'NSST Print'!$B$3,Investors!$J:$J,"",Investors!$A:$A,'Investor Exit List'!$A17,Investors!$E:$E,'Investor Exit List'!$C17,Investors!$L:$L,'Investor Exit List'!$B17))</f>
        <v/>
      </c>
      <c r="R17" s="90">
        <f>IF(AND(H17=TRUE,I17=FALSE),Q17,0)</f>
        <v/>
      </c>
      <c r="S17" s="90">
        <f>SUMIFS(Investors!$M:$M,Investors!$O:$O,TRUE,Investors!$A:$A,'Investor Exit List'!$A17,Investors!$E:$E,'Investor Exit List'!$C17,Investors!$L:$L,'Investor Exit List'!$B17)+SUMIFS(Investors!$S:$S,Investors!$O:$O,TRUE,Investors!$A:$A,'Investor Exit List'!$A17,Investors!$E:$E,'Investor Exit List'!$C17,Investors!$L:$L,'Investor Exit List'!$B17)</f>
        <v/>
      </c>
      <c r="T17" s="91">
        <f>IF(U17=TRUE,$J17,"")</f>
        <v/>
      </c>
      <c r="U17" s="89" t="b">
        <v>0</v>
      </c>
      <c r="V17" s="90">
        <f>IF(AND(H17=TRUE,OR(K17="",K17&gt;M17)),S17,0)</f>
        <v/>
      </c>
      <c r="W17" s="89" t="n">
        <v>0</v>
      </c>
      <c r="X17" s="89" t="b">
        <v>0</v>
      </c>
    </row>
    <row r="18" hidden="1">
      <c r="A18" s="89" t="inlineStr">
        <is>
          <t>ZSPE01</t>
        </is>
      </c>
      <c r="B18" s="89" t="n">
        <v>3</v>
      </c>
      <c r="C18" s="89" t="inlineStr">
        <is>
          <t>HFA105</t>
        </is>
      </c>
      <c r="D18" s="89" t="inlineStr">
        <is>
          <t>A</t>
        </is>
      </c>
      <c r="E18" s="89" t="inlineStr">
        <is>
          <t>Speelman Mosiuoa Samuel</t>
        </is>
      </c>
      <c r="F18" s="90">
        <f>SUMIFS(Investors!$M:$M,Investors!$O:$O,FALSE,Investors!$P:$P,FALSE,Investors!$K:$K,"&gt;"&amp;'NSST Print'!$B$3,Investors!$I:$I,"&lt;="&amp;'NSST Print'!$B$3,Investors!$A:$A,'Investor Exit List'!$A18,Investors!$E:$E,'Investor Exit List'!$C18,Investors!$L:$L,'Investor Exit List'!$B18)-(SUMIFS(Investors!$M:$M,Investors!$I:$I,"&lt;="&amp;'NSST Print'!$B$3,Investors!$J:$J,"&gt;"&amp;'NSST Print'!$B$3,Investors!$A:$A,'Investor Exit List'!$A18,Investors!$E:$E,'Investor Exit List'!$C18,Investors!$L:$L,'Investor Exit List'!$B18)+SUMIFS(Investors!$M:$M,Investors!$I:$I,"&lt;="&amp;'NSST Print'!$B$3,Investors!$J:$J,"",Investors!$A:$A,'Investor Exit List'!$A18,Investors!$E:$E,'Investor Exit List'!$C18,Investors!$L:$L,'Investor Exit List'!$B18))</f>
        <v/>
      </c>
      <c r="G18" s="91" t="n">
        <v>44378</v>
      </c>
      <c r="H18" s="89" t="b">
        <v>1</v>
      </c>
      <c r="I18" s="89" t="b">
        <v>1</v>
      </c>
      <c r="J18" s="91" t="n">
        <v>44887</v>
      </c>
      <c r="K18" s="91">
        <f>IF(I18=TRUE,J18,"")</f>
        <v/>
      </c>
      <c r="L18" s="91">
        <f>G18+730</f>
        <v/>
      </c>
      <c r="M18" s="91" t="n">
        <v>45382</v>
      </c>
      <c r="N18" s="92">
        <f>IFERROR(IF(G18&lt;&gt;"",IF(I18=TRUE,0,IF(U18=TRUE,0,L18-M18)),0),0)</f>
        <v/>
      </c>
      <c r="O18" s="92">
        <f>IF(N18&gt;0,IF(N18&lt;=180,N18,0),0)</f>
        <v/>
      </c>
      <c r="P18" s="90">
        <f>IF(AND(N18&lt;90,N18&gt;0),Q18,0)</f>
        <v/>
      </c>
      <c r="Q18" s="90">
        <f>SUMIFS(Investors!$M:$M,Investors!$O:$O,FALSE,Investors!$P:$P,FALSE,Investors!$K:$K,"&gt;"&amp;'NSST Print'!$B$3,Investors!$I:$I,"&lt;="&amp;'NSST Print'!$B$3,Investors!$A:$A,'Investor Exit List'!$A18,Investors!$E:$E,'Investor Exit List'!$C18,Investors!$L:$L,'Investor Exit List'!$B18)-(SUMIFS(Investors!$M:$M,Investors!$I:$I,"&lt;="&amp;'NSST Print'!$B$3,Investors!$J:$J,"&gt;"&amp;'NSST Print'!$B$3,Investors!$A:$A,'Investor Exit List'!$A18,Investors!$E:$E,'Investor Exit List'!$C18,Investors!$L:$L,'Investor Exit List'!$B18)+SUMIFS(Investors!$M:$M,Investors!$I:$I,"&lt;="&amp;'NSST Print'!$B$3,Investors!$J:$J,"",Investors!$A:$A,'Investor Exit List'!$A18,Investors!$E:$E,'Investor Exit List'!$C18,Investors!$L:$L,'Investor Exit List'!$B18))+SUMIFS(Investors!$S:$S,Investors!$O:$O,FALSE,Investors!$P:$P,FALSE,Investors!$K:$K,"&gt;"&amp;'NSST Print'!$B$3,Investors!$I:$I,"&lt;="&amp;'NSST Print'!$B$3,Investors!$A:$A,'Investor Exit List'!$A18,Investors!$E:$E,'Investor Exit List'!$C18,Investors!$L:$L,'Investor Exit List'!$B18)-(SUMIFS(Investors!$S:$S,Investors!$I:$I,"&lt;="&amp;'NSST Print'!$B$3,Investors!$J:$J,"&gt;"&amp;'NSST Print'!$B$3,Investors!$A:$A,'Investor Exit List'!$A18,Investors!$E:$E,'Investor Exit List'!$C18,Investors!$L:$L,'Investor Exit List'!$B18)+SUMIFS(Investors!$S:$S,Investors!$I:$I,"&lt;="&amp;'NSST Print'!$B$3,Investors!$J:$J,"",Investors!$A:$A,'Investor Exit List'!$A18,Investors!$E:$E,'Investor Exit List'!$C18,Investors!$L:$L,'Investor Exit List'!$B18))</f>
        <v/>
      </c>
      <c r="R18" s="90">
        <f>IF(AND(H18=TRUE,I18=FALSE),Q18,0)</f>
        <v/>
      </c>
      <c r="S18" s="90">
        <f>SUMIFS(Investors!$M:$M,Investors!$O:$O,TRUE,Investors!$A:$A,'Investor Exit List'!$A18,Investors!$E:$E,'Investor Exit List'!$C18,Investors!$L:$L,'Investor Exit List'!$B18)+SUMIFS(Investors!$S:$S,Investors!$O:$O,TRUE,Investors!$A:$A,'Investor Exit List'!$A18,Investors!$E:$E,'Investor Exit List'!$C18,Investors!$L:$L,'Investor Exit List'!$B18)</f>
        <v/>
      </c>
      <c r="T18" s="91">
        <f>IF(U18=TRUE,$J18,"")</f>
        <v/>
      </c>
      <c r="U18" s="89" t="b">
        <v>0</v>
      </c>
      <c r="V18" s="90">
        <f>IF(AND(H18=TRUE,OR(K18="",K18&gt;M18)),S18,0)</f>
        <v/>
      </c>
      <c r="W18" s="89" t="n">
        <v>0</v>
      </c>
      <c r="X18" s="89" t="b">
        <v>0</v>
      </c>
    </row>
    <row r="19" hidden="1">
      <c r="A19" s="89" t="inlineStr">
        <is>
          <t>ZCOL01</t>
        </is>
      </c>
      <c r="B19" s="89" t="n">
        <v>2</v>
      </c>
      <c r="C19" s="89" t="inlineStr">
        <is>
          <t>HFA106</t>
        </is>
      </c>
      <c r="D19" s="89" t="inlineStr">
        <is>
          <t>A</t>
        </is>
      </c>
      <c r="E19" s="89" t="inlineStr">
        <is>
          <t>Collins Christine</t>
        </is>
      </c>
      <c r="F19" s="90">
        <f>SUMIFS(Investors!$M:$M,Investors!$O:$O,FALSE,Investors!$P:$P,FALSE,Investors!$K:$K,"&gt;"&amp;'NSST Print'!$B$3,Investors!$I:$I,"&lt;="&amp;'NSST Print'!$B$3,Investors!$A:$A,'Investor Exit List'!$A19,Investors!$E:$E,'Investor Exit List'!$C19,Investors!$L:$L,'Investor Exit List'!$B19)-(SUMIFS(Investors!$M:$M,Investors!$I:$I,"&lt;="&amp;'NSST Print'!$B$3,Investors!$J:$J,"&gt;"&amp;'NSST Print'!$B$3,Investors!$A:$A,'Investor Exit List'!$A19,Investors!$E:$E,'Investor Exit List'!$C19,Investors!$L:$L,'Investor Exit List'!$B19)+SUMIFS(Investors!$M:$M,Investors!$I:$I,"&lt;="&amp;'NSST Print'!$B$3,Investors!$J:$J,"",Investors!$A:$A,'Investor Exit List'!$A19,Investors!$E:$E,'Investor Exit List'!$C19,Investors!$L:$L,'Investor Exit List'!$B19))</f>
        <v/>
      </c>
      <c r="G19" s="91" t="n">
        <v>44352</v>
      </c>
      <c r="H19" s="89" t="b">
        <v>1</v>
      </c>
      <c r="I19" s="89" t="b">
        <v>1</v>
      </c>
      <c r="J19" s="91" t="n">
        <v>44887</v>
      </c>
      <c r="K19" s="91">
        <f>IF(I19=TRUE,J19,"")</f>
        <v/>
      </c>
      <c r="L19" s="91">
        <f>G19+730</f>
        <v/>
      </c>
      <c r="M19" s="91" t="n">
        <v>45382</v>
      </c>
      <c r="N19" s="92">
        <f>IFERROR(IF(G19&lt;&gt;"",IF(I19=TRUE,0,IF(U19=TRUE,0,L19-M19)),0),0)</f>
        <v/>
      </c>
      <c r="O19" s="92">
        <f>IF(N19&gt;0,IF(N19&lt;=180,N19,0),0)</f>
        <v/>
      </c>
      <c r="P19" s="90">
        <f>IF(AND(N19&lt;90,N19&gt;0),Q19,0)</f>
        <v/>
      </c>
      <c r="Q19" s="90">
        <f>SUMIFS(Investors!$M:$M,Investors!$O:$O,FALSE,Investors!$P:$P,FALSE,Investors!$K:$K,"&gt;"&amp;'NSST Print'!$B$3,Investors!$I:$I,"&lt;="&amp;'NSST Print'!$B$3,Investors!$A:$A,'Investor Exit List'!$A19,Investors!$E:$E,'Investor Exit List'!$C19,Investors!$L:$L,'Investor Exit List'!$B19)-(SUMIFS(Investors!$M:$M,Investors!$I:$I,"&lt;="&amp;'NSST Print'!$B$3,Investors!$J:$J,"&gt;"&amp;'NSST Print'!$B$3,Investors!$A:$A,'Investor Exit List'!$A19,Investors!$E:$E,'Investor Exit List'!$C19,Investors!$L:$L,'Investor Exit List'!$B19)+SUMIFS(Investors!$M:$M,Investors!$I:$I,"&lt;="&amp;'NSST Print'!$B$3,Investors!$J:$J,"",Investors!$A:$A,'Investor Exit List'!$A19,Investors!$E:$E,'Investor Exit List'!$C19,Investors!$L:$L,'Investor Exit List'!$B19))+SUMIFS(Investors!$S:$S,Investors!$O:$O,FALSE,Investors!$P:$P,FALSE,Investors!$K:$K,"&gt;"&amp;'NSST Print'!$B$3,Investors!$I:$I,"&lt;="&amp;'NSST Print'!$B$3,Investors!$A:$A,'Investor Exit List'!$A19,Investors!$E:$E,'Investor Exit List'!$C19,Investors!$L:$L,'Investor Exit List'!$B19)-(SUMIFS(Investors!$S:$S,Investors!$I:$I,"&lt;="&amp;'NSST Print'!$B$3,Investors!$J:$J,"&gt;"&amp;'NSST Print'!$B$3,Investors!$A:$A,'Investor Exit List'!$A19,Investors!$E:$E,'Investor Exit List'!$C19,Investors!$L:$L,'Investor Exit List'!$B19)+SUMIFS(Investors!$S:$S,Investors!$I:$I,"&lt;="&amp;'NSST Print'!$B$3,Investors!$J:$J,"",Investors!$A:$A,'Investor Exit List'!$A19,Investors!$E:$E,'Investor Exit List'!$C19,Investors!$L:$L,'Investor Exit List'!$B19))</f>
        <v/>
      </c>
      <c r="R19" s="90">
        <f>IF(AND(H19=TRUE,I19=FALSE),Q19,0)</f>
        <v/>
      </c>
      <c r="S19" s="90">
        <f>SUMIFS(Investors!$M:$M,Investors!$O:$O,TRUE,Investors!$A:$A,'Investor Exit List'!$A19,Investors!$E:$E,'Investor Exit List'!$C19,Investors!$L:$L,'Investor Exit List'!$B19)+SUMIFS(Investors!$S:$S,Investors!$O:$O,TRUE,Investors!$A:$A,'Investor Exit List'!$A19,Investors!$E:$E,'Investor Exit List'!$C19,Investors!$L:$L,'Investor Exit List'!$B19)</f>
        <v/>
      </c>
      <c r="T19" s="91">
        <f>IF(U19=TRUE,$J19,"")</f>
        <v/>
      </c>
      <c r="U19" s="89" t="b">
        <v>0</v>
      </c>
      <c r="V19" s="90">
        <f>IF(AND(H19=TRUE,OR(K19="",K19&gt;M19)),S19,0)</f>
        <v/>
      </c>
      <c r="W19" s="89" t="n">
        <v>0</v>
      </c>
      <c r="X19" s="89" t="b">
        <v>0</v>
      </c>
    </row>
    <row r="20" hidden="1">
      <c r="A20" s="89" t="inlineStr">
        <is>
          <t>ZCOL01</t>
        </is>
      </c>
      <c r="B20" s="89" t="n">
        <v>3</v>
      </c>
      <c r="C20" s="89" t="inlineStr">
        <is>
          <t>HFA106</t>
        </is>
      </c>
      <c r="D20" s="89" t="inlineStr">
        <is>
          <t>A</t>
        </is>
      </c>
      <c r="E20" s="89" t="inlineStr">
        <is>
          <t>Collins Christine</t>
        </is>
      </c>
      <c r="F20" s="90">
        <f>SUMIFS(Investors!$M:$M,Investors!$O:$O,FALSE,Investors!$P:$P,FALSE,Investors!$K:$K,"&gt;"&amp;'NSST Print'!$B$3,Investors!$I:$I,"&lt;="&amp;'NSST Print'!$B$3,Investors!$A:$A,'Investor Exit List'!$A20,Investors!$E:$E,'Investor Exit List'!$C20,Investors!$L:$L,'Investor Exit List'!$B20)-(SUMIFS(Investors!$M:$M,Investors!$I:$I,"&lt;="&amp;'NSST Print'!$B$3,Investors!$J:$J,"&gt;"&amp;'NSST Print'!$B$3,Investors!$A:$A,'Investor Exit List'!$A20,Investors!$E:$E,'Investor Exit List'!$C20,Investors!$L:$L,'Investor Exit List'!$B20)+SUMIFS(Investors!$M:$M,Investors!$I:$I,"&lt;="&amp;'NSST Print'!$B$3,Investors!$J:$J,"",Investors!$A:$A,'Investor Exit List'!$A20,Investors!$E:$E,'Investor Exit List'!$C20,Investors!$L:$L,'Investor Exit List'!$B20))</f>
        <v/>
      </c>
      <c r="G20" s="91" t="n">
        <v>44352</v>
      </c>
      <c r="H20" s="89" t="b">
        <v>1</v>
      </c>
      <c r="I20" s="89" t="b">
        <v>1</v>
      </c>
      <c r="J20" s="91" t="n">
        <v>44887</v>
      </c>
      <c r="K20" s="91">
        <f>IF(I20=TRUE,J20,"")</f>
        <v/>
      </c>
      <c r="L20" s="91">
        <f>G20+730</f>
        <v/>
      </c>
      <c r="M20" s="91" t="n">
        <v>45382</v>
      </c>
      <c r="N20" s="92">
        <f>IFERROR(IF(G20&lt;&gt;"",IF(I20=TRUE,0,IF(U20=TRUE,0,L20-M20)),0),0)</f>
        <v/>
      </c>
      <c r="O20" s="92">
        <f>IF(N20&gt;0,IF(N20&lt;=180,N20,0),0)</f>
        <v/>
      </c>
      <c r="P20" s="90">
        <f>IF(AND(N20&lt;90,N20&gt;0),Q20,0)</f>
        <v/>
      </c>
      <c r="Q20" s="90">
        <f>SUMIFS(Investors!$M:$M,Investors!$O:$O,FALSE,Investors!$P:$P,FALSE,Investors!$K:$K,"&gt;"&amp;'NSST Print'!$B$3,Investors!$I:$I,"&lt;="&amp;'NSST Print'!$B$3,Investors!$A:$A,'Investor Exit List'!$A20,Investors!$E:$E,'Investor Exit List'!$C20,Investors!$L:$L,'Investor Exit List'!$B20)-(SUMIFS(Investors!$M:$M,Investors!$I:$I,"&lt;="&amp;'NSST Print'!$B$3,Investors!$J:$J,"&gt;"&amp;'NSST Print'!$B$3,Investors!$A:$A,'Investor Exit List'!$A20,Investors!$E:$E,'Investor Exit List'!$C20,Investors!$L:$L,'Investor Exit List'!$B20)+SUMIFS(Investors!$M:$M,Investors!$I:$I,"&lt;="&amp;'NSST Print'!$B$3,Investors!$J:$J,"",Investors!$A:$A,'Investor Exit List'!$A20,Investors!$E:$E,'Investor Exit List'!$C20,Investors!$L:$L,'Investor Exit List'!$B20))+SUMIFS(Investors!$S:$S,Investors!$O:$O,FALSE,Investors!$P:$P,FALSE,Investors!$K:$K,"&gt;"&amp;'NSST Print'!$B$3,Investors!$I:$I,"&lt;="&amp;'NSST Print'!$B$3,Investors!$A:$A,'Investor Exit List'!$A20,Investors!$E:$E,'Investor Exit List'!$C20,Investors!$L:$L,'Investor Exit List'!$B20)-(SUMIFS(Investors!$S:$S,Investors!$I:$I,"&lt;="&amp;'NSST Print'!$B$3,Investors!$J:$J,"&gt;"&amp;'NSST Print'!$B$3,Investors!$A:$A,'Investor Exit List'!$A20,Investors!$E:$E,'Investor Exit List'!$C20,Investors!$L:$L,'Investor Exit List'!$B20)+SUMIFS(Investors!$S:$S,Investors!$I:$I,"&lt;="&amp;'NSST Print'!$B$3,Investors!$J:$J,"",Investors!$A:$A,'Investor Exit List'!$A20,Investors!$E:$E,'Investor Exit List'!$C20,Investors!$L:$L,'Investor Exit List'!$B20))</f>
        <v/>
      </c>
      <c r="R20" s="90">
        <f>IF(AND(H20=TRUE,I20=FALSE),Q20,0)</f>
        <v/>
      </c>
      <c r="S20" s="90">
        <f>SUMIFS(Investors!$M:$M,Investors!$O:$O,TRUE,Investors!$A:$A,'Investor Exit List'!$A20,Investors!$E:$E,'Investor Exit List'!$C20,Investors!$L:$L,'Investor Exit List'!$B20)+SUMIFS(Investors!$S:$S,Investors!$O:$O,TRUE,Investors!$A:$A,'Investor Exit List'!$A20,Investors!$E:$E,'Investor Exit List'!$C20,Investors!$L:$L,'Investor Exit List'!$B20)</f>
        <v/>
      </c>
      <c r="T20" s="91">
        <f>IF(U20=TRUE,$J20,"")</f>
        <v/>
      </c>
      <c r="U20" s="89" t="b">
        <v>0</v>
      </c>
      <c r="V20" s="90">
        <f>IF(AND(H20=TRUE,OR(K20="",K20&gt;M20)),S20,0)</f>
        <v/>
      </c>
      <c r="W20" s="89" t="n">
        <v>0</v>
      </c>
      <c r="X20" s="89" t="b">
        <v>0</v>
      </c>
    </row>
    <row r="21" hidden="1">
      <c r="A21" s="89" t="inlineStr">
        <is>
          <t>ZJOH01</t>
        </is>
      </c>
      <c r="B21" s="89" t="n">
        <v>1</v>
      </c>
      <c r="C21" s="89" t="inlineStr">
        <is>
          <t>HFA106</t>
        </is>
      </c>
      <c r="D21" s="89" t="inlineStr">
        <is>
          <t>A</t>
        </is>
      </c>
      <c r="E21" s="89" t="inlineStr">
        <is>
          <t>Johns Lisa-Marie Natalie</t>
        </is>
      </c>
      <c r="F21" s="90">
        <f>SUMIFS(Investors!$M:$M,Investors!$O:$O,FALSE,Investors!$P:$P,FALSE,Investors!$K:$K,"&gt;"&amp;'NSST Print'!$B$3,Investors!$I:$I,"&lt;="&amp;'NSST Print'!$B$3,Investors!$A:$A,'Investor Exit List'!$A21,Investors!$E:$E,'Investor Exit List'!$C21,Investors!$L:$L,'Investor Exit List'!$B21)-(SUMIFS(Investors!$M:$M,Investors!$I:$I,"&lt;="&amp;'NSST Print'!$B$3,Investors!$J:$J,"&gt;"&amp;'NSST Print'!$B$3,Investors!$A:$A,'Investor Exit List'!$A21,Investors!$E:$E,'Investor Exit List'!$C21,Investors!$L:$L,'Investor Exit List'!$B21)+SUMIFS(Investors!$M:$M,Investors!$I:$I,"&lt;="&amp;'NSST Print'!$B$3,Investors!$J:$J,"",Investors!$A:$A,'Investor Exit List'!$A21,Investors!$E:$E,'Investor Exit List'!$C21,Investors!$L:$L,'Investor Exit List'!$B21))</f>
        <v/>
      </c>
      <c r="G21" s="91" t="n">
        <v>44316</v>
      </c>
      <c r="H21" s="89" t="b">
        <v>1</v>
      </c>
      <c r="I21" s="89" t="b">
        <v>1</v>
      </c>
      <c r="J21" s="91" t="n">
        <v>44887</v>
      </c>
      <c r="K21" s="91">
        <f>IF(I21=TRUE,J21,"")</f>
        <v/>
      </c>
      <c r="L21" s="91">
        <f>G21+730</f>
        <v/>
      </c>
      <c r="M21" s="91" t="n">
        <v>45382</v>
      </c>
      <c r="N21" s="92">
        <f>IFERROR(IF(G21&lt;&gt;"",IF(I21=TRUE,0,IF(U21=TRUE,0,L21-M21)),0),0)</f>
        <v/>
      </c>
      <c r="O21" s="92">
        <f>IF(N21&gt;0,IF(N21&lt;=180,N21,0),0)</f>
        <v/>
      </c>
      <c r="P21" s="90">
        <f>IF(AND(N21&lt;90,N21&gt;0),Q21,0)</f>
        <v/>
      </c>
      <c r="Q21" s="90">
        <f>SUMIFS(Investors!$M:$M,Investors!$O:$O,FALSE,Investors!$P:$P,FALSE,Investors!$K:$K,"&gt;"&amp;'NSST Print'!$B$3,Investors!$I:$I,"&lt;="&amp;'NSST Print'!$B$3,Investors!$A:$A,'Investor Exit List'!$A21,Investors!$E:$E,'Investor Exit List'!$C21,Investors!$L:$L,'Investor Exit List'!$B21)-(SUMIFS(Investors!$M:$M,Investors!$I:$I,"&lt;="&amp;'NSST Print'!$B$3,Investors!$J:$J,"&gt;"&amp;'NSST Print'!$B$3,Investors!$A:$A,'Investor Exit List'!$A21,Investors!$E:$E,'Investor Exit List'!$C21,Investors!$L:$L,'Investor Exit List'!$B21)+SUMIFS(Investors!$M:$M,Investors!$I:$I,"&lt;="&amp;'NSST Print'!$B$3,Investors!$J:$J,"",Investors!$A:$A,'Investor Exit List'!$A21,Investors!$E:$E,'Investor Exit List'!$C21,Investors!$L:$L,'Investor Exit List'!$B21))+SUMIFS(Investors!$S:$S,Investors!$O:$O,FALSE,Investors!$P:$P,FALSE,Investors!$K:$K,"&gt;"&amp;'NSST Print'!$B$3,Investors!$I:$I,"&lt;="&amp;'NSST Print'!$B$3,Investors!$A:$A,'Investor Exit List'!$A21,Investors!$E:$E,'Investor Exit List'!$C21,Investors!$L:$L,'Investor Exit List'!$B21)-(SUMIFS(Investors!$S:$S,Investors!$I:$I,"&lt;="&amp;'NSST Print'!$B$3,Investors!$J:$J,"&gt;"&amp;'NSST Print'!$B$3,Investors!$A:$A,'Investor Exit List'!$A21,Investors!$E:$E,'Investor Exit List'!$C21,Investors!$L:$L,'Investor Exit List'!$B21)+SUMIFS(Investors!$S:$S,Investors!$I:$I,"&lt;="&amp;'NSST Print'!$B$3,Investors!$J:$J,"",Investors!$A:$A,'Investor Exit List'!$A21,Investors!$E:$E,'Investor Exit List'!$C21,Investors!$L:$L,'Investor Exit List'!$B21))</f>
        <v/>
      </c>
      <c r="R21" s="90">
        <f>IF(AND(H21=TRUE,I21=FALSE),Q21,0)</f>
        <v/>
      </c>
      <c r="S21" s="90">
        <f>SUMIFS(Investors!$M:$M,Investors!$O:$O,TRUE,Investors!$A:$A,'Investor Exit List'!$A21,Investors!$E:$E,'Investor Exit List'!$C21,Investors!$L:$L,'Investor Exit List'!$B21)+SUMIFS(Investors!$S:$S,Investors!$O:$O,TRUE,Investors!$A:$A,'Investor Exit List'!$A21,Investors!$E:$E,'Investor Exit List'!$C21,Investors!$L:$L,'Investor Exit List'!$B21)</f>
        <v/>
      </c>
      <c r="T21" s="91">
        <f>IF(U21=TRUE,$J21,"")</f>
        <v/>
      </c>
      <c r="U21" s="89" t="b">
        <v>0</v>
      </c>
      <c r="V21" s="90">
        <f>IF(AND(H21=TRUE,OR(K21="",K21&gt;M21)),S21,0)</f>
        <v/>
      </c>
      <c r="W21" s="89" t="n">
        <v>0</v>
      </c>
      <c r="X21" s="89" t="b">
        <v>0</v>
      </c>
    </row>
    <row r="22" hidden="1">
      <c r="A22" s="89" t="inlineStr">
        <is>
          <t>ZLOU01</t>
        </is>
      </c>
      <c r="B22" s="89" t="n">
        <v>1</v>
      </c>
      <c r="C22" s="89" t="inlineStr">
        <is>
          <t>HFA106</t>
        </is>
      </c>
      <c r="D22" s="89" t="inlineStr">
        <is>
          <t>A</t>
        </is>
      </c>
      <c r="E22" s="89" t="inlineStr">
        <is>
          <t>Louw Ricardo Brandon</t>
        </is>
      </c>
      <c r="F22" s="90">
        <f>SUMIFS(Investors!$M:$M,Investors!$O:$O,FALSE,Investors!$P:$P,FALSE,Investors!$K:$K,"&gt;"&amp;'NSST Print'!$B$3,Investors!$I:$I,"&lt;="&amp;'NSST Print'!$B$3,Investors!$A:$A,'Investor Exit List'!$A22,Investors!$E:$E,'Investor Exit List'!$C22,Investors!$L:$L,'Investor Exit List'!$B22)-(SUMIFS(Investors!$M:$M,Investors!$I:$I,"&lt;="&amp;'NSST Print'!$B$3,Investors!$J:$J,"&gt;"&amp;'NSST Print'!$B$3,Investors!$A:$A,'Investor Exit List'!$A22,Investors!$E:$E,'Investor Exit List'!$C22,Investors!$L:$L,'Investor Exit List'!$B22)+SUMIFS(Investors!$M:$M,Investors!$I:$I,"&lt;="&amp;'NSST Print'!$B$3,Investors!$J:$J,"",Investors!$A:$A,'Investor Exit List'!$A22,Investors!$E:$E,'Investor Exit List'!$C22,Investors!$L:$L,'Investor Exit List'!$B22))</f>
        <v/>
      </c>
      <c r="G22" s="91" t="n">
        <v>44352</v>
      </c>
      <c r="H22" s="89" t="b">
        <v>1</v>
      </c>
      <c r="I22" s="89" t="b">
        <v>1</v>
      </c>
      <c r="J22" s="91" t="n">
        <v>44887</v>
      </c>
      <c r="K22" s="91">
        <f>IF(I22=TRUE,J22,"")</f>
        <v/>
      </c>
      <c r="L22" s="91">
        <f>G22+730</f>
        <v/>
      </c>
      <c r="M22" s="91" t="n">
        <v>45382</v>
      </c>
      <c r="N22" s="92">
        <f>IFERROR(IF(G22&lt;&gt;"",IF(I22=TRUE,0,IF(U22=TRUE,0,L22-M22)),0),0)</f>
        <v/>
      </c>
      <c r="O22" s="92">
        <f>IF(N22&gt;0,IF(N22&lt;=180,N22,0),0)</f>
        <v/>
      </c>
      <c r="P22" s="90">
        <f>IF(AND(N22&lt;90,N22&gt;0),Q22,0)</f>
        <v/>
      </c>
      <c r="Q22" s="90">
        <f>SUMIFS(Investors!$M:$M,Investors!$O:$O,FALSE,Investors!$P:$P,FALSE,Investors!$K:$K,"&gt;"&amp;'NSST Print'!$B$3,Investors!$I:$I,"&lt;="&amp;'NSST Print'!$B$3,Investors!$A:$A,'Investor Exit List'!$A22,Investors!$E:$E,'Investor Exit List'!$C22,Investors!$L:$L,'Investor Exit List'!$B22)-(SUMIFS(Investors!$M:$M,Investors!$I:$I,"&lt;="&amp;'NSST Print'!$B$3,Investors!$J:$J,"&gt;"&amp;'NSST Print'!$B$3,Investors!$A:$A,'Investor Exit List'!$A22,Investors!$E:$E,'Investor Exit List'!$C22,Investors!$L:$L,'Investor Exit List'!$B22)+SUMIFS(Investors!$M:$M,Investors!$I:$I,"&lt;="&amp;'NSST Print'!$B$3,Investors!$J:$J,"",Investors!$A:$A,'Investor Exit List'!$A22,Investors!$E:$E,'Investor Exit List'!$C22,Investors!$L:$L,'Investor Exit List'!$B22))+SUMIFS(Investors!$S:$S,Investors!$O:$O,FALSE,Investors!$P:$P,FALSE,Investors!$K:$K,"&gt;"&amp;'NSST Print'!$B$3,Investors!$I:$I,"&lt;="&amp;'NSST Print'!$B$3,Investors!$A:$A,'Investor Exit List'!$A22,Investors!$E:$E,'Investor Exit List'!$C22,Investors!$L:$L,'Investor Exit List'!$B22)-(SUMIFS(Investors!$S:$S,Investors!$I:$I,"&lt;="&amp;'NSST Print'!$B$3,Investors!$J:$J,"&gt;"&amp;'NSST Print'!$B$3,Investors!$A:$A,'Investor Exit List'!$A22,Investors!$E:$E,'Investor Exit List'!$C22,Investors!$L:$L,'Investor Exit List'!$B22)+SUMIFS(Investors!$S:$S,Investors!$I:$I,"&lt;="&amp;'NSST Print'!$B$3,Investors!$J:$J,"",Investors!$A:$A,'Investor Exit List'!$A22,Investors!$E:$E,'Investor Exit List'!$C22,Investors!$L:$L,'Investor Exit List'!$B22))</f>
        <v/>
      </c>
      <c r="R22" s="90">
        <f>IF(AND(H22=TRUE,I22=FALSE),Q22,0)</f>
        <v/>
      </c>
      <c r="S22" s="90">
        <f>SUMIFS(Investors!$M:$M,Investors!$O:$O,TRUE,Investors!$A:$A,'Investor Exit List'!$A22,Investors!$E:$E,'Investor Exit List'!$C22,Investors!$L:$L,'Investor Exit List'!$B22)+SUMIFS(Investors!$S:$S,Investors!$O:$O,TRUE,Investors!$A:$A,'Investor Exit List'!$A22,Investors!$E:$E,'Investor Exit List'!$C22,Investors!$L:$L,'Investor Exit List'!$B22)</f>
        <v/>
      </c>
      <c r="T22" s="91">
        <f>IF(U22=TRUE,$J22,"")</f>
        <v/>
      </c>
      <c r="U22" s="89" t="b">
        <v>0</v>
      </c>
      <c r="V22" s="90">
        <f>IF(AND(H22=TRUE,OR(K22="",K22&gt;M22)),S22,0)</f>
        <v/>
      </c>
      <c r="W22" s="89" t="n">
        <v>0</v>
      </c>
      <c r="X22" s="89" t="b">
        <v>0</v>
      </c>
    </row>
    <row r="23" hidden="1">
      <c r="A23" s="89" t="inlineStr">
        <is>
          <t>ZVZY01</t>
        </is>
      </c>
      <c r="B23" s="89" t="n">
        <v>1</v>
      </c>
      <c r="C23" s="89" t="inlineStr">
        <is>
          <t>HFA106</t>
        </is>
      </c>
      <c r="D23" s="89" t="inlineStr">
        <is>
          <t>A</t>
        </is>
      </c>
      <c r="E23" s="89" t="inlineStr">
        <is>
          <t>van Zyl Jacques Petrus</t>
        </is>
      </c>
      <c r="F23" s="90">
        <f>SUMIFS(Investors!$M:$M,Investors!$O:$O,FALSE,Investors!$P:$P,FALSE,Investors!$K:$K,"&gt;"&amp;'NSST Print'!$B$3,Investors!$I:$I,"&lt;="&amp;'NSST Print'!$B$3,Investors!$A:$A,'Investor Exit List'!$A23,Investors!$E:$E,'Investor Exit List'!$C23,Investors!$L:$L,'Investor Exit List'!$B23)-(SUMIFS(Investors!$M:$M,Investors!$I:$I,"&lt;="&amp;'NSST Print'!$B$3,Investors!$J:$J,"&gt;"&amp;'NSST Print'!$B$3,Investors!$A:$A,'Investor Exit List'!$A23,Investors!$E:$E,'Investor Exit List'!$C23,Investors!$L:$L,'Investor Exit List'!$B23)+SUMIFS(Investors!$M:$M,Investors!$I:$I,"&lt;="&amp;'NSST Print'!$B$3,Investors!$J:$J,"",Investors!$A:$A,'Investor Exit List'!$A23,Investors!$E:$E,'Investor Exit List'!$C23,Investors!$L:$L,'Investor Exit List'!$B23))</f>
        <v/>
      </c>
      <c r="G23" s="91" t="n">
        <v>44352</v>
      </c>
      <c r="H23" s="89" t="b">
        <v>1</v>
      </c>
      <c r="I23" s="89" t="b">
        <v>1</v>
      </c>
      <c r="J23" s="91" t="n">
        <v>44887</v>
      </c>
      <c r="K23" s="91">
        <f>IF(I23=TRUE,J23,"")</f>
        <v/>
      </c>
      <c r="L23" s="91">
        <f>G23+730</f>
        <v/>
      </c>
      <c r="M23" s="91" t="n">
        <v>45382</v>
      </c>
      <c r="N23" s="92">
        <f>IFERROR(IF(G23&lt;&gt;"",IF(I23=TRUE,0,IF(U23=TRUE,0,L23-M23)),0),0)</f>
        <v/>
      </c>
      <c r="O23" s="92">
        <f>IF(N23&gt;0,IF(N23&lt;=180,N23,0),0)</f>
        <v/>
      </c>
      <c r="P23" s="90">
        <f>IF(AND(N23&lt;90,N23&gt;0),Q23,0)</f>
        <v/>
      </c>
      <c r="Q23" s="90">
        <f>SUMIFS(Investors!$M:$M,Investors!$O:$O,FALSE,Investors!$P:$P,FALSE,Investors!$K:$K,"&gt;"&amp;'NSST Print'!$B$3,Investors!$I:$I,"&lt;="&amp;'NSST Print'!$B$3,Investors!$A:$A,'Investor Exit List'!$A23,Investors!$E:$E,'Investor Exit List'!$C23,Investors!$L:$L,'Investor Exit List'!$B23)-(SUMIFS(Investors!$M:$M,Investors!$I:$I,"&lt;="&amp;'NSST Print'!$B$3,Investors!$J:$J,"&gt;"&amp;'NSST Print'!$B$3,Investors!$A:$A,'Investor Exit List'!$A23,Investors!$E:$E,'Investor Exit List'!$C23,Investors!$L:$L,'Investor Exit List'!$B23)+SUMIFS(Investors!$M:$M,Investors!$I:$I,"&lt;="&amp;'NSST Print'!$B$3,Investors!$J:$J,"",Investors!$A:$A,'Investor Exit List'!$A23,Investors!$E:$E,'Investor Exit List'!$C23,Investors!$L:$L,'Investor Exit List'!$B23))+SUMIFS(Investors!$S:$S,Investors!$O:$O,FALSE,Investors!$P:$P,FALSE,Investors!$K:$K,"&gt;"&amp;'NSST Print'!$B$3,Investors!$I:$I,"&lt;="&amp;'NSST Print'!$B$3,Investors!$A:$A,'Investor Exit List'!$A23,Investors!$E:$E,'Investor Exit List'!$C23,Investors!$L:$L,'Investor Exit List'!$B23)-(SUMIFS(Investors!$S:$S,Investors!$I:$I,"&lt;="&amp;'NSST Print'!$B$3,Investors!$J:$J,"&gt;"&amp;'NSST Print'!$B$3,Investors!$A:$A,'Investor Exit List'!$A23,Investors!$E:$E,'Investor Exit List'!$C23,Investors!$L:$L,'Investor Exit List'!$B23)+SUMIFS(Investors!$S:$S,Investors!$I:$I,"&lt;="&amp;'NSST Print'!$B$3,Investors!$J:$J,"",Investors!$A:$A,'Investor Exit List'!$A23,Investors!$E:$E,'Investor Exit List'!$C23,Investors!$L:$L,'Investor Exit List'!$B23))</f>
        <v/>
      </c>
      <c r="R23" s="90">
        <f>IF(AND(H23=TRUE,I23=FALSE),Q23,0)</f>
        <v/>
      </c>
      <c r="S23" s="90">
        <f>SUMIFS(Investors!$M:$M,Investors!$O:$O,TRUE,Investors!$A:$A,'Investor Exit List'!$A23,Investors!$E:$E,'Investor Exit List'!$C23,Investors!$L:$L,'Investor Exit List'!$B23)+SUMIFS(Investors!$S:$S,Investors!$O:$O,TRUE,Investors!$A:$A,'Investor Exit List'!$A23,Investors!$E:$E,'Investor Exit List'!$C23,Investors!$L:$L,'Investor Exit List'!$B23)</f>
        <v/>
      </c>
      <c r="T23" s="91">
        <f>IF(U23=TRUE,$J23,"")</f>
        <v/>
      </c>
      <c r="U23" s="89" t="b">
        <v>0</v>
      </c>
      <c r="V23" s="90">
        <f>IF(AND(H23=TRUE,OR(K23="",K23&gt;M23)),S23,0)</f>
        <v/>
      </c>
      <c r="W23" s="89" t="n">
        <v>0</v>
      </c>
      <c r="X23" s="89" t="b">
        <v>0</v>
      </c>
    </row>
    <row r="24" hidden="1">
      <c r="A24" s="89" t="inlineStr">
        <is>
          <t>ZDAD01</t>
        </is>
      </c>
      <c r="B24" s="89" t="n">
        <v>1</v>
      </c>
      <c r="C24" s="89" t="inlineStr">
        <is>
          <t>HFA201</t>
        </is>
      </c>
      <c r="D24" s="89" t="inlineStr">
        <is>
          <t>A</t>
        </is>
      </c>
      <c r="E24" s="89" t="inlineStr">
        <is>
          <t>Dadoo Feroz</t>
        </is>
      </c>
      <c r="F24" s="90">
        <f>SUMIFS(Investors!$M:$M,Investors!$O:$O,FALSE,Investors!$P:$P,FALSE,Investors!$K:$K,"&gt;"&amp;'NSST Print'!$B$3,Investors!$I:$I,"&lt;="&amp;'NSST Print'!$B$3,Investors!$A:$A,'Investor Exit List'!$A24,Investors!$E:$E,'Investor Exit List'!$C24,Investors!$L:$L,'Investor Exit List'!$B24)-(SUMIFS(Investors!$M:$M,Investors!$I:$I,"&lt;="&amp;'NSST Print'!$B$3,Investors!$J:$J,"&gt;"&amp;'NSST Print'!$B$3,Investors!$A:$A,'Investor Exit List'!$A24,Investors!$E:$E,'Investor Exit List'!$C24,Investors!$L:$L,'Investor Exit List'!$B24)+SUMIFS(Investors!$M:$M,Investors!$I:$I,"&lt;="&amp;'NSST Print'!$B$3,Investors!$J:$J,"",Investors!$A:$A,'Investor Exit List'!$A24,Investors!$E:$E,'Investor Exit List'!$C24,Investors!$L:$L,'Investor Exit List'!$B24))</f>
        <v/>
      </c>
      <c r="G24" s="91" t="n">
        <v>44352</v>
      </c>
      <c r="H24" s="89" t="b">
        <v>1</v>
      </c>
      <c r="I24" s="89" t="b">
        <v>1</v>
      </c>
      <c r="J24" s="91" t="n">
        <v>44887</v>
      </c>
      <c r="K24" s="91">
        <f>IF(I24=TRUE,J24,"")</f>
        <v/>
      </c>
      <c r="L24" s="91">
        <f>G24+730</f>
        <v/>
      </c>
      <c r="M24" s="91" t="n">
        <v>45382</v>
      </c>
      <c r="N24" s="92">
        <f>IFERROR(IF(G24&lt;&gt;"",IF(I24=TRUE,0,IF(U24=TRUE,0,L24-M24)),0),0)</f>
        <v/>
      </c>
      <c r="O24" s="92">
        <f>IF(N24&gt;0,IF(N24&lt;=180,N24,0),0)</f>
        <v/>
      </c>
      <c r="P24" s="90">
        <f>IF(AND(N24&lt;90,N24&gt;0),Q24,0)</f>
        <v/>
      </c>
      <c r="Q24" s="90">
        <f>SUMIFS(Investors!$M:$M,Investors!$O:$O,FALSE,Investors!$P:$P,FALSE,Investors!$K:$K,"&gt;"&amp;'NSST Print'!$B$3,Investors!$I:$I,"&lt;="&amp;'NSST Print'!$B$3,Investors!$A:$A,'Investor Exit List'!$A24,Investors!$E:$E,'Investor Exit List'!$C24,Investors!$L:$L,'Investor Exit List'!$B24)-(SUMIFS(Investors!$M:$M,Investors!$I:$I,"&lt;="&amp;'NSST Print'!$B$3,Investors!$J:$J,"&gt;"&amp;'NSST Print'!$B$3,Investors!$A:$A,'Investor Exit List'!$A24,Investors!$E:$E,'Investor Exit List'!$C24,Investors!$L:$L,'Investor Exit List'!$B24)+SUMIFS(Investors!$M:$M,Investors!$I:$I,"&lt;="&amp;'NSST Print'!$B$3,Investors!$J:$J,"",Investors!$A:$A,'Investor Exit List'!$A24,Investors!$E:$E,'Investor Exit List'!$C24,Investors!$L:$L,'Investor Exit List'!$B24))+SUMIFS(Investors!$S:$S,Investors!$O:$O,FALSE,Investors!$P:$P,FALSE,Investors!$K:$K,"&gt;"&amp;'NSST Print'!$B$3,Investors!$I:$I,"&lt;="&amp;'NSST Print'!$B$3,Investors!$A:$A,'Investor Exit List'!$A24,Investors!$E:$E,'Investor Exit List'!$C24,Investors!$L:$L,'Investor Exit List'!$B24)-(SUMIFS(Investors!$S:$S,Investors!$I:$I,"&lt;="&amp;'NSST Print'!$B$3,Investors!$J:$J,"&gt;"&amp;'NSST Print'!$B$3,Investors!$A:$A,'Investor Exit List'!$A24,Investors!$E:$E,'Investor Exit List'!$C24,Investors!$L:$L,'Investor Exit List'!$B24)+SUMIFS(Investors!$S:$S,Investors!$I:$I,"&lt;="&amp;'NSST Print'!$B$3,Investors!$J:$J,"",Investors!$A:$A,'Investor Exit List'!$A24,Investors!$E:$E,'Investor Exit List'!$C24,Investors!$L:$L,'Investor Exit List'!$B24))</f>
        <v/>
      </c>
      <c r="R24" s="90">
        <f>IF(AND(H24=TRUE,I24=FALSE),Q24,0)</f>
        <v/>
      </c>
      <c r="S24" s="90">
        <f>SUMIFS(Investors!$M:$M,Investors!$O:$O,TRUE,Investors!$A:$A,'Investor Exit List'!$A24,Investors!$E:$E,'Investor Exit List'!$C24,Investors!$L:$L,'Investor Exit List'!$B24)+SUMIFS(Investors!$S:$S,Investors!$O:$O,TRUE,Investors!$A:$A,'Investor Exit List'!$A24,Investors!$E:$E,'Investor Exit List'!$C24,Investors!$L:$L,'Investor Exit List'!$B24)</f>
        <v/>
      </c>
      <c r="T24" s="91">
        <f>IF(U24=TRUE,$J24,"")</f>
        <v/>
      </c>
      <c r="U24" s="89" t="b">
        <v>0</v>
      </c>
      <c r="V24" s="90">
        <f>IF(AND(H24=TRUE,OR(K24="",K24&gt;M24)),S24,0)</f>
        <v/>
      </c>
      <c r="W24" s="89" t="n">
        <v>0</v>
      </c>
      <c r="X24" s="89" t="b">
        <v>0</v>
      </c>
    </row>
    <row r="25" hidden="1">
      <c r="A25" s="89" t="inlineStr">
        <is>
          <t>ZDAM01</t>
        </is>
      </c>
      <c r="B25" s="89" t="n">
        <v>2</v>
      </c>
      <c r="C25" s="89" t="inlineStr">
        <is>
          <t>HFA201</t>
        </is>
      </c>
      <c r="D25" s="89" t="inlineStr">
        <is>
          <t>A</t>
        </is>
      </c>
      <c r="E25" s="89" t="inlineStr">
        <is>
          <t>Damane Lisbeth</t>
        </is>
      </c>
      <c r="F25" s="90">
        <f>SUMIFS(Investors!$M:$M,Investors!$O:$O,FALSE,Investors!$P:$P,FALSE,Investors!$K:$K,"&gt;"&amp;'NSST Print'!$B$3,Investors!$I:$I,"&lt;="&amp;'NSST Print'!$B$3,Investors!$A:$A,'Investor Exit List'!$A25,Investors!$E:$E,'Investor Exit List'!$C25,Investors!$L:$L,'Investor Exit List'!$B25)-(SUMIFS(Investors!$M:$M,Investors!$I:$I,"&lt;="&amp;'NSST Print'!$B$3,Investors!$J:$J,"&gt;"&amp;'NSST Print'!$B$3,Investors!$A:$A,'Investor Exit List'!$A25,Investors!$E:$E,'Investor Exit List'!$C25,Investors!$L:$L,'Investor Exit List'!$B25)+SUMIFS(Investors!$M:$M,Investors!$I:$I,"&lt;="&amp;'NSST Print'!$B$3,Investors!$J:$J,"",Investors!$A:$A,'Investor Exit List'!$A25,Investors!$E:$E,'Investor Exit List'!$C25,Investors!$L:$L,'Investor Exit List'!$B25))</f>
        <v/>
      </c>
      <c r="G25" s="91" t="n">
        <v>44316</v>
      </c>
      <c r="H25" s="89" t="b">
        <v>1</v>
      </c>
      <c r="I25" s="89" t="b">
        <v>1</v>
      </c>
      <c r="J25" s="91" t="n">
        <v>44887</v>
      </c>
      <c r="K25" s="91">
        <f>IF(I25=TRUE,J25,"")</f>
        <v/>
      </c>
      <c r="L25" s="91">
        <f>G25+730</f>
        <v/>
      </c>
      <c r="M25" s="91" t="n">
        <v>45382</v>
      </c>
      <c r="N25" s="92">
        <f>IFERROR(IF(G25&lt;&gt;"",IF(I25=TRUE,0,IF(U25=TRUE,0,L25-M25)),0),0)</f>
        <v/>
      </c>
      <c r="O25" s="92">
        <f>IF(N25&gt;0,IF(N25&lt;=180,N25,0),0)</f>
        <v/>
      </c>
      <c r="P25" s="90">
        <f>IF(AND(N25&lt;90,N25&gt;0),Q25,0)</f>
        <v/>
      </c>
      <c r="Q25" s="90">
        <f>SUMIFS(Investors!$M:$M,Investors!$O:$O,FALSE,Investors!$P:$P,FALSE,Investors!$K:$K,"&gt;"&amp;'NSST Print'!$B$3,Investors!$I:$I,"&lt;="&amp;'NSST Print'!$B$3,Investors!$A:$A,'Investor Exit List'!$A25,Investors!$E:$E,'Investor Exit List'!$C25,Investors!$L:$L,'Investor Exit List'!$B25)-(SUMIFS(Investors!$M:$M,Investors!$I:$I,"&lt;="&amp;'NSST Print'!$B$3,Investors!$J:$J,"&gt;"&amp;'NSST Print'!$B$3,Investors!$A:$A,'Investor Exit List'!$A25,Investors!$E:$E,'Investor Exit List'!$C25,Investors!$L:$L,'Investor Exit List'!$B25)+SUMIFS(Investors!$M:$M,Investors!$I:$I,"&lt;="&amp;'NSST Print'!$B$3,Investors!$J:$J,"",Investors!$A:$A,'Investor Exit List'!$A25,Investors!$E:$E,'Investor Exit List'!$C25,Investors!$L:$L,'Investor Exit List'!$B25))+SUMIFS(Investors!$S:$S,Investors!$O:$O,FALSE,Investors!$P:$P,FALSE,Investors!$K:$K,"&gt;"&amp;'NSST Print'!$B$3,Investors!$I:$I,"&lt;="&amp;'NSST Print'!$B$3,Investors!$A:$A,'Investor Exit List'!$A25,Investors!$E:$E,'Investor Exit List'!$C25,Investors!$L:$L,'Investor Exit List'!$B25)-(SUMIFS(Investors!$S:$S,Investors!$I:$I,"&lt;="&amp;'NSST Print'!$B$3,Investors!$J:$J,"&gt;"&amp;'NSST Print'!$B$3,Investors!$A:$A,'Investor Exit List'!$A25,Investors!$E:$E,'Investor Exit List'!$C25,Investors!$L:$L,'Investor Exit List'!$B25)+SUMIFS(Investors!$S:$S,Investors!$I:$I,"&lt;="&amp;'NSST Print'!$B$3,Investors!$J:$J,"",Investors!$A:$A,'Investor Exit List'!$A25,Investors!$E:$E,'Investor Exit List'!$C25,Investors!$L:$L,'Investor Exit List'!$B25))</f>
        <v/>
      </c>
      <c r="R25" s="90">
        <f>IF(AND(H25=TRUE,I25=FALSE),Q25,0)</f>
        <v/>
      </c>
      <c r="S25" s="90">
        <f>SUMIFS(Investors!$M:$M,Investors!$O:$O,TRUE,Investors!$A:$A,'Investor Exit List'!$A25,Investors!$E:$E,'Investor Exit List'!$C25,Investors!$L:$L,'Investor Exit List'!$B25)+SUMIFS(Investors!$S:$S,Investors!$O:$O,TRUE,Investors!$A:$A,'Investor Exit List'!$A25,Investors!$E:$E,'Investor Exit List'!$C25,Investors!$L:$L,'Investor Exit List'!$B25)</f>
        <v/>
      </c>
      <c r="T25" s="91">
        <f>IF(U25=TRUE,$J25,"")</f>
        <v/>
      </c>
      <c r="U25" s="89" t="b">
        <v>0</v>
      </c>
      <c r="V25" s="90">
        <f>IF(AND(H25=TRUE,OR(K25="",K25&gt;M25)),S25,0)</f>
        <v/>
      </c>
      <c r="W25" s="89" t="n">
        <v>0</v>
      </c>
      <c r="X25" s="89" t="b">
        <v>0</v>
      </c>
    </row>
    <row r="26" hidden="1">
      <c r="A26" s="89" t="inlineStr">
        <is>
          <t>ZBEL01</t>
        </is>
      </c>
      <c r="B26" s="89" t="n">
        <v>2</v>
      </c>
      <c r="C26" s="89" t="inlineStr">
        <is>
          <t>HFA202</t>
        </is>
      </c>
      <c r="D26" s="89" t="inlineStr">
        <is>
          <t>A</t>
        </is>
      </c>
      <c r="E26" s="89" t="inlineStr">
        <is>
          <t>Belford Helen Constance</t>
        </is>
      </c>
      <c r="F26" s="90">
        <f>SUMIFS(Investors!$M:$M,Investors!$O:$O,FALSE,Investors!$P:$P,FALSE,Investors!$K:$K,"&gt;"&amp;'NSST Print'!$B$3,Investors!$I:$I,"&lt;="&amp;'NSST Print'!$B$3,Investors!$A:$A,'Investor Exit List'!$A26,Investors!$E:$E,'Investor Exit List'!$C26,Investors!$L:$L,'Investor Exit List'!$B26)-(SUMIFS(Investors!$M:$M,Investors!$I:$I,"&lt;="&amp;'NSST Print'!$B$3,Investors!$J:$J,"&gt;"&amp;'NSST Print'!$B$3,Investors!$A:$A,'Investor Exit List'!$A26,Investors!$E:$E,'Investor Exit List'!$C26,Investors!$L:$L,'Investor Exit List'!$B26)+SUMIFS(Investors!$M:$M,Investors!$I:$I,"&lt;="&amp;'NSST Print'!$B$3,Investors!$J:$J,"",Investors!$A:$A,'Investor Exit List'!$A26,Investors!$E:$E,'Investor Exit List'!$C26,Investors!$L:$L,'Investor Exit List'!$B26))</f>
        <v/>
      </c>
      <c r="G26" s="91" t="n">
        <v>44316</v>
      </c>
      <c r="H26" s="89" t="b">
        <v>1</v>
      </c>
      <c r="I26" s="89" t="b">
        <v>1</v>
      </c>
      <c r="J26" s="91" t="n">
        <v>44895</v>
      </c>
      <c r="K26" s="91">
        <f>IF(I26=TRUE,J26,"")</f>
        <v/>
      </c>
      <c r="L26" s="91">
        <f>G26+730</f>
        <v/>
      </c>
      <c r="M26" s="91" t="n">
        <v>45382</v>
      </c>
      <c r="N26" s="92">
        <f>IFERROR(IF(G26&lt;&gt;"",IF(I26=TRUE,0,IF(U26=TRUE,0,L26-M26)),0),0)</f>
        <v/>
      </c>
      <c r="O26" s="92">
        <f>IF(N26&gt;0,IF(N26&lt;=180,N26,0),0)</f>
        <v/>
      </c>
      <c r="P26" s="90">
        <f>IF(AND(N26&lt;90,N26&gt;0),Q26,0)</f>
        <v/>
      </c>
      <c r="Q26" s="90">
        <f>SUMIFS(Investors!$M:$M,Investors!$O:$O,FALSE,Investors!$P:$P,FALSE,Investors!$K:$K,"&gt;"&amp;'NSST Print'!$B$3,Investors!$I:$I,"&lt;="&amp;'NSST Print'!$B$3,Investors!$A:$A,'Investor Exit List'!$A26,Investors!$E:$E,'Investor Exit List'!$C26,Investors!$L:$L,'Investor Exit List'!$B26)-(SUMIFS(Investors!$M:$M,Investors!$I:$I,"&lt;="&amp;'NSST Print'!$B$3,Investors!$J:$J,"&gt;"&amp;'NSST Print'!$B$3,Investors!$A:$A,'Investor Exit List'!$A26,Investors!$E:$E,'Investor Exit List'!$C26,Investors!$L:$L,'Investor Exit List'!$B26)+SUMIFS(Investors!$M:$M,Investors!$I:$I,"&lt;="&amp;'NSST Print'!$B$3,Investors!$J:$J,"",Investors!$A:$A,'Investor Exit List'!$A26,Investors!$E:$E,'Investor Exit List'!$C26,Investors!$L:$L,'Investor Exit List'!$B26))+SUMIFS(Investors!$S:$S,Investors!$O:$O,FALSE,Investors!$P:$P,FALSE,Investors!$K:$K,"&gt;"&amp;'NSST Print'!$B$3,Investors!$I:$I,"&lt;="&amp;'NSST Print'!$B$3,Investors!$A:$A,'Investor Exit List'!$A26,Investors!$E:$E,'Investor Exit List'!$C26,Investors!$L:$L,'Investor Exit List'!$B26)-(SUMIFS(Investors!$S:$S,Investors!$I:$I,"&lt;="&amp;'NSST Print'!$B$3,Investors!$J:$J,"&gt;"&amp;'NSST Print'!$B$3,Investors!$A:$A,'Investor Exit List'!$A26,Investors!$E:$E,'Investor Exit List'!$C26,Investors!$L:$L,'Investor Exit List'!$B26)+SUMIFS(Investors!$S:$S,Investors!$I:$I,"&lt;="&amp;'NSST Print'!$B$3,Investors!$J:$J,"",Investors!$A:$A,'Investor Exit List'!$A26,Investors!$E:$E,'Investor Exit List'!$C26,Investors!$L:$L,'Investor Exit List'!$B26))</f>
        <v/>
      </c>
      <c r="R26" s="90">
        <f>IF(AND(H26=TRUE,I26=FALSE),Q26,0)</f>
        <v/>
      </c>
      <c r="S26" s="90">
        <f>SUMIFS(Investors!$M:$M,Investors!$O:$O,TRUE,Investors!$A:$A,'Investor Exit List'!$A26,Investors!$E:$E,'Investor Exit List'!$C26,Investors!$L:$L,'Investor Exit List'!$B26)+SUMIFS(Investors!$S:$S,Investors!$O:$O,TRUE,Investors!$A:$A,'Investor Exit List'!$A26,Investors!$E:$E,'Investor Exit List'!$C26,Investors!$L:$L,'Investor Exit List'!$B26)</f>
        <v/>
      </c>
      <c r="T26" s="91">
        <f>IF(U26=TRUE,$J26,"")</f>
        <v/>
      </c>
      <c r="U26" s="89" t="b">
        <v>1</v>
      </c>
      <c r="V26" s="90">
        <f>IF(AND(H26=TRUE,OR(K26="",K26&gt;M26)),S26,0)</f>
        <v/>
      </c>
      <c r="W26" s="89" t="n">
        <v>0</v>
      </c>
      <c r="X26" s="89" t="b">
        <v>0</v>
      </c>
    </row>
    <row r="27" hidden="1">
      <c r="A27" s="89" t="inlineStr">
        <is>
          <t>ZHUN01</t>
        </is>
      </c>
      <c r="B27" s="89" t="n">
        <v>2</v>
      </c>
      <c r="C27" s="89" t="inlineStr">
        <is>
          <t>HFA202</t>
        </is>
      </c>
      <c r="D27" s="89" t="inlineStr">
        <is>
          <t>A</t>
        </is>
      </c>
      <c r="E27" s="89" t="inlineStr">
        <is>
          <t>Hunter Lance</t>
        </is>
      </c>
      <c r="F27" s="90">
        <f>SUMIFS(Investors!$M:$M,Investors!$O:$O,FALSE,Investors!$P:$P,FALSE,Investors!$K:$K,"&gt;"&amp;'NSST Print'!$B$3,Investors!$I:$I,"&lt;="&amp;'NSST Print'!$B$3,Investors!$A:$A,'Investor Exit List'!$A27,Investors!$E:$E,'Investor Exit List'!$C27,Investors!$L:$L,'Investor Exit List'!$B27)-(SUMIFS(Investors!$M:$M,Investors!$I:$I,"&lt;="&amp;'NSST Print'!$B$3,Investors!$J:$J,"&gt;"&amp;'NSST Print'!$B$3,Investors!$A:$A,'Investor Exit List'!$A27,Investors!$E:$E,'Investor Exit List'!$C27,Investors!$L:$L,'Investor Exit List'!$B27)+SUMIFS(Investors!$M:$M,Investors!$I:$I,"&lt;="&amp;'NSST Print'!$B$3,Investors!$J:$J,"",Investors!$A:$A,'Investor Exit List'!$A27,Investors!$E:$E,'Investor Exit List'!$C27,Investors!$L:$L,'Investor Exit List'!$B27))</f>
        <v/>
      </c>
      <c r="G27" s="91" t="n">
        <v>44316</v>
      </c>
      <c r="H27" s="89" t="b">
        <v>1</v>
      </c>
      <c r="I27" s="89" t="b">
        <v>1</v>
      </c>
      <c r="J27" s="91" t="n">
        <v>44895</v>
      </c>
      <c r="K27" s="91">
        <f>IF(I27=TRUE,J27,"")</f>
        <v/>
      </c>
      <c r="L27" s="91">
        <f>G27+730</f>
        <v/>
      </c>
      <c r="M27" s="91" t="n">
        <v>45382</v>
      </c>
      <c r="N27" s="92">
        <f>IFERROR(IF(G27&lt;&gt;"",IF(I27=TRUE,0,IF(U27=TRUE,0,L27-M27)),0),0)</f>
        <v/>
      </c>
      <c r="O27" s="92">
        <f>IF(N27&gt;0,IF(N27&lt;=180,N27,0),0)</f>
        <v/>
      </c>
      <c r="P27" s="90">
        <f>IF(AND(N27&lt;90,N27&gt;0),Q27,0)</f>
        <v/>
      </c>
      <c r="Q27" s="90">
        <f>SUMIFS(Investors!$M:$M,Investors!$O:$O,FALSE,Investors!$P:$P,FALSE,Investors!$K:$K,"&gt;"&amp;'NSST Print'!$B$3,Investors!$I:$I,"&lt;="&amp;'NSST Print'!$B$3,Investors!$A:$A,'Investor Exit List'!$A27,Investors!$E:$E,'Investor Exit List'!$C27,Investors!$L:$L,'Investor Exit List'!$B27)-(SUMIFS(Investors!$M:$M,Investors!$I:$I,"&lt;="&amp;'NSST Print'!$B$3,Investors!$J:$J,"&gt;"&amp;'NSST Print'!$B$3,Investors!$A:$A,'Investor Exit List'!$A27,Investors!$E:$E,'Investor Exit List'!$C27,Investors!$L:$L,'Investor Exit List'!$B27)+SUMIFS(Investors!$M:$M,Investors!$I:$I,"&lt;="&amp;'NSST Print'!$B$3,Investors!$J:$J,"",Investors!$A:$A,'Investor Exit List'!$A27,Investors!$E:$E,'Investor Exit List'!$C27,Investors!$L:$L,'Investor Exit List'!$B27))+SUMIFS(Investors!$S:$S,Investors!$O:$O,FALSE,Investors!$P:$P,FALSE,Investors!$K:$K,"&gt;"&amp;'NSST Print'!$B$3,Investors!$I:$I,"&lt;="&amp;'NSST Print'!$B$3,Investors!$A:$A,'Investor Exit List'!$A27,Investors!$E:$E,'Investor Exit List'!$C27,Investors!$L:$L,'Investor Exit List'!$B27)-(SUMIFS(Investors!$S:$S,Investors!$I:$I,"&lt;="&amp;'NSST Print'!$B$3,Investors!$J:$J,"&gt;"&amp;'NSST Print'!$B$3,Investors!$A:$A,'Investor Exit List'!$A27,Investors!$E:$E,'Investor Exit List'!$C27,Investors!$L:$L,'Investor Exit List'!$B27)+SUMIFS(Investors!$S:$S,Investors!$I:$I,"&lt;="&amp;'NSST Print'!$B$3,Investors!$J:$J,"",Investors!$A:$A,'Investor Exit List'!$A27,Investors!$E:$E,'Investor Exit List'!$C27,Investors!$L:$L,'Investor Exit List'!$B27))</f>
        <v/>
      </c>
      <c r="R27" s="90">
        <f>IF(AND(H27=TRUE,I27=FALSE),Q27,0)</f>
        <v/>
      </c>
      <c r="S27" s="90">
        <f>SUMIFS(Investors!$M:$M,Investors!$O:$O,TRUE,Investors!$A:$A,'Investor Exit List'!$A27,Investors!$E:$E,'Investor Exit List'!$C27,Investors!$L:$L,'Investor Exit List'!$B27)+SUMIFS(Investors!$S:$S,Investors!$O:$O,TRUE,Investors!$A:$A,'Investor Exit List'!$A27,Investors!$E:$E,'Investor Exit List'!$C27,Investors!$L:$L,'Investor Exit List'!$B27)</f>
        <v/>
      </c>
      <c r="T27" s="91">
        <f>IF(U27=TRUE,$J27,"")</f>
        <v/>
      </c>
      <c r="U27" s="89" t="b">
        <v>1</v>
      </c>
      <c r="V27" s="90">
        <f>IF(AND(H27=TRUE,OR(K27="",K27&gt;M27)),S27,0)</f>
        <v/>
      </c>
      <c r="W27" s="89" t="n">
        <v>0</v>
      </c>
      <c r="X27" s="89" t="b">
        <v>0</v>
      </c>
    </row>
    <row r="28" hidden="1">
      <c r="A28" s="89" t="inlineStr">
        <is>
          <t>ZHUN01</t>
        </is>
      </c>
      <c r="B28" s="89" t="n">
        <v>3</v>
      </c>
      <c r="C28" s="89" t="inlineStr">
        <is>
          <t>HFA202</t>
        </is>
      </c>
      <c r="D28" s="89" t="inlineStr">
        <is>
          <t>A</t>
        </is>
      </c>
      <c r="E28" s="89" t="inlineStr">
        <is>
          <t>Hunter Lance</t>
        </is>
      </c>
      <c r="F28" s="90">
        <f>SUMIFS(Investors!$M:$M,Investors!$O:$O,FALSE,Investors!$P:$P,FALSE,Investors!$K:$K,"&gt;"&amp;'NSST Print'!$B$3,Investors!$I:$I,"&lt;="&amp;'NSST Print'!$B$3,Investors!$A:$A,'Investor Exit List'!$A28,Investors!$E:$E,'Investor Exit List'!$C28,Investors!$L:$L,'Investor Exit List'!$B28)-(SUMIFS(Investors!$M:$M,Investors!$I:$I,"&lt;="&amp;'NSST Print'!$B$3,Investors!$J:$J,"&gt;"&amp;'NSST Print'!$B$3,Investors!$A:$A,'Investor Exit List'!$A28,Investors!$E:$E,'Investor Exit List'!$C28,Investors!$L:$L,'Investor Exit List'!$B28)+SUMIFS(Investors!$M:$M,Investors!$I:$I,"&lt;="&amp;'NSST Print'!$B$3,Investors!$J:$J,"",Investors!$A:$A,'Investor Exit List'!$A28,Investors!$E:$E,'Investor Exit List'!$C28,Investors!$L:$L,'Investor Exit List'!$B28))</f>
        <v/>
      </c>
      <c r="G28" s="91" t="n">
        <v>44316</v>
      </c>
      <c r="H28" s="89" t="b">
        <v>1</v>
      </c>
      <c r="I28" s="89" t="b">
        <v>1</v>
      </c>
      <c r="J28" s="91" t="n">
        <v>44895</v>
      </c>
      <c r="K28" s="91">
        <f>IF(I28=TRUE,J28,"")</f>
        <v/>
      </c>
      <c r="L28" s="91">
        <f>G28+730</f>
        <v/>
      </c>
      <c r="M28" s="91" t="n">
        <v>45382</v>
      </c>
      <c r="N28" s="92">
        <f>IFERROR(IF(G28&lt;&gt;"",IF(I28=TRUE,0,IF(U28=TRUE,0,L28-M28)),0),0)</f>
        <v/>
      </c>
      <c r="O28" s="92">
        <f>IF(N28&gt;0,IF(N28&lt;=180,N28,0),0)</f>
        <v/>
      </c>
      <c r="P28" s="90">
        <f>IF(AND(N28&lt;90,N28&gt;0),Q28,0)</f>
        <v/>
      </c>
      <c r="Q28" s="90">
        <f>SUMIFS(Investors!$M:$M,Investors!$O:$O,FALSE,Investors!$P:$P,FALSE,Investors!$K:$K,"&gt;"&amp;'NSST Print'!$B$3,Investors!$I:$I,"&lt;="&amp;'NSST Print'!$B$3,Investors!$A:$A,'Investor Exit List'!$A28,Investors!$E:$E,'Investor Exit List'!$C28,Investors!$L:$L,'Investor Exit List'!$B28)-(SUMIFS(Investors!$M:$M,Investors!$I:$I,"&lt;="&amp;'NSST Print'!$B$3,Investors!$J:$J,"&gt;"&amp;'NSST Print'!$B$3,Investors!$A:$A,'Investor Exit List'!$A28,Investors!$E:$E,'Investor Exit List'!$C28,Investors!$L:$L,'Investor Exit List'!$B28)+SUMIFS(Investors!$M:$M,Investors!$I:$I,"&lt;="&amp;'NSST Print'!$B$3,Investors!$J:$J,"",Investors!$A:$A,'Investor Exit List'!$A28,Investors!$E:$E,'Investor Exit List'!$C28,Investors!$L:$L,'Investor Exit List'!$B28))+SUMIFS(Investors!$S:$S,Investors!$O:$O,FALSE,Investors!$P:$P,FALSE,Investors!$K:$K,"&gt;"&amp;'NSST Print'!$B$3,Investors!$I:$I,"&lt;="&amp;'NSST Print'!$B$3,Investors!$A:$A,'Investor Exit List'!$A28,Investors!$E:$E,'Investor Exit List'!$C28,Investors!$L:$L,'Investor Exit List'!$B28)-(SUMIFS(Investors!$S:$S,Investors!$I:$I,"&lt;="&amp;'NSST Print'!$B$3,Investors!$J:$J,"&gt;"&amp;'NSST Print'!$B$3,Investors!$A:$A,'Investor Exit List'!$A28,Investors!$E:$E,'Investor Exit List'!$C28,Investors!$L:$L,'Investor Exit List'!$B28)+SUMIFS(Investors!$S:$S,Investors!$I:$I,"&lt;="&amp;'NSST Print'!$B$3,Investors!$J:$J,"",Investors!$A:$A,'Investor Exit List'!$A28,Investors!$E:$E,'Investor Exit List'!$C28,Investors!$L:$L,'Investor Exit List'!$B28))</f>
        <v/>
      </c>
      <c r="R28" s="90">
        <f>IF(AND(H28=TRUE,I28=FALSE),Q28,0)</f>
        <v/>
      </c>
      <c r="S28" s="90">
        <f>SUMIFS(Investors!$M:$M,Investors!$O:$O,TRUE,Investors!$A:$A,'Investor Exit List'!$A28,Investors!$E:$E,'Investor Exit List'!$C28,Investors!$L:$L,'Investor Exit List'!$B28)+SUMIFS(Investors!$S:$S,Investors!$O:$O,TRUE,Investors!$A:$A,'Investor Exit List'!$A28,Investors!$E:$E,'Investor Exit List'!$C28,Investors!$L:$L,'Investor Exit List'!$B28)</f>
        <v/>
      </c>
      <c r="T28" s="91">
        <f>IF(U28=TRUE,$J28,"")</f>
        <v/>
      </c>
      <c r="U28" s="89" t="b">
        <v>1</v>
      </c>
      <c r="V28" s="90">
        <f>IF(AND(H28=TRUE,OR(K28="",K28&gt;M28)),S28,0)</f>
        <v/>
      </c>
      <c r="W28" s="89" t="n">
        <v>0</v>
      </c>
      <c r="X28" s="89" t="b">
        <v>0</v>
      </c>
    </row>
    <row r="29" hidden="1">
      <c r="A29" s="89" t="inlineStr">
        <is>
          <t>ZLEW01</t>
        </is>
      </c>
      <c r="B29" s="89" t="n">
        <v>4</v>
      </c>
      <c r="C29" s="89" t="inlineStr">
        <is>
          <t>HFA202</t>
        </is>
      </c>
      <c r="D29" s="89" t="inlineStr">
        <is>
          <t>A</t>
        </is>
      </c>
      <c r="E29" s="89" t="inlineStr">
        <is>
          <t>Lewis Martina Christina</t>
        </is>
      </c>
      <c r="F29" s="90">
        <f>SUMIFS(Investors!$M:$M,Investors!$O:$O,FALSE,Investors!$P:$P,FALSE,Investors!$K:$K,"&gt;"&amp;'NSST Print'!$B$3,Investors!$I:$I,"&lt;="&amp;'NSST Print'!$B$3,Investors!$A:$A,'Investor Exit List'!$A29,Investors!$E:$E,'Investor Exit List'!$C29,Investors!$L:$L,'Investor Exit List'!$B29)-(SUMIFS(Investors!$M:$M,Investors!$I:$I,"&lt;="&amp;'NSST Print'!$B$3,Investors!$J:$J,"&gt;"&amp;'NSST Print'!$B$3,Investors!$A:$A,'Investor Exit List'!$A29,Investors!$E:$E,'Investor Exit List'!$C29,Investors!$L:$L,'Investor Exit List'!$B29)+SUMIFS(Investors!$M:$M,Investors!$I:$I,"&lt;="&amp;'NSST Print'!$B$3,Investors!$J:$J,"",Investors!$A:$A,'Investor Exit List'!$A29,Investors!$E:$E,'Investor Exit List'!$C29,Investors!$L:$L,'Investor Exit List'!$B29))</f>
        <v/>
      </c>
      <c r="G29" s="91" t="n">
        <v>44352</v>
      </c>
      <c r="H29" s="89" t="b">
        <v>1</v>
      </c>
      <c r="I29" s="89" t="b">
        <v>1</v>
      </c>
      <c r="J29" s="91" t="n">
        <v>44895</v>
      </c>
      <c r="K29" s="91">
        <f>IF(I29=TRUE,J29,"")</f>
        <v/>
      </c>
      <c r="L29" s="91">
        <f>G29+730</f>
        <v/>
      </c>
      <c r="M29" s="91" t="n">
        <v>45382</v>
      </c>
      <c r="N29" s="92">
        <f>IFERROR(IF(G29&lt;&gt;"",IF(I29=TRUE,0,IF(U29=TRUE,0,L29-M29)),0),0)</f>
        <v/>
      </c>
      <c r="O29" s="92">
        <f>IF(N29&gt;0,IF(N29&lt;=180,N29,0),0)</f>
        <v/>
      </c>
      <c r="P29" s="90">
        <f>IF(AND(N29&lt;90,N29&gt;0),Q29,0)</f>
        <v/>
      </c>
      <c r="Q29" s="90">
        <f>SUMIFS(Investors!$M:$M,Investors!$O:$O,FALSE,Investors!$P:$P,FALSE,Investors!$K:$K,"&gt;"&amp;'NSST Print'!$B$3,Investors!$I:$I,"&lt;="&amp;'NSST Print'!$B$3,Investors!$A:$A,'Investor Exit List'!$A29,Investors!$E:$E,'Investor Exit List'!$C29,Investors!$L:$L,'Investor Exit List'!$B29)-(SUMIFS(Investors!$M:$M,Investors!$I:$I,"&lt;="&amp;'NSST Print'!$B$3,Investors!$J:$J,"&gt;"&amp;'NSST Print'!$B$3,Investors!$A:$A,'Investor Exit List'!$A29,Investors!$E:$E,'Investor Exit List'!$C29,Investors!$L:$L,'Investor Exit List'!$B29)+SUMIFS(Investors!$M:$M,Investors!$I:$I,"&lt;="&amp;'NSST Print'!$B$3,Investors!$J:$J,"",Investors!$A:$A,'Investor Exit List'!$A29,Investors!$E:$E,'Investor Exit List'!$C29,Investors!$L:$L,'Investor Exit List'!$B29))+SUMIFS(Investors!$S:$S,Investors!$O:$O,FALSE,Investors!$P:$P,FALSE,Investors!$K:$K,"&gt;"&amp;'NSST Print'!$B$3,Investors!$I:$I,"&lt;="&amp;'NSST Print'!$B$3,Investors!$A:$A,'Investor Exit List'!$A29,Investors!$E:$E,'Investor Exit List'!$C29,Investors!$L:$L,'Investor Exit List'!$B29)-(SUMIFS(Investors!$S:$S,Investors!$I:$I,"&lt;="&amp;'NSST Print'!$B$3,Investors!$J:$J,"&gt;"&amp;'NSST Print'!$B$3,Investors!$A:$A,'Investor Exit List'!$A29,Investors!$E:$E,'Investor Exit List'!$C29,Investors!$L:$L,'Investor Exit List'!$B29)+SUMIFS(Investors!$S:$S,Investors!$I:$I,"&lt;="&amp;'NSST Print'!$B$3,Investors!$J:$J,"",Investors!$A:$A,'Investor Exit List'!$A29,Investors!$E:$E,'Investor Exit List'!$C29,Investors!$L:$L,'Investor Exit List'!$B29))</f>
        <v/>
      </c>
      <c r="R29" s="90">
        <f>IF(AND(H29=TRUE,I29=FALSE),Q29,0)</f>
        <v/>
      </c>
      <c r="S29" s="90">
        <f>SUMIFS(Investors!$M:$M,Investors!$O:$O,TRUE,Investors!$A:$A,'Investor Exit List'!$A29,Investors!$E:$E,'Investor Exit List'!$C29,Investors!$L:$L,'Investor Exit List'!$B29)+SUMIFS(Investors!$S:$S,Investors!$O:$O,TRUE,Investors!$A:$A,'Investor Exit List'!$A29,Investors!$E:$E,'Investor Exit List'!$C29,Investors!$L:$L,'Investor Exit List'!$B29)</f>
        <v/>
      </c>
      <c r="T29" s="91">
        <f>IF(U29=TRUE,$J29,"")</f>
        <v/>
      </c>
      <c r="U29" s="89" t="b">
        <v>1</v>
      </c>
      <c r="V29" s="90">
        <f>IF(AND(H29=TRUE,OR(K29="",K29&gt;M29)),S29,0)</f>
        <v/>
      </c>
      <c r="W29" s="89" t="n">
        <v>0</v>
      </c>
      <c r="X29" s="89" t="b">
        <v>0</v>
      </c>
    </row>
    <row r="30" hidden="1">
      <c r="A30" s="89" t="inlineStr">
        <is>
          <t>ZMAR01</t>
        </is>
      </c>
      <c r="B30" s="89" t="n">
        <v>2</v>
      </c>
      <c r="C30" s="89" t="inlineStr">
        <is>
          <t>HFA202</t>
        </is>
      </c>
      <c r="D30" s="89" t="inlineStr">
        <is>
          <t>A</t>
        </is>
      </c>
      <c r="E30" s="89" t="inlineStr">
        <is>
          <t>Martin Beverley-Ann Kinsla</t>
        </is>
      </c>
      <c r="F30" s="90">
        <f>SUMIFS(Investors!$M:$M,Investors!$O:$O,FALSE,Investors!$P:$P,FALSE,Investors!$K:$K,"&gt;"&amp;'NSST Print'!$B$3,Investors!$I:$I,"&lt;="&amp;'NSST Print'!$B$3,Investors!$A:$A,'Investor Exit List'!$A30,Investors!$E:$E,'Investor Exit List'!$C30,Investors!$L:$L,'Investor Exit List'!$B30)-(SUMIFS(Investors!$M:$M,Investors!$I:$I,"&lt;="&amp;'NSST Print'!$B$3,Investors!$J:$J,"&gt;"&amp;'NSST Print'!$B$3,Investors!$A:$A,'Investor Exit List'!$A30,Investors!$E:$E,'Investor Exit List'!$C30,Investors!$L:$L,'Investor Exit List'!$B30)+SUMIFS(Investors!$M:$M,Investors!$I:$I,"&lt;="&amp;'NSST Print'!$B$3,Investors!$J:$J,"",Investors!$A:$A,'Investor Exit List'!$A30,Investors!$E:$E,'Investor Exit List'!$C30,Investors!$L:$L,'Investor Exit List'!$B30))</f>
        <v/>
      </c>
      <c r="G30" s="91" t="n">
        <v>44316</v>
      </c>
      <c r="H30" s="89" t="b">
        <v>1</v>
      </c>
      <c r="I30" s="89" t="b">
        <v>1</v>
      </c>
      <c r="J30" s="91" t="n">
        <v>44895</v>
      </c>
      <c r="K30" s="91">
        <f>IF(I30=TRUE,J30,"")</f>
        <v/>
      </c>
      <c r="L30" s="91">
        <f>G30+730</f>
        <v/>
      </c>
      <c r="M30" s="91" t="n">
        <v>45382</v>
      </c>
      <c r="N30" s="92">
        <f>IFERROR(IF(G30&lt;&gt;"",IF(I30=TRUE,0,IF(U30=TRUE,0,L30-M30)),0),0)</f>
        <v/>
      </c>
      <c r="O30" s="92">
        <f>IF(N30&gt;0,IF(N30&lt;=180,N30,0),0)</f>
        <v/>
      </c>
      <c r="P30" s="90">
        <f>IF(AND(N30&lt;90,N30&gt;0),Q30,0)</f>
        <v/>
      </c>
      <c r="Q30" s="90">
        <f>SUMIFS(Investors!$M:$M,Investors!$O:$O,FALSE,Investors!$P:$P,FALSE,Investors!$K:$K,"&gt;"&amp;'NSST Print'!$B$3,Investors!$I:$I,"&lt;="&amp;'NSST Print'!$B$3,Investors!$A:$A,'Investor Exit List'!$A30,Investors!$E:$E,'Investor Exit List'!$C30,Investors!$L:$L,'Investor Exit List'!$B30)-(SUMIFS(Investors!$M:$M,Investors!$I:$I,"&lt;="&amp;'NSST Print'!$B$3,Investors!$J:$J,"&gt;"&amp;'NSST Print'!$B$3,Investors!$A:$A,'Investor Exit List'!$A30,Investors!$E:$E,'Investor Exit List'!$C30,Investors!$L:$L,'Investor Exit List'!$B30)+SUMIFS(Investors!$M:$M,Investors!$I:$I,"&lt;="&amp;'NSST Print'!$B$3,Investors!$J:$J,"",Investors!$A:$A,'Investor Exit List'!$A30,Investors!$E:$E,'Investor Exit List'!$C30,Investors!$L:$L,'Investor Exit List'!$B30))+SUMIFS(Investors!$S:$S,Investors!$O:$O,FALSE,Investors!$P:$P,FALSE,Investors!$K:$K,"&gt;"&amp;'NSST Print'!$B$3,Investors!$I:$I,"&lt;="&amp;'NSST Print'!$B$3,Investors!$A:$A,'Investor Exit List'!$A30,Investors!$E:$E,'Investor Exit List'!$C30,Investors!$L:$L,'Investor Exit List'!$B30)-(SUMIFS(Investors!$S:$S,Investors!$I:$I,"&lt;="&amp;'NSST Print'!$B$3,Investors!$J:$J,"&gt;"&amp;'NSST Print'!$B$3,Investors!$A:$A,'Investor Exit List'!$A30,Investors!$E:$E,'Investor Exit List'!$C30,Investors!$L:$L,'Investor Exit List'!$B30)+SUMIFS(Investors!$S:$S,Investors!$I:$I,"&lt;="&amp;'NSST Print'!$B$3,Investors!$J:$J,"",Investors!$A:$A,'Investor Exit List'!$A30,Investors!$E:$E,'Investor Exit List'!$C30,Investors!$L:$L,'Investor Exit List'!$B30))</f>
        <v/>
      </c>
      <c r="R30" s="90">
        <f>IF(AND(H30=TRUE,I30=FALSE),Q30,0)</f>
        <v/>
      </c>
      <c r="S30" s="90">
        <f>SUMIFS(Investors!$M:$M,Investors!$O:$O,TRUE,Investors!$A:$A,'Investor Exit List'!$A30,Investors!$E:$E,'Investor Exit List'!$C30,Investors!$L:$L,'Investor Exit List'!$B30)+SUMIFS(Investors!$S:$S,Investors!$O:$O,TRUE,Investors!$A:$A,'Investor Exit List'!$A30,Investors!$E:$E,'Investor Exit List'!$C30,Investors!$L:$L,'Investor Exit List'!$B30)</f>
        <v/>
      </c>
      <c r="T30" s="91">
        <f>IF(U30=TRUE,$J30,"")</f>
        <v/>
      </c>
      <c r="U30" s="89" t="b">
        <v>1</v>
      </c>
      <c r="V30" s="90">
        <f>IF(AND(H30=TRUE,OR(K30="",K30&gt;M30)),S30,0)</f>
        <v/>
      </c>
      <c r="W30" s="89" t="n">
        <v>0</v>
      </c>
      <c r="X30" s="89" t="b">
        <v>0</v>
      </c>
    </row>
    <row r="31" hidden="1">
      <c r="A31" s="89" t="inlineStr">
        <is>
          <t>ZBAR01</t>
        </is>
      </c>
      <c r="B31" s="89" t="n">
        <v>1</v>
      </c>
      <c r="C31" s="89" t="inlineStr">
        <is>
          <t>HFA203</t>
        </is>
      </c>
      <c r="D31" s="89" t="inlineStr">
        <is>
          <t>A</t>
        </is>
      </c>
      <c r="E31" s="89" t="inlineStr">
        <is>
          <t>Barr Stuart Christopher</t>
        </is>
      </c>
      <c r="F31" s="90">
        <f>SUMIFS(Investors!$M:$M,Investors!$O:$O,FALSE,Investors!$P:$P,FALSE,Investors!$K:$K,"&gt;"&amp;'NSST Print'!$B$3,Investors!$I:$I,"&lt;="&amp;'NSST Print'!$B$3,Investors!$A:$A,'Investor Exit List'!$A31,Investors!$E:$E,'Investor Exit List'!$C31,Investors!$L:$L,'Investor Exit List'!$B31)-(SUMIFS(Investors!$M:$M,Investors!$I:$I,"&lt;="&amp;'NSST Print'!$B$3,Investors!$J:$J,"&gt;"&amp;'NSST Print'!$B$3,Investors!$A:$A,'Investor Exit List'!$A31,Investors!$E:$E,'Investor Exit List'!$C31,Investors!$L:$L,'Investor Exit List'!$B31)+SUMIFS(Investors!$M:$M,Investors!$I:$I,"&lt;="&amp;'NSST Print'!$B$3,Investors!$J:$J,"",Investors!$A:$A,'Investor Exit List'!$A31,Investors!$E:$E,'Investor Exit List'!$C31,Investors!$L:$L,'Investor Exit List'!$B31))</f>
        <v/>
      </c>
      <c r="G31" s="91" t="n">
        <v>44352</v>
      </c>
      <c r="H31" s="89" t="b">
        <v>1</v>
      </c>
      <c r="I31" s="89" t="b">
        <v>1</v>
      </c>
      <c r="J31" s="91" t="n">
        <v>44897</v>
      </c>
      <c r="K31" s="91">
        <f>IF(I31=TRUE,J31,"")</f>
        <v/>
      </c>
      <c r="L31" s="91">
        <f>G31+730</f>
        <v/>
      </c>
      <c r="M31" s="91" t="n">
        <v>45382</v>
      </c>
      <c r="N31" s="92">
        <f>IFERROR(IF(G31&lt;&gt;"",IF(I31=TRUE,0,IF(U31=TRUE,0,L31-M31)),0),0)</f>
        <v/>
      </c>
      <c r="O31" s="92">
        <f>IF(N31&gt;0,IF(N31&lt;=180,N31,0),0)</f>
        <v/>
      </c>
      <c r="P31" s="90">
        <f>IF(AND(N31&lt;90,N31&gt;0),Q31,0)</f>
        <v/>
      </c>
      <c r="Q31" s="90">
        <f>SUMIFS(Investors!$M:$M,Investors!$O:$O,FALSE,Investors!$P:$P,FALSE,Investors!$K:$K,"&gt;"&amp;'NSST Print'!$B$3,Investors!$I:$I,"&lt;="&amp;'NSST Print'!$B$3,Investors!$A:$A,'Investor Exit List'!$A31,Investors!$E:$E,'Investor Exit List'!$C31,Investors!$L:$L,'Investor Exit List'!$B31)-(SUMIFS(Investors!$M:$M,Investors!$I:$I,"&lt;="&amp;'NSST Print'!$B$3,Investors!$J:$J,"&gt;"&amp;'NSST Print'!$B$3,Investors!$A:$A,'Investor Exit List'!$A31,Investors!$E:$E,'Investor Exit List'!$C31,Investors!$L:$L,'Investor Exit List'!$B31)+SUMIFS(Investors!$M:$M,Investors!$I:$I,"&lt;="&amp;'NSST Print'!$B$3,Investors!$J:$J,"",Investors!$A:$A,'Investor Exit List'!$A31,Investors!$E:$E,'Investor Exit List'!$C31,Investors!$L:$L,'Investor Exit List'!$B31))+SUMIFS(Investors!$S:$S,Investors!$O:$O,FALSE,Investors!$P:$P,FALSE,Investors!$K:$K,"&gt;"&amp;'NSST Print'!$B$3,Investors!$I:$I,"&lt;="&amp;'NSST Print'!$B$3,Investors!$A:$A,'Investor Exit List'!$A31,Investors!$E:$E,'Investor Exit List'!$C31,Investors!$L:$L,'Investor Exit List'!$B31)-(SUMIFS(Investors!$S:$S,Investors!$I:$I,"&lt;="&amp;'NSST Print'!$B$3,Investors!$J:$J,"&gt;"&amp;'NSST Print'!$B$3,Investors!$A:$A,'Investor Exit List'!$A31,Investors!$E:$E,'Investor Exit List'!$C31,Investors!$L:$L,'Investor Exit List'!$B31)+SUMIFS(Investors!$S:$S,Investors!$I:$I,"&lt;="&amp;'NSST Print'!$B$3,Investors!$J:$J,"",Investors!$A:$A,'Investor Exit List'!$A31,Investors!$E:$E,'Investor Exit List'!$C31,Investors!$L:$L,'Investor Exit List'!$B31))</f>
        <v/>
      </c>
      <c r="R31" s="90">
        <f>IF(AND(H31=TRUE,I31=FALSE),Q31,0)</f>
        <v/>
      </c>
      <c r="S31" s="90">
        <f>SUMIFS(Investors!$M:$M,Investors!$O:$O,TRUE,Investors!$A:$A,'Investor Exit List'!$A31,Investors!$E:$E,'Investor Exit List'!$C31,Investors!$L:$L,'Investor Exit List'!$B31)+SUMIFS(Investors!$S:$S,Investors!$O:$O,TRUE,Investors!$A:$A,'Investor Exit List'!$A31,Investors!$E:$E,'Investor Exit List'!$C31,Investors!$L:$L,'Investor Exit List'!$B31)</f>
        <v/>
      </c>
      <c r="T31" s="91">
        <f>IF(U31=TRUE,$J31,"")</f>
        <v/>
      </c>
      <c r="U31" s="89" t="b">
        <v>0</v>
      </c>
      <c r="V31" s="90">
        <f>IF(AND(H31=TRUE,OR(K31="",K31&gt;M31)),S31,0)</f>
        <v/>
      </c>
      <c r="W31" s="89" t="n">
        <v>0</v>
      </c>
      <c r="X31" s="89" t="b">
        <v>0</v>
      </c>
    </row>
    <row r="32" hidden="1">
      <c r="A32" s="89" t="inlineStr">
        <is>
          <t>ZDAV01</t>
        </is>
      </c>
      <c r="B32" s="89" t="n">
        <v>2</v>
      </c>
      <c r="C32" s="89" t="inlineStr">
        <is>
          <t>HFA203</t>
        </is>
      </c>
      <c r="D32" s="89" t="inlineStr">
        <is>
          <t>A</t>
        </is>
      </c>
      <c r="E32" s="89" t="inlineStr">
        <is>
          <t>Davies Heather Mary Lyn</t>
        </is>
      </c>
      <c r="F32" s="90">
        <f>SUMIFS(Investors!$M:$M,Investors!$O:$O,FALSE,Investors!$P:$P,FALSE,Investors!$K:$K,"&gt;"&amp;'NSST Print'!$B$3,Investors!$I:$I,"&lt;="&amp;'NSST Print'!$B$3,Investors!$A:$A,'Investor Exit List'!$A32,Investors!$E:$E,'Investor Exit List'!$C32,Investors!$L:$L,'Investor Exit List'!$B32)-(SUMIFS(Investors!$M:$M,Investors!$I:$I,"&lt;="&amp;'NSST Print'!$B$3,Investors!$J:$J,"&gt;"&amp;'NSST Print'!$B$3,Investors!$A:$A,'Investor Exit List'!$A32,Investors!$E:$E,'Investor Exit List'!$C32,Investors!$L:$L,'Investor Exit List'!$B32)+SUMIFS(Investors!$M:$M,Investors!$I:$I,"&lt;="&amp;'NSST Print'!$B$3,Investors!$J:$J,"",Investors!$A:$A,'Investor Exit List'!$A32,Investors!$E:$E,'Investor Exit List'!$C32,Investors!$L:$L,'Investor Exit List'!$B32))</f>
        <v/>
      </c>
      <c r="G32" s="91" t="n">
        <v>44352</v>
      </c>
      <c r="H32" s="89" t="b">
        <v>1</v>
      </c>
      <c r="I32" s="89" t="b">
        <v>1</v>
      </c>
      <c r="J32" s="91" t="n">
        <v>44897</v>
      </c>
      <c r="K32" s="91">
        <f>IF(I32=TRUE,J32,"")</f>
        <v/>
      </c>
      <c r="L32" s="91">
        <f>G32+730</f>
        <v/>
      </c>
      <c r="M32" s="91" t="n">
        <v>45382</v>
      </c>
      <c r="N32" s="92">
        <f>IFERROR(IF(G32&lt;&gt;"",IF(I32=TRUE,0,IF(U32=TRUE,0,L32-M32)),0),0)</f>
        <v/>
      </c>
      <c r="O32" s="92">
        <f>IF(N32&gt;0,IF(N32&lt;=180,N32,0),0)</f>
        <v/>
      </c>
      <c r="P32" s="90">
        <f>IF(AND(N32&lt;90,N32&gt;0),Q32,0)</f>
        <v/>
      </c>
      <c r="Q32" s="90">
        <f>SUMIFS(Investors!$M:$M,Investors!$O:$O,FALSE,Investors!$P:$P,FALSE,Investors!$K:$K,"&gt;"&amp;'NSST Print'!$B$3,Investors!$I:$I,"&lt;="&amp;'NSST Print'!$B$3,Investors!$A:$A,'Investor Exit List'!$A32,Investors!$E:$E,'Investor Exit List'!$C32,Investors!$L:$L,'Investor Exit List'!$B32)-(SUMIFS(Investors!$M:$M,Investors!$I:$I,"&lt;="&amp;'NSST Print'!$B$3,Investors!$J:$J,"&gt;"&amp;'NSST Print'!$B$3,Investors!$A:$A,'Investor Exit List'!$A32,Investors!$E:$E,'Investor Exit List'!$C32,Investors!$L:$L,'Investor Exit List'!$B32)+SUMIFS(Investors!$M:$M,Investors!$I:$I,"&lt;="&amp;'NSST Print'!$B$3,Investors!$J:$J,"",Investors!$A:$A,'Investor Exit List'!$A32,Investors!$E:$E,'Investor Exit List'!$C32,Investors!$L:$L,'Investor Exit List'!$B32))+SUMIFS(Investors!$S:$S,Investors!$O:$O,FALSE,Investors!$P:$P,FALSE,Investors!$K:$K,"&gt;"&amp;'NSST Print'!$B$3,Investors!$I:$I,"&lt;="&amp;'NSST Print'!$B$3,Investors!$A:$A,'Investor Exit List'!$A32,Investors!$E:$E,'Investor Exit List'!$C32,Investors!$L:$L,'Investor Exit List'!$B32)-(SUMIFS(Investors!$S:$S,Investors!$I:$I,"&lt;="&amp;'NSST Print'!$B$3,Investors!$J:$J,"&gt;"&amp;'NSST Print'!$B$3,Investors!$A:$A,'Investor Exit List'!$A32,Investors!$E:$E,'Investor Exit List'!$C32,Investors!$L:$L,'Investor Exit List'!$B32)+SUMIFS(Investors!$S:$S,Investors!$I:$I,"&lt;="&amp;'NSST Print'!$B$3,Investors!$J:$J,"",Investors!$A:$A,'Investor Exit List'!$A32,Investors!$E:$E,'Investor Exit List'!$C32,Investors!$L:$L,'Investor Exit List'!$B32))</f>
        <v/>
      </c>
      <c r="R32" s="90">
        <f>IF(AND(H32=TRUE,I32=FALSE),Q32,0)</f>
        <v/>
      </c>
      <c r="S32" s="90">
        <f>SUMIFS(Investors!$M:$M,Investors!$O:$O,TRUE,Investors!$A:$A,'Investor Exit List'!$A32,Investors!$E:$E,'Investor Exit List'!$C32,Investors!$L:$L,'Investor Exit List'!$B32)+SUMIFS(Investors!$S:$S,Investors!$O:$O,TRUE,Investors!$A:$A,'Investor Exit List'!$A32,Investors!$E:$E,'Investor Exit List'!$C32,Investors!$L:$L,'Investor Exit List'!$B32)</f>
        <v/>
      </c>
      <c r="T32" s="91">
        <f>IF(U32=TRUE,$J32,"")</f>
        <v/>
      </c>
      <c r="U32" s="89" t="b">
        <v>0</v>
      </c>
      <c r="V32" s="90">
        <f>IF(AND(H32=TRUE,OR(K32="",K32&gt;M32)),S32,0)</f>
        <v/>
      </c>
      <c r="W32" s="89" t="n">
        <v>0</v>
      </c>
      <c r="X32" s="89" t="b">
        <v>0</v>
      </c>
    </row>
    <row r="33" hidden="1">
      <c r="A33" s="89" t="inlineStr">
        <is>
          <t>ZNGO01</t>
        </is>
      </c>
      <c r="B33" s="89" t="n">
        <v>2</v>
      </c>
      <c r="C33" s="89" t="inlineStr">
        <is>
          <t>HFA203</t>
        </is>
      </c>
      <c r="D33" s="89" t="inlineStr">
        <is>
          <t>A</t>
        </is>
      </c>
      <c r="E33" s="89" t="inlineStr">
        <is>
          <t>Ngomane Khula Moses</t>
        </is>
      </c>
      <c r="F33" s="90">
        <f>SUMIFS(Investors!$M:$M,Investors!$O:$O,FALSE,Investors!$P:$P,FALSE,Investors!$K:$K,"&gt;"&amp;'NSST Print'!$B$3,Investors!$I:$I,"&lt;="&amp;'NSST Print'!$B$3,Investors!$A:$A,'Investor Exit List'!$A33,Investors!$E:$E,'Investor Exit List'!$C33,Investors!$L:$L,'Investor Exit List'!$B33)-(SUMIFS(Investors!$M:$M,Investors!$I:$I,"&lt;="&amp;'NSST Print'!$B$3,Investors!$J:$J,"&gt;"&amp;'NSST Print'!$B$3,Investors!$A:$A,'Investor Exit List'!$A33,Investors!$E:$E,'Investor Exit List'!$C33,Investors!$L:$L,'Investor Exit List'!$B33)+SUMIFS(Investors!$M:$M,Investors!$I:$I,"&lt;="&amp;'NSST Print'!$B$3,Investors!$J:$J,"",Investors!$A:$A,'Investor Exit List'!$A33,Investors!$E:$E,'Investor Exit List'!$C33,Investors!$L:$L,'Investor Exit List'!$B33))</f>
        <v/>
      </c>
      <c r="G33" s="91" t="n">
        <v>44352</v>
      </c>
      <c r="H33" s="89" t="b">
        <v>1</v>
      </c>
      <c r="I33" s="89" t="b">
        <v>1</v>
      </c>
      <c r="J33" s="91" t="n">
        <v>44897</v>
      </c>
      <c r="K33" s="91">
        <f>IF(I33=TRUE,J33,"")</f>
        <v/>
      </c>
      <c r="L33" s="91">
        <f>G33+730</f>
        <v/>
      </c>
      <c r="M33" s="91" t="n">
        <v>45382</v>
      </c>
      <c r="N33" s="92">
        <f>IFERROR(IF(G33&lt;&gt;"",IF(I33=TRUE,0,IF(U33=TRUE,0,L33-M33)),0),0)</f>
        <v/>
      </c>
      <c r="O33" s="92">
        <f>IF(N33&gt;0,IF(N33&lt;=180,N33,0),0)</f>
        <v/>
      </c>
      <c r="P33" s="90">
        <f>IF(AND(N33&lt;90,N33&gt;0),Q33,0)</f>
        <v/>
      </c>
      <c r="Q33" s="90">
        <f>SUMIFS(Investors!$M:$M,Investors!$O:$O,FALSE,Investors!$P:$P,FALSE,Investors!$K:$K,"&gt;"&amp;'NSST Print'!$B$3,Investors!$I:$I,"&lt;="&amp;'NSST Print'!$B$3,Investors!$A:$A,'Investor Exit List'!$A33,Investors!$E:$E,'Investor Exit List'!$C33,Investors!$L:$L,'Investor Exit List'!$B33)-(SUMIFS(Investors!$M:$M,Investors!$I:$I,"&lt;="&amp;'NSST Print'!$B$3,Investors!$J:$J,"&gt;"&amp;'NSST Print'!$B$3,Investors!$A:$A,'Investor Exit List'!$A33,Investors!$E:$E,'Investor Exit List'!$C33,Investors!$L:$L,'Investor Exit List'!$B33)+SUMIFS(Investors!$M:$M,Investors!$I:$I,"&lt;="&amp;'NSST Print'!$B$3,Investors!$J:$J,"",Investors!$A:$A,'Investor Exit List'!$A33,Investors!$E:$E,'Investor Exit List'!$C33,Investors!$L:$L,'Investor Exit List'!$B33))+SUMIFS(Investors!$S:$S,Investors!$O:$O,FALSE,Investors!$P:$P,FALSE,Investors!$K:$K,"&gt;"&amp;'NSST Print'!$B$3,Investors!$I:$I,"&lt;="&amp;'NSST Print'!$B$3,Investors!$A:$A,'Investor Exit List'!$A33,Investors!$E:$E,'Investor Exit List'!$C33,Investors!$L:$L,'Investor Exit List'!$B33)-(SUMIFS(Investors!$S:$S,Investors!$I:$I,"&lt;="&amp;'NSST Print'!$B$3,Investors!$J:$J,"&gt;"&amp;'NSST Print'!$B$3,Investors!$A:$A,'Investor Exit List'!$A33,Investors!$E:$E,'Investor Exit List'!$C33,Investors!$L:$L,'Investor Exit List'!$B33)+SUMIFS(Investors!$S:$S,Investors!$I:$I,"&lt;="&amp;'NSST Print'!$B$3,Investors!$J:$J,"",Investors!$A:$A,'Investor Exit List'!$A33,Investors!$E:$E,'Investor Exit List'!$C33,Investors!$L:$L,'Investor Exit List'!$B33))</f>
        <v/>
      </c>
      <c r="R33" s="90">
        <f>IF(AND(H33=TRUE,I33=FALSE),Q33,0)</f>
        <v/>
      </c>
      <c r="S33" s="90">
        <f>SUMIFS(Investors!$M:$M,Investors!$O:$O,TRUE,Investors!$A:$A,'Investor Exit List'!$A33,Investors!$E:$E,'Investor Exit List'!$C33,Investors!$L:$L,'Investor Exit List'!$B33)+SUMIFS(Investors!$S:$S,Investors!$O:$O,TRUE,Investors!$A:$A,'Investor Exit List'!$A33,Investors!$E:$E,'Investor Exit List'!$C33,Investors!$L:$L,'Investor Exit List'!$B33)</f>
        <v/>
      </c>
      <c r="T33" s="91">
        <f>IF(U33=TRUE,$J33,"")</f>
        <v/>
      </c>
      <c r="U33" s="89" t="b">
        <v>0</v>
      </c>
      <c r="V33" s="90">
        <f>IF(AND(H33=TRUE,OR(K33="",K33&gt;M33)),S33,0)</f>
        <v/>
      </c>
      <c r="W33" s="89" t="n">
        <v>0</v>
      </c>
      <c r="X33" s="89" t="b">
        <v>0</v>
      </c>
    </row>
    <row r="34" hidden="1">
      <c r="A34" s="89" t="inlineStr">
        <is>
          <t>ZRAN01</t>
        </is>
      </c>
      <c r="B34" s="89" t="n">
        <v>18</v>
      </c>
      <c r="C34" s="89" t="inlineStr">
        <is>
          <t>HFA203</t>
        </is>
      </c>
      <c r="D34" s="89" t="inlineStr">
        <is>
          <t>A</t>
        </is>
      </c>
      <c r="E34" s="89" t="inlineStr">
        <is>
          <t>Rankin Ross Partick Gemill</t>
        </is>
      </c>
      <c r="F34" s="90">
        <f>SUMIFS(Investors!$M:$M,Investors!$O:$O,FALSE,Investors!$P:$P,FALSE,Investors!$K:$K,"&gt;"&amp;'NSST Print'!$B$3,Investors!$I:$I,"&lt;="&amp;'NSST Print'!$B$3,Investors!$A:$A,'Investor Exit List'!$A34,Investors!$E:$E,'Investor Exit List'!$C34,Investors!$L:$L,'Investor Exit List'!$B34)-(SUMIFS(Investors!$M:$M,Investors!$I:$I,"&lt;="&amp;'NSST Print'!$B$3,Investors!$J:$J,"&gt;"&amp;'NSST Print'!$B$3,Investors!$A:$A,'Investor Exit List'!$A34,Investors!$E:$E,'Investor Exit List'!$C34,Investors!$L:$L,'Investor Exit List'!$B34)+SUMIFS(Investors!$M:$M,Investors!$I:$I,"&lt;="&amp;'NSST Print'!$B$3,Investors!$J:$J,"",Investors!$A:$A,'Investor Exit List'!$A34,Investors!$E:$E,'Investor Exit List'!$C34,Investors!$L:$L,'Investor Exit List'!$B34))</f>
        <v/>
      </c>
      <c r="G34" s="91" t="n">
        <v>44378</v>
      </c>
      <c r="H34" s="89" t="b">
        <v>1</v>
      </c>
      <c r="I34" s="89" t="b">
        <v>1</v>
      </c>
      <c r="J34" s="91" t="n">
        <v>44897</v>
      </c>
      <c r="K34" s="91">
        <f>IF(I34=TRUE,J34,"")</f>
        <v/>
      </c>
      <c r="L34" s="91">
        <f>G34+730</f>
        <v/>
      </c>
      <c r="M34" s="91" t="n">
        <v>45382</v>
      </c>
      <c r="N34" s="92">
        <f>IFERROR(IF(G34&lt;&gt;"",IF(I34=TRUE,0,IF(U34=TRUE,0,L34-M34)),0),0)</f>
        <v/>
      </c>
      <c r="O34" s="92">
        <f>IF(N34&gt;0,IF(N34&lt;=180,N34,0),0)</f>
        <v/>
      </c>
      <c r="P34" s="90">
        <f>IF(AND(N34&lt;90,N34&gt;0),Q34,0)</f>
        <v/>
      </c>
      <c r="Q34" s="90">
        <f>SUMIFS(Investors!$M:$M,Investors!$O:$O,FALSE,Investors!$P:$P,FALSE,Investors!$K:$K,"&gt;"&amp;'NSST Print'!$B$3,Investors!$I:$I,"&lt;="&amp;'NSST Print'!$B$3,Investors!$A:$A,'Investor Exit List'!$A34,Investors!$E:$E,'Investor Exit List'!$C34,Investors!$L:$L,'Investor Exit List'!$B34)-(SUMIFS(Investors!$M:$M,Investors!$I:$I,"&lt;="&amp;'NSST Print'!$B$3,Investors!$J:$J,"&gt;"&amp;'NSST Print'!$B$3,Investors!$A:$A,'Investor Exit List'!$A34,Investors!$E:$E,'Investor Exit List'!$C34,Investors!$L:$L,'Investor Exit List'!$B34)+SUMIFS(Investors!$M:$M,Investors!$I:$I,"&lt;="&amp;'NSST Print'!$B$3,Investors!$J:$J,"",Investors!$A:$A,'Investor Exit List'!$A34,Investors!$E:$E,'Investor Exit List'!$C34,Investors!$L:$L,'Investor Exit List'!$B34))+SUMIFS(Investors!$S:$S,Investors!$O:$O,FALSE,Investors!$P:$P,FALSE,Investors!$K:$K,"&gt;"&amp;'NSST Print'!$B$3,Investors!$I:$I,"&lt;="&amp;'NSST Print'!$B$3,Investors!$A:$A,'Investor Exit List'!$A34,Investors!$E:$E,'Investor Exit List'!$C34,Investors!$L:$L,'Investor Exit List'!$B34)-(SUMIFS(Investors!$S:$S,Investors!$I:$I,"&lt;="&amp;'NSST Print'!$B$3,Investors!$J:$J,"&gt;"&amp;'NSST Print'!$B$3,Investors!$A:$A,'Investor Exit List'!$A34,Investors!$E:$E,'Investor Exit List'!$C34,Investors!$L:$L,'Investor Exit List'!$B34)+SUMIFS(Investors!$S:$S,Investors!$I:$I,"&lt;="&amp;'NSST Print'!$B$3,Investors!$J:$J,"",Investors!$A:$A,'Investor Exit List'!$A34,Investors!$E:$E,'Investor Exit List'!$C34,Investors!$L:$L,'Investor Exit List'!$B34))</f>
        <v/>
      </c>
      <c r="R34" s="90">
        <f>IF(AND(H34=TRUE,I34=FALSE),Q34,0)</f>
        <v/>
      </c>
      <c r="S34" s="90">
        <f>SUMIFS(Investors!$M:$M,Investors!$O:$O,TRUE,Investors!$A:$A,'Investor Exit List'!$A34,Investors!$E:$E,'Investor Exit List'!$C34,Investors!$L:$L,'Investor Exit List'!$B34)+SUMIFS(Investors!$S:$S,Investors!$O:$O,TRUE,Investors!$A:$A,'Investor Exit List'!$A34,Investors!$E:$E,'Investor Exit List'!$C34,Investors!$L:$L,'Investor Exit List'!$B34)</f>
        <v/>
      </c>
      <c r="T34" s="91">
        <f>IF(U34=TRUE,$J34,"")</f>
        <v/>
      </c>
      <c r="U34" s="89" t="b">
        <v>0</v>
      </c>
      <c r="V34" s="90">
        <f>IF(AND(H34=TRUE,OR(K34="",K34&gt;M34)),S34,0)</f>
        <v/>
      </c>
      <c r="W34" s="89" t="n">
        <v>0</v>
      </c>
      <c r="X34" s="89" t="b">
        <v>0</v>
      </c>
    </row>
    <row r="35" hidden="1">
      <c r="A35" s="89" t="inlineStr">
        <is>
          <t>ZVBL01</t>
        </is>
      </c>
      <c r="B35" s="89" t="n">
        <v>1</v>
      </c>
      <c r="C35" s="89" t="inlineStr">
        <is>
          <t>HFA203</t>
        </is>
      </c>
      <c r="D35" s="89" t="inlineStr">
        <is>
          <t>A</t>
        </is>
      </c>
      <c r="E35" s="89" t="inlineStr">
        <is>
          <t>van Blerk Glenda</t>
        </is>
      </c>
      <c r="F35" s="90">
        <f>SUMIFS(Investors!$M:$M,Investors!$O:$O,FALSE,Investors!$P:$P,FALSE,Investors!$K:$K,"&gt;"&amp;'NSST Print'!$B$3,Investors!$I:$I,"&lt;="&amp;'NSST Print'!$B$3,Investors!$A:$A,'Investor Exit List'!$A35,Investors!$E:$E,'Investor Exit List'!$C35,Investors!$L:$L,'Investor Exit List'!$B35)-(SUMIFS(Investors!$M:$M,Investors!$I:$I,"&lt;="&amp;'NSST Print'!$B$3,Investors!$J:$J,"&gt;"&amp;'NSST Print'!$B$3,Investors!$A:$A,'Investor Exit List'!$A35,Investors!$E:$E,'Investor Exit List'!$C35,Investors!$L:$L,'Investor Exit List'!$B35)+SUMIFS(Investors!$M:$M,Investors!$I:$I,"&lt;="&amp;'NSST Print'!$B$3,Investors!$J:$J,"",Investors!$A:$A,'Investor Exit List'!$A35,Investors!$E:$E,'Investor Exit List'!$C35,Investors!$L:$L,'Investor Exit List'!$B35))</f>
        <v/>
      </c>
      <c r="G35" s="91" t="n">
        <v>44352</v>
      </c>
      <c r="H35" s="89" t="b">
        <v>1</v>
      </c>
      <c r="I35" s="89" t="b">
        <v>1</v>
      </c>
      <c r="J35" s="91" t="n">
        <v>44897</v>
      </c>
      <c r="K35" s="91">
        <f>IF(I35=TRUE,J35,"")</f>
        <v/>
      </c>
      <c r="L35" s="91">
        <f>G35+730</f>
        <v/>
      </c>
      <c r="M35" s="91" t="n">
        <v>45382</v>
      </c>
      <c r="N35" s="92">
        <f>IFERROR(IF(G35&lt;&gt;"",IF(I35=TRUE,0,IF(U35=TRUE,0,L35-M35)),0),0)</f>
        <v/>
      </c>
      <c r="O35" s="92">
        <f>IF(N35&gt;0,IF(N35&lt;=180,N35,0),0)</f>
        <v/>
      </c>
      <c r="P35" s="90">
        <f>IF(AND(N35&lt;90,N35&gt;0),Q35,0)</f>
        <v/>
      </c>
      <c r="Q35" s="90">
        <f>SUMIFS(Investors!$M:$M,Investors!$O:$O,FALSE,Investors!$P:$P,FALSE,Investors!$K:$K,"&gt;"&amp;'NSST Print'!$B$3,Investors!$I:$I,"&lt;="&amp;'NSST Print'!$B$3,Investors!$A:$A,'Investor Exit List'!$A35,Investors!$E:$E,'Investor Exit List'!$C35,Investors!$L:$L,'Investor Exit List'!$B35)-(SUMIFS(Investors!$M:$M,Investors!$I:$I,"&lt;="&amp;'NSST Print'!$B$3,Investors!$J:$J,"&gt;"&amp;'NSST Print'!$B$3,Investors!$A:$A,'Investor Exit List'!$A35,Investors!$E:$E,'Investor Exit List'!$C35,Investors!$L:$L,'Investor Exit List'!$B35)+SUMIFS(Investors!$M:$M,Investors!$I:$I,"&lt;="&amp;'NSST Print'!$B$3,Investors!$J:$J,"",Investors!$A:$A,'Investor Exit List'!$A35,Investors!$E:$E,'Investor Exit List'!$C35,Investors!$L:$L,'Investor Exit List'!$B35))+SUMIFS(Investors!$S:$S,Investors!$O:$O,FALSE,Investors!$P:$P,FALSE,Investors!$K:$K,"&gt;"&amp;'NSST Print'!$B$3,Investors!$I:$I,"&lt;="&amp;'NSST Print'!$B$3,Investors!$A:$A,'Investor Exit List'!$A35,Investors!$E:$E,'Investor Exit List'!$C35,Investors!$L:$L,'Investor Exit List'!$B35)-(SUMIFS(Investors!$S:$S,Investors!$I:$I,"&lt;="&amp;'NSST Print'!$B$3,Investors!$J:$J,"&gt;"&amp;'NSST Print'!$B$3,Investors!$A:$A,'Investor Exit List'!$A35,Investors!$E:$E,'Investor Exit List'!$C35,Investors!$L:$L,'Investor Exit List'!$B35)+SUMIFS(Investors!$S:$S,Investors!$I:$I,"&lt;="&amp;'NSST Print'!$B$3,Investors!$J:$J,"",Investors!$A:$A,'Investor Exit List'!$A35,Investors!$E:$E,'Investor Exit List'!$C35,Investors!$L:$L,'Investor Exit List'!$B35))</f>
        <v/>
      </c>
      <c r="R35" s="90">
        <f>IF(AND(H35=TRUE,I35=FALSE),Q35,0)</f>
        <v/>
      </c>
      <c r="S35" s="90">
        <f>SUMIFS(Investors!$M:$M,Investors!$O:$O,TRUE,Investors!$A:$A,'Investor Exit List'!$A35,Investors!$E:$E,'Investor Exit List'!$C35,Investors!$L:$L,'Investor Exit List'!$B35)+SUMIFS(Investors!$S:$S,Investors!$O:$O,TRUE,Investors!$A:$A,'Investor Exit List'!$A35,Investors!$E:$E,'Investor Exit List'!$C35,Investors!$L:$L,'Investor Exit List'!$B35)</f>
        <v/>
      </c>
      <c r="T35" s="91">
        <f>IF(U35=TRUE,$J35,"")</f>
        <v/>
      </c>
      <c r="U35" s="89" t="b">
        <v>0</v>
      </c>
      <c r="V35" s="90">
        <f>IF(AND(H35=TRUE,OR(K35="",K35&gt;M35)),S35,0)</f>
        <v/>
      </c>
      <c r="W35" s="89" t="n">
        <v>0</v>
      </c>
      <c r="X35" s="89" t="b">
        <v>0</v>
      </c>
    </row>
    <row r="36" hidden="1">
      <c r="A36" s="89" t="inlineStr">
        <is>
          <t>ZFEM01</t>
        </is>
      </c>
      <c r="B36" s="89" t="n">
        <v>1</v>
      </c>
      <c r="C36" s="89" t="inlineStr">
        <is>
          <t>HFA204</t>
        </is>
      </c>
      <c r="D36" s="89" t="inlineStr">
        <is>
          <t>A</t>
        </is>
      </c>
      <c r="E36" s="89" t="inlineStr">
        <is>
          <t>Morkel Francina Elisabeth</t>
        </is>
      </c>
      <c r="F36" s="90">
        <f>SUMIFS(Investors!$M:$M,Investors!$O:$O,FALSE,Investors!$P:$P,FALSE,Investors!$K:$K,"&gt;"&amp;'NSST Print'!$B$3,Investors!$I:$I,"&lt;="&amp;'NSST Print'!$B$3,Investors!$A:$A,'Investor Exit List'!$A36,Investors!$E:$E,'Investor Exit List'!$C36,Investors!$L:$L,'Investor Exit List'!$B36)-(SUMIFS(Investors!$M:$M,Investors!$I:$I,"&lt;="&amp;'NSST Print'!$B$3,Investors!$J:$J,"&gt;"&amp;'NSST Print'!$B$3,Investors!$A:$A,'Investor Exit List'!$A36,Investors!$E:$E,'Investor Exit List'!$C36,Investors!$L:$L,'Investor Exit List'!$B36)+SUMIFS(Investors!$M:$M,Investors!$I:$I,"&lt;="&amp;'NSST Print'!$B$3,Investors!$J:$J,"",Investors!$A:$A,'Investor Exit List'!$A36,Investors!$E:$E,'Investor Exit List'!$C36,Investors!$L:$L,'Investor Exit List'!$B36))</f>
        <v/>
      </c>
      <c r="G36" s="91" t="n">
        <v>44352</v>
      </c>
      <c r="H36" s="89" t="b">
        <v>1</v>
      </c>
      <c r="I36" s="89" t="b">
        <v>1</v>
      </c>
      <c r="J36" s="91" t="n">
        <v>44887</v>
      </c>
      <c r="K36" s="91">
        <f>IF(I36=TRUE,J36,"")</f>
        <v/>
      </c>
      <c r="L36" s="91">
        <f>G36+730</f>
        <v/>
      </c>
      <c r="M36" s="91" t="n">
        <v>45382</v>
      </c>
      <c r="N36" s="92">
        <f>IFERROR(IF(G36&lt;&gt;"",IF(I36=TRUE,0,IF(U36=TRUE,0,L36-M36)),0),0)</f>
        <v/>
      </c>
      <c r="O36" s="92">
        <f>IF(N36&gt;0,IF(N36&lt;=180,N36,0),0)</f>
        <v/>
      </c>
      <c r="P36" s="90">
        <f>IF(AND(N36&lt;90,N36&gt;0),Q36,0)</f>
        <v/>
      </c>
      <c r="Q36" s="90">
        <f>SUMIFS(Investors!$M:$M,Investors!$O:$O,FALSE,Investors!$P:$P,FALSE,Investors!$K:$K,"&gt;"&amp;'NSST Print'!$B$3,Investors!$I:$I,"&lt;="&amp;'NSST Print'!$B$3,Investors!$A:$A,'Investor Exit List'!$A36,Investors!$E:$E,'Investor Exit List'!$C36,Investors!$L:$L,'Investor Exit List'!$B36)-(SUMIFS(Investors!$M:$M,Investors!$I:$I,"&lt;="&amp;'NSST Print'!$B$3,Investors!$J:$J,"&gt;"&amp;'NSST Print'!$B$3,Investors!$A:$A,'Investor Exit List'!$A36,Investors!$E:$E,'Investor Exit List'!$C36,Investors!$L:$L,'Investor Exit List'!$B36)+SUMIFS(Investors!$M:$M,Investors!$I:$I,"&lt;="&amp;'NSST Print'!$B$3,Investors!$J:$J,"",Investors!$A:$A,'Investor Exit List'!$A36,Investors!$E:$E,'Investor Exit List'!$C36,Investors!$L:$L,'Investor Exit List'!$B36))+SUMIFS(Investors!$S:$S,Investors!$O:$O,FALSE,Investors!$P:$P,FALSE,Investors!$K:$K,"&gt;"&amp;'NSST Print'!$B$3,Investors!$I:$I,"&lt;="&amp;'NSST Print'!$B$3,Investors!$A:$A,'Investor Exit List'!$A36,Investors!$E:$E,'Investor Exit List'!$C36,Investors!$L:$L,'Investor Exit List'!$B36)-(SUMIFS(Investors!$S:$S,Investors!$I:$I,"&lt;="&amp;'NSST Print'!$B$3,Investors!$J:$J,"&gt;"&amp;'NSST Print'!$B$3,Investors!$A:$A,'Investor Exit List'!$A36,Investors!$E:$E,'Investor Exit List'!$C36,Investors!$L:$L,'Investor Exit List'!$B36)+SUMIFS(Investors!$S:$S,Investors!$I:$I,"&lt;="&amp;'NSST Print'!$B$3,Investors!$J:$J,"",Investors!$A:$A,'Investor Exit List'!$A36,Investors!$E:$E,'Investor Exit List'!$C36,Investors!$L:$L,'Investor Exit List'!$B36))</f>
        <v/>
      </c>
      <c r="R36" s="90">
        <f>IF(AND(H36=TRUE,I36=FALSE),Q36,0)</f>
        <v/>
      </c>
      <c r="S36" s="90">
        <f>SUMIFS(Investors!$M:$M,Investors!$O:$O,TRUE,Investors!$A:$A,'Investor Exit List'!$A36,Investors!$E:$E,'Investor Exit List'!$C36,Investors!$L:$L,'Investor Exit List'!$B36)+SUMIFS(Investors!$S:$S,Investors!$O:$O,TRUE,Investors!$A:$A,'Investor Exit List'!$A36,Investors!$E:$E,'Investor Exit List'!$C36,Investors!$L:$L,'Investor Exit List'!$B36)</f>
        <v/>
      </c>
      <c r="T36" s="91">
        <f>IF(U36=TRUE,$J36,"")</f>
        <v/>
      </c>
      <c r="U36" s="89" t="b">
        <v>0</v>
      </c>
      <c r="V36" s="90">
        <f>IF(AND(H36=TRUE,OR(K36="",K36&gt;M36)),S36,0)</f>
        <v/>
      </c>
      <c r="W36" s="89" t="n">
        <v>0</v>
      </c>
      <c r="X36" s="89" t="b">
        <v>0</v>
      </c>
    </row>
    <row r="37" hidden="1">
      <c r="A37" s="89" t="inlineStr">
        <is>
          <t>ZJBM01</t>
        </is>
      </c>
      <c r="B37" s="89" t="n">
        <v>1</v>
      </c>
      <c r="C37" s="89" t="inlineStr">
        <is>
          <t>HFA204</t>
        </is>
      </c>
      <c r="D37" s="89" t="inlineStr">
        <is>
          <t>A</t>
        </is>
      </c>
      <c r="E37" s="89" t="inlineStr">
        <is>
          <t>Morkel Jacobus Bruwer</t>
        </is>
      </c>
      <c r="F37" s="90">
        <f>SUMIFS(Investors!$M:$M,Investors!$O:$O,FALSE,Investors!$P:$P,FALSE,Investors!$K:$K,"&gt;"&amp;'NSST Print'!$B$3,Investors!$I:$I,"&lt;="&amp;'NSST Print'!$B$3,Investors!$A:$A,'Investor Exit List'!$A37,Investors!$E:$E,'Investor Exit List'!$C37,Investors!$L:$L,'Investor Exit List'!$B37)-(SUMIFS(Investors!$M:$M,Investors!$I:$I,"&lt;="&amp;'NSST Print'!$B$3,Investors!$J:$J,"&gt;"&amp;'NSST Print'!$B$3,Investors!$A:$A,'Investor Exit List'!$A37,Investors!$E:$E,'Investor Exit List'!$C37,Investors!$L:$L,'Investor Exit List'!$B37)+SUMIFS(Investors!$M:$M,Investors!$I:$I,"&lt;="&amp;'NSST Print'!$B$3,Investors!$J:$J,"",Investors!$A:$A,'Investor Exit List'!$A37,Investors!$E:$E,'Investor Exit List'!$C37,Investors!$L:$L,'Investor Exit List'!$B37))</f>
        <v/>
      </c>
      <c r="G37" s="91" t="n">
        <v>44352</v>
      </c>
      <c r="H37" s="89" t="b">
        <v>1</v>
      </c>
      <c r="I37" s="89" t="b">
        <v>1</v>
      </c>
      <c r="J37" s="91" t="n">
        <v>44887</v>
      </c>
      <c r="K37" s="91">
        <f>IF(I37=TRUE,J37,"")</f>
        <v/>
      </c>
      <c r="L37" s="91">
        <f>G37+730</f>
        <v/>
      </c>
      <c r="M37" s="91" t="n">
        <v>45382</v>
      </c>
      <c r="N37" s="92">
        <f>IFERROR(IF(G37&lt;&gt;"",IF(I37=TRUE,0,IF(U37=TRUE,0,L37-M37)),0),0)</f>
        <v/>
      </c>
      <c r="O37" s="92">
        <f>IF(N37&gt;0,IF(N37&lt;=180,N37,0),0)</f>
        <v/>
      </c>
      <c r="P37" s="90">
        <f>IF(AND(N37&lt;90,N37&gt;0),Q37,0)</f>
        <v/>
      </c>
      <c r="Q37" s="90">
        <f>SUMIFS(Investors!$M:$M,Investors!$O:$O,FALSE,Investors!$P:$P,FALSE,Investors!$K:$K,"&gt;"&amp;'NSST Print'!$B$3,Investors!$I:$I,"&lt;="&amp;'NSST Print'!$B$3,Investors!$A:$A,'Investor Exit List'!$A37,Investors!$E:$E,'Investor Exit List'!$C37,Investors!$L:$L,'Investor Exit List'!$B37)-(SUMIFS(Investors!$M:$M,Investors!$I:$I,"&lt;="&amp;'NSST Print'!$B$3,Investors!$J:$J,"&gt;"&amp;'NSST Print'!$B$3,Investors!$A:$A,'Investor Exit List'!$A37,Investors!$E:$E,'Investor Exit List'!$C37,Investors!$L:$L,'Investor Exit List'!$B37)+SUMIFS(Investors!$M:$M,Investors!$I:$I,"&lt;="&amp;'NSST Print'!$B$3,Investors!$J:$J,"",Investors!$A:$A,'Investor Exit List'!$A37,Investors!$E:$E,'Investor Exit List'!$C37,Investors!$L:$L,'Investor Exit List'!$B37))+SUMIFS(Investors!$S:$S,Investors!$O:$O,FALSE,Investors!$P:$P,FALSE,Investors!$K:$K,"&gt;"&amp;'NSST Print'!$B$3,Investors!$I:$I,"&lt;="&amp;'NSST Print'!$B$3,Investors!$A:$A,'Investor Exit List'!$A37,Investors!$E:$E,'Investor Exit List'!$C37,Investors!$L:$L,'Investor Exit List'!$B37)-(SUMIFS(Investors!$S:$S,Investors!$I:$I,"&lt;="&amp;'NSST Print'!$B$3,Investors!$J:$J,"&gt;"&amp;'NSST Print'!$B$3,Investors!$A:$A,'Investor Exit List'!$A37,Investors!$E:$E,'Investor Exit List'!$C37,Investors!$L:$L,'Investor Exit List'!$B37)+SUMIFS(Investors!$S:$S,Investors!$I:$I,"&lt;="&amp;'NSST Print'!$B$3,Investors!$J:$J,"",Investors!$A:$A,'Investor Exit List'!$A37,Investors!$E:$E,'Investor Exit List'!$C37,Investors!$L:$L,'Investor Exit List'!$B37))</f>
        <v/>
      </c>
      <c r="R37" s="90">
        <f>IF(AND(H37=TRUE,I37=FALSE),Q37,0)</f>
        <v/>
      </c>
      <c r="S37" s="90">
        <f>SUMIFS(Investors!$M:$M,Investors!$O:$O,TRUE,Investors!$A:$A,'Investor Exit List'!$A37,Investors!$E:$E,'Investor Exit List'!$C37,Investors!$L:$L,'Investor Exit List'!$B37)+SUMIFS(Investors!$S:$S,Investors!$O:$O,TRUE,Investors!$A:$A,'Investor Exit List'!$A37,Investors!$E:$E,'Investor Exit List'!$C37,Investors!$L:$L,'Investor Exit List'!$B37)</f>
        <v/>
      </c>
      <c r="T37" s="91">
        <f>IF(U37=TRUE,$J37,"")</f>
        <v/>
      </c>
      <c r="U37" s="89" t="b">
        <v>0</v>
      </c>
      <c r="V37" s="90">
        <f>IF(AND(H37=TRUE,OR(K37="",K37&gt;M37)),S37,0)</f>
        <v/>
      </c>
      <c r="W37" s="89" t="n">
        <v>0</v>
      </c>
      <c r="X37" s="89" t="b">
        <v>0</v>
      </c>
    </row>
    <row r="38" hidden="1">
      <c r="A38" s="89" t="inlineStr">
        <is>
          <t>ZKOO01</t>
        </is>
      </c>
      <c r="B38" s="89" t="n">
        <v>1</v>
      </c>
      <c r="C38" s="89" t="inlineStr">
        <is>
          <t>HFA204</t>
        </is>
      </c>
      <c r="D38" s="89" t="inlineStr">
        <is>
          <t>A</t>
        </is>
      </c>
      <c r="E38" s="89" t="inlineStr">
        <is>
          <t>Koovarjee Jayprakash Brijbukhandas</t>
        </is>
      </c>
      <c r="F38" s="90">
        <f>SUMIFS(Investors!$M:$M,Investors!$O:$O,FALSE,Investors!$P:$P,FALSE,Investors!$K:$K,"&gt;"&amp;'NSST Print'!$B$3,Investors!$I:$I,"&lt;="&amp;'NSST Print'!$B$3,Investors!$A:$A,'Investor Exit List'!$A38,Investors!$E:$E,'Investor Exit List'!$C38,Investors!$L:$L,'Investor Exit List'!$B38)-(SUMIFS(Investors!$M:$M,Investors!$I:$I,"&lt;="&amp;'NSST Print'!$B$3,Investors!$J:$J,"&gt;"&amp;'NSST Print'!$B$3,Investors!$A:$A,'Investor Exit List'!$A38,Investors!$E:$E,'Investor Exit List'!$C38,Investors!$L:$L,'Investor Exit List'!$B38)+SUMIFS(Investors!$M:$M,Investors!$I:$I,"&lt;="&amp;'NSST Print'!$B$3,Investors!$J:$J,"",Investors!$A:$A,'Investor Exit List'!$A38,Investors!$E:$E,'Investor Exit List'!$C38,Investors!$L:$L,'Investor Exit List'!$B38))</f>
        <v/>
      </c>
      <c r="G38" s="91" t="n">
        <v>44352</v>
      </c>
      <c r="H38" s="89" t="b">
        <v>1</v>
      </c>
      <c r="I38" s="89" t="b">
        <v>1</v>
      </c>
      <c r="J38" s="91" t="n">
        <v>44887</v>
      </c>
      <c r="K38" s="91">
        <f>IF(I38=TRUE,J38,"")</f>
        <v/>
      </c>
      <c r="L38" s="91">
        <f>G38+730</f>
        <v/>
      </c>
      <c r="M38" s="91" t="n">
        <v>45382</v>
      </c>
      <c r="N38" s="92">
        <f>IFERROR(IF(G38&lt;&gt;"",IF(I38=TRUE,0,IF(U38=TRUE,0,L38-M38)),0),0)</f>
        <v/>
      </c>
      <c r="O38" s="92">
        <f>IF(N38&gt;0,IF(N38&lt;=180,N38,0),0)</f>
        <v/>
      </c>
      <c r="P38" s="90">
        <f>IF(AND(N38&lt;90,N38&gt;0),Q38,0)</f>
        <v/>
      </c>
      <c r="Q38" s="90">
        <f>SUMIFS(Investors!$M:$M,Investors!$O:$O,FALSE,Investors!$P:$P,FALSE,Investors!$K:$K,"&gt;"&amp;'NSST Print'!$B$3,Investors!$I:$I,"&lt;="&amp;'NSST Print'!$B$3,Investors!$A:$A,'Investor Exit List'!$A38,Investors!$E:$E,'Investor Exit List'!$C38,Investors!$L:$L,'Investor Exit List'!$B38)-(SUMIFS(Investors!$M:$M,Investors!$I:$I,"&lt;="&amp;'NSST Print'!$B$3,Investors!$J:$J,"&gt;"&amp;'NSST Print'!$B$3,Investors!$A:$A,'Investor Exit List'!$A38,Investors!$E:$E,'Investor Exit List'!$C38,Investors!$L:$L,'Investor Exit List'!$B38)+SUMIFS(Investors!$M:$M,Investors!$I:$I,"&lt;="&amp;'NSST Print'!$B$3,Investors!$J:$J,"",Investors!$A:$A,'Investor Exit List'!$A38,Investors!$E:$E,'Investor Exit List'!$C38,Investors!$L:$L,'Investor Exit List'!$B38))+SUMIFS(Investors!$S:$S,Investors!$O:$O,FALSE,Investors!$P:$P,FALSE,Investors!$K:$K,"&gt;"&amp;'NSST Print'!$B$3,Investors!$I:$I,"&lt;="&amp;'NSST Print'!$B$3,Investors!$A:$A,'Investor Exit List'!$A38,Investors!$E:$E,'Investor Exit List'!$C38,Investors!$L:$L,'Investor Exit List'!$B38)-(SUMIFS(Investors!$S:$S,Investors!$I:$I,"&lt;="&amp;'NSST Print'!$B$3,Investors!$J:$J,"&gt;"&amp;'NSST Print'!$B$3,Investors!$A:$A,'Investor Exit List'!$A38,Investors!$E:$E,'Investor Exit List'!$C38,Investors!$L:$L,'Investor Exit List'!$B38)+SUMIFS(Investors!$S:$S,Investors!$I:$I,"&lt;="&amp;'NSST Print'!$B$3,Investors!$J:$J,"",Investors!$A:$A,'Investor Exit List'!$A38,Investors!$E:$E,'Investor Exit List'!$C38,Investors!$L:$L,'Investor Exit List'!$B38))</f>
        <v/>
      </c>
      <c r="R38" s="90">
        <f>IF(AND(H38=TRUE,I38=FALSE),Q38,0)</f>
        <v/>
      </c>
      <c r="S38" s="90">
        <f>SUMIFS(Investors!$M:$M,Investors!$O:$O,TRUE,Investors!$A:$A,'Investor Exit List'!$A38,Investors!$E:$E,'Investor Exit List'!$C38,Investors!$L:$L,'Investor Exit List'!$B38)+SUMIFS(Investors!$S:$S,Investors!$O:$O,TRUE,Investors!$A:$A,'Investor Exit List'!$A38,Investors!$E:$E,'Investor Exit List'!$C38,Investors!$L:$L,'Investor Exit List'!$B38)</f>
        <v/>
      </c>
      <c r="T38" s="91">
        <f>IF(U38=TRUE,$J38,"")</f>
        <v/>
      </c>
      <c r="U38" s="89" t="b">
        <v>0</v>
      </c>
      <c r="V38" s="90">
        <f>IF(AND(H38=TRUE,OR(K38="",K38&gt;M38)),S38,0)</f>
        <v/>
      </c>
      <c r="W38" s="89" t="n">
        <v>0</v>
      </c>
      <c r="X38" s="89" t="b">
        <v>0</v>
      </c>
    </row>
    <row r="39" hidden="1">
      <c r="A39" s="89" t="inlineStr">
        <is>
          <t>ZVAN01</t>
        </is>
      </c>
      <c r="B39" s="89" t="n">
        <v>1</v>
      </c>
      <c r="C39" s="89" t="inlineStr">
        <is>
          <t>HFA204</t>
        </is>
      </c>
      <c r="D39" s="89" t="inlineStr">
        <is>
          <t>A</t>
        </is>
      </c>
      <c r="E39" s="89" t="inlineStr">
        <is>
          <t>van Rensburg Gerhard Andre</t>
        </is>
      </c>
      <c r="F39" s="90">
        <f>SUMIFS(Investors!$M:$M,Investors!$O:$O,FALSE,Investors!$P:$P,FALSE,Investors!$K:$K,"&gt;"&amp;'NSST Print'!$B$3,Investors!$I:$I,"&lt;="&amp;'NSST Print'!$B$3,Investors!$A:$A,'Investor Exit List'!$A39,Investors!$E:$E,'Investor Exit List'!$C39,Investors!$L:$L,'Investor Exit List'!$B39)-(SUMIFS(Investors!$M:$M,Investors!$I:$I,"&lt;="&amp;'NSST Print'!$B$3,Investors!$J:$J,"&gt;"&amp;'NSST Print'!$B$3,Investors!$A:$A,'Investor Exit List'!$A39,Investors!$E:$E,'Investor Exit List'!$C39,Investors!$L:$L,'Investor Exit List'!$B39)+SUMIFS(Investors!$M:$M,Investors!$I:$I,"&lt;="&amp;'NSST Print'!$B$3,Investors!$J:$J,"",Investors!$A:$A,'Investor Exit List'!$A39,Investors!$E:$E,'Investor Exit List'!$C39,Investors!$L:$L,'Investor Exit List'!$B39))</f>
        <v/>
      </c>
      <c r="G39" s="91" t="n">
        <v>44352</v>
      </c>
      <c r="H39" s="89" t="b">
        <v>1</v>
      </c>
      <c r="I39" s="89" t="b">
        <v>1</v>
      </c>
      <c r="J39" s="91" t="n">
        <v>44887</v>
      </c>
      <c r="K39" s="91">
        <f>IF(I39=TRUE,J39,"")</f>
        <v/>
      </c>
      <c r="L39" s="91">
        <f>G39+730</f>
        <v/>
      </c>
      <c r="M39" s="91" t="n">
        <v>45382</v>
      </c>
      <c r="N39" s="92">
        <f>IFERROR(IF(G39&lt;&gt;"",IF(I39=TRUE,0,IF(U39=TRUE,0,L39-M39)),0),0)</f>
        <v/>
      </c>
      <c r="O39" s="92">
        <f>IF(N39&gt;0,IF(N39&lt;=180,N39,0),0)</f>
        <v/>
      </c>
      <c r="P39" s="90">
        <f>IF(AND(N39&lt;90,N39&gt;0),Q39,0)</f>
        <v/>
      </c>
      <c r="Q39" s="90">
        <f>SUMIFS(Investors!$M:$M,Investors!$O:$O,FALSE,Investors!$P:$P,FALSE,Investors!$K:$K,"&gt;"&amp;'NSST Print'!$B$3,Investors!$I:$I,"&lt;="&amp;'NSST Print'!$B$3,Investors!$A:$A,'Investor Exit List'!$A39,Investors!$E:$E,'Investor Exit List'!$C39,Investors!$L:$L,'Investor Exit List'!$B39)-(SUMIFS(Investors!$M:$M,Investors!$I:$I,"&lt;="&amp;'NSST Print'!$B$3,Investors!$J:$J,"&gt;"&amp;'NSST Print'!$B$3,Investors!$A:$A,'Investor Exit List'!$A39,Investors!$E:$E,'Investor Exit List'!$C39,Investors!$L:$L,'Investor Exit List'!$B39)+SUMIFS(Investors!$M:$M,Investors!$I:$I,"&lt;="&amp;'NSST Print'!$B$3,Investors!$J:$J,"",Investors!$A:$A,'Investor Exit List'!$A39,Investors!$E:$E,'Investor Exit List'!$C39,Investors!$L:$L,'Investor Exit List'!$B39))+SUMIFS(Investors!$S:$S,Investors!$O:$O,FALSE,Investors!$P:$P,FALSE,Investors!$K:$K,"&gt;"&amp;'NSST Print'!$B$3,Investors!$I:$I,"&lt;="&amp;'NSST Print'!$B$3,Investors!$A:$A,'Investor Exit List'!$A39,Investors!$E:$E,'Investor Exit List'!$C39,Investors!$L:$L,'Investor Exit List'!$B39)-(SUMIFS(Investors!$S:$S,Investors!$I:$I,"&lt;="&amp;'NSST Print'!$B$3,Investors!$J:$J,"&gt;"&amp;'NSST Print'!$B$3,Investors!$A:$A,'Investor Exit List'!$A39,Investors!$E:$E,'Investor Exit List'!$C39,Investors!$L:$L,'Investor Exit List'!$B39)+SUMIFS(Investors!$S:$S,Investors!$I:$I,"&lt;="&amp;'NSST Print'!$B$3,Investors!$J:$J,"",Investors!$A:$A,'Investor Exit List'!$A39,Investors!$E:$E,'Investor Exit List'!$C39,Investors!$L:$L,'Investor Exit List'!$B39))</f>
        <v/>
      </c>
      <c r="R39" s="90">
        <f>IF(AND(H39=TRUE,I39=FALSE),Q39,0)</f>
        <v/>
      </c>
      <c r="S39" s="90">
        <f>SUMIFS(Investors!$M:$M,Investors!$O:$O,TRUE,Investors!$A:$A,'Investor Exit List'!$A39,Investors!$E:$E,'Investor Exit List'!$C39,Investors!$L:$L,'Investor Exit List'!$B39)+SUMIFS(Investors!$S:$S,Investors!$O:$O,TRUE,Investors!$A:$A,'Investor Exit List'!$A39,Investors!$E:$E,'Investor Exit List'!$C39,Investors!$L:$L,'Investor Exit List'!$B39)</f>
        <v/>
      </c>
      <c r="T39" s="91">
        <f>IF(U39=TRUE,$J39,"")</f>
        <v/>
      </c>
      <c r="U39" s="89" t="b">
        <v>0</v>
      </c>
      <c r="V39" s="90">
        <f>IF(AND(H39=TRUE,OR(K39="",K39&gt;M39)),S39,0)</f>
        <v/>
      </c>
      <c r="W39" s="89" t="n">
        <v>0</v>
      </c>
      <c r="X39" s="89" t="b">
        <v>0</v>
      </c>
    </row>
    <row r="40" hidden="1">
      <c r="A40" s="89" t="inlineStr">
        <is>
          <t>ZHEI01</t>
        </is>
      </c>
      <c r="B40" s="89" t="n">
        <v>10</v>
      </c>
      <c r="C40" s="89" t="inlineStr">
        <is>
          <t>HFA205</t>
        </is>
      </c>
      <c r="D40" s="89" t="inlineStr">
        <is>
          <t>A</t>
        </is>
      </c>
      <c r="E40" s="89" t="inlineStr">
        <is>
          <t>Heinze Dieter Raimund</t>
        </is>
      </c>
      <c r="F40" s="90">
        <f>SUMIFS(Investors!$M:$M,Investors!$O:$O,FALSE,Investors!$P:$P,FALSE,Investors!$K:$K,"&gt;"&amp;'NSST Print'!$B$3,Investors!$I:$I,"&lt;="&amp;'NSST Print'!$B$3,Investors!$A:$A,'Investor Exit List'!$A40,Investors!$E:$E,'Investor Exit List'!$C40,Investors!$L:$L,'Investor Exit List'!$B40)-(SUMIFS(Investors!$M:$M,Investors!$I:$I,"&lt;="&amp;'NSST Print'!$B$3,Investors!$J:$J,"&gt;"&amp;'NSST Print'!$B$3,Investors!$A:$A,'Investor Exit List'!$A40,Investors!$E:$E,'Investor Exit List'!$C40,Investors!$L:$L,'Investor Exit List'!$B40)+SUMIFS(Investors!$M:$M,Investors!$I:$I,"&lt;="&amp;'NSST Print'!$B$3,Investors!$J:$J,"",Investors!$A:$A,'Investor Exit List'!$A40,Investors!$E:$E,'Investor Exit List'!$C40,Investors!$L:$L,'Investor Exit List'!$B40))</f>
        <v/>
      </c>
      <c r="G40" s="91" t="n">
        <v>44772</v>
      </c>
      <c r="H40" s="89" t="b">
        <v>1</v>
      </c>
      <c r="I40" s="89" t="b">
        <v>1</v>
      </c>
      <c r="J40" s="91" t="n">
        <v>44943</v>
      </c>
      <c r="K40" s="91">
        <f>IF(I40=TRUE,J40,"")</f>
        <v/>
      </c>
      <c r="L40" s="91">
        <f>G40+730</f>
        <v/>
      </c>
      <c r="M40" s="91" t="n">
        <v>45382</v>
      </c>
      <c r="N40" s="92">
        <f>IFERROR(IF(G40&lt;&gt;"",IF(I40=TRUE,0,IF(U40=TRUE,0,L40-M40)),0),0)</f>
        <v/>
      </c>
      <c r="O40" s="92">
        <f>IF(N40&gt;0,IF(N40&lt;=180,N40,0),0)</f>
        <v/>
      </c>
      <c r="P40" s="90">
        <f>IF(AND(N40&lt;90,N40&gt;0),Q40,0)</f>
        <v/>
      </c>
      <c r="Q40" s="90">
        <f>SUMIFS(Investors!$M:$M,Investors!$O:$O,FALSE,Investors!$P:$P,FALSE,Investors!$K:$K,"&gt;"&amp;'NSST Print'!$B$3,Investors!$I:$I,"&lt;="&amp;'NSST Print'!$B$3,Investors!$A:$A,'Investor Exit List'!$A40,Investors!$E:$E,'Investor Exit List'!$C40,Investors!$L:$L,'Investor Exit List'!$B40)-(SUMIFS(Investors!$M:$M,Investors!$I:$I,"&lt;="&amp;'NSST Print'!$B$3,Investors!$J:$J,"&gt;"&amp;'NSST Print'!$B$3,Investors!$A:$A,'Investor Exit List'!$A40,Investors!$E:$E,'Investor Exit List'!$C40,Investors!$L:$L,'Investor Exit List'!$B40)+SUMIFS(Investors!$M:$M,Investors!$I:$I,"&lt;="&amp;'NSST Print'!$B$3,Investors!$J:$J,"",Investors!$A:$A,'Investor Exit List'!$A40,Investors!$E:$E,'Investor Exit List'!$C40,Investors!$L:$L,'Investor Exit List'!$B40))+SUMIFS(Investors!$S:$S,Investors!$O:$O,FALSE,Investors!$P:$P,FALSE,Investors!$K:$K,"&gt;"&amp;'NSST Print'!$B$3,Investors!$I:$I,"&lt;="&amp;'NSST Print'!$B$3,Investors!$A:$A,'Investor Exit List'!$A40,Investors!$E:$E,'Investor Exit List'!$C40,Investors!$L:$L,'Investor Exit List'!$B40)-(SUMIFS(Investors!$S:$S,Investors!$I:$I,"&lt;="&amp;'NSST Print'!$B$3,Investors!$J:$J,"&gt;"&amp;'NSST Print'!$B$3,Investors!$A:$A,'Investor Exit List'!$A40,Investors!$E:$E,'Investor Exit List'!$C40,Investors!$L:$L,'Investor Exit List'!$B40)+SUMIFS(Investors!$S:$S,Investors!$I:$I,"&lt;="&amp;'NSST Print'!$B$3,Investors!$J:$J,"",Investors!$A:$A,'Investor Exit List'!$A40,Investors!$E:$E,'Investor Exit List'!$C40,Investors!$L:$L,'Investor Exit List'!$B40))</f>
        <v/>
      </c>
      <c r="R40" s="90">
        <f>IF(AND(H40=TRUE,I40=FALSE),Q40,0)</f>
        <v/>
      </c>
      <c r="S40" s="90">
        <f>SUMIFS(Investors!$M:$M,Investors!$O:$O,TRUE,Investors!$A:$A,'Investor Exit List'!$A40,Investors!$E:$E,'Investor Exit List'!$C40,Investors!$L:$L,'Investor Exit List'!$B40)+SUMIFS(Investors!$S:$S,Investors!$O:$O,TRUE,Investors!$A:$A,'Investor Exit List'!$A40,Investors!$E:$E,'Investor Exit List'!$C40,Investors!$L:$L,'Investor Exit List'!$B40)</f>
        <v/>
      </c>
      <c r="T40" s="91">
        <f>IF(U40=TRUE,$J40,"")</f>
        <v/>
      </c>
      <c r="U40" s="89" t="b">
        <v>0</v>
      </c>
      <c r="V40" s="90">
        <f>IF(AND(H40=TRUE,OR(K40="",K40&gt;M40)),S40,0)</f>
        <v/>
      </c>
      <c r="W40" s="89" t="n">
        <v>0</v>
      </c>
      <c r="X40" s="89" t="b">
        <v>0</v>
      </c>
    </row>
    <row r="41" hidden="1">
      <c r="A41" s="89" t="inlineStr">
        <is>
          <t>ZHEY01</t>
        </is>
      </c>
      <c r="B41" s="89" t="n">
        <v>1</v>
      </c>
      <c r="C41" s="89" t="inlineStr">
        <is>
          <t>HFA205</t>
        </is>
      </c>
      <c r="D41" s="89" t="inlineStr">
        <is>
          <t>A</t>
        </is>
      </c>
      <c r="E41" s="89" t="inlineStr">
        <is>
          <t>Heynes Vincent Derick</t>
        </is>
      </c>
      <c r="F41" s="90">
        <f>SUMIFS(Investors!$M:$M,Investors!$O:$O,FALSE,Investors!$P:$P,FALSE,Investors!$K:$K,"&gt;"&amp;'NSST Print'!$B$3,Investors!$I:$I,"&lt;="&amp;'NSST Print'!$B$3,Investors!$A:$A,'Investor Exit List'!$A41,Investors!$E:$E,'Investor Exit List'!$C41,Investors!$L:$L,'Investor Exit List'!$B41)-(SUMIFS(Investors!$M:$M,Investors!$I:$I,"&lt;="&amp;'NSST Print'!$B$3,Investors!$J:$J,"&gt;"&amp;'NSST Print'!$B$3,Investors!$A:$A,'Investor Exit List'!$A41,Investors!$E:$E,'Investor Exit List'!$C41,Investors!$L:$L,'Investor Exit List'!$B41)+SUMIFS(Investors!$M:$M,Investors!$I:$I,"&lt;="&amp;'NSST Print'!$B$3,Investors!$J:$J,"",Investors!$A:$A,'Investor Exit List'!$A41,Investors!$E:$E,'Investor Exit List'!$C41,Investors!$L:$L,'Investor Exit List'!$B41))</f>
        <v/>
      </c>
      <c r="G41" s="91" t="n">
        <v>44352</v>
      </c>
      <c r="H41" s="89" t="b">
        <v>1</v>
      </c>
      <c r="I41" s="89" t="b">
        <v>1</v>
      </c>
      <c r="J41" s="91" t="n">
        <v>44804</v>
      </c>
      <c r="K41" s="91">
        <f>IF(I41=TRUE,J41,"")</f>
        <v/>
      </c>
      <c r="L41" s="91">
        <f>G41+730</f>
        <v/>
      </c>
      <c r="M41" s="91" t="n">
        <v>45382</v>
      </c>
      <c r="N41" s="92">
        <f>IFERROR(IF(G41&lt;&gt;"",IF(I41=TRUE,0,IF(U41=TRUE,0,L41-M41)),0),0)</f>
        <v/>
      </c>
      <c r="O41" s="92">
        <f>IF(N41&gt;0,IF(N41&lt;=180,N41,0),0)</f>
        <v/>
      </c>
      <c r="P41" s="90">
        <f>IF(AND(N41&lt;90,N41&gt;0),Q41,0)</f>
        <v/>
      </c>
      <c r="Q41" s="90">
        <f>SUMIFS(Investors!$M:$M,Investors!$O:$O,FALSE,Investors!$P:$P,FALSE,Investors!$K:$K,"&gt;"&amp;'NSST Print'!$B$3,Investors!$I:$I,"&lt;="&amp;'NSST Print'!$B$3,Investors!$A:$A,'Investor Exit List'!$A41,Investors!$E:$E,'Investor Exit List'!$C41,Investors!$L:$L,'Investor Exit List'!$B41)-(SUMIFS(Investors!$M:$M,Investors!$I:$I,"&lt;="&amp;'NSST Print'!$B$3,Investors!$J:$J,"&gt;"&amp;'NSST Print'!$B$3,Investors!$A:$A,'Investor Exit List'!$A41,Investors!$E:$E,'Investor Exit List'!$C41,Investors!$L:$L,'Investor Exit List'!$B41)+SUMIFS(Investors!$M:$M,Investors!$I:$I,"&lt;="&amp;'NSST Print'!$B$3,Investors!$J:$J,"",Investors!$A:$A,'Investor Exit List'!$A41,Investors!$E:$E,'Investor Exit List'!$C41,Investors!$L:$L,'Investor Exit List'!$B41))+SUMIFS(Investors!$S:$S,Investors!$O:$O,FALSE,Investors!$P:$P,FALSE,Investors!$K:$K,"&gt;"&amp;'NSST Print'!$B$3,Investors!$I:$I,"&lt;="&amp;'NSST Print'!$B$3,Investors!$A:$A,'Investor Exit List'!$A41,Investors!$E:$E,'Investor Exit List'!$C41,Investors!$L:$L,'Investor Exit List'!$B41)-(SUMIFS(Investors!$S:$S,Investors!$I:$I,"&lt;="&amp;'NSST Print'!$B$3,Investors!$J:$J,"&gt;"&amp;'NSST Print'!$B$3,Investors!$A:$A,'Investor Exit List'!$A41,Investors!$E:$E,'Investor Exit List'!$C41,Investors!$L:$L,'Investor Exit List'!$B41)+SUMIFS(Investors!$S:$S,Investors!$I:$I,"&lt;="&amp;'NSST Print'!$B$3,Investors!$J:$J,"",Investors!$A:$A,'Investor Exit List'!$A41,Investors!$E:$E,'Investor Exit List'!$C41,Investors!$L:$L,'Investor Exit List'!$B41))</f>
        <v/>
      </c>
      <c r="R41" s="90">
        <f>IF(AND(H41=TRUE,I41=FALSE),Q41,0)</f>
        <v/>
      </c>
      <c r="S41" s="90">
        <f>SUMIFS(Investors!$M:$M,Investors!$O:$O,TRUE,Investors!$A:$A,'Investor Exit List'!$A41,Investors!$E:$E,'Investor Exit List'!$C41,Investors!$L:$L,'Investor Exit List'!$B41)+SUMIFS(Investors!$S:$S,Investors!$O:$O,TRUE,Investors!$A:$A,'Investor Exit List'!$A41,Investors!$E:$E,'Investor Exit List'!$C41,Investors!$L:$L,'Investor Exit List'!$B41)</f>
        <v/>
      </c>
      <c r="T41" s="91">
        <f>IF(U41=TRUE,$J41,"")</f>
        <v/>
      </c>
      <c r="U41" s="89" t="b">
        <v>1</v>
      </c>
      <c r="V41" s="90">
        <f>IF(AND(H41=TRUE,OR(K41="",K41&gt;M41)),S41,0)</f>
        <v/>
      </c>
      <c r="W41" s="89" t="n">
        <v>0</v>
      </c>
      <c r="X41" s="89" t="b">
        <v>0</v>
      </c>
    </row>
    <row r="42" hidden="1">
      <c r="A42" s="89" t="inlineStr">
        <is>
          <t>ZKOO01</t>
        </is>
      </c>
      <c r="B42" s="89" t="n">
        <v>2</v>
      </c>
      <c r="C42" s="89" t="inlineStr">
        <is>
          <t>HFA205</t>
        </is>
      </c>
      <c r="D42" s="89" t="inlineStr">
        <is>
          <t>A</t>
        </is>
      </c>
      <c r="E42" s="89" t="inlineStr">
        <is>
          <t>Koovarjee Jayprakash Brijbukhandas</t>
        </is>
      </c>
      <c r="F42" s="90">
        <f>SUMIFS(Investors!$M:$M,Investors!$O:$O,FALSE,Investors!$P:$P,FALSE,Investors!$K:$K,"&gt;"&amp;'NSST Print'!$B$3,Investors!$I:$I,"&lt;="&amp;'NSST Print'!$B$3,Investors!$A:$A,'Investor Exit List'!$A42,Investors!$E:$E,'Investor Exit List'!$C42,Investors!$L:$L,'Investor Exit List'!$B42)-(SUMIFS(Investors!$M:$M,Investors!$I:$I,"&lt;="&amp;'NSST Print'!$B$3,Investors!$J:$J,"&gt;"&amp;'NSST Print'!$B$3,Investors!$A:$A,'Investor Exit List'!$A42,Investors!$E:$E,'Investor Exit List'!$C42,Investors!$L:$L,'Investor Exit List'!$B42)+SUMIFS(Investors!$M:$M,Investors!$I:$I,"&lt;="&amp;'NSST Print'!$B$3,Investors!$J:$J,"",Investors!$A:$A,'Investor Exit List'!$A42,Investors!$E:$E,'Investor Exit List'!$C42,Investors!$L:$L,'Investor Exit List'!$B42))</f>
        <v/>
      </c>
      <c r="G42" s="91" t="n">
        <v>44352</v>
      </c>
      <c r="H42" s="89" t="b">
        <v>1</v>
      </c>
      <c r="I42" s="89" t="b">
        <v>1</v>
      </c>
      <c r="J42" s="91" t="n">
        <v>44943</v>
      </c>
      <c r="K42" s="91">
        <f>IF(I42=TRUE,J42,"")</f>
        <v/>
      </c>
      <c r="L42" s="91">
        <f>G42+730</f>
        <v/>
      </c>
      <c r="M42" s="91" t="n">
        <v>45382</v>
      </c>
      <c r="N42" s="92">
        <f>IFERROR(IF(G42&lt;&gt;"",IF(I42=TRUE,0,IF(U42=TRUE,0,L42-M42)),0),0)</f>
        <v/>
      </c>
      <c r="O42" s="92">
        <f>IF(N42&gt;0,IF(N42&lt;=180,N42,0),0)</f>
        <v/>
      </c>
      <c r="P42" s="90">
        <f>IF(AND(N42&lt;90,N42&gt;0),Q42,0)</f>
        <v/>
      </c>
      <c r="Q42" s="90">
        <f>SUMIFS(Investors!$M:$M,Investors!$O:$O,FALSE,Investors!$P:$P,FALSE,Investors!$K:$K,"&gt;"&amp;'NSST Print'!$B$3,Investors!$I:$I,"&lt;="&amp;'NSST Print'!$B$3,Investors!$A:$A,'Investor Exit List'!$A42,Investors!$E:$E,'Investor Exit List'!$C42,Investors!$L:$L,'Investor Exit List'!$B42)-(SUMIFS(Investors!$M:$M,Investors!$I:$I,"&lt;="&amp;'NSST Print'!$B$3,Investors!$J:$J,"&gt;"&amp;'NSST Print'!$B$3,Investors!$A:$A,'Investor Exit List'!$A42,Investors!$E:$E,'Investor Exit List'!$C42,Investors!$L:$L,'Investor Exit List'!$B42)+SUMIFS(Investors!$M:$M,Investors!$I:$I,"&lt;="&amp;'NSST Print'!$B$3,Investors!$J:$J,"",Investors!$A:$A,'Investor Exit List'!$A42,Investors!$E:$E,'Investor Exit List'!$C42,Investors!$L:$L,'Investor Exit List'!$B42))+SUMIFS(Investors!$S:$S,Investors!$O:$O,FALSE,Investors!$P:$P,FALSE,Investors!$K:$K,"&gt;"&amp;'NSST Print'!$B$3,Investors!$I:$I,"&lt;="&amp;'NSST Print'!$B$3,Investors!$A:$A,'Investor Exit List'!$A42,Investors!$E:$E,'Investor Exit List'!$C42,Investors!$L:$L,'Investor Exit List'!$B42)-(SUMIFS(Investors!$S:$S,Investors!$I:$I,"&lt;="&amp;'NSST Print'!$B$3,Investors!$J:$J,"&gt;"&amp;'NSST Print'!$B$3,Investors!$A:$A,'Investor Exit List'!$A42,Investors!$E:$E,'Investor Exit List'!$C42,Investors!$L:$L,'Investor Exit List'!$B42)+SUMIFS(Investors!$S:$S,Investors!$I:$I,"&lt;="&amp;'NSST Print'!$B$3,Investors!$J:$J,"",Investors!$A:$A,'Investor Exit List'!$A42,Investors!$E:$E,'Investor Exit List'!$C42,Investors!$L:$L,'Investor Exit List'!$B42))</f>
        <v/>
      </c>
      <c r="R42" s="90">
        <f>IF(AND(H42=TRUE,I42=FALSE),Q42,0)</f>
        <v/>
      </c>
      <c r="S42" s="90">
        <f>SUMIFS(Investors!$M:$M,Investors!$O:$O,TRUE,Investors!$A:$A,'Investor Exit List'!$A42,Investors!$E:$E,'Investor Exit List'!$C42,Investors!$L:$L,'Investor Exit List'!$B42)+SUMIFS(Investors!$S:$S,Investors!$O:$O,TRUE,Investors!$A:$A,'Investor Exit List'!$A42,Investors!$E:$E,'Investor Exit List'!$C42,Investors!$L:$L,'Investor Exit List'!$B42)</f>
        <v/>
      </c>
      <c r="T42" s="91">
        <f>IF(U42=TRUE,$J42,"")</f>
        <v/>
      </c>
      <c r="U42" s="89" t="b">
        <v>0</v>
      </c>
      <c r="V42" s="90">
        <f>IF(AND(H42=TRUE,OR(K42="",K42&gt;M42)),S42,0)</f>
        <v/>
      </c>
      <c r="W42" s="89" t="n">
        <v>0</v>
      </c>
      <c r="X42" s="89" t="b">
        <v>0</v>
      </c>
    </row>
    <row r="43" hidden="1">
      <c r="A43" s="89" t="inlineStr">
        <is>
          <t>ZTPI01</t>
        </is>
      </c>
      <c r="B43" s="89" t="n">
        <v>1</v>
      </c>
      <c r="C43" s="89" t="inlineStr">
        <is>
          <t>HFA205</t>
        </is>
      </c>
      <c r="D43" s="89" t="inlineStr">
        <is>
          <t>A</t>
        </is>
      </c>
      <c r="E43" s="89" t="inlineStr">
        <is>
          <t>Matlala Raisibe Ellen</t>
        </is>
      </c>
      <c r="F43" s="90">
        <f>SUMIFS(Investors!$M:$M,Investors!$O:$O,FALSE,Investors!$P:$P,FALSE,Investors!$K:$K,"&gt;"&amp;'NSST Print'!$B$3,Investors!$I:$I,"&lt;="&amp;'NSST Print'!$B$3,Investors!$A:$A,'Investor Exit List'!$A43,Investors!$E:$E,'Investor Exit List'!$C43,Investors!$L:$L,'Investor Exit List'!$B43)-(SUMIFS(Investors!$M:$M,Investors!$I:$I,"&lt;="&amp;'NSST Print'!$B$3,Investors!$J:$J,"&gt;"&amp;'NSST Print'!$B$3,Investors!$A:$A,'Investor Exit List'!$A43,Investors!$E:$E,'Investor Exit List'!$C43,Investors!$L:$L,'Investor Exit List'!$B43)+SUMIFS(Investors!$M:$M,Investors!$I:$I,"&lt;="&amp;'NSST Print'!$B$3,Investors!$J:$J,"",Investors!$A:$A,'Investor Exit List'!$A43,Investors!$E:$E,'Investor Exit List'!$C43,Investors!$L:$L,'Investor Exit List'!$B43))</f>
        <v/>
      </c>
      <c r="G43" s="91" t="n">
        <v>44378</v>
      </c>
      <c r="H43" s="89" t="b">
        <v>1</v>
      </c>
      <c r="I43" s="89" t="b">
        <v>1</v>
      </c>
      <c r="J43" s="91" t="n">
        <v>44943</v>
      </c>
      <c r="K43" s="91">
        <f>IF(I43=TRUE,J43,"")</f>
        <v/>
      </c>
      <c r="L43" s="91">
        <f>G43+730</f>
        <v/>
      </c>
      <c r="M43" s="91" t="n">
        <v>45382</v>
      </c>
      <c r="N43" s="92">
        <f>IFERROR(IF(G43&lt;&gt;"",IF(I43=TRUE,0,IF(U43=TRUE,0,L43-M43)),0),0)</f>
        <v/>
      </c>
      <c r="O43" s="92">
        <f>IF(N43&gt;0,IF(N43&lt;=180,N43,0),0)</f>
        <v/>
      </c>
      <c r="P43" s="90">
        <f>IF(AND(N43&lt;90,N43&gt;0),Q43,0)</f>
        <v/>
      </c>
      <c r="Q43" s="90">
        <f>SUMIFS(Investors!$M:$M,Investors!$O:$O,FALSE,Investors!$P:$P,FALSE,Investors!$K:$K,"&gt;"&amp;'NSST Print'!$B$3,Investors!$I:$I,"&lt;="&amp;'NSST Print'!$B$3,Investors!$A:$A,'Investor Exit List'!$A43,Investors!$E:$E,'Investor Exit List'!$C43,Investors!$L:$L,'Investor Exit List'!$B43)-(SUMIFS(Investors!$M:$M,Investors!$I:$I,"&lt;="&amp;'NSST Print'!$B$3,Investors!$J:$J,"&gt;"&amp;'NSST Print'!$B$3,Investors!$A:$A,'Investor Exit List'!$A43,Investors!$E:$E,'Investor Exit List'!$C43,Investors!$L:$L,'Investor Exit List'!$B43)+SUMIFS(Investors!$M:$M,Investors!$I:$I,"&lt;="&amp;'NSST Print'!$B$3,Investors!$J:$J,"",Investors!$A:$A,'Investor Exit List'!$A43,Investors!$E:$E,'Investor Exit List'!$C43,Investors!$L:$L,'Investor Exit List'!$B43))+SUMIFS(Investors!$S:$S,Investors!$O:$O,FALSE,Investors!$P:$P,FALSE,Investors!$K:$K,"&gt;"&amp;'NSST Print'!$B$3,Investors!$I:$I,"&lt;="&amp;'NSST Print'!$B$3,Investors!$A:$A,'Investor Exit List'!$A43,Investors!$E:$E,'Investor Exit List'!$C43,Investors!$L:$L,'Investor Exit List'!$B43)-(SUMIFS(Investors!$S:$S,Investors!$I:$I,"&lt;="&amp;'NSST Print'!$B$3,Investors!$J:$J,"&gt;"&amp;'NSST Print'!$B$3,Investors!$A:$A,'Investor Exit List'!$A43,Investors!$E:$E,'Investor Exit List'!$C43,Investors!$L:$L,'Investor Exit List'!$B43)+SUMIFS(Investors!$S:$S,Investors!$I:$I,"&lt;="&amp;'NSST Print'!$B$3,Investors!$J:$J,"",Investors!$A:$A,'Investor Exit List'!$A43,Investors!$E:$E,'Investor Exit List'!$C43,Investors!$L:$L,'Investor Exit List'!$B43))</f>
        <v/>
      </c>
      <c r="R43" s="90">
        <f>IF(AND(H43=TRUE,I43=FALSE),Q43,0)</f>
        <v/>
      </c>
      <c r="S43" s="90">
        <f>SUMIFS(Investors!$M:$M,Investors!$O:$O,TRUE,Investors!$A:$A,'Investor Exit List'!$A43,Investors!$E:$E,'Investor Exit List'!$C43,Investors!$L:$L,'Investor Exit List'!$B43)+SUMIFS(Investors!$S:$S,Investors!$O:$O,TRUE,Investors!$A:$A,'Investor Exit List'!$A43,Investors!$E:$E,'Investor Exit List'!$C43,Investors!$L:$L,'Investor Exit List'!$B43)</f>
        <v/>
      </c>
      <c r="T43" s="91">
        <f>IF(U43=TRUE,$J43,"")</f>
        <v/>
      </c>
      <c r="U43" s="89" t="b">
        <v>0</v>
      </c>
      <c r="V43" s="90">
        <f>IF(AND(H43=TRUE,OR(K43="",K43&gt;M43)),S43,0)</f>
        <v/>
      </c>
      <c r="W43" s="89" t="n">
        <v>0</v>
      </c>
      <c r="X43" s="89" t="b">
        <v>0</v>
      </c>
    </row>
    <row r="44" hidden="1">
      <c r="A44" s="89" t="inlineStr">
        <is>
          <t>ZBOH01</t>
        </is>
      </c>
      <c r="B44" s="89" t="n">
        <v>1</v>
      </c>
      <c r="C44" s="89" t="inlineStr">
        <is>
          <t>HFA206</t>
        </is>
      </c>
      <c r="D44" s="89" t="inlineStr">
        <is>
          <t>A</t>
        </is>
      </c>
      <c r="E44" s="89" t="inlineStr">
        <is>
          <t>Brenda Bohme Werner Hugo Bohme &amp;</t>
        </is>
      </c>
      <c r="F44" s="90">
        <f>SUMIFS(Investors!$M:$M,Investors!$O:$O,FALSE,Investors!$P:$P,FALSE,Investors!$K:$K,"&gt;"&amp;'NSST Print'!$B$3,Investors!$I:$I,"&lt;="&amp;'NSST Print'!$B$3,Investors!$A:$A,'Investor Exit List'!$A44,Investors!$E:$E,'Investor Exit List'!$C44,Investors!$L:$L,'Investor Exit List'!$B44)-(SUMIFS(Investors!$M:$M,Investors!$I:$I,"&lt;="&amp;'NSST Print'!$B$3,Investors!$J:$J,"&gt;"&amp;'NSST Print'!$B$3,Investors!$A:$A,'Investor Exit List'!$A44,Investors!$E:$E,'Investor Exit List'!$C44,Investors!$L:$L,'Investor Exit List'!$B44)+SUMIFS(Investors!$M:$M,Investors!$I:$I,"&lt;="&amp;'NSST Print'!$B$3,Investors!$J:$J,"",Investors!$A:$A,'Investor Exit List'!$A44,Investors!$E:$E,'Investor Exit List'!$C44,Investors!$L:$L,'Investor Exit List'!$B44))</f>
        <v/>
      </c>
      <c r="G44" s="91" t="n">
        <v>44352</v>
      </c>
      <c r="H44" s="89" t="b">
        <v>1</v>
      </c>
      <c r="I44" s="89" t="b">
        <v>1</v>
      </c>
      <c r="J44" s="91" t="n">
        <v>44887</v>
      </c>
      <c r="K44" s="91">
        <f>IF(I44=TRUE,J44,"")</f>
        <v/>
      </c>
      <c r="L44" s="91">
        <f>G44+730</f>
        <v/>
      </c>
      <c r="M44" s="91" t="n">
        <v>45382</v>
      </c>
      <c r="N44" s="92">
        <f>IFERROR(IF(G44&lt;&gt;"",IF(I44=TRUE,0,IF(U44=TRUE,0,L44-M44)),0),0)</f>
        <v/>
      </c>
      <c r="O44" s="92">
        <f>IF(N44&gt;0,IF(N44&lt;=180,N44,0),0)</f>
        <v/>
      </c>
      <c r="P44" s="90">
        <f>IF(AND(N44&lt;90,N44&gt;0),Q44,0)</f>
        <v/>
      </c>
      <c r="Q44" s="90">
        <f>SUMIFS(Investors!$M:$M,Investors!$O:$O,FALSE,Investors!$P:$P,FALSE,Investors!$K:$K,"&gt;"&amp;'NSST Print'!$B$3,Investors!$I:$I,"&lt;="&amp;'NSST Print'!$B$3,Investors!$A:$A,'Investor Exit List'!$A44,Investors!$E:$E,'Investor Exit List'!$C44,Investors!$L:$L,'Investor Exit List'!$B44)-(SUMIFS(Investors!$M:$M,Investors!$I:$I,"&lt;="&amp;'NSST Print'!$B$3,Investors!$J:$J,"&gt;"&amp;'NSST Print'!$B$3,Investors!$A:$A,'Investor Exit List'!$A44,Investors!$E:$E,'Investor Exit List'!$C44,Investors!$L:$L,'Investor Exit List'!$B44)+SUMIFS(Investors!$M:$M,Investors!$I:$I,"&lt;="&amp;'NSST Print'!$B$3,Investors!$J:$J,"",Investors!$A:$A,'Investor Exit List'!$A44,Investors!$E:$E,'Investor Exit List'!$C44,Investors!$L:$L,'Investor Exit List'!$B44))+SUMIFS(Investors!$S:$S,Investors!$O:$O,FALSE,Investors!$P:$P,FALSE,Investors!$K:$K,"&gt;"&amp;'NSST Print'!$B$3,Investors!$I:$I,"&lt;="&amp;'NSST Print'!$B$3,Investors!$A:$A,'Investor Exit List'!$A44,Investors!$E:$E,'Investor Exit List'!$C44,Investors!$L:$L,'Investor Exit List'!$B44)-(SUMIFS(Investors!$S:$S,Investors!$I:$I,"&lt;="&amp;'NSST Print'!$B$3,Investors!$J:$J,"&gt;"&amp;'NSST Print'!$B$3,Investors!$A:$A,'Investor Exit List'!$A44,Investors!$E:$E,'Investor Exit List'!$C44,Investors!$L:$L,'Investor Exit List'!$B44)+SUMIFS(Investors!$S:$S,Investors!$I:$I,"&lt;="&amp;'NSST Print'!$B$3,Investors!$J:$J,"",Investors!$A:$A,'Investor Exit List'!$A44,Investors!$E:$E,'Investor Exit List'!$C44,Investors!$L:$L,'Investor Exit List'!$B44))</f>
        <v/>
      </c>
      <c r="R44" s="90">
        <f>IF(AND(H44=TRUE,I44=FALSE),Q44,0)</f>
        <v/>
      </c>
      <c r="S44" s="90">
        <f>SUMIFS(Investors!$M:$M,Investors!$O:$O,TRUE,Investors!$A:$A,'Investor Exit List'!$A44,Investors!$E:$E,'Investor Exit List'!$C44,Investors!$L:$L,'Investor Exit List'!$B44)+SUMIFS(Investors!$S:$S,Investors!$O:$O,TRUE,Investors!$A:$A,'Investor Exit List'!$A44,Investors!$E:$E,'Investor Exit List'!$C44,Investors!$L:$L,'Investor Exit List'!$B44)</f>
        <v/>
      </c>
      <c r="T44" s="91">
        <f>IF(U44=TRUE,$J44,"")</f>
        <v/>
      </c>
      <c r="U44" s="89" t="b">
        <v>0</v>
      </c>
      <c r="V44" s="90">
        <f>IF(AND(H44=TRUE,OR(K44="",K44&gt;M44)),S44,0)</f>
        <v/>
      </c>
      <c r="W44" s="89" t="n">
        <v>0</v>
      </c>
      <c r="X44" s="89" t="b">
        <v>0</v>
      </c>
    </row>
    <row r="45" hidden="1">
      <c r="A45" s="89" t="inlineStr">
        <is>
          <t>ZLEW02</t>
        </is>
      </c>
      <c r="B45" s="89" t="n">
        <v>1</v>
      </c>
      <c r="C45" s="89" t="inlineStr">
        <is>
          <t>HFA206</t>
        </is>
      </c>
      <c r="D45" s="89" t="inlineStr">
        <is>
          <t>A</t>
        </is>
      </c>
      <c r="E45" s="89" t="inlineStr">
        <is>
          <t>Lewis Leon</t>
        </is>
      </c>
      <c r="F45" s="90">
        <f>SUMIFS(Investors!$M:$M,Investors!$O:$O,FALSE,Investors!$P:$P,FALSE,Investors!$K:$K,"&gt;"&amp;'NSST Print'!$B$3,Investors!$I:$I,"&lt;="&amp;'NSST Print'!$B$3,Investors!$A:$A,'Investor Exit List'!$A45,Investors!$E:$E,'Investor Exit List'!$C45,Investors!$L:$L,'Investor Exit List'!$B45)-(SUMIFS(Investors!$M:$M,Investors!$I:$I,"&lt;="&amp;'NSST Print'!$B$3,Investors!$J:$J,"&gt;"&amp;'NSST Print'!$B$3,Investors!$A:$A,'Investor Exit List'!$A45,Investors!$E:$E,'Investor Exit List'!$C45,Investors!$L:$L,'Investor Exit List'!$B45)+SUMIFS(Investors!$M:$M,Investors!$I:$I,"&lt;="&amp;'NSST Print'!$B$3,Investors!$J:$J,"",Investors!$A:$A,'Investor Exit List'!$A45,Investors!$E:$E,'Investor Exit List'!$C45,Investors!$L:$L,'Investor Exit List'!$B45))</f>
        <v/>
      </c>
      <c r="G45" s="91" t="n">
        <v>44352</v>
      </c>
      <c r="H45" s="89" t="b">
        <v>1</v>
      </c>
      <c r="I45" s="89" t="b">
        <v>1</v>
      </c>
      <c r="J45" s="91" t="n">
        <v>44887</v>
      </c>
      <c r="K45" s="91">
        <f>IF(I45=TRUE,J45,"")</f>
        <v/>
      </c>
      <c r="L45" s="91">
        <f>G45+730</f>
        <v/>
      </c>
      <c r="M45" s="91" t="n">
        <v>45382</v>
      </c>
      <c r="N45" s="92">
        <f>IFERROR(IF(G45&lt;&gt;"",IF(I45=TRUE,0,IF(U45=TRUE,0,L45-M45)),0),0)</f>
        <v/>
      </c>
      <c r="O45" s="92">
        <f>IF(N45&gt;0,IF(N45&lt;=180,N45,0),0)</f>
        <v/>
      </c>
      <c r="P45" s="90">
        <f>IF(AND(N45&lt;90,N45&gt;0),Q45,0)</f>
        <v/>
      </c>
      <c r="Q45" s="90">
        <f>SUMIFS(Investors!$M:$M,Investors!$O:$O,FALSE,Investors!$P:$P,FALSE,Investors!$K:$K,"&gt;"&amp;'NSST Print'!$B$3,Investors!$I:$I,"&lt;="&amp;'NSST Print'!$B$3,Investors!$A:$A,'Investor Exit List'!$A45,Investors!$E:$E,'Investor Exit List'!$C45,Investors!$L:$L,'Investor Exit List'!$B45)-(SUMIFS(Investors!$M:$M,Investors!$I:$I,"&lt;="&amp;'NSST Print'!$B$3,Investors!$J:$J,"&gt;"&amp;'NSST Print'!$B$3,Investors!$A:$A,'Investor Exit List'!$A45,Investors!$E:$E,'Investor Exit List'!$C45,Investors!$L:$L,'Investor Exit List'!$B45)+SUMIFS(Investors!$M:$M,Investors!$I:$I,"&lt;="&amp;'NSST Print'!$B$3,Investors!$J:$J,"",Investors!$A:$A,'Investor Exit List'!$A45,Investors!$E:$E,'Investor Exit List'!$C45,Investors!$L:$L,'Investor Exit List'!$B45))+SUMIFS(Investors!$S:$S,Investors!$O:$O,FALSE,Investors!$P:$P,FALSE,Investors!$K:$K,"&gt;"&amp;'NSST Print'!$B$3,Investors!$I:$I,"&lt;="&amp;'NSST Print'!$B$3,Investors!$A:$A,'Investor Exit List'!$A45,Investors!$E:$E,'Investor Exit List'!$C45,Investors!$L:$L,'Investor Exit List'!$B45)-(SUMIFS(Investors!$S:$S,Investors!$I:$I,"&lt;="&amp;'NSST Print'!$B$3,Investors!$J:$J,"&gt;"&amp;'NSST Print'!$B$3,Investors!$A:$A,'Investor Exit List'!$A45,Investors!$E:$E,'Investor Exit List'!$C45,Investors!$L:$L,'Investor Exit List'!$B45)+SUMIFS(Investors!$S:$S,Investors!$I:$I,"&lt;="&amp;'NSST Print'!$B$3,Investors!$J:$J,"",Investors!$A:$A,'Investor Exit List'!$A45,Investors!$E:$E,'Investor Exit List'!$C45,Investors!$L:$L,'Investor Exit List'!$B45))</f>
        <v/>
      </c>
      <c r="R45" s="90">
        <f>IF(AND(H45=TRUE,I45=FALSE),Q45,0)</f>
        <v/>
      </c>
      <c r="S45" s="90">
        <f>SUMIFS(Investors!$M:$M,Investors!$O:$O,TRUE,Investors!$A:$A,'Investor Exit List'!$A45,Investors!$E:$E,'Investor Exit List'!$C45,Investors!$L:$L,'Investor Exit List'!$B45)+SUMIFS(Investors!$S:$S,Investors!$O:$O,TRUE,Investors!$A:$A,'Investor Exit List'!$A45,Investors!$E:$E,'Investor Exit List'!$C45,Investors!$L:$L,'Investor Exit List'!$B45)</f>
        <v/>
      </c>
      <c r="T45" s="91">
        <f>IF(U45=TRUE,$J45,"")</f>
        <v/>
      </c>
      <c r="U45" s="89" t="b">
        <v>0</v>
      </c>
      <c r="V45" s="90">
        <f>IF(AND(H45=TRUE,OR(K45="",K45&gt;M45)),S45,0)</f>
        <v/>
      </c>
      <c r="W45" s="89" t="n">
        <v>0</v>
      </c>
      <c r="X45" s="89" t="b">
        <v>0</v>
      </c>
    </row>
    <row r="46" hidden="1">
      <c r="A46" s="89" t="inlineStr">
        <is>
          <t>ZMAG01</t>
        </is>
      </c>
      <c r="B46" s="89" t="n">
        <v>3</v>
      </c>
      <c r="C46" s="89" t="inlineStr">
        <is>
          <t>HFA206</t>
        </is>
      </c>
      <c r="D46" s="89" t="inlineStr">
        <is>
          <t>A</t>
        </is>
      </c>
      <c r="E46" s="89" t="inlineStr">
        <is>
          <t>Psomotragos Petro</t>
        </is>
      </c>
      <c r="F46" s="90">
        <f>SUMIFS(Investors!$M:$M,Investors!$O:$O,FALSE,Investors!$P:$P,FALSE,Investors!$K:$K,"&gt;"&amp;'NSST Print'!$B$3,Investors!$I:$I,"&lt;="&amp;'NSST Print'!$B$3,Investors!$A:$A,'Investor Exit List'!$A46,Investors!$E:$E,'Investor Exit List'!$C46,Investors!$L:$L,'Investor Exit List'!$B46)-(SUMIFS(Investors!$M:$M,Investors!$I:$I,"&lt;="&amp;'NSST Print'!$B$3,Investors!$J:$J,"&gt;"&amp;'NSST Print'!$B$3,Investors!$A:$A,'Investor Exit List'!$A46,Investors!$E:$E,'Investor Exit List'!$C46,Investors!$L:$L,'Investor Exit List'!$B46)+SUMIFS(Investors!$M:$M,Investors!$I:$I,"&lt;="&amp;'NSST Print'!$B$3,Investors!$J:$J,"",Investors!$A:$A,'Investor Exit List'!$A46,Investors!$E:$E,'Investor Exit List'!$C46,Investors!$L:$L,'Investor Exit List'!$B46))</f>
        <v/>
      </c>
      <c r="G46" s="91" t="n">
        <v>44378</v>
      </c>
      <c r="H46" s="89" t="b">
        <v>1</v>
      </c>
      <c r="I46" s="89" t="b">
        <v>1</v>
      </c>
      <c r="J46" s="91" t="n">
        <v>44887</v>
      </c>
      <c r="K46" s="91">
        <f>IF(I46=TRUE,J46,"")</f>
        <v/>
      </c>
      <c r="L46" s="91">
        <f>G46+730</f>
        <v/>
      </c>
      <c r="M46" s="91" t="n">
        <v>45382</v>
      </c>
      <c r="N46" s="92">
        <f>IFERROR(IF(G46&lt;&gt;"",IF(I46=TRUE,0,IF(U46=TRUE,0,L46-M46)),0),0)</f>
        <v/>
      </c>
      <c r="O46" s="92">
        <f>IF(N46&gt;0,IF(N46&lt;=180,N46,0),0)</f>
        <v/>
      </c>
      <c r="P46" s="90">
        <f>IF(AND(N46&lt;90,N46&gt;0),Q46,0)</f>
        <v/>
      </c>
      <c r="Q46" s="90">
        <f>SUMIFS(Investors!$M:$M,Investors!$O:$O,FALSE,Investors!$P:$P,FALSE,Investors!$K:$K,"&gt;"&amp;'NSST Print'!$B$3,Investors!$I:$I,"&lt;="&amp;'NSST Print'!$B$3,Investors!$A:$A,'Investor Exit List'!$A46,Investors!$E:$E,'Investor Exit List'!$C46,Investors!$L:$L,'Investor Exit List'!$B46)-(SUMIFS(Investors!$M:$M,Investors!$I:$I,"&lt;="&amp;'NSST Print'!$B$3,Investors!$J:$J,"&gt;"&amp;'NSST Print'!$B$3,Investors!$A:$A,'Investor Exit List'!$A46,Investors!$E:$E,'Investor Exit List'!$C46,Investors!$L:$L,'Investor Exit List'!$B46)+SUMIFS(Investors!$M:$M,Investors!$I:$I,"&lt;="&amp;'NSST Print'!$B$3,Investors!$J:$J,"",Investors!$A:$A,'Investor Exit List'!$A46,Investors!$E:$E,'Investor Exit List'!$C46,Investors!$L:$L,'Investor Exit List'!$B46))+SUMIFS(Investors!$S:$S,Investors!$O:$O,FALSE,Investors!$P:$P,FALSE,Investors!$K:$K,"&gt;"&amp;'NSST Print'!$B$3,Investors!$I:$I,"&lt;="&amp;'NSST Print'!$B$3,Investors!$A:$A,'Investor Exit List'!$A46,Investors!$E:$E,'Investor Exit List'!$C46,Investors!$L:$L,'Investor Exit List'!$B46)-(SUMIFS(Investors!$S:$S,Investors!$I:$I,"&lt;="&amp;'NSST Print'!$B$3,Investors!$J:$J,"&gt;"&amp;'NSST Print'!$B$3,Investors!$A:$A,'Investor Exit List'!$A46,Investors!$E:$E,'Investor Exit List'!$C46,Investors!$L:$L,'Investor Exit List'!$B46)+SUMIFS(Investors!$S:$S,Investors!$I:$I,"&lt;="&amp;'NSST Print'!$B$3,Investors!$J:$J,"",Investors!$A:$A,'Investor Exit List'!$A46,Investors!$E:$E,'Investor Exit List'!$C46,Investors!$L:$L,'Investor Exit List'!$B46))</f>
        <v/>
      </c>
      <c r="R46" s="90">
        <f>IF(AND(H46=TRUE,I46=FALSE),Q46,0)</f>
        <v/>
      </c>
      <c r="S46" s="90">
        <f>SUMIFS(Investors!$M:$M,Investors!$O:$O,TRUE,Investors!$A:$A,'Investor Exit List'!$A46,Investors!$E:$E,'Investor Exit List'!$C46,Investors!$L:$L,'Investor Exit List'!$B46)+SUMIFS(Investors!$S:$S,Investors!$O:$O,TRUE,Investors!$A:$A,'Investor Exit List'!$A46,Investors!$E:$E,'Investor Exit List'!$C46,Investors!$L:$L,'Investor Exit List'!$B46)</f>
        <v/>
      </c>
      <c r="T46" s="91">
        <f>IF(U46=TRUE,$J46,"")</f>
        <v/>
      </c>
      <c r="U46" s="89" t="b">
        <v>0</v>
      </c>
      <c r="V46" s="90">
        <f>IF(AND(H46=TRUE,OR(K46="",K46&gt;M46)),S46,0)</f>
        <v/>
      </c>
      <c r="W46" s="89" t="n">
        <v>0</v>
      </c>
      <c r="X46" s="89" t="b">
        <v>0</v>
      </c>
    </row>
    <row r="47" hidden="1">
      <c r="A47" s="89" t="inlineStr">
        <is>
          <t>ZVDM01</t>
        </is>
      </c>
      <c r="B47" s="89" t="n">
        <v>3</v>
      </c>
      <c r="C47" s="89" t="inlineStr">
        <is>
          <t>HFA206</t>
        </is>
      </c>
      <c r="D47" s="89" t="inlineStr">
        <is>
          <t>A</t>
        </is>
      </c>
      <c r="E47" s="89" t="inlineStr">
        <is>
          <t>van der Mescht Paula</t>
        </is>
      </c>
      <c r="F47" s="90">
        <f>SUMIFS(Investors!$M:$M,Investors!$O:$O,FALSE,Investors!$P:$P,FALSE,Investors!$K:$K,"&gt;"&amp;'NSST Print'!$B$3,Investors!$I:$I,"&lt;="&amp;'NSST Print'!$B$3,Investors!$A:$A,'Investor Exit List'!$A47,Investors!$E:$E,'Investor Exit List'!$C47,Investors!$L:$L,'Investor Exit List'!$B47)-(SUMIFS(Investors!$M:$M,Investors!$I:$I,"&lt;="&amp;'NSST Print'!$B$3,Investors!$J:$J,"&gt;"&amp;'NSST Print'!$B$3,Investors!$A:$A,'Investor Exit List'!$A47,Investors!$E:$E,'Investor Exit List'!$C47,Investors!$L:$L,'Investor Exit List'!$B47)+SUMIFS(Investors!$M:$M,Investors!$I:$I,"&lt;="&amp;'NSST Print'!$B$3,Investors!$J:$J,"",Investors!$A:$A,'Investor Exit List'!$A47,Investors!$E:$E,'Investor Exit List'!$C47,Investors!$L:$L,'Investor Exit List'!$B47))</f>
        <v/>
      </c>
      <c r="G47" s="91" t="n">
        <v>44316</v>
      </c>
      <c r="H47" s="89" t="b">
        <v>1</v>
      </c>
      <c r="I47" s="89" t="b">
        <v>1</v>
      </c>
      <c r="J47" s="91" t="n">
        <v>44887</v>
      </c>
      <c r="K47" s="91">
        <f>IF(I47=TRUE,J47,"")</f>
        <v/>
      </c>
      <c r="L47" s="91">
        <f>G47+730</f>
        <v/>
      </c>
      <c r="M47" s="91" t="n">
        <v>45382</v>
      </c>
      <c r="N47" s="92">
        <f>IFERROR(IF(G47&lt;&gt;"",IF(I47=TRUE,0,IF(U47=TRUE,0,L47-M47)),0),0)</f>
        <v/>
      </c>
      <c r="O47" s="92">
        <f>IF(N47&gt;0,IF(N47&lt;=180,N47,0),0)</f>
        <v/>
      </c>
      <c r="P47" s="90">
        <f>IF(AND(N47&lt;90,N47&gt;0),Q47,0)</f>
        <v/>
      </c>
      <c r="Q47" s="90">
        <f>SUMIFS(Investors!$M:$M,Investors!$O:$O,FALSE,Investors!$P:$P,FALSE,Investors!$K:$K,"&gt;"&amp;'NSST Print'!$B$3,Investors!$I:$I,"&lt;="&amp;'NSST Print'!$B$3,Investors!$A:$A,'Investor Exit List'!$A47,Investors!$E:$E,'Investor Exit List'!$C47,Investors!$L:$L,'Investor Exit List'!$B47)-(SUMIFS(Investors!$M:$M,Investors!$I:$I,"&lt;="&amp;'NSST Print'!$B$3,Investors!$J:$J,"&gt;"&amp;'NSST Print'!$B$3,Investors!$A:$A,'Investor Exit List'!$A47,Investors!$E:$E,'Investor Exit List'!$C47,Investors!$L:$L,'Investor Exit List'!$B47)+SUMIFS(Investors!$M:$M,Investors!$I:$I,"&lt;="&amp;'NSST Print'!$B$3,Investors!$J:$J,"",Investors!$A:$A,'Investor Exit List'!$A47,Investors!$E:$E,'Investor Exit List'!$C47,Investors!$L:$L,'Investor Exit List'!$B47))+SUMIFS(Investors!$S:$S,Investors!$O:$O,FALSE,Investors!$P:$P,FALSE,Investors!$K:$K,"&gt;"&amp;'NSST Print'!$B$3,Investors!$I:$I,"&lt;="&amp;'NSST Print'!$B$3,Investors!$A:$A,'Investor Exit List'!$A47,Investors!$E:$E,'Investor Exit List'!$C47,Investors!$L:$L,'Investor Exit List'!$B47)-(SUMIFS(Investors!$S:$S,Investors!$I:$I,"&lt;="&amp;'NSST Print'!$B$3,Investors!$J:$J,"&gt;"&amp;'NSST Print'!$B$3,Investors!$A:$A,'Investor Exit List'!$A47,Investors!$E:$E,'Investor Exit List'!$C47,Investors!$L:$L,'Investor Exit List'!$B47)+SUMIFS(Investors!$S:$S,Investors!$I:$I,"&lt;="&amp;'NSST Print'!$B$3,Investors!$J:$J,"",Investors!$A:$A,'Investor Exit List'!$A47,Investors!$E:$E,'Investor Exit List'!$C47,Investors!$L:$L,'Investor Exit List'!$B47))</f>
        <v/>
      </c>
      <c r="R47" s="90">
        <f>IF(AND(H47=TRUE,I47=FALSE),Q47,0)</f>
        <v/>
      </c>
      <c r="S47" s="90">
        <f>SUMIFS(Investors!$M:$M,Investors!$O:$O,TRUE,Investors!$A:$A,'Investor Exit List'!$A47,Investors!$E:$E,'Investor Exit List'!$C47,Investors!$L:$L,'Investor Exit List'!$B47)+SUMIFS(Investors!$S:$S,Investors!$O:$O,TRUE,Investors!$A:$A,'Investor Exit List'!$A47,Investors!$E:$E,'Investor Exit List'!$C47,Investors!$L:$L,'Investor Exit List'!$B47)</f>
        <v/>
      </c>
      <c r="T47" s="91">
        <f>IF(U47=TRUE,$J47,"")</f>
        <v/>
      </c>
      <c r="U47" s="89" t="b">
        <v>0</v>
      </c>
      <c r="V47" s="90">
        <f>IF(AND(H47=TRUE,OR(K47="",K47&gt;M47)),S47,0)</f>
        <v/>
      </c>
      <c r="W47" s="89" t="n">
        <v>0</v>
      </c>
      <c r="X47" s="89" t="b">
        <v>0</v>
      </c>
    </row>
    <row r="48" hidden="1">
      <c r="A48" s="89" t="inlineStr">
        <is>
          <t>ZMAT01</t>
        </is>
      </c>
      <c r="B48" s="89" t="n">
        <v>4</v>
      </c>
      <c r="C48" s="89" t="inlineStr">
        <is>
          <t>HFA301</t>
        </is>
      </c>
      <c r="D48" s="89" t="inlineStr">
        <is>
          <t>A</t>
        </is>
      </c>
      <c r="E48" s="89" t="inlineStr">
        <is>
          <t>Matthews Natalie</t>
        </is>
      </c>
      <c r="F48" s="90">
        <f>SUMIFS(Investors!$M:$M,Investors!$O:$O,FALSE,Investors!$P:$P,FALSE,Investors!$K:$K,"&gt;"&amp;'NSST Print'!$B$3,Investors!$I:$I,"&lt;="&amp;'NSST Print'!$B$3,Investors!$A:$A,'Investor Exit List'!$A48,Investors!$E:$E,'Investor Exit List'!$C48,Investors!$L:$L,'Investor Exit List'!$B48)-(SUMIFS(Investors!$M:$M,Investors!$I:$I,"&lt;="&amp;'NSST Print'!$B$3,Investors!$J:$J,"&gt;"&amp;'NSST Print'!$B$3,Investors!$A:$A,'Investor Exit List'!$A48,Investors!$E:$E,'Investor Exit List'!$C48,Investors!$L:$L,'Investor Exit List'!$B48)+SUMIFS(Investors!$M:$M,Investors!$I:$I,"&lt;="&amp;'NSST Print'!$B$3,Investors!$J:$J,"",Investors!$A:$A,'Investor Exit List'!$A48,Investors!$E:$E,'Investor Exit List'!$C48,Investors!$L:$L,'Investor Exit List'!$B48))</f>
        <v/>
      </c>
      <c r="G48" s="91" t="n">
        <v>44378</v>
      </c>
      <c r="H48" s="89" t="b">
        <v>1</v>
      </c>
      <c r="I48" s="89" t="b">
        <v>1</v>
      </c>
      <c r="J48" s="91" t="n">
        <v>44901</v>
      </c>
      <c r="K48" s="91">
        <f>IF(I48=TRUE,J48,"")</f>
        <v/>
      </c>
      <c r="L48" s="91">
        <f>G48+730</f>
        <v/>
      </c>
      <c r="M48" s="91" t="n">
        <v>45382</v>
      </c>
      <c r="N48" s="92">
        <f>IFERROR(IF(G48&lt;&gt;"",IF(I48=TRUE,0,IF(U48=TRUE,0,L48-M48)),0),0)</f>
        <v/>
      </c>
      <c r="O48" s="92">
        <f>IF(N48&gt;0,IF(N48&lt;=180,N48,0),0)</f>
        <v/>
      </c>
      <c r="P48" s="90">
        <f>IF(AND(N48&lt;90,N48&gt;0),Q48,0)</f>
        <v/>
      </c>
      <c r="Q48" s="90">
        <f>SUMIFS(Investors!$M:$M,Investors!$O:$O,FALSE,Investors!$P:$P,FALSE,Investors!$K:$K,"&gt;"&amp;'NSST Print'!$B$3,Investors!$I:$I,"&lt;="&amp;'NSST Print'!$B$3,Investors!$A:$A,'Investor Exit List'!$A48,Investors!$E:$E,'Investor Exit List'!$C48,Investors!$L:$L,'Investor Exit List'!$B48)-(SUMIFS(Investors!$M:$M,Investors!$I:$I,"&lt;="&amp;'NSST Print'!$B$3,Investors!$J:$J,"&gt;"&amp;'NSST Print'!$B$3,Investors!$A:$A,'Investor Exit List'!$A48,Investors!$E:$E,'Investor Exit List'!$C48,Investors!$L:$L,'Investor Exit List'!$B48)+SUMIFS(Investors!$M:$M,Investors!$I:$I,"&lt;="&amp;'NSST Print'!$B$3,Investors!$J:$J,"",Investors!$A:$A,'Investor Exit List'!$A48,Investors!$E:$E,'Investor Exit List'!$C48,Investors!$L:$L,'Investor Exit List'!$B48))+SUMIFS(Investors!$S:$S,Investors!$O:$O,FALSE,Investors!$P:$P,FALSE,Investors!$K:$K,"&gt;"&amp;'NSST Print'!$B$3,Investors!$I:$I,"&lt;="&amp;'NSST Print'!$B$3,Investors!$A:$A,'Investor Exit List'!$A48,Investors!$E:$E,'Investor Exit List'!$C48,Investors!$L:$L,'Investor Exit List'!$B48)-(SUMIFS(Investors!$S:$S,Investors!$I:$I,"&lt;="&amp;'NSST Print'!$B$3,Investors!$J:$J,"&gt;"&amp;'NSST Print'!$B$3,Investors!$A:$A,'Investor Exit List'!$A48,Investors!$E:$E,'Investor Exit List'!$C48,Investors!$L:$L,'Investor Exit List'!$B48)+SUMIFS(Investors!$S:$S,Investors!$I:$I,"&lt;="&amp;'NSST Print'!$B$3,Investors!$J:$J,"",Investors!$A:$A,'Investor Exit List'!$A48,Investors!$E:$E,'Investor Exit List'!$C48,Investors!$L:$L,'Investor Exit List'!$B48))</f>
        <v/>
      </c>
      <c r="R48" s="90">
        <f>IF(AND(H48=TRUE,I48=FALSE),Q48,0)</f>
        <v/>
      </c>
      <c r="S48" s="90">
        <f>SUMIFS(Investors!$M:$M,Investors!$O:$O,TRUE,Investors!$A:$A,'Investor Exit List'!$A48,Investors!$E:$E,'Investor Exit List'!$C48,Investors!$L:$L,'Investor Exit List'!$B48)+SUMIFS(Investors!$S:$S,Investors!$O:$O,TRUE,Investors!$A:$A,'Investor Exit List'!$A48,Investors!$E:$E,'Investor Exit List'!$C48,Investors!$L:$L,'Investor Exit List'!$B48)</f>
        <v/>
      </c>
      <c r="T48" s="91">
        <f>IF(U48=TRUE,$J48,"")</f>
        <v/>
      </c>
      <c r="U48" s="89" t="b">
        <v>0</v>
      </c>
      <c r="V48" s="90">
        <f>IF(AND(H48=TRUE,OR(K48="",K48&gt;M48)),S48,0)</f>
        <v/>
      </c>
      <c r="W48" s="89" t="n">
        <v>0</v>
      </c>
      <c r="X48" s="89" t="b">
        <v>0</v>
      </c>
    </row>
    <row r="49" hidden="1">
      <c r="A49" s="89" t="inlineStr">
        <is>
          <t>ZSCH01</t>
        </is>
      </c>
      <c r="B49" s="89" t="n">
        <v>11</v>
      </c>
      <c r="C49" s="89" t="inlineStr">
        <is>
          <t>HFA301</t>
        </is>
      </c>
      <c r="D49" s="89" t="inlineStr">
        <is>
          <t>A</t>
        </is>
      </c>
      <c r="E49" s="89" t="inlineStr">
        <is>
          <t>Schubert Inge</t>
        </is>
      </c>
      <c r="F49" s="90">
        <f>SUMIFS(Investors!$M:$M,Investors!$O:$O,FALSE,Investors!$P:$P,FALSE,Investors!$K:$K,"&gt;"&amp;'NSST Print'!$B$3,Investors!$I:$I,"&lt;="&amp;'NSST Print'!$B$3,Investors!$A:$A,'Investor Exit List'!$A49,Investors!$E:$E,'Investor Exit List'!$C49,Investors!$L:$L,'Investor Exit List'!$B49)-(SUMIFS(Investors!$M:$M,Investors!$I:$I,"&lt;="&amp;'NSST Print'!$B$3,Investors!$J:$J,"&gt;"&amp;'NSST Print'!$B$3,Investors!$A:$A,'Investor Exit List'!$A49,Investors!$E:$E,'Investor Exit List'!$C49,Investors!$L:$L,'Investor Exit List'!$B49)+SUMIFS(Investors!$M:$M,Investors!$I:$I,"&lt;="&amp;'NSST Print'!$B$3,Investors!$J:$J,"",Investors!$A:$A,'Investor Exit List'!$A49,Investors!$E:$E,'Investor Exit List'!$C49,Investors!$L:$L,'Investor Exit List'!$B49))</f>
        <v/>
      </c>
      <c r="G49" s="91" t="n">
        <v>44352</v>
      </c>
      <c r="H49" s="89" t="b">
        <v>1</v>
      </c>
      <c r="I49" s="89" t="b">
        <v>1</v>
      </c>
      <c r="J49" s="91" t="n">
        <v>44901</v>
      </c>
      <c r="K49" s="91">
        <f>IF(I49=TRUE,J49,"")</f>
        <v/>
      </c>
      <c r="L49" s="91">
        <f>G49+730</f>
        <v/>
      </c>
      <c r="M49" s="91" t="n">
        <v>45382</v>
      </c>
      <c r="N49" s="92">
        <f>IFERROR(IF(G49&lt;&gt;"",IF(I49=TRUE,0,IF(U49=TRUE,0,L49-M49)),0),0)</f>
        <v/>
      </c>
      <c r="O49" s="92">
        <f>IF(N49&gt;0,IF(N49&lt;=180,N49,0),0)</f>
        <v/>
      </c>
      <c r="P49" s="90">
        <f>IF(AND(N49&lt;90,N49&gt;0),Q49,0)</f>
        <v/>
      </c>
      <c r="Q49" s="90">
        <f>SUMIFS(Investors!$M:$M,Investors!$O:$O,FALSE,Investors!$P:$P,FALSE,Investors!$K:$K,"&gt;"&amp;'NSST Print'!$B$3,Investors!$I:$I,"&lt;="&amp;'NSST Print'!$B$3,Investors!$A:$A,'Investor Exit List'!$A49,Investors!$E:$E,'Investor Exit List'!$C49,Investors!$L:$L,'Investor Exit List'!$B49)-(SUMIFS(Investors!$M:$M,Investors!$I:$I,"&lt;="&amp;'NSST Print'!$B$3,Investors!$J:$J,"&gt;"&amp;'NSST Print'!$B$3,Investors!$A:$A,'Investor Exit List'!$A49,Investors!$E:$E,'Investor Exit List'!$C49,Investors!$L:$L,'Investor Exit List'!$B49)+SUMIFS(Investors!$M:$M,Investors!$I:$I,"&lt;="&amp;'NSST Print'!$B$3,Investors!$J:$J,"",Investors!$A:$A,'Investor Exit List'!$A49,Investors!$E:$E,'Investor Exit List'!$C49,Investors!$L:$L,'Investor Exit List'!$B49))+SUMIFS(Investors!$S:$S,Investors!$O:$O,FALSE,Investors!$P:$P,FALSE,Investors!$K:$K,"&gt;"&amp;'NSST Print'!$B$3,Investors!$I:$I,"&lt;="&amp;'NSST Print'!$B$3,Investors!$A:$A,'Investor Exit List'!$A49,Investors!$E:$E,'Investor Exit List'!$C49,Investors!$L:$L,'Investor Exit List'!$B49)-(SUMIFS(Investors!$S:$S,Investors!$I:$I,"&lt;="&amp;'NSST Print'!$B$3,Investors!$J:$J,"&gt;"&amp;'NSST Print'!$B$3,Investors!$A:$A,'Investor Exit List'!$A49,Investors!$E:$E,'Investor Exit List'!$C49,Investors!$L:$L,'Investor Exit List'!$B49)+SUMIFS(Investors!$S:$S,Investors!$I:$I,"&lt;="&amp;'NSST Print'!$B$3,Investors!$J:$J,"",Investors!$A:$A,'Investor Exit List'!$A49,Investors!$E:$E,'Investor Exit List'!$C49,Investors!$L:$L,'Investor Exit List'!$B49))</f>
        <v/>
      </c>
      <c r="R49" s="90">
        <f>IF(AND(H49=TRUE,I49=FALSE),Q49,0)</f>
        <v/>
      </c>
      <c r="S49" s="90">
        <f>SUMIFS(Investors!$M:$M,Investors!$O:$O,TRUE,Investors!$A:$A,'Investor Exit List'!$A49,Investors!$E:$E,'Investor Exit List'!$C49,Investors!$L:$L,'Investor Exit List'!$B49)+SUMIFS(Investors!$S:$S,Investors!$O:$O,TRUE,Investors!$A:$A,'Investor Exit List'!$A49,Investors!$E:$E,'Investor Exit List'!$C49,Investors!$L:$L,'Investor Exit List'!$B49)</f>
        <v/>
      </c>
      <c r="T49" s="91">
        <f>IF(U49=TRUE,$J49,"")</f>
        <v/>
      </c>
      <c r="U49" s="89" t="b">
        <v>0</v>
      </c>
      <c r="V49" s="90">
        <f>IF(AND(H49=TRUE,OR(K49="",K49&gt;M49)),S49,0)</f>
        <v/>
      </c>
      <c r="W49" s="89" t="n">
        <v>0</v>
      </c>
      <c r="X49" s="89" t="b">
        <v>0</v>
      </c>
    </row>
    <row r="50" hidden="1">
      <c r="A50" s="89" t="inlineStr">
        <is>
          <t>ZTSH01</t>
        </is>
      </c>
      <c r="B50" s="89" t="n">
        <v>1</v>
      </c>
      <c r="C50" s="89" t="inlineStr">
        <is>
          <t>HFA301</t>
        </is>
      </c>
      <c r="D50" s="89" t="inlineStr">
        <is>
          <t>A</t>
        </is>
      </c>
      <c r="E50" s="89" t="inlineStr">
        <is>
          <t>Tshabalala Thandeka Patience</t>
        </is>
      </c>
      <c r="F50" s="90">
        <f>SUMIFS(Investors!$M:$M,Investors!$O:$O,FALSE,Investors!$P:$P,FALSE,Investors!$K:$K,"&gt;"&amp;'NSST Print'!$B$3,Investors!$I:$I,"&lt;="&amp;'NSST Print'!$B$3,Investors!$A:$A,'Investor Exit List'!$A50,Investors!$E:$E,'Investor Exit List'!$C50,Investors!$L:$L,'Investor Exit List'!$B50)-(SUMIFS(Investors!$M:$M,Investors!$I:$I,"&lt;="&amp;'NSST Print'!$B$3,Investors!$J:$J,"&gt;"&amp;'NSST Print'!$B$3,Investors!$A:$A,'Investor Exit List'!$A50,Investors!$E:$E,'Investor Exit List'!$C50,Investors!$L:$L,'Investor Exit List'!$B50)+SUMIFS(Investors!$M:$M,Investors!$I:$I,"&lt;="&amp;'NSST Print'!$B$3,Investors!$J:$J,"",Investors!$A:$A,'Investor Exit List'!$A50,Investors!$E:$E,'Investor Exit List'!$C50,Investors!$L:$L,'Investor Exit List'!$B50))</f>
        <v/>
      </c>
      <c r="G50" s="91" t="n">
        <v>44378</v>
      </c>
      <c r="H50" s="89" t="b">
        <v>1</v>
      </c>
      <c r="I50" s="89" t="b">
        <v>1</v>
      </c>
      <c r="J50" s="91" t="n">
        <v>44901</v>
      </c>
      <c r="K50" s="91">
        <f>IF(I50=TRUE,J50,"")</f>
        <v/>
      </c>
      <c r="L50" s="91">
        <f>G50+730</f>
        <v/>
      </c>
      <c r="M50" s="91" t="n">
        <v>45382</v>
      </c>
      <c r="N50" s="92">
        <f>IFERROR(IF(G50&lt;&gt;"",IF(I50=TRUE,0,IF(U50=TRUE,0,L50-M50)),0),0)</f>
        <v/>
      </c>
      <c r="O50" s="92">
        <f>IF(N50&gt;0,IF(N50&lt;=180,N50,0),0)</f>
        <v/>
      </c>
      <c r="P50" s="90">
        <f>IF(AND(N50&lt;90,N50&gt;0),Q50,0)</f>
        <v/>
      </c>
      <c r="Q50" s="90">
        <f>SUMIFS(Investors!$M:$M,Investors!$O:$O,FALSE,Investors!$P:$P,FALSE,Investors!$K:$K,"&gt;"&amp;'NSST Print'!$B$3,Investors!$I:$I,"&lt;="&amp;'NSST Print'!$B$3,Investors!$A:$A,'Investor Exit List'!$A50,Investors!$E:$E,'Investor Exit List'!$C50,Investors!$L:$L,'Investor Exit List'!$B50)-(SUMIFS(Investors!$M:$M,Investors!$I:$I,"&lt;="&amp;'NSST Print'!$B$3,Investors!$J:$J,"&gt;"&amp;'NSST Print'!$B$3,Investors!$A:$A,'Investor Exit List'!$A50,Investors!$E:$E,'Investor Exit List'!$C50,Investors!$L:$L,'Investor Exit List'!$B50)+SUMIFS(Investors!$M:$M,Investors!$I:$I,"&lt;="&amp;'NSST Print'!$B$3,Investors!$J:$J,"",Investors!$A:$A,'Investor Exit List'!$A50,Investors!$E:$E,'Investor Exit List'!$C50,Investors!$L:$L,'Investor Exit List'!$B50))+SUMIFS(Investors!$S:$S,Investors!$O:$O,FALSE,Investors!$P:$P,FALSE,Investors!$K:$K,"&gt;"&amp;'NSST Print'!$B$3,Investors!$I:$I,"&lt;="&amp;'NSST Print'!$B$3,Investors!$A:$A,'Investor Exit List'!$A50,Investors!$E:$E,'Investor Exit List'!$C50,Investors!$L:$L,'Investor Exit List'!$B50)-(SUMIFS(Investors!$S:$S,Investors!$I:$I,"&lt;="&amp;'NSST Print'!$B$3,Investors!$J:$J,"&gt;"&amp;'NSST Print'!$B$3,Investors!$A:$A,'Investor Exit List'!$A50,Investors!$E:$E,'Investor Exit List'!$C50,Investors!$L:$L,'Investor Exit List'!$B50)+SUMIFS(Investors!$S:$S,Investors!$I:$I,"&lt;="&amp;'NSST Print'!$B$3,Investors!$J:$J,"",Investors!$A:$A,'Investor Exit List'!$A50,Investors!$E:$E,'Investor Exit List'!$C50,Investors!$L:$L,'Investor Exit List'!$B50))</f>
        <v/>
      </c>
      <c r="R50" s="90">
        <f>IF(AND(H50=TRUE,I50=FALSE),Q50,0)</f>
        <v/>
      </c>
      <c r="S50" s="90">
        <f>SUMIFS(Investors!$M:$M,Investors!$O:$O,TRUE,Investors!$A:$A,'Investor Exit List'!$A50,Investors!$E:$E,'Investor Exit List'!$C50,Investors!$L:$L,'Investor Exit List'!$B50)+SUMIFS(Investors!$S:$S,Investors!$O:$O,TRUE,Investors!$A:$A,'Investor Exit List'!$A50,Investors!$E:$E,'Investor Exit List'!$C50,Investors!$L:$L,'Investor Exit List'!$B50)</f>
        <v/>
      </c>
      <c r="T50" s="91">
        <f>IF(U50=TRUE,$J50,"")</f>
        <v/>
      </c>
      <c r="U50" s="89" t="b">
        <v>0</v>
      </c>
      <c r="V50" s="90">
        <f>IF(AND(H50=TRUE,OR(K50="",K50&gt;M50)),S50,0)</f>
        <v/>
      </c>
      <c r="W50" s="89" t="n">
        <v>0</v>
      </c>
      <c r="X50" s="89" t="b">
        <v>0</v>
      </c>
    </row>
    <row r="51" hidden="1">
      <c r="A51" s="89" t="inlineStr">
        <is>
          <t>ZASD01</t>
        </is>
      </c>
      <c r="B51" s="89" t="n">
        <v>1</v>
      </c>
      <c r="C51" s="89" t="inlineStr">
        <is>
          <t>HFA302</t>
        </is>
      </c>
      <c r="D51" s="89" t="inlineStr">
        <is>
          <t>A</t>
        </is>
      </c>
      <c r="E51" s="89" t="inlineStr">
        <is>
          <t>Bendall Stuart Charles</t>
        </is>
      </c>
      <c r="F51" s="90">
        <f>SUMIFS(Investors!$M:$M,Investors!$O:$O,FALSE,Investors!$P:$P,FALSE,Investors!$K:$K,"&gt;"&amp;'NSST Print'!$B$3,Investors!$I:$I,"&lt;="&amp;'NSST Print'!$B$3,Investors!$A:$A,'Investor Exit List'!$A51,Investors!$E:$E,'Investor Exit List'!$C51,Investors!$L:$L,'Investor Exit List'!$B51)-(SUMIFS(Investors!$M:$M,Investors!$I:$I,"&lt;="&amp;'NSST Print'!$B$3,Investors!$J:$J,"&gt;"&amp;'NSST Print'!$B$3,Investors!$A:$A,'Investor Exit List'!$A51,Investors!$E:$E,'Investor Exit List'!$C51,Investors!$L:$L,'Investor Exit List'!$B51)+SUMIFS(Investors!$M:$M,Investors!$I:$I,"&lt;="&amp;'NSST Print'!$B$3,Investors!$J:$J,"",Investors!$A:$A,'Investor Exit List'!$A51,Investors!$E:$E,'Investor Exit List'!$C51,Investors!$L:$L,'Investor Exit List'!$B51))</f>
        <v/>
      </c>
      <c r="G51" s="91" t="n">
        <v>44352</v>
      </c>
      <c r="H51" s="89" t="b">
        <v>1</v>
      </c>
      <c r="I51" s="89" t="b">
        <v>1</v>
      </c>
      <c r="J51" s="91" t="n">
        <v>44887</v>
      </c>
      <c r="K51" s="91">
        <f>IF(I51=TRUE,J51,"")</f>
        <v/>
      </c>
      <c r="L51" s="91">
        <f>G51+730</f>
        <v/>
      </c>
      <c r="M51" s="91" t="n">
        <v>45382</v>
      </c>
      <c r="N51" s="92">
        <f>IFERROR(IF(G51&lt;&gt;"",IF(I51=TRUE,0,IF(U51=TRUE,0,L51-M51)),0),0)</f>
        <v/>
      </c>
      <c r="O51" s="92">
        <f>IF(N51&gt;0,IF(N51&lt;=180,N51,0),0)</f>
        <v/>
      </c>
      <c r="P51" s="90">
        <f>IF(AND(N51&lt;90,N51&gt;0),Q51,0)</f>
        <v/>
      </c>
      <c r="Q51" s="90">
        <f>SUMIFS(Investors!$M:$M,Investors!$O:$O,FALSE,Investors!$P:$P,FALSE,Investors!$K:$K,"&gt;"&amp;'NSST Print'!$B$3,Investors!$I:$I,"&lt;="&amp;'NSST Print'!$B$3,Investors!$A:$A,'Investor Exit List'!$A51,Investors!$E:$E,'Investor Exit List'!$C51,Investors!$L:$L,'Investor Exit List'!$B51)-(SUMIFS(Investors!$M:$M,Investors!$I:$I,"&lt;="&amp;'NSST Print'!$B$3,Investors!$J:$J,"&gt;"&amp;'NSST Print'!$B$3,Investors!$A:$A,'Investor Exit List'!$A51,Investors!$E:$E,'Investor Exit List'!$C51,Investors!$L:$L,'Investor Exit List'!$B51)+SUMIFS(Investors!$M:$M,Investors!$I:$I,"&lt;="&amp;'NSST Print'!$B$3,Investors!$J:$J,"",Investors!$A:$A,'Investor Exit List'!$A51,Investors!$E:$E,'Investor Exit List'!$C51,Investors!$L:$L,'Investor Exit List'!$B51))+SUMIFS(Investors!$S:$S,Investors!$O:$O,FALSE,Investors!$P:$P,FALSE,Investors!$K:$K,"&gt;"&amp;'NSST Print'!$B$3,Investors!$I:$I,"&lt;="&amp;'NSST Print'!$B$3,Investors!$A:$A,'Investor Exit List'!$A51,Investors!$E:$E,'Investor Exit List'!$C51,Investors!$L:$L,'Investor Exit List'!$B51)-(SUMIFS(Investors!$S:$S,Investors!$I:$I,"&lt;="&amp;'NSST Print'!$B$3,Investors!$J:$J,"&gt;"&amp;'NSST Print'!$B$3,Investors!$A:$A,'Investor Exit List'!$A51,Investors!$E:$E,'Investor Exit List'!$C51,Investors!$L:$L,'Investor Exit List'!$B51)+SUMIFS(Investors!$S:$S,Investors!$I:$I,"&lt;="&amp;'NSST Print'!$B$3,Investors!$J:$J,"",Investors!$A:$A,'Investor Exit List'!$A51,Investors!$E:$E,'Investor Exit List'!$C51,Investors!$L:$L,'Investor Exit List'!$B51))</f>
        <v/>
      </c>
      <c r="R51" s="90">
        <f>IF(AND(H51=TRUE,I51=FALSE),Q51,0)</f>
        <v/>
      </c>
      <c r="S51" s="90">
        <f>SUMIFS(Investors!$M:$M,Investors!$O:$O,TRUE,Investors!$A:$A,'Investor Exit List'!$A51,Investors!$E:$E,'Investor Exit List'!$C51,Investors!$L:$L,'Investor Exit List'!$B51)+SUMIFS(Investors!$S:$S,Investors!$O:$O,TRUE,Investors!$A:$A,'Investor Exit List'!$A51,Investors!$E:$E,'Investor Exit List'!$C51,Investors!$L:$L,'Investor Exit List'!$B51)</f>
        <v/>
      </c>
      <c r="T51" s="91">
        <f>IF(U51=TRUE,$J51,"")</f>
        <v/>
      </c>
      <c r="U51" s="89" t="b">
        <v>0</v>
      </c>
      <c r="V51" s="90">
        <f>IF(AND(H51=TRUE,OR(K51="",K51&gt;M51)),S51,0)</f>
        <v/>
      </c>
      <c r="W51" s="89" t="n">
        <v>0</v>
      </c>
      <c r="X51" s="89" t="b">
        <v>0</v>
      </c>
    </row>
    <row r="52" hidden="1">
      <c r="A52" s="89" t="inlineStr">
        <is>
          <t>ZMCK01</t>
        </is>
      </c>
      <c r="B52" s="89" t="n">
        <v>2</v>
      </c>
      <c r="C52" s="89" t="inlineStr">
        <is>
          <t>HFA302</t>
        </is>
      </c>
      <c r="D52" s="89" t="inlineStr">
        <is>
          <t>A</t>
        </is>
      </c>
      <c r="E52" s="89" t="inlineStr">
        <is>
          <t>MacKenzie-Jones Caitlin</t>
        </is>
      </c>
      <c r="F52" s="90">
        <f>SUMIFS(Investors!$M:$M,Investors!$O:$O,FALSE,Investors!$P:$P,FALSE,Investors!$K:$K,"&gt;"&amp;'NSST Print'!$B$3,Investors!$I:$I,"&lt;="&amp;'NSST Print'!$B$3,Investors!$A:$A,'Investor Exit List'!$A52,Investors!$E:$E,'Investor Exit List'!$C52,Investors!$L:$L,'Investor Exit List'!$B52)-(SUMIFS(Investors!$M:$M,Investors!$I:$I,"&lt;="&amp;'NSST Print'!$B$3,Investors!$J:$J,"&gt;"&amp;'NSST Print'!$B$3,Investors!$A:$A,'Investor Exit List'!$A52,Investors!$E:$E,'Investor Exit List'!$C52,Investors!$L:$L,'Investor Exit List'!$B52)+SUMIFS(Investors!$M:$M,Investors!$I:$I,"&lt;="&amp;'NSST Print'!$B$3,Investors!$J:$J,"",Investors!$A:$A,'Investor Exit List'!$A52,Investors!$E:$E,'Investor Exit List'!$C52,Investors!$L:$L,'Investor Exit List'!$B52))</f>
        <v/>
      </c>
      <c r="G52" s="91" t="n">
        <v>44352</v>
      </c>
      <c r="H52" s="89" t="b">
        <v>1</v>
      </c>
      <c r="I52" s="89" t="b">
        <v>1</v>
      </c>
      <c r="J52" s="91" t="n">
        <v>44887</v>
      </c>
      <c r="K52" s="91">
        <f>IF(I52=TRUE,J52,"")</f>
        <v/>
      </c>
      <c r="L52" s="91">
        <f>G52+730</f>
        <v/>
      </c>
      <c r="M52" s="91" t="n">
        <v>45382</v>
      </c>
      <c r="N52" s="92">
        <f>IFERROR(IF(G52&lt;&gt;"",IF(I52=TRUE,0,IF(U52=TRUE,0,L52-M52)),0),0)</f>
        <v/>
      </c>
      <c r="O52" s="92">
        <f>IF(N52&gt;0,IF(N52&lt;=180,N52,0),0)</f>
        <v/>
      </c>
      <c r="P52" s="90">
        <f>IF(AND(N52&lt;90,N52&gt;0),Q52,0)</f>
        <v/>
      </c>
      <c r="Q52" s="90">
        <f>SUMIFS(Investors!$M:$M,Investors!$O:$O,FALSE,Investors!$P:$P,FALSE,Investors!$K:$K,"&gt;"&amp;'NSST Print'!$B$3,Investors!$I:$I,"&lt;="&amp;'NSST Print'!$B$3,Investors!$A:$A,'Investor Exit List'!$A52,Investors!$E:$E,'Investor Exit List'!$C52,Investors!$L:$L,'Investor Exit List'!$B52)-(SUMIFS(Investors!$M:$M,Investors!$I:$I,"&lt;="&amp;'NSST Print'!$B$3,Investors!$J:$J,"&gt;"&amp;'NSST Print'!$B$3,Investors!$A:$A,'Investor Exit List'!$A52,Investors!$E:$E,'Investor Exit List'!$C52,Investors!$L:$L,'Investor Exit List'!$B52)+SUMIFS(Investors!$M:$M,Investors!$I:$I,"&lt;="&amp;'NSST Print'!$B$3,Investors!$J:$J,"",Investors!$A:$A,'Investor Exit List'!$A52,Investors!$E:$E,'Investor Exit List'!$C52,Investors!$L:$L,'Investor Exit List'!$B52))+SUMIFS(Investors!$S:$S,Investors!$O:$O,FALSE,Investors!$P:$P,FALSE,Investors!$K:$K,"&gt;"&amp;'NSST Print'!$B$3,Investors!$I:$I,"&lt;="&amp;'NSST Print'!$B$3,Investors!$A:$A,'Investor Exit List'!$A52,Investors!$E:$E,'Investor Exit List'!$C52,Investors!$L:$L,'Investor Exit List'!$B52)-(SUMIFS(Investors!$S:$S,Investors!$I:$I,"&lt;="&amp;'NSST Print'!$B$3,Investors!$J:$J,"&gt;"&amp;'NSST Print'!$B$3,Investors!$A:$A,'Investor Exit List'!$A52,Investors!$E:$E,'Investor Exit List'!$C52,Investors!$L:$L,'Investor Exit List'!$B52)+SUMIFS(Investors!$S:$S,Investors!$I:$I,"&lt;="&amp;'NSST Print'!$B$3,Investors!$J:$J,"",Investors!$A:$A,'Investor Exit List'!$A52,Investors!$E:$E,'Investor Exit List'!$C52,Investors!$L:$L,'Investor Exit List'!$B52))</f>
        <v/>
      </c>
      <c r="R52" s="90">
        <f>IF(AND(H52=TRUE,I52=FALSE),Q52,0)</f>
        <v/>
      </c>
      <c r="S52" s="90">
        <f>SUMIFS(Investors!$M:$M,Investors!$O:$O,TRUE,Investors!$A:$A,'Investor Exit List'!$A52,Investors!$E:$E,'Investor Exit List'!$C52,Investors!$L:$L,'Investor Exit List'!$B52)+SUMIFS(Investors!$S:$S,Investors!$O:$O,TRUE,Investors!$A:$A,'Investor Exit List'!$A52,Investors!$E:$E,'Investor Exit List'!$C52,Investors!$L:$L,'Investor Exit List'!$B52)</f>
        <v/>
      </c>
      <c r="T52" s="91">
        <f>IF(U52=TRUE,$J52,"")</f>
        <v/>
      </c>
      <c r="U52" s="89" t="b">
        <v>0</v>
      </c>
      <c r="V52" s="90">
        <f>IF(AND(H52=TRUE,OR(K52="",K52&gt;M52)),S52,0)</f>
        <v/>
      </c>
      <c r="W52" s="89" t="n">
        <v>0</v>
      </c>
      <c r="X52" s="89" t="b">
        <v>0</v>
      </c>
    </row>
    <row r="53" hidden="1">
      <c r="A53" s="89" t="inlineStr">
        <is>
          <t>ZGMA01</t>
        </is>
      </c>
      <c r="B53" s="89" t="n">
        <v>1</v>
      </c>
      <c r="C53" s="89" t="inlineStr">
        <is>
          <t>HFA303</t>
        </is>
      </c>
      <c r="D53" s="89" t="inlineStr">
        <is>
          <t>A</t>
        </is>
      </c>
      <c r="E53" s="89" t="inlineStr">
        <is>
          <t>Matthee Gerald Adriaan Odendal</t>
        </is>
      </c>
      <c r="F53" s="90">
        <f>SUMIFS(Investors!$M:$M,Investors!$O:$O,FALSE,Investors!$P:$P,FALSE,Investors!$K:$K,"&gt;"&amp;'NSST Print'!$B$3,Investors!$I:$I,"&lt;="&amp;'NSST Print'!$B$3,Investors!$A:$A,'Investor Exit List'!$A53,Investors!$E:$E,'Investor Exit List'!$C53,Investors!$L:$L,'Investor Exit List'!$B53)-(SUMIFS(Investors!$M:$M,Investors!$I:$I,"&lt;="&amp;'NSST Print'!$B$3,Investors!$J:$J,"&gt;"&amp;'NSST Print'!$B$3,Investors!$A:$A,'Investor Exit List'!$A53,Investors!$E:$E,'Investor Exit List'!$C53,Investors!$L:$L,'Investor Exit List'!$B53)+SUMIFS(Investors!$M:$M,Investors!$I:$I,"&lt;="&amp;'NSST Print'!$B$3,Investors!$J:$J,"",Investors!$A:$A,'Investor Exit List'!$A53,Investors!$E:$E,'Investor Exit List'!$C53,Investors!$L:$L,'Investor Exit List'!$B53))</f>
        <v/>
      </c>
      <c r="G53" s="91" t="n">
        <v>44352</v>
      </c>
      <c r="H53" s="89" t="b">
        <v>1</v>
      </c>
      <c r="I53" s="89" t="b">
        <v>1</v>
      </c>
      <c r="J53" s="91" t="n">
        <v>44896</v>
      </c>
      <c r="K53" s="91">
        <f>IF(I53=TRUE,J53,"")</f>
        <v/>
      </c>
      <c r="L53" s="91">
        <f>G53+730</f>
        <v/>
      </c>
      <c r="M53" s="91" t="n">
        <v>45382</v>
      </c>
      <c r="N53" s="92">
        <f>IFERROR(IF(G53&lt;&gt;"",IF(I53=TRUE,0,IF(U53=TRUE,0,L53-M53)),0),0)</f>
        <v/>
      </c>
      <c r="O53" s="92">
        <f>IF(N53&gt;0,IF(N53&lt;=180,N53,0),0)</f>
        <v/>
      </c>
      <c r="P53" s="90">
        <f>IF(AND(N53&lt;90,N53&gt;0),Q53,0)</f>
        <v/>
      </c>
      <c r="Q53" s="90">
        <f>SUMIFS(Investors!$M:$M,Investors!$O:$O,FALSE,Investors!$P:$P,FALSE,Investors!$K:$K,"&gt;"&amp;'NSST Print'!$B$3,Investors!$I:$I,"&lt;="&amp;'NSST Print'!$B$3,Investors!$A:$A,'Investor Exit List'!$A53,Investors!$E:$E,'Investor Exit List'!$C53,Investors!$L:$L,'Investor Exit List'!$B53)-(SUMIFS(Investors!$M:$M,Investors!$I:$I,"&lt;="&amp;'NSST Print'!$B$3,Investors!$J:$J,"&gt;"&amp;'NSST Print'!$B$3,Investors!$A:$A,'Investor Exit List'!$A53,Investors!$E:$E,'Investor Exit List'!$C53,Investors!$L:$L,'Investor Exit List'!$B53)+SUMIFS(Investors!$M:$M,Investors!$I:$I,"&lt;="&amp;'NSST Print'!$B$3,Investors!$J:$J,"",Investors!$A:$A,'Investor Exit List'!$A53,Investors!$E:$E,'Investor Exit List'!$C53,Investors!$L:$L,'Investor Exit List'!$B53))+SUMIFS(Investors!$S:$S,Investors!$O:$O,FALSE,Investors!$P:$P,FALSE,Investors!$K:$K,"&gt;"&amp;'NSST Print'!$B$3,Investors!$I:$I,"&lt;="&amp;'NSST Print'!$B$3,Investors!$A:$A,'Investor Exit List'!$A53,Investors!$E:$E,'Investor Exit List'!$C53,Investors!$L:$L,'Investor Exit List'!$B53)-(SUMIFS(Investors!$S:$S,Investors!$I:$I,"&lt;="&amp;'NSST Print'!$B$3,Investors!$J:$J,"&gt;"&amp;'NSST Print'!$B$3,Investors!$A:$A,'Investor Exit List'!$A53,Investors!$E:$E,'Investor Exit List'!$C53,Investors!$L:$L,'Investor Exit List'!$B53)+SUMIFS(Investors!$S:$S,Investors!$I:$I,"&lt;="&amp;'NSST Print'!$B$3,Investors!$J:$J,"",Investors!$A:$A,'Investor Exit List'!$A53,Investors!$E:$E,'Investor Exit List'!$C53,Investors!$L:$L,'Investor Exit List'!$B53))</f>
        <v/>
      </c>
      <c r="R53" s="90">
        <f>IF(AND(H53=TRUE,I53=FALSE),Q53,0)</f>
        <v/>
      </c>
      <c r="S53" s="90">
        <f>SUMIFS(Investors!$M:$M,Investors!$O:$O,TRUE,Investors!$A:$A,'Investor Exit List'!$A53,Investors!$E:$E,'Investor Exit List'!$C53,Investors!$L:$L,'Investor Exit List'!$B53)+SUMIFS(Investors!$S:$S,Investors!$O:$O,TRUE,Investors!$A:$A,'Investor Exit List'!$A53,Investors!$E:$E,'Investor Exit List'!$C53,Investors!$L:$L,'Investor Exit List'!$B53)</f>
        <v/>
      </c>
      <c r="T53" s="91">
        <f>IF(U53=TRUE,$J53,"")</f>
        <v/>
      </c>
      <c r="U53" s="89" t="b">
        <v>0</v>
      </c>
      <c r="V53" s="90">
        <f>IF(AND(H53=TRUE,OR(K53="",K53&gt;M53)),S53,0)</f>
        <v/>
      </c>
      <c r="W53" s="89" t="n">
        <v>0</v>
      </c>
      <c r="X53" s="89" t="b">
        <v>0</v>
      </c>
    </row>
    <row r="54" hidden="1">
      <c r="A54" s="89" t="inlineStr">
        <is>
          <t>ZLMA01</t>
        </is>
      </c>
      <c r="B54" s="89" t="n">
        <v>1</v>
      </c>
      <c r="C54" s="89" t="inlineStr">
        <is>
          <t>HFA303</t>
        </is>
      </c>
      <c r="D54" s="89" t="inlineStr">
        <is>
          <t>A</t>
        </is>
      </c>
      <c r="E54" s="89" t="inlineStr">
        <is>
          <t>Magwaza Luvo</t>
        </is>
      </c>
      <c r="F54" s="90">
        <f>SUMIFS(Investors!$M:$M,Investors!$O:$O,FALSE,Investors!$P:$P,FALSE,Investors!$K:$K,"&gt;"&amp;'NSST Print'!$B$3,Investors!$I:$I,"&lt;="&amp;'NSST Print'!$B$3,Investors!$A:$A,'Investor Exit List'!$A54,Investors!$E:$E,'Investor Exit List'!$C54,Investors!$L:$L,'Investor Exit List'!$B54)-(SUMIFS(Investors!$M:$M,Investors!$I:$I,"&lt;="&amp;'NSST Print'!$B$3,Investors!$J:$J,"&gt;"&amp;'NSST Print'!$B$3,Investors!$A:$A,'Investor Exit List'!$A54,Investors!$E:$E,'Investor Exit List'!$C54,Investors!$L:$L,'Investor Exit List'!$B54)+SUMIFS(Investors!$M:$M,Investors!$I:$I,"&lt;="&amp;'NSST Print'!$B$3,Investors!$J:$J,"",Investors!$A:$A,'Investor Exit List'!$A54,Investors!$E:$E,'Investor Exit List'!$C54,Investors!$L:$L,'Investor Exit List'!$B54))</f>
        <v/>
      </c>
      <c r="G54" s="91" t="n">
        <v>44352</v>
      </c>
      <c r="H54" s="89" t="b">
        <v>1</v>
      </c>
      <c r="I54" s="89" t="b">
        <v>1</v>
      </c>
      <c r="J54" s="91" t="n">
        <v>44896</v>
      </c>
      <c r="K54" s="91">
        <f>IF(I54=TRUE,J54,"")</f>
        <v/>
      </c>
      <c r="L54" s="91">
        <f>G54+730</f>
        <v/>
      </c>
      <c r="M54" s="91" t="n">
        <v>45382</v>
      </c>
      <c r="N54" s="92">
        <f>IFERROR(IF(G54&lt;&gt;"",IF(I54=TRUE,0,IF(U54=TRUE,0,L54-M54)),0),0)</f>
        <v/>
      </c>
      <c r="O54" s="92">
        <f>IF(N54&gt;0,IF(N54&lt;=180,N54,0),0)</f>
        <v/>
      </c>
      <c r="P54" s="90">
        <f>IF(AND(N54&lt;90,N54&gt;0),Q54,0)</f>
        <v/>
      </c>
      <c r="Q54" s="90">
        <f>SUMIFS(Investors!$M:$M,Investors!$O:$O,FALSE,Investors!$P:$P,FALSE,Investors!$K:$K,"&gt;"&amp;'NSST Print'!$B$3,Investors!$I:$I,"&lt;="&amp;'NSST Print'!$B$3,Investors!$A:$A,'Investor Exit List'!$A54,Investors!$E:$E,'Investor Exit List'!$C54,Investors!$L:$L,'Investor Exit List'!$B54)-(SUMIFS(Investors!$M:$M,Investors!$I:$I,"&lt;="&amp;'NSST Print'!$B$3,Investors!$J:$J,"&gt;"&amp;'NSST Print'!$B$3,Investors!$A:$A,'Investor Exit List'!$A54,Investors!$E:$E,'Investor Exit List'!$C54,Investors!$L:$L,'Investor Exit List'!$B54)+SUMIFS(Investors!$M:$M,Investors!$I:$I,"&lt;="&amp;'NSST Print'!$B$3,Investors!$J:$J,"",Investors!$A:$A,'Investor Exit List'!$A54,Investors!$E:$E,'Investor Exit List'!$C54,Investors!$L:$L,'Investor Exit List'!$B54))+SUMIFS(Investors!$S:$S,Investors!$O:$O,FALSE,Investors!$P:$P,FALSE,Investors!$K:$K,"&gt;"&amp;'NSST Print'!$B$3,Investors!$I:$I,"&lt;="&amp;'NSST Print'!$B$3,Investors!$A:$A,'Investor Exit List'!$A54,Investors!$E:$E,'Investor Exit List'!$C54,Investors!$L:$L,'Investor Exit List'!$B54)-(SUMIFS(Investors!$S:$S,Investors!$I:$I,"&lt;="&amp;'NSST Print'!$B$3,Investors!$J:$J,"&gt;"&amp;'NSST Print'!$B$3,Investors!$A:$A,'Investor Exit List'!$A54,Investors!$E:$E,'Investor Exit List'!$C54,Investors!$L:$L,'Investor Exit List'!$B54)+SUMIFS(Investors!$S:$S,Investors!$I:$I,"&lt;="&amp;'NSST Print'!$B$3,Investors!$J:$J,"",Investors!$A:$A,'Investor Exit List'!$A54,Investors!$E:$E,'Investor Exit List'!$C54,Investors!$L:$L,'Investor Exit List'!$B54))</f>
        <v/>
      </c>
      <c r="R54" s="90">
        <f>IF(AND(H54=TRUE,I54=FALSE),Q54,0)</f>
        <v/>
      </c>
      <c r="S54" s="90">
        <f>SUMIFS(Investors!$M:$M,Investors!$O:$O,TRUE,Investors!$A:$A,'Investor Exit List'!$A54,Investors!$E:$E,'Investor Exit List'!$C54,Investors!$L:$L,'Investor Exit List'!$B54)+SUMIFS(Investors!$S:$S,Investors!$O:$O,TRUE,Investors!$A:$A,'Investor Exit List'!$A54,Investors!$E:$E,'Investor Exit List'!$C54,Investors!$L:$L,'Investor Exit List'!$B54)</f>
        <v/>
      </c>
      <c r="T54" s="91">
        <f>IF(U54=TRUE,$J54,"")</f>
        <v/>
      </c>
      <c r="U54" s="89" t="b">
        <v>0</v>
      </c>
      <c r="V54" s="90">
        <f>IF(AND(H54=TRUE,OR(K54="",K54&gt;M54)),S54,0)</f>
        <v/>
      </c>
      <c r="W54" s="89" t="n">
        <v>0</v>
      </c>
      <c r="X54" s="89" t="b">
        <v>0</v>
      </c>
    </row>
    <row r="55" hidden="1">
      <c r="A55" s="89" t="inlineStr">
        <is>
          <t>ZSMI01</t>
        </is>
      </c>
      <c r="B55" s="89" t="n">
        <v>1</v>
      </c>
      <c r="C55" s="89" t="inlineStr">
        <is>
          <t>HFA303</t>
        </is>
      </c>
      <c r="D55" s="89" t="inlineStr">
        <is>
          <t>A</t>
        </is>
      </c>
      <c r="E55" s="89" t="inlineStr">
        <is>
          <t>Smit Eugene Patrick</t>
        </is>
      </c>
      <c r="F55" s="90">
        <f>SUMIFS(Investors!$M:$M,Investors!$O:$O,FALSE,Investors!$P:$P,FALSE,Investors!$K:$K,"&gt;"&amp;'NSST Print'!$B$3,Investors!$I:$I,"&lt;="&amp;'NSST Print'!$B$3,Investors!$A:$A,'Investor Exit List'!$A55,Investors!$E:$E,'Investor Exit List'!$C55,Investors!$L:$L,'Investor Exit List'!$B55)-(SUMIFS(Investors!$M:$M,Investors!$I:$I,"&lt;="&amp;'NSST Print'!$B$3,Investors!$J:$J,"&gt;"&amp;'NSST Print'!$B$3,Investors!$A:$A,'Investor Exit List'!$A55,Investors!$E:$E,'Investor Exit List'!$C55,Investors!$L:$L,'Investor Exit List'!$B55)+SUMIFS(Investors!$M:$M,Investors!$I:$I,"&lt;="&amp;'NSST Print'!$B$3,Investors!$J:$J,"",Investors!$A:$A,'Investor Exit List'!$A55,Investors!$E:$E,'Investor Exit List'!$C55,Investors!$L:$L,'Investor Exit List'!$B55))</f>
        <v/>
      </c>
      <c r="G55" s="91" t="n">
        <v>44352</v>
      </c>
      <c r="H55" s="89" t="b">
        <v>1</v>
      </c>
      <c r="I55" s="89" t="b">
        <v>1</v>
      </c>
      <c r="J55" s="91" t="n">
        <v>44896</v>
      </c>
      <c r="K55" s="91">
        <f>IF(I55=TRUE,J55,"")</f>
        <v/>
      </c>
      <c r="L55" s="91">
        <f>G55+730</f>
        <v/>
      </c>
      <c r="M55" s="91" t="n">
        <v>45382</v>
      </c>
      <c r="N55" s="92">
        <f>IFERROR(IF(G55&lt;&gt;"",IF(I55=TRUE,0,IF(U55=TRUE,0,L55-M55)),0),0)</f>
        <v/>
      </c>
      <c r="O55" s="92">
        <f>IF(N55&gt;0,IF(N55&lt;=180,N55,0),0)</f>
        <v/>
      </c>
      <c r="P55" s="90">
        <f>IF(AND(N55&lt;90,N55&gt;0),Q55,0)</f>
        <v/>
      </c>
      <c r="Q55" s="90">
        <f>SUMIFS(Investors!$M:$M,Investors!$O:$O,FALSE,Investors!$P:$P,FALSE,Investors!$K:$K,"&gt;"&amp;'NSST Print'!$B$3,Investors!$I:$I,"&lt;="&amp;'NSST Print'!$B$3,Investors!$A:$A,'Investor Exit List'!$A55,Investors!$E:$E,'Investor Exit List'!$C55,Investors!$L:$L,'Investor Exit List'!$B55)-(SUMIFS(Investors!$M:$M,Investors!$I:$I,"&lt;="&amp;'NSST Print'!$B$3,Investors!$J:$J,"&gt;"&amp;'NSST Print'!$B$3,Investors!$A:$A,'Investor Exit List'!$A55,Investors!$E:$E,'Investor Exit List'!$C55,Investors!$L:$L,'Investor Exit List'!$B55)+SUMIFS(Investors!$M:$M,Investors!$I:$I,"&lt;="&amp;'NSST Print'!$B$3,Investors!$J:$J,"",Investors!$A:$A,'Investor Exit List'!$A55,Investors!$E:$E,'Investor Exit List'!$C55,Investors!$L:$L,'Investor Exit List'!$B55))+SUMIFS(Investors!$S:$S,Investors!$O:$O,FALSE,Investors!$P:$P,FALSE,Investors!$K:$K,"&gt;"&amp;'NSST Print'!$B$3,Investors!$I:$I,"&lt;="&amp;'NSST Print'!$B$3,Investors!$A:$A,'Investor Exit List'!$A55,Investors!$E:$E,'Investor Exit List'!$C55,Investors!$L:$L,'Investor Exit List'!$B55)-(SUMIFS(Investors!$S:$S,Investors!$I:$I,"&lt;="&amp;'NSST Print'!$B$3,Investors!$J:$J,"&gt;"&amp;'NSST Print'!$B$3,Investors!$A:$A,'Investor Exit List'!$A55,Investors!$E:$E,'Investor Exit List'!$C55,Investors!$L:$L,'Investor Exit List'!$B55)+SUMIFS(Investors!$S:$S,Investors!$I:$I,"&lt;="&amp;'NSST Print'!$B$3,Investors!$J:$J,"",Investors!$A:$A,'Investor Exit List'!$A55,Investors!$E:$E,'Investor Exit List'!$C55,Investors!$L:$L,'Investor Exit List'!$B55))</f>
        <v/>
      </c>
      <c r="R55" s="90">
        <f>IF(AND(H55=TRUE,I55=FALSE),Q55,0)</f>
        <v/>
      </c>
      <c r="S55" s="90">
        <f>SUMIFS(Investors!$M:$M,Investors!$O:$O,TRUE,Investors!$A:$A,'Investor Exit List'!$A55,Investors!$E:$E,'Investor Exit List'!$C55,Investors!$L:$L,'Investor Exit List'!$B55)+SUMIFS(Investors!$S:$S,Investors!$O:$O,TRUE,Investors!$A:$A,'Investor Exit List'!$A55,Investors!$E:$E,'Investor Exit List'!$C55,Investors!$L:$L,'Investor Exit List'!$B55)</f>
        <v/>
      </c>
      <c r="T55" s="91">
        <f>IF(U55=TRUE,$J55,"")</f>
        <v/>
      </c>
      <c r="U55" s="89" t="b">
        <v>0</v>
      </c>
      <c r="V55" s="90">
        <f>IF(AND(H55=TRUE,OR(K55="",K55&gt;M55)),S55,0)</f>
        <v/>
      </c>
      <c r="W55" s="89" t="n">
        <v>0</v>
      </c>
      <c r="X55" s="89" t="b">
        <v>0</v>
      </c>
    </row>
    <row r="56" hidden="1">
      <c r="A56" s="89" t="inlineStr">
        <is>
          <t>ZVDW01</t>
        </is>
      </c>
      <c r="B56" s="89" t="n">
        <v>1</v>
      </c>
      <c r="C56" s="89" t="inlineStr">
        <is>
          <t>HFA303</t>
        </is>
      </c>
      <c r="D56" s="89" t="inlineStr">
        <is>
          <t>A</t>
        </is>
      </c>
      <c r="E56" s="89" t="inlineStr">
        <is>
          <t>van der Walt  Philip</t>
        </is>
      </c>
      <c r="F56" s="90">
        <f>SUMIFS(Investors!$M:$M,Investors!$O:$O,FALSE,Investors!$P:$P,FALSE,Investors!$K:$K,"&gt;"&amp;'NSST Print'!$B$3,Investors!$I:$I,"&lt;="&amp;'NSST Print'!$B$3,Investors!$A:$A,'Investor Exit List'!$A56,Investors!$E:$E,'Investor Exit List'!$C56,Investors!$L:$L,'Investor Exit List'!$B56)-(SUMIFS(Investors!$M:$M,Investors!$I:$I,"&lt;="&amp;'NSST Print'!$B$3,Investors!$J:$J,"&gt;"&amp;'NSST Print'!$B$3,Investors!$A:$A,'Investor Exit List'!$A56,Investors!$E:$E,'Investor Exit List'!$C56,Investors!$L:$L,'Investor Exit List'!$B56)+SUMIFS(Investors!$M:$M,Investors!$I:$I,"&lt;="&amp;'NSST Print'!$B$3,Investors!$J:$J,"",Investors!$A:$A,'Investor Exit List'!$A56,Investors!$E:$E,'Investor Exit List'!$C56,Investors!$L:$L,'Investor Exit List'!$B56))</f>
        <v/>
      </c>
      <c r="G56" s="91" t="n">
        <v>44352</v>
      </c>
      <c r="H56" s="89" t="b">
        <v>1</v>
      </c>
      <c r="I56" s="89" t="b">
        <v>1</v>
      </c>
      <c r="J56" s="91" t="n">
        <v>44896</v>
      </c>
      <c r="K56" s="91">
        <f>IF(I56=TRUE,J56,"")</f>
        <v/>
      </c>
      <c r="L56" s="91">
        <f>G56+730</f>
        <v/>
      </c>
      <c r="M56" s="91" t="n">
        <v>45382</v>
      </c>
      <c r="N56" s="92">
        <f>IFERROR(IF(G56&lt;&gt;"",IF(I56=TRUE,0,IF(U56=TRUE,0,L56-M56)),0),0)</f>
        <v/>
      </c>
      <c r="O56" s="92">
        <f>IF(N56&gt;0,IF(N56&lt;=180,N56,0),0)</f>
        <v/>
      </c>
      <c r="P56" s="90">
        <f>IF(AND(N56&lt;90,N56&gt;0),Q56,0)</f>
        <v/>
      </c>
      <c r="Q56" s="90">
        <f>SUMIFS(Investors!$M:$M,Investors!$O:$O,FALSE,Investors!$P:$P,FALSE,Investors!$K:$K,"&gt;"&amp;'NSST Print'!$B$3,Investors!$I:$I,"&lt;="&amp;'NSST Print'!$B$3,Investors!$A:$A,'Investor Exit List'!$A56,Investors!$E:$E,'Investor Exit List'!$C56,Investors!$L:$L,'Investor Exit List'!$B56)-(SUMIFS(Investors!$M:$M,Investors!$I:$I,"&lt;="&amp;'NSST Print'!$B$3,Investors!$J:$J,"&gt;"&amp;'NSST Print'!$B$3,Investors!$A:$A,'Investor Exit List'!$A56,Investors!$E:$E,'Investor Exit List'!$C56,Investors!$L:$L,'Investor Exit List'!$B56)+SUMIFS(Investors!$M:$M,Investors!$I:$I,"&lt;="&amp;'NSST Print'!$B$3,Investors!$J:$J,"",Investors!$A:$A,'Investor Exit List'!$A56,Investors!$E:$E,'Investor Exit List'!$C56,Investors!$L:$L,'Investor Exit List'!$B56))+SUMIFS(Investors!$S:$S,Investors!$O:$O,FALSE,Investors!$P:$P,FALSE,Investors!$K:$K,"&gt;"&amp;'NSST Print'!$B$3,Investors!$I:$I,"&lt;="&amp;'NSST Print'!$B$3,Investors!$A:$A,'Investor Exit List'!$A56,Investors!$E:$E,'Investor Exit List'!$C56,Investors!$L:$L,'Investor Exit List'!$B56)-(SUMIFS(Investors!$S:$S,Investors!$I:$I,"&lt;="&amp;'NSST Print'!$B$3,Investors!$J:$J,"&gt;"&amp;'NSST Print'!$B$3,Investors!$A:$A,'Investor Exit List'!$A56,Investors!$E:$E,'Investor Exit List'!$C56,Investors!$L:$L,'Investor Exit List'!$B56)+SUMIFS(Investors!$S:$S,Investors!$I:$I,"&lt;="&amp;'NSST Print'!$B$3,Investors!$J:$J,"",Investors!$A:$A,'Investor Exit List'!$A56,Investors!$E:$E,'Investor Exit List'!$C56,Investors!$L:$L,'Investor Exit List'!$B56))</f>
        <v/>
      </c>
      <c r="R56" s="90">
        <f>IF(AND(H56=TRUE,I56=FALSE),Q56,0)</f>
        <v/>
      </c>
      <c r="S56" s="90">
        <f>SUMIFS(Investors!$M:$M,Investors!$O:$O,TRUE,Investors!$A:$A,'Investor Exit List'!$A56,Investors!$E:$E,'Investor Exit List'!$C56,Investors!$L:$L,'Investor Exit List'!$B56)+SUMIFS(Investors!$S:$S,Investors!$O:$O,TRUE,Investors!$A:$A,'Investor Exit List'!$A56,Investors!$E:$E,'Investor Exit List'!$C56,Investors!$L:$L,'Investor Exit List'!$B56)</f>
        <v/>
      </c>
      <c r="T56" s="91">
        <f>IF(U56=TRUE,$J56,"")</f>
        <v/>
      </c>
      <c r="U56" s="89" t="b">
        <v>0</v>
      </c>
      <c r="V56" s="90">
        <f>IF(AND(H56=TRUE,OR(K56="",K56&gt;M56)),S56,0)</f>
        <v/>
      </c>
      <c r="W56" s="89" t="n">
        <v>0</v>
      </c>
      <c r="X56" s="89" t="b">
        <v>0</v>
      </c>
    </row>
    <row r="57" hidden="1">
      <c r="A57" s="89" t="inlineStr">
        <is>
          <t>ZJHO01</t>
        </is>
      </c>
      <c r="B57" s="89" t="n">
        <v>2</v>
      </c>
      <c r="C57" s="89" t="inlineStr">
        <is>
          <t>HFA304</t>
        </is>
      </c>
      <c r="D57" s="89" t="inlineStr">
        <is>
          <t>A</t>
        </is>
      </c>
      <c r="E57" s="89" t="inlineStr">
        <is>
          <t>Hoets Jean</t>
        </is>
      </c>
      <c r="F57" s="90">
        <f>SUMIFS(Investors!$M:$M,Investors!$O:$O,FALSE,Investors!$P:$P,FALSE,Investors!$K:$K,"&gt;"&amp;'NSST Print'!$B$3,Investors!$I:$I,"&lt;="&amp;'NSST Print'!$B$3,Investors!$A:$A,'Investor Exit List'!$A57,Investors!$E:$E,'Investor Exit List'!$C57,Investors!$L:$L,'Investor Exit List'!$B57)-(SUMIFS(Investors!$M:$M,Investors!$I:$I,"&lt;="&amp;'NSST Print'!$B$3,Investors!$J:$J,"&gt;"&amp;'NSST Print'!$B$3,Investors!$A:$A,'Investor Exit List'!$A57,Investors!$E:$E,'Investor Exit List'!$C57,Investors!$L:$L,'Investor Exit List'!$B57)+SUMIFS(Investors!$M:$M,Investors!$I:$I,"&lt;="&amp;'NSST Print'!$B$3,Investors!$J:$J,"",Investors!$A:$A,'Investor Exit List'!$A57,Investors!$E:$E,'Investor Exit List'!$C57,Investors!$L:$L,'Investor Exit List'!$B57))</f>
        <v/>
      </c>
      <c r="G57" s="91" t="n">
        <v>44855</v>
      </c>
      <c r="H57" s="89" t="b">
        <v>1</v>
      </c>
      <c r="I57" s="89" t="b">
        <v>1</v>
      </c>
      <c r="J57" s="91" t="n">
        <v>44915</v>
      </c>
      <c r="K57" s="91">
        <f>IF(I57=TRUE,J57,"")</f>
        <v/>
      </c>
      <c r="L57" s="91">
        <f>G57+730</f>
        <v/>
      </c>
      <c r="M57" s="91" t="n">
        <v>45382</v>
      </c>
      <c r="N57" s="92">
        <f>IFERROR(IF(G57&lt;&gt;"",IF(I57=TRUE,0,IF(U57=TRUE,0,L57-M57)),0),0)</f>
        <v/>
      </c>
      <c r="O57" s="92">
        <f>IF(N57&gt;0,IF(N57&lt;=180,N57,0),0)</f>
        <v/>
      </c>
      <c r="P57" s="90">
        <f>IF(AND(N57&lt;90,N57&gt;0),Q57,0)</f>
        <v/>
      </c>
      <c r="Q57" s="90">
        <f>SUMIFS(Investors!$M:$M,Investors!$O:$O,FALSE,Investors!$P:$P,FALSE,Investors!$K:$K,"&gt;"&amp;'NSST Print'!$B$3,Investors!$I:$I,"&lt;="&amp;'NSST Print'!$B$3,Investors!$A:$A,'Investor Exit List'!$A57,Investors!$E:$E,'Investor Exit List'!$C57,Investors!$L:$L,'Investor Exit List'!$B57)-(SUMIFS(Investors!$M:$M,Investors!$I:$I,"&lt;="&amp;'NSST Print'!$B$3,Investors!$J:$J,"&gt;"&amp;'NSST Print'!$B$3,Investors!$A:$A,'Investor Exit List'!$A57,Investors!$E:$E,'Investor Exit List'!$C57,Investors!$L:$L,'Investor Exit List'!$B57)+SUMIFS(Investors!$M:$M,Investors!$I:$I,"&lt;="&amp;'NSST Print'!$B$3,Investors!$J:$J,"",Investors!$A:$A,'Investor Exit List'!$A57,Investors!$E:$E,'Investor Exit List'!$C57,Investors!$L:$L,'Investor Exit List'!$B57))+SUMIFS(Investors!$S:$S,Investors!$O:$O,FALSE,Investors!$P:$P,FALSE,Investors!$K:$K,"&gt;"&amp;'NSST Print'!$B$3,Investors!$I:$I,"&lt;="&amp;'NSST Print'!$B$3,Investors!$A:$A,'Investor Exit List'!$A57,Investors!$E:$E,'Investor Exit List'!$C57,Investors!$L:$L,'Investor Exit List'!$B57)-(SUMIFS(Investors!$S:$S,Investors!$I:$I,"&lt;="&amp;'NSST Print'!$B$3,Investors!$J:$J,"&gt;"&amp;'NSST Print'!$B$3,Investors!$A:$A,'Investor Exit List'!$A57,Investors!$E:$E,'Investor Exit List'!$C57,Investors!$L:$L,'Investor Exit List'!$B57)+SUMIFS(Investors!$S:$S,Investors!$I:$I,"&lt;="&amp;'NSST Print'!$B$3,Investors!$J:$J,"",Investors!$A:$A,'Investor Exit List'!$A57,Investors!$E:$E,'Investor Exit List'!$C57,Investors!$L:$L,'Investor Exit List'!$B57))</f>
        <v/>
      </c>
      <c r="R57" s="90">
        <f>IF(AND(H57=TRUE,I57=FALSE),Q57,0)</f>
        <v/>
      </c>
      <c r="S57" s="90">
        <f>SUMIFS(Investors!$M:$M,Investors!$O:$O,TRUE,Investors!$A:$A,'Investor Exit List'!$A57,Investors!$E:$E,'Investor Exit List'!$C57,Investors!$L:$L,'Investor Exit List'!$B57)+SUMIFS(Investors!$S:$S,Investors!$O:$O,TRUE,Investors!$A:$A,'Investor Exit List'!$A57,Investors!$E:$E,'Investor Exit List'!$C57,Investors!$L:$L,'Investor Exit List'!$B57)</f>
        <v/>
      </c>
      <c r="T57" s="91">
        <f>IF(U57=TRUE,$J57,"")</f>
        <v/>
      </c>
      <c r="U57" s="89" t="b">
        <v>1</v>
      </c>
      <c r="V57" s="90">
        <f>IF(AND(H57=TRUE,OR(K57="",K57&gt;M57)),S57,0)</f>
        <v/>
      </c>
      <c r="W57" s="89" t="n">
        <v>0</v>
      </c>
      <c r="X57" s="89" t="b">
        <v>0</v>
      </c>
    </row>
    <row r="58" hidden="1">
      <c r="A58" s="89" t="inlineStr">
        <is>
          <t>ZKRO01</t>
        </is>
      </c>
      <c r="B58" s="89" t="n">
        <v>1</v>
      </c>
      <c r="C58" s="89" t="inlineStr">
        <is>
          <t>HFA304</t>
        </is>
      </c>
      <c r="D58" s="89" t="inlineStr">
        <is>
          <t>A</t>
        </is>
      </c>
      <c r="E58" s="89" t="inlineStr">
        <is>
          <t>van der Merwe Frans</t>
        </is>
      </c>
      <c r="F58" s="90">
        <f>SUMIFS(Investors!$M:$M,Investors!$O:$O,FALSE,Investors!$P:$P,FALSE,Investors!$K:$K,"&gt;"&amp;'NSST Print'!$B$3,Investors!$I:$I,"&lt;="&amp;'NSST Print'!$B$3,Investors!$A:$A,'Investor Exit List'!$A58,Investors!$E:$E,'Investor Exit List'!$C58,Investors!$L:$L,'Investor Exit List'!$B58)-(SUMIFS(Investors!$M:$M,Investors!$I:$I,"&lt;="&amp;'NSST Print'!$B$3,Investors!$J:$J,"&gt;"&amp;'NSST Print'!$B$3,Investors!$A:$A,'Investor Exit List'!$A58,Investors!$E:$E,'Investor Exit List'!$C58,Investors!$L:$L,'Investor Exit List'!$B58)+SUMIFS(Investors!$M:$M,Investors!$I:$I,"&lt;="&amp;'NSST Print'!$B$3,Investors!$J:$J,"",Investors!$A:$A,'Investor Exit List'!$A58,Investors!$E:$E,'Investor Exit List'!$C58,Investors!$L:$L,'Investor Exit List'!$B58))</f>
        <v/>
      </c>
      <c r="G58" s="91" t="n">
        <v>44352</v>
      </c>
      <c r="H58" s="89" t="b">
        <v>1</v>
      </c>
      <c r="I58" s="89" t="b">
        <v>1</v>
      </c>
      <c r="J58" s="91" t="n">
        <v>44951</v>
      </c>
      <c r="K58" s="91">
        <f>IF(I58=TRUE,J58,"")</f>
        <v/>
      </c>
      <c r="L58" s="91">
        <f>G58+730</f>
        <v/>
      </c>
      <c r="M58" s="91" t="n">
        <v>45382</v>
      </c>
      <c r="N58" s="92">
        <f>IFERROR(IF(G58&lt;&gt;"",IF(I58=TRUE,0,IF(U58=TRUE,0,L58-M58)),0),0)</f>
        <v/>
      </c>
      <c r="O58" s="92">
        <f>IF(N58&gt;0,IF(N58&lt;=180,N58,0),0)</f>
        <v/>
      </c>
      <c r="P58" s="90">
        <f>IF(AND(N58&lt;90,N58&gt;0),Q58,0)</f>
        <v/>
      </c>
      <c r="Q58" s="90">
        <f>SUMIFS(Investors!$M:$M,Investors!$O:$O,FALSE,Investors!$P:$P,FALSE,Investors!$K:$K,"&gt;"&amp;'NSST Print'!$B$3,Investors!$I:$I,"&lt;="&amp;'NSST Print'!$B$3,Investors!$A:$A,'Investor Exit List'!$A58,Investors!$E:$E,'Investor Exit List'!$C58,Investors!$L:$L,'Investor Exit List'!$B58)-(SUMIFS(Investors!$M:$M,Investors!$I:$I,"&lt;="&amp;'NSST Print'!$B$3,Investors!$J:$J,"&gt;"&amp;'NSST Print'!$B$3,Investors!$A:$A,'Investor Exit List'!$A58,Investors!$E:$E,'Investor Exit List'!$C58,Investors!$L:$L,'Investor Exit List'!$B58)+SUMIFS(Investors!$M:$M,Investors!$I:$I,"&lt;="&amp;'NSST Print'!$B$3,Investors!$J:$J,"",Investors!$A:$A,'Investor Exit List'!$A58,Investors!$E:$E,'Investor Exit List'!$C58,Investors!$L:$L,'Investor Exit List'!$B58))+SUMIFS(Investors!$S:$S,Investors!$O:$O,FALSE,Investors!$P:$P,FALSE,Investors!$K:$K,"&gt;"&amp;'NSST Print'!$B$3,Investors!$I:$I,"&lt;="&amp;'NSST Print'!$B$3,Investors!$A:$A,'Investor Exit List'!$A58,Investors!$E:$E,'Investor Exit List'!$C58,Investors!$L:$L,'Investor Exit List'!$B58)-(SUMIFS(Investors!$S:$S,Investors!$I:$I,"&lt;="&amp;'NSST Print'!$B$3,Investors!$J:$J,"&gt;"&amp;'NSST Print'!$B$3,Investors!$A:$A,'Investor Exit List'!$A58,Investors!$E:$E,'Investor Exit List'!$C58,Investors!$L:$L,'Investor Exit List'!$B58)+SUMIFS(Investors!$S:$S,Investors!$I:$I,"&lt;="&amp;'NSST Print'!$B$3,Investors!$J:$J,"",Investors!$A:$A,'Investor Exit List'!$A58,Investors!$E:$E,'Investor Exit List'!$C58,Investors!$L:$L,'Investor Exit List'!$B58))</f>
        <v/>
      </c>
      <c r="R58" s="90">
        <f>IF(AND(H58=TRUE,I58=FALSE),Q58,0)</f>
        <v/>
      </c>
      <c r="S58" s="90">
        <f>SUMIFS(Investors!$M:$M,Investors!$O:$O,TRUE,Investors!$A:$A,'Investor Exit List'!$A58,Investors!$E:$E,'Investor Exit List'!$C58,Investors!$L:$L,'Investor Exit List'!$B58)+SUMIFS(Investors!$S:$S,Investors!$O:$O,TRUE,Investors!$A:$A,'Investor Exit List'!$A58,Investors!$E:$E,'Investor Exit List'!$C58,Investors!$L:$L,'Investor Exit List'!$B58)</f>
        <v/>
      </c>
      <c r="T58" s="91">
        <f>IF(U58=TRUE,$J58,"")</f>
        <v/>
      </c>
      <c r="U58" s="89" t="b">
        <v>1</v>
      </c>
      <c r="V58" s="90">
        <f>IF(AND(H58=TRUE,OR(K58="",K58&gt;M58)),S58,0)</f>
        <v/>
      </c>
      <c r="W58" s="89" t="n">
        <v>0</v>
      </c>
      <c r="X58" s="89" t="b">
        <v>0</v>
      </c>
    </row>
    <row r="59" hidden="1">
      <c r="A59" s="89" t="inlineStr">
        <is>
          <t>ZPED01</t>
        </is>
      </c>
      <c r="B59" s="89" t="n">
        <v>1</v>
      </c>
      <c r="C59" s="89" t="inlineStr">
        <is>
          <t>HFA304</t>
        </is>
      </c>
      <c r="D59" s="89" t="inlineStr">
        <is>
          <t>A</t>
        </is>
      </c>
      <c r="E59" s="89" t="inlineStr">
        <is>
          <t>Pedersen Wendy</t>
        </is>
      </c>
      <c r="F59" s="90">
        <f>SUMIFS(Investors!$M:$M,Investors!$O:$O,FALSE,Investors!$P:$P,FALSE,Investors!$K:$K,"&gt;"&amp;'NSST Print'!$B$3,Investors!$I:$I,"&lt;="&amp;'NSST Print'!$B$3,Investors!$A:$A,'Investor Exit List'!$A59,Investors!$E:$E,'Investor Exit List'!$C59,Investors!$L:$L,'Investor Exit List'!$B59)-(SUMIFS(Investors!$M:$M,Investors!$I:$I,"&lt;="&amp;'NSST Print'!$B$3,Investors!$J:$J,"&gt;"&amp;'NSST Print'!$B$3,Investors!$A:$A,'Investor Exit List'!$A59,Investors!$E:$E,'Investor Exit List'!$C59,Investors!$L:$L,'Investor Exit List'!$B59)+SUMIFS(Investors!$M:$M,Investors!$I:$I,"&lt;="&amp;'NSST Print'!$B$3,Investors!$J:$J,"",Investors!$A:$A,'Investor Exit List'!$A59,Investors!$E:$E,'Investor Exit List'!$C59,Investors!$L:$L,'Investor Exit List'!$B59))</f>
        <v/>
      </c>
      <c r="G59" s="91" t="n">
        <v>44352</v>
      </c>
      <c r="H59" s="89" t="b">
        <v>1</v>
      </c>
      <c r="I59" s="89" t="b">
        <v>1</v>
      </c>
      <c r="J59" s="91" t="n">
        <v>44951</v>
      </c>
      <c r="K59" s="91">
        <f>IF(I59=TRUE,J59,"")</f>
        <v/>
      </c>
      <c r="L59" s="91">
        <f>G59+730</f>
        <v/>
      </c>
      <c r="M59" s="91" t="n">
        <v>45382</v>
      </c>
      <c r="N59" s="92">
        <f>IFERROR(IF(G59&lt;&gt;"",IF(I59=TRUE,0,IF(U59=TRUE,0,L59-M59)),0),0)</f>
        <v/>
      </c>
      <c r="O59" s="92">
        <f>IF(N59&gt;0,IF(N59&lt;=180,N59,0),0)</f>
        <v/>
      </c>
      <c r="P59" s="90">
        <f>IF(AND(N59&lt;90,N59&gt;0),Q59,0)</f>
        <v/>
      </c>
      <c r="Q59" s="90">
        <f>SUMIFS(Investors!$M:$M,Investors!$O:$O,FALSE,Investors!$P:$P,FALSE,Investors!$K:$K,"&gt;"&amp;'NSST Print'!$B$3,Investors!$I:$I,"&lt;="&amp;'NSST Print'!$B$3,Investors!$A:$A,'Investor Exit List'!$A59,Investors!$E:$E,'Investor Exit List'!$C59,Investors!$L:$L,'Investor Exit List'!$B59)-(SUMIFS(Investors!$M:$M,Investors!$I:$I,"&lt;="&amp;'NSST Print'!$B$3,Investors!$J:$J,"&gt;"&amp;'NSST Print'!$B$3,Investors!$A:$A,'Investor Exit List'!$A59,Investors!$E:$E,'Investor Exit List'!$C59,Investors!$L:$L,'Investor Exit List'!$B59)+SUMIFS(Investors!$M:$M,Investors!$I:$I,"&lt;="&amp;'NSST Print'!$B$3,Investors!$J:$J,"",Investors!$A:$A,'Investor Exit List'!$A59,Investors!$E:$E,'Investor Exit List'!$C59,Investors!$L:$L,'Investor Exit List'!$B59))+SUMIFS(Investors!$S:$S,Investors!$O:$O,FALSE,Investors!$P:$P,FALSE,Investors!$K:$K,"&gt;"&amp;'NSST Print'!$B$3,Investors!$I:$I,"&lt;="&amp;'NSST Print'!$B$3,Investors!$A:$A,'Investor Exit List'!$A59,Investors!$E:$E,'Investor Exit List'!$C59,Investors!$L:$L,'Investor Exit List'!$B59)-(SUMIFS(Investors!$S:$S,Investors!$I:$I,"&lt;="&amp;'NSST Print'!$B$3,Investors!$J:$J,"&gt;"&amp;'NSST Print'!$B$3,Investors!$A:$A,'Investor Exit List'!$A59,Investors!$E:$E,'Investor Exit List'!$C59,Investors!$L:$L,'Investor Exit List'!$B59)+SUMIFS(Investors!$S:$S,Investors!$I:$I,"&lt;="&amp;'NSST Print'!$B$3,Investors!$J:$J,"",Investors!$A:$A,'Investor Exit List'!$A59,Investors!$E:$E,'Investor Exit List'!$C59,Investors!$L:$L,'Investor Exit List'!$B59))</f>
        <v/>
      </c>
      <c r="R59" s="90">
        <f>IF(AND(H59=TRUE,I59=FALSE),Q59,0)</f>
        <v/>
      </c>
      <c r="S59" s="90">
        <f>SUMIFS(Investors!$M:$M,Investors!$O:$O,TRUE,Investors!$A:$A,'Investor Exit List'!$A59,Investors!$E:$E,'Investor Exit List'!$C59,Investors!$L:$L,'Investor Exit List'!$B59)+SUMIFS(Investors!$S:$S,Investors!$O:$O,TRUE,Investors!$A:$A,'Investor Exit List'!$A59,Investors!$E:$E,'Investor Exit List'!$C59,Investors!$L:$L,'Investor Exit List'!$B59)</f>
        <v/>
      </c>
      <c r="T59" s="91">
        <f>IF(U59=TRUE,$J59,"")</f>
        <v/>
      </c>
      <c r="U59" s="89" t="b">
        <v>1</v>
      </c>
      <c r="V59" s="90">
        <f>IF(AND(H59=TRUE,OR(K59="",K59&gt;M59)),S59,0)</f>
        <v/>
      </c>
      <c r="W59" s="89" t="n">
        <v>0</v>
      </c>
      <c r="X59" s="89" t="b">
        <v>0</v>
      </c>
    </row>
    <row r="60" hidden="1">
      <c r="A60" s="89" t="inlineStr">
        <is>
          <t>ZSOU02</t>
        </is>
      </c>
      <c r="B60" s="89" t="n">
        <v>1</v>
      </c>
      <c r="C60" s="89" t="inlineStr">
        <is>
          <t>HFA304</t>
        </is>
      </c>
      <c r="D60" s="89" t="inlineStr">
        <is>
          <t>A</t>
        </is>
      </c>
      <c r="E60" s="89" t="inlineStr">
        <is>
          <t>Sourgen Frances Leathem</t>
        </is>
      </c>
      <c r="F60" s="90">
        <f>SUMIFS(Investors!$M:$M,Investors!$O:$O,FALSE,Investors!$P:$P,FALSE,Investors!$K:$K,"&gt;"&amp;'NSST Print'!$B$3,Investors!$I:$I,"&lt;="&amp;'NSST Print'!$B$3,Investors!$A:$A,'Investor Exit List'!$A60,Investors!$E:$E,'Investor Exit List'!$C60,Investors!$L:$L,'Investor Exit List'!$B60)-(SUMIFS(Investors!$M:$M,Investors!$I:$I,"&lt;="&amp;'NSST Print'!$B$3,Investors!$J:$J,"&gt;"&amp;'NSST Print'!$B$3,Investors!$A:$A,'Investor Exit List'!$A60,Investors!$E:$E,'Investor Exit List'!$C60,Investors!$L:$L,'Investor Exit List'!$B60)+SUMIFS(Investors!$M:$M,Investors!$I:$I,"&lt;="&amp;'NSST Print'!$B$3,Investors!$J:$J,"",Investors!$A:$A,'Investor Exit List'!$A60,Investors!$E:$E,'Investor Exit List'!$C60,Investors!$L:$L,'Investor Exit List'!$B60))</f>
        <v/>
      </c>
      <c r="G60" s="91" t="n">
        <v>44508</v>
      </c>
      <c r="H60" s="89" t="b">
        <v>1</v>
      </c>
      <c r="I60" s="89" t="b">
        <v>1</v>
      </c>
      <c r="J60" s="91" t="n">
        <v>45020</v>
      </c>
      <c r="K60" s="91">
        <f>IF(I60=TRUE,J60,"")</f>
        <v/>
      </c>
      <c r="L60" s="91">
        <f>G60+730</f>
        <v/>
      </c>
      <c r="M60" s="91" t="n">
        <v>45382</v>
      </c>
      <c r="N60" s="92">
        <f>IFERROR(IF(G60&lt;&gt;"",IF(I60=TRUE,0,IF(U60=TRUE,0,L60-M60)),0),0)</f>
        <v/>
      </c>
      <c r="O60" s="92">
        <f>IF(N60&gt;0,IF(N60&lt;=180,N60,0),0)</f>
        <v/>
      </c>
      <c r="P60" s="90">
        <f>IF(AND(N60&lt;90,N60&gt;0),Q60,0)</f>
        <v/>
      </c>
      <c r="Q60" s="90">
        <f>SUMIFS(Investors!$M:$M,Investors!$O:$O,FALSE,Investors!$P:$P,FALSE,Investors!$K:$K,"&gt;"&amp;'NSST Print'!$B$3,Investors!$I:$I,"&lt;="&amp;'NSST Print'!$B$3,Investors!$A:$A,'Investor Exit List'!$A60,Investors!$E:$E,'Investor Exit List'!$C60,Investors!$L:$L,'Investor Exit List'!$B60)-(SUMIFS(Investors!$M:$M,Investors!$I:$I,"&lt;="&amp;'NSST Print'!$B$3,Investors!$J:$J,"&gt;"&amp;'NSST Print'!$B$3,Investors!$A:$A,'Investor Exit List'!$A60,Investors!$E:$E,'Investor Exit List'!$C60,Investors!$L:$L,'Investor Exit List'!$B60)+SUMIFS(Investors!$M:$M,Investors!$I:$I,"&lt;="&amp;'NSST Print'!$B$3,Investors!$J:$J,"",Investors!$A:$A,'Investor Exit List'!$A60,Investors!$E:$E,'Investor Exit List'!$C60,Investors!$L:$L,'Investor Exit List'!$B60))+SUMIFS(Investors!$S:$S,Investors!$O:$O,FALSE,Investors!$P:$P,FALSE,Investors!$K:$K,"&gt;"&amp;'NSST Print'!$B$3,Investors!$I:$I,"&lt;="&amp;'NSST Print'!$B$3,Investors!$A:$A,'Investor Exit List'!$A60,Investors!$E:$E,'Investor Exit List'!$C60,Investors!$L:$L,'Investor Exit List'!$B60)-(SUMIFS(Investors!$S:$S,Investors!$I:$I,"&lt;="&amp;'NSST Print'!$B$3,Investors!$J:$J,"&gt;"&amp;'NSST Print'!$B$3,Investors!$A:$A,'Investor Exit List'!$A60,Investors!$E:$E,'Investor Exit List'!$C60,Investors!$L:$L,'Investor Exit List'!$B60)+SUMIFS(Investors!$S:$S,Investors!$I:$I,"&lt;="&amp;'NSST Print'!$B$3,Investors!$J:$J,"",Investors!$A:$A,'Investor Exit List'!$A60,Investors!$E:$E,'Investor Exit List'!$C60,Investors!$L:$L,'Investor Exit List'!$B60))</f>
        <v/>
      </c>
      <c r="R60" s="90">
        <f>IF(AND(H60=TRUE,I60=FALSE),Q60,0)</f>
        <v/>
      </c>
      <c r="S60" s="90">
        <f>SUMIFS(Investors!$M:$M,Investors!$O:$O,TRUE,Investors!$A:$A,'Investor Exit List'!$A60,Investors!$E:$E,'Investor Exit List'!$C60,Investors!$L:$L,'Investor Exit List'!$B60)+SUMIFS(Investors!$S:$S,Investors!$O:$O,TRUE,Investors!$A:$A,'Investor Exit List'!$A60,Investors!$E:$E,'Investor Exit List'!$C60,Investors!$L:$L,'Investor Exit List'!$B60)</f>
        <v/>
      </c>
      <c r="T60" s="91">
        <f>IF(U60=TRUE,$J60,"")</f>
        <v/>
      </c>
      <c r="U60" s="89" t="b">
        <v>1</v>
      </c>
      <c r="V60" s="90">
        <f>IF(AND(H60=TRUE,OR(K60="",K60&gt;M60)),S60,0)</f>
        <v/>
      </c>
      <c r="W60" s="89" t="n">
        <v>0</v>
      </c>
      <c r="X60" s="89" t="b">
        <v>0</v>
      </c>
    </row>
    <row r="61" hidden="1">
      <c r="A61" s="89" t="inlineStr">
        <is>
          <t>ZVER02</t>
        </is>
      </c>
      <c r="B61" s="89" t="n">
        <v>2</v>
      </c>
      <c r="C61" s="89" t="inlineStr">
        <is>
          <t>HFA304</t>
        </is>
      </c>
      <c r="D61" s="89" t="inlineStr">
        <is>
          <t>A</t>
        </is>
      </c>
      <c r="E61" s="89" t="inlineStr">
        <is>
          <t>Verhaeghe Jean-Jacques EP</t>
        </is>
      </c>
      <c r="F61" s="90">
        <f>SUMIFS(Investors!$M:$M,Investors!$O:$O,FALSE,Investors!$P:$P,FALSE,Investors!$K:$K,"&gt;"&amp;'NSST Print'!$B$3,Investors!$I:$I,"&lt;="&amp;'NSST Print'!$B$3,Investors!$A:$A,'Investor Exit List'!$A61,Investors!$E:$E,'Investor Exit List'!$C61,Investors!$L:$L,'Investor Exit List'!$B61)-(SUMIFS(Investors!$M:$M,Investors!$I:$I,"&lt;="&amp;'NSST Print'!$B$3,Investors!$J:$J,"&gt;"&amp;'NSST Print'!$B$3,Investors!$A:$A,'Investor Exit List'!$A61,Investors!$E:$E,'Investor Exit List'!$C61,Investors!$L:$L,'Investor Exit List'!$B61)+SUMIFS(Investors!$M:$M,Investors!$I:$I,"&lt;="&amp;'NSST Print'!$B$3,Investors!$J:$J,"",Investors!$A:$A,'Investor Exit List'!$A61,Investors!$E:$E,'Investor Exit List'!$C61,Investors!$L:$L,'Investor Exit List'!$B61))</f>
        <v/>
      </c>
      <c r="G61" s="91" t="n">
        <v>44508</v>
      </c>
      <c r="H61" s="89" t="b">
        <v>1</v>
      </c>
      <c r="I61" s="89" t="b">
        <v>1</v>
      </c>
      <c r="J61" s="91" t="n">
        <v>44951</v>
      </c>
      <c r="K61" s="91">
        <f>IF(I61=TRUE,J61,"")</f>
        <v/>
      </c>
      <c r="L61" s="91">
        <f>G61+730</f>
        <v/>
      </c>
      <c r="M61" s="91" t="n">
        <v>45382</v>
      </c>
      <c r="N61" s="92">
        <f>IFERROR(IF(G61&lt;&gt;"",IF(I61=TRUE,0,IF(U61=TRUE,0,L61-M61)),0),0)</f>
        <v/>
      </c>
      <c r="O61" s="92">
        <f>IF(N61&gt;0,IF(N61&lt;=180,N61,0),0)</f>
        <v/>
      </c>
      <c r="P61" s="90">
        <f>IF(AND(N61&lt;90,N61&gt;0),Q61,0)</f>
        <v/>
      </c>
      <c r="Q61" s="90">
        <f>SUMIFS(Investors!$M:$M,Investors!$O:$O,FALSE,Investors!$P:$P,FALSE,Investors!$K:$K,"&gt;"&amp;'NSST Print'!$B$3,Investors!$I:$I,"&lt;="&amp;'NSST Print'!$B$3,Investors!$A:$A,'Investor Exit List'!$A61,Investors!$E:$E,'Investor Exit List'!$C61,Investors!$L:$L,'Investor Exit List'!$B61)-(SUMIFS(Investors!$M:$M,Investors!$I:$I,"&lt;="&amp;'NSST Print'!$B$3,Investors!$J:$J,"&gt;"&amp;'NSST Print'!$B$3,Investors!$A:$A,'Investor Exit List'!$A61,Investors!$E:$E,'Investor Exit List'!$C61,Investors!$L:$L,'Investor Exit List'!$B61)+SUMIFS(Investors!$M:$M,Investors!$I:$I,"&lt;="&amp;'NSST Print'!$B$3,Investors!$J:$J,"",Investors!$A:$A,'Investor Exit List'!$A61,Investors!$E:$E,'Investor Exit List'!$C61,Investors!$L:$L,'Investor Exit List'!$B61))+SUMIFS(Investors!$S:$S,Investors!$O:$O,FALSE,Investors!$P:$P,FALSE,Investors!$K:$K,"&gt;"&amp;'NSST Print'!$B$3,Investors!$I:$I,"&lt;="&amp;'NSST Print'!$B$3,Investors!$A:$A,'Investor Exit List'!$A61,Investors!$E:$E,'Investor Exit List'!$C61,Investors!$L:$L,'Investor Exit List'!$B61)-(SUMIFS(Investors!$S:$S,Investors!$I:$I,"&lt;="&amp;'NSST Print'!$B$3,Investors!$J:$J,"&gt;"&amp;'NSST Print'!$B$3,Investors!$A:$A,'Investor Exit List'!$A61,Investors!$E:$E,'Investor Exit List'!$C61,Investors!$L:$L,'Investor Exit List'!$B61)+SUMIFS(Investors!$S:$S,Investors!$I:$I,"&lt;="&amp;'NSST Print'!$B$3,Investors!$J:$J,"",Investors!$A:$A,'Investor Exit List'!$A61,Investors!$E:$E,'Investor Exit List'!$C61,Investors!$L:$L,'Investor Exit List'!$B61))</f>
        <v/>
      </c>
      <c r="R61" s="90">
        <f>IF(AND(H61=TRUE,I61=FALSE),Q61,0)</f>
        <v/>
      </c>
      <c r="S61" s="90">
        <f>SUMIFS(Investors!$M:$M,Investors!$O:$O,TRUE,Investors!$A:$A,'Investor Exit List'!$A61,Investors!$E:$E,'Investor Exit List'!$C61,Investors!$L:$L,'Investor Exit List'!$B61)+SUMIFS(Investors!$S:$S,Investors!$O:$O,TRUE,Investors!$A:$A,'Investor Exit List'!$A61,Investors!$E:$E,'Investor Exit List'!$C61,Investors!$L:$L,'Investor Exit List'!$B61)</f>
        <v/>
      </c>
      <c r="T61" s="91">
        <f>IF(U61=TRUE,$J61,"")</f>
        <v/>
      </c>
      <c r="U61" s="89" t="b">
        <v>1</v>
      </c>
      <c r="V61" s="90">
        <f>IF(AND(H61=TRUE,OR(K61="",K61&gt;M61)),S61,0)</f>
        <v/>
      </c>
      <c r="W61" s="89" t="n">
        <v>0</v>
      </c>
      <c r="X61" s="89" t="b">
        <v>0</v>
      </c>
    </row>
    <row r="62" hidden="1">
      <c r="A62" s="89" t="inlineStr">
        <is>
          <t>ZKRO03</t>
        </is>
      </c>
      <c r="B62" s="89" t="n">
        <v>1</v>
      </c>
      <c r="C62" s="89" t="inlineStr">
        <is>
          <t>HFA305</t>
        </is>
      </c>
      <c r="D62" s="89" t="inlineStr">
        <is>
          <t>A</t>
        </is>
      </c>
      <c r="E62" s="89" t="inlineStr">
        <is>
          <t>Krohn Jacqueline</t>
        </is>
      </c>
      <c r="F62" s="90">
        <f>SUMIFS(Investors!$M:$M,Investors!$O:$O,FALSE,Investors!$P:$P,FALSE,Investors!$K:$K,"&gt;"&amp;'NSST Print'!$B$3,Investors!$I:$I,"&lt;="&amp;'NSST Print'!$B$3,Investors!$A:$A,'Investor Exit List'!$A62,Investors!$E:$E,'Investor Exit List'!$C62,Investors!$L:$L,'Investor Exit List'!$B62)-(SUMIFS(Investors!$M:$M,Investors!$I:$I,"&lt;="&amp;'NSST Print'!$B$3,Investors!$J:$J,"&gt;"&amp;'NSST Print'!$B$3,Investors!$A:$A,'Investor Exit List'!$A62,Investors!$E:$E,'Investor Exit List'!$C62,Investors!$L:$L,'Investor Exit List'!$B62)+SUMIFS(Investors!$M:$M,Investors!$I:$I,"&lt;="&amp;'NSST Print'!$B$3,Investors!$J:$J,"",Investors!$A:$A,'Investor Exit List'!$A62,Investors!$E:$E,'Investor Exit List'!$C62,Investors!$L:$L,'Investor Exit List'!$B62))</f>
        <v/>
      </c>
      <c r="G62" s="91" t="n">
        <v>44352</v>
      </c>
      <c r="H62" s="89" t="b">
        <v>1</v>
      </c>
      <c r="I62" s="89" t="b">
        <v>1</v>
      </c>
      <c r="J62" s="91" t="n">
        <v>44895</v>
      </c>
      <c r="K62" s="91">
        <f>IF(I62=TRUE,J62,"")</f>
        <v/>
      </c>
      <c r="L62" s="91">
        <f>G62+730</f>
        <v/>
      </c>
      <c r="M62" s="91" t="n">
        <v>45382</v>
      </c>
      <c r="N62" s="92">
        <f>IFERROR(IF(G62&lt;&gt;"",IF(I62=TRUE,0,IF(U62=TRUE,0,L62-M62)),0),0)</f>
        <v/>
      </c>
      <c r="O62" s="92">
        <f>IF(N62&gt;0,IF(N62&lt;=180,N62,0),0)</f>
        <v/>
      </c>
      <c r="P62" s="90">
        <f>IF(AND(N62&lt;90,N62&gt;0),Q62,0)</f>
        <v/>
      </c>
      <c r="Q62" s="90">
        <f>SUMIFS(Investors!$M:$M,Investors!$O:$O,FALSE,Investors!$P:$P,FALSE,Investors!$K:$K,"&gt;"&amp;'NSST Print'!$B$3,Investors!$I:$I,"&lt;="&amp;'NSST Print'!$B$3,Investors!$A:$A,'Investor Exit List'!$A62,Investors!$E:$E,'Investor Exit List'!$C62,Investors!$L:$L,'Investor Exit List'!$B62)-(SUMIFS(Investors!$M:$M,Investors!$I:$I,"&lt;="&amp;'NSST Print'!$B$3,Investors!$J:$J,"&gt;"&amp;'NSST Print'!$B$3,Investors!$A:$A,'Investor Exit List'!$A62,Investors!$E:$E,'Investor Exit List'!$C62,Investors!$L:$L,'Investor Exit List'!$B62)+SUMIFS(Investors!$M:$M,Investors!$I:$I,"&lt;="&amp;'NSST Print'!$B$3,Investors!$J:$J,"",Investors!$A:$A,'Investor Exit List'!$A62,Investors!$E:$E,'Investor Exit List'!$C62,Investors!$L:$L,'Investor Exit List'!$B62))+SUMIFS(Investors!$S:$S,Investors!$O:$O,FALSE,Investors!$P:$P,FALSE,Investors!$K:$K,"&gt;"&amp;'NSST Print'!$B$3,Investors!$I:$I,"&lt;="&amp;'NSST Print'!$B$3,Investors!$A:$A,'Investor Exit List'!$A62,Investors!$E:$E,'Investor Exit List'!$C62,Investors!$L:$L,'Investor Exit List'!$B62)-(SUMIFS(Investors!$S:$S,Investors!$I:$I,"&lt;="&amp;'NSST Print'!$B$3,Investors!$J:$J,"&gt;"&amp;'NSST Print'!$B$3,Investors!$A:$A,'Investor Exit List'!$A62,Investors!$E:$E,'Investor Exit List'!$C62,Investors!$L:$L,'Investor Exit List'!$B62)+SUMIFS(Investors!$S:$S,Investors!$I:$I,"&lt;="&amp;'NSST Print'!$B$3,Investors!$J:$J,"",Investors!$A:$A,'Investor Exit List'!$A62,Investors!$E:$E,'Investor Exit List'!$C62,Investors!$L:$L,'Investor Exit List'!$B62))</f>
        <v/>
      </c>
      <c r="R62" s="90">
        <f>IF(AND(H62=TRUE,I62=FALSE),Q62,0)</f>
        <v/>
      </c>
      <c r="S62" s="90">
        <f>SUMIFS(Investors!$M:$M,Investors!$O:$O,TRUE,Investors!$A:$A,'Investor Exit List'!$A62,Investors!$E:$E,'Investor Exit List'!$C62,Investors!$L:$L,'Investor Exit List'!$B62)+SUMIFS(Investors!$S:$S,Investors!$O:$O,TRUE,Investors!$A:$A,'Investor Exit List'!$A62,Investors!$E:$E,'Investor Exit List'!$C62,Investors!$L:$L,'Investor Exit List'!$B62)</f>
        <v/>
      </c>
      <c r="T62" s="91">
        <f>IF(U62=TRUE,$J62,"")</f>
        <v/>
      </c>
      <c r="U62" s="89" t="b">
        <v>1</v>
      </c>
      <c r="V62" s="90">
        <f>IF(AND(H62=TRUE,OR(K62="",K62&gt;M62)),S62,0)</f>
        <v/>
      </c>
      <c r="W62" s="89" t="n">
        <v>0</v>
      </c>
      <c r="X62" s="89" t="b">
        <v>0</v>
      </c>
    </row>
    <row r="63" hidden="1">
      <c r="A63" s="89" t="inlineStr">
        <is>
          <t>ZMUS01</t>
        </is>
      </c>
      <c r="B63" s="89" t="n">
        <v>1</v>
      </c>
      <c r="C63" s="89" t="inlineStr">
        <is>
          <t>HFA305</t>
        </is>
      </c>
      <c r="D63" s="89" t="inlineStr">
        <is>
          <t>A</t>
        </is>
      </c>
      <c r="E63" s="89" t="inlineStr">
        <is>
          <t>Musson Claire Louise</t>
        </is>
      </c>
      <c r="F63" s="90">
        <f>SUMIFS(Investors!$M:$M,Investors!$O:$O,FALSE,Investors!$P:$P,FALSE,Investors!$K:$K,"&gt;"&amp;'NSST Print'!$B$3,Investors!$I:$I,"&lt;="&amp;'NSST Print'!$B$3,Investors!$A:$A,'Investor Exit List'!$A63,Investors!$E:$E,'Investor Exit List'!$C63,Investors!$L:$L,'Investor Exit List'!$B63)-(SUMIFS(Investors!$M:$M,Investors!$I:$I,"&lt;="&amp;'NSST Print'!$B$3,Investors!$J:$J,"&gt;"&amp;'NSST Print'!$B$3,Investors!$A:$A,'Investor Exit List'!$A63,Investors!$E:$E,'Investor Exit List'!$C63,Investors!$L:$L,'Investor Exit List'!$B63)+SUMIFS(Investors!$M:$M,Investors!$I:$I,"&lt;="&amp;'NSST Print'!$B$3,Investors!$J:$J,"",Investors!$A:$A,'Investor Exit List'!$A63,Investors!$E:$E,'Investor Exit List'!$C63,Investors!$L:$L,'Investor Exit List'!$B63))</f>
        <v/>
      </c>
      <c r="G63" s="91" t="n">
        <v>44618</v>
      </c>
      <c r="H63" s="89" t="b">
        <v>1</v>
      </c>
      <c r="I63" s="89" t="b">
        <v>1</v>
      </c>
      <c r="J63" s="91" t="n">
        <v>44942</v>
      </c>
      <c r="K63" s="91">
        <f>IF(I63=TRUE,J63,"")</f>
        <v/>
      </c>
      <c r="L63" s="91">
        <f>G63+730</f>
        <v/>
      </c>
      <c r="M63" s="91" t="n">
        <v>45382</v>
      </c>
      <c r="N63" s="92">
        <f>IFERROR(IF(G63&lt;&gt;"",IF(I63=TRUE,0,IF(U63=TRUE,0,L63-M63)),0),0)</f>
        <v/>
      </c>
      <c r="O63" s="92">
        <f>IF(N63&gt;0,IF(N63&lt;=180,N63,0),0)</f>
        <v/>
      </c>
      <c r="P63" s="90">
        <f>IF(AND(N63&lt;90,N63&gt;0),Q63,0)</f>
        <v/>
      </c>
      <c r="Q63" s="90">
        <f>SUMIFS(Investors!$M:$M,Investors!$O:$O,FALSE,Investors!$P:$P,FALSE,Investors!$K:$K,"&gt;"&amp;'NSST Print'!$B$3,Investors!$I:$I,"&lt;="&amp;'NSST Print'!$B$3,Investors!$A:$A,'Investor Exit List'!$A63,Investors!$E:$E,'Investor Exit List'!$C63,Investors!$L:$L,'Investor Exit List'!$B63)-(SUMIFS(Investors!$M:$M,Investors!$I:$I,"&lt;="&amp;'NSST Print'!$B$3,Investors!$J:$J,"&gt;"&amp;'NSST Print'!$B$3,Investors!$A:$A,'Investor Exit List'!$A63,Investors!$E:$E,'Investor Exit List'!$C63,Investors!$L:$L,'Investor Exit List'!$B63)+SUMIFS(Investors!$M:$M,Investors!$I:$I,"&lt;="&amp;'NSST Print'!$B$3,Investors!$J:$J,"",Investors!$A:$A,'Investor Exit List'!$A63,Investors!$E:$E,'Investor Exit List'!$C63,Investors!$L:$L,'Investor Exit List'!$B63))+SUMIFS(Investors!$S:$S,Investors!$O:$O,FALSE,Investors!$P:$P,FALSE,Investors!$K:$K,"&gt;"&amp;'NSST Print'!$B$3,Investors!$I:$I,"&lt;="&amp;'NSST Print'!$B$3,Investors!$A:$A,'Investor Exit List'!$A63,Investors!$E:$E,'Investor Exit List'!$C63,Investors!$L:$L,'Investor Exit List'!$B63)-(SUMIFS(Investors!$S:$S,Investors!$I:$I,"&lt;="&amp;'NSST Print'!$B$3,Investors!$J:$J,"&gt;"&amp;'NSST Print'!$B$3,Investors!$A:$A,'Investor Exit List'!$A63,Investors!$E:$E,'Investor Exit List'!$C63,Investors!$L:$L,'Investor Exit List'!$B63)+SUMIFS(Investors!$S:$S,Investors!$I:$I,"&lt;="&amp;'NSST Print'!$B$3,Investors!$J:$J,"",Investors!$A:$A,'Investor Exit List'!$A63,Investors!$E:$E,'Investor Exit List'!$C63,Investors!$L:$L,'Investor Exit List'!$B63))</f>
        <v/>
      </c>
      <c r="R63" s="90">
        <f>IF(AND(H63=TRUE,I63=FALSE),Q63,0)</f>
        <v/>
      </c>
      <c r="S63" s="90">
        <f>SUMIFS(Investors!$M:$M,Investors!$O:$O,TRUE,Investors!$A:$A,'Investor Exit List'!$A63,Investors!$E:$E,'Investor Exit List'!$C63,Investors!$L:$L,'Investor Exit List'!$B63)+SUMIFS(Investors!$S:$S,Investors!$O:$O,TRUE,Investors!$A:$A,'Investor Exit List'!$A63,Investors!$E:$E,'Investor Exit List'!$C63,Investors!$L:$L,'Investor Exit List'!$B63)</f>
        <v/>
      </c>
      <c r="T63" s="91">
        <f>IF(U63=TRUE,$J63,"")</f>
        <v/>
      </c>
      <c r="U63" s="89" t="b">
        <v>0</v>
      </c>
      <c r="V63" s="90">
        <f>IF(AND(H63=TRUE,OR(K63="",K63&gt;M63)),S63,0)</f>
        <v/>
      </c>
      <c r="W63" s="89" t="n">
        <v>0</v>
      </c>
      <c r="X63" s="89" t="b">
        <v>0</v>
      </c>
    </row>
    <row r="64" hidden="1">
      <c r="A64" s="89" t="inlineStr">
        <is>
          <t>ZPRE01</t>
        </is>
      </c>
      <c r="B64" s="89" t="n">
        <v>1</v>
      </c>
      <c r="C64" s="89" t="inlineStr">
        <is>
          <t>HFA305</t>
        </is>
      </c>
      <c r="D64" s="89" t="inlineStr">
        <is>
          <t>A</t>
        </is>
      </c>
      <c r="E64" s="89" t="inlineStr">
        <is>
          <t>Pretorius Magdalena</t>
        </is>
      </c>
      <c r="F64" s="90">
        <f>SUMIFS(Investors!$M:$M,Investors!$O:$O,FALSE,Investors!$P:$P,FALSE,Investors!$K:$K,"&gt;"&amp;'NSST Print'!$B$3,Investors!$I:$I,"&lt;="&amp;'NSST Print'!$B$3,Investors!$A:$A,'Investor Exit List'!$A64,Investors!$E:$E,'Investor Exit List'!$C64,Investors!$L:$L,'Investor Exit List'!$B64)-(SUMIFS(Investors!$M:$M,Investors!$I:$I,"&lt;="&amp;'NSST Print'!$B$3,Investors!$J:$J,"&gt;"&amp;'NSST Print'!$B$3,Investors!$A:$A,'Investor Exit List'!$A64,Investors!$E:$E,'Investor Exit List'!$C64,Investors!$L:$L,'Investor Exit List'!$B64)+SUMIFS(Investors!$M:$M,Investors!$I:$I,"&lt;="&amp;'NSST Print'!$B$3,Investors!$J:$J,"",Investors!$A:$A,'Investor Exit List'!$A64,Investors!$E:$E,'Investor Exit List'!$C64,Investors!$L:$L,'Investor Exit List'!$B64))</f>
        <v/>
      </c>
      <c r="G64" s="91" t="n">
        <v>44590</v>
      </c>
      <c r="H64" s="89" t="b">
        <v>1</v>
      </c>
      <c r="I64" s="89" t="b">
        <v>1</v>
      </c>
      <c r="J64" s="91" t="n">
        <v>44942</v>
      </c>
      <c r="K64" s="91">
        <f>IF(I64=TRUE,J64,"")</f>
        <v/>
      </c>
      <c r="L64" s="91">
        <f>G64+730</f>
        <v/>
      </c>
      <c r="M64" s="91" t="n">
        <v>45382</v>
      </c>
      <c r="N64" s="92">
        <f>IFERROR(IF(G64&lt;&gt;"",IF(I64=TRUE,0,IF(U64=TRUE,0,L64-M64)),0),0)</f>
        <v/>
      </c>
      <c r="O64" s="92">
        <f>IF(N64&gt;0,IF(N64&lt;=180,N64,0),0)</f>
        <v/>
      </c>
      <c r="P64" s="90">
        <f>IF(AND(N64&lt;90,N64&gt;0),Q64,0)</f>
        <v/>
      </c>
      <c r="Q64" s="90">
        <f>SUMIFS(Investors!$M:$M,Investors!$O:$O,FALSE,Investors!$P:$P,FALSE,Investors!$K:$K,"&gt;"&amp;'NSST Print'!$B$3,Investors!$I:$I,"&lt;="&amp;'NSST Print'!$B$3,Investors!$A:$A,'Investor Exit List'!$A64,Investors!$E:$E,'Investor Exit List'!$C64,Investors!$L:$L,'Investor Exit List'!$B64)-(SUMIFS(Investors!$M:$M,Investors!$I:$I,"&lt;="&amp;'NSST Print'!$B$3,Investors!$J:$J,"&gt;"&amp;'NSST Print'!$B$3,Investors!$A:$A,'Investor Exit List'!$A64,Investors!$E:$E,'Investor Exit List'!$C64,Investors!$L:$L,'Investor Exit List'!$B64)+SUMIFS(Investors!$M:$M,Investors!$I:$I,"&lt;="&amp;'NSST Print'!$B$3,Investors!$J:$J,"",Investors!$A:$A,'Investor Exit List'!$A64,Investors!$E:$E,'Investor Exit List'!$C64,Investors!$L:$L,'Investor Exit List'!$B64))+SUMIFS(Investors!$S:$S,Investors!$O:$O,FALSE,Investors!$P:$P,FALSE,Investors!$K:$K,"&gt;"&amp;'NSST Print'!$B$3,Investors!$I:$I,"&lt;="&amp;'NSST Print'!$B$3,Investors!$A:$A,'Investor Exit List'!$A64,Investors!$E:$E,'Investor Exit List'!$C64,Investors!$L:$L,'Investor Exit List'!$B64)-(SUMIFS(Investors!$S:$S,Investors!$I:$I,"&lt;="&amp;'NSST Print'!$B$3,Investors!$J:$J,"&gt;"&amp;'NSST Print'!$B$3,Investors!$A:$A,'Investor Exit List'!$A64,Investors!$E:$E,'Investor Exit List'!$C64,Investors!$L:$L,'Investor Exit List'!$B64)+SUMIFS(Investors!$S:$S,Investors!$I:$I,"&lt;="&amp;'NSST Print'!$B$3,Investors!$J:$J,"",Investors!$A:$A,'Investor Exit List'!$A64,Investors!$E:$E,'Investor Exit List'!$C64,Investors!$L:$L,'Investor Exit List'!$B64))</f>
        <v/>
      </c>
      <c r="R64" s="90">
        <f>IF(AND(H64=TRUE,I64=FALSE),Q64,0)</f>
        <v/>
      </c>
      <c r="S64" s="90">
        <f>SUMIFS(Investors!$M:$M,Investors!$O:$O,TRUE,Investors!$A:$A,'Investor Exit List'!$A64,Investors!$E:$E,'Investor Exit List'!$C64,Investors!$L:$L,'Investor Exit List'!$B64)+SUMIFS(Investors!$S:$S,Investors!$O:$O,TRUE,Investors!$A:$A,'Investor Exit List'!$A64,Investors!$E:$E,'Investor Exit List'!$C64,Investors!$L:$L,'Investor Exit List'!$B64)</f>
        <v/>
      </c>
      <c r="T64" s="91">
        <f>IF(U64=TRUE,$J64,"")</f>
        <v/>
      </c>
      <c r="U64" s="89" t="b">
        <v>0</v>
      </c>
      <c r="V64" s="90">
        <f>IF(AND(H64=TRUE,OR(K64="",K64&gt;M64)),S64,0)</f>
        <v/>
      </c>
      <c r="W64" s="89" t="n">
        <v>0</v>
      </c>
      <c r="X64" s="89" t="b">
        <v>0</v>
      </c>
    </row>
    <row r="65" hidden="1">
      <c r="A65" s="89" t="inlineStr">
        <is>
          <t>ZDEB01</t>
        </is>
      </c>
      <c r="B65" s="89" t="n">
        <v>1</v>
      </c>
      <c r="C65" s="89" t="inlineStr">
        <is>
          <t>HFA306</t>
        </is>
      </c>
      <c r="D65" s="89" t="inlineStr">
        <is>
          <t>A</t>
        </is>
      </c>
      <c r="E65" s="89" t="inlineStr">
        <is>
          <t>De Beer William Henry</t>
        </is>
      </c>
      <c r="F65" s="90">
        <f>SUMIFS(Investors!$M:$M,Investors!$O:$O,FALSE,Investors!$P:$P,FALSE,Investors!$K:$K,"&gt;"&amp;'NSST Print'!$B$3,Investors!$I:$I,"&lt;="&amp;'NSST Print'!$B$3,Investors!$A:$A,'Investor Exit List'!$A65,Investors!$E:$E,'Investor Exit List'!$C65,Investors!$L:$L,'Investor Exit List'!$B65)-(SUMIFS(Investors!$M:$M,Investors!$I:$I,"&lt;="&amp;'NSST Print'!$B$3,Investors!$J:$J,"&gt;"&amp;'NSST Print'!$B$3,Investors!$A:$A,'Investor Exit List'!$A65,Investors!$E:$E,'Investor Exit List'!$C65,Investors!$L:$L,'Investor Exit List'!$B65)+SUMIFS(Investors!$M:$M,Investors!$I:$I,"&lt;="&amp;'NSST Print'!$B$3,Investors!$J:$J,"",Investors!$A:$A,'Investor Exit List'!$A65,Investors!$E:$E,'Investor Exit List'!$C65,Investors!$L:$L,'Investor Exit List'!$B65))</f>
        <v/>
      </c>
      <c r="G65" s="91" t="n">
        <v>44352</v>
      </c>
      <c r="H65" s="89" t="b">
        <v>1</v>
      </c>
      <c r="I65" s="89" t="b">
        <v>1</v>
      </c>
      <c r="J65" s="91" t="n">
        <v>44901</v>
      </c>
      <c r="K65" s="91">
        <f>IF(I65=TRUE,J65,"")</f>
        <v/>
      </c>
      <c r="L65" s="91">
        <f>G65+730</f>
        <v/>
      </c>
      <c r="M65" s="91" t="n">
        <v>45382</v>
      </c>
      <c r="N65" s="92">
        <f>IFERROR(IF(G65&lt;&gt;"",IF(I65=TRUE,0,IF(U65=TRUE,0,L65-M65)),0),0)</f>
        <v/>
      </c>
      <c r="O65" s="92">
        <f>IF(N65&gt;0,IF(N65&lt;=180,N65,0),0)</f>
        <v/>
      </c>
      <c r="P65" s="90">
        <f>IF(AND(N65&lt;90,N65&gt;0),Q65,0)</f>
        <v/>
      </c>
      <c r="Q65" s="90">
        <f>SUMIFS(Investors!$M:$M,Investors!$O:$O,FALSE,Investors!$P:$P,FALSE,Investors!$K:$K,"&gt;"&amp;'NSST Print'!$B$3,Investors!$I:$I,"&lt;="&amp;'NSST Print'!$B$3,Investors!$A:$A,'Investor Exit List'!$A65,Investors!$E:$E,'Investor Exit List'!$C65,Investors!$L:$L,'Investor Exit List'!$B65)-(SUMIFS(Investors!$M:$M,Investors!$I:$I,"&lt;="&amp;'NSST Print'!$B$3,Investors!$J:$J,"&gt;"&amp;'NSST Print'!$B$3,Investors!$A:$A,'Investor Exit List'!$A65,Investors!$E:$E,'Investor Exit List'!$C65,Investors!$L:$L,'Investor Exit List'!$B65)+SUMIFS(Investors!$M:$M,Investors!$I:$I,"&lt;="&amp;'NSST Print'!$B$3,Investors!$J:$J,"",Investors!$A:$A,'Investor Exit List'!$A65,Investors!$E:$E,'Investor Exit List'!$C65,Investors!$L:$L,'Investor Exit List'!$B65))+SUMIFS(Investors!$S:$S,Investors!$O:$O,FALSE,Investors!$P:$P,FALSE,Investors!$K:$K,"&gt;"&amp;'NSST Print'!$B$3,Investors!$I:$I,"&lt;="&amp;'NSST Print'!$B$3,Investors!$A:$A,'Investor Exit List'!$A65,Investors!$E:$E,'Investor Exit List'!$C65,Investors!$L:$L,'Investor Exit List'!$B65)-(SUMIFS(Investors!$S:$S,Investors!$I:$I,"&lt;="&amp;'NSST Print'!$B$3,Investors!$J:$J,"&gt;"&amp;'NSST Print'!$B$3,Investors!$A:$A,'Investor Exit List'!$A65,Investors!$E:$E,'Investor Exit List'!$C65,Investors!$L:$L,'Investor Exit List'!$B65)+SUMIFS(Investors!$S:$S,Investors!$I:$I,"&lt;="&amp;'NSST Print'!$B$3,Investors!$J:$J,"",Investors!$A:$A,'Investor Exit List'!$A65,Investors!$E:$E,'Investor Exit List'!$C65,Investors!$L:$L,'Investor Exit List'!$B65))</f>
        <v/>
      </c>
      <c r="R65" s="90">
        <f>IF(AND(H65=TRUE,I65=FALSE),Q65,0)</f>
        <v/>
      </c>
      <c r="S65" s="90">
        <f>SUMIFS(Investors!$M:$M,Investors!$O:$O,TRUE,Investors!$A:$A,'Investor Exit List'!$A65,Investors!$E:$E,'Investor Exit List'!$C65,Investors!$L:$L,'Investor Exit List'!$B65)+SUMIFS(Investors!$S:$S,Investors!$O:$O,TRUE,Investors!$A:$A,'Investor Exit List'!$A65,Investors!$E:$E,'Investor Exit List'!$C65,Investors!$L:$L,'Investor Exit List'!$B65)</f>
        <v/>
      </c>
      <c r="T65" s="91">
        <f>IF(U65=TRUE,$J65,"")</f>
        <v/>
      </c>
      <c r="U65" s="89" t="b">
        <v>0</v>
      </c>
      <c r="V65" s="90">
        <f>IF(AND(H65=TRUE,OR(K65="",K65&gt;M65)),S65,0)</f>
        <v/>
      </c>
      <c r="W65" s="89" t="n">
        <v>0</v>
      </c>
      <c r="X65" s="89" t="b">
        <v>0</v>
      </c>
    </row>
    <row r="66" hidden="1">
      <c r="A66" s="89" t="inlineStr">
        <is>
          <t>ZFOU01</t>
        </is>
      </c>
      <c r="B66" s="89" t="n">
        <v>1</v>
      </c>
      <c r="C66" s="89" t="inlineStr">
        <is>
          <t>HFA306</t>
        </is>
      </c>
      <c r="D66" s="89" t="inlineStr">
        <is>
          <t>A</t>
        </is>
      </c>
      <c r="E66" s="89" t="inlineStr">
        <is>
          <t>Fourie Hester Magrietha</t>
        </is>
      </c>
      <c r="F66" s="90">
        <f>SUMIFS(Investors!$M:$M,Investors!$O:$O,FALSE,Investors!$P:$P,FALSE,Investors!$K:$K,"&gt;"&amp;'NSST Print'!$B$3,Investors!$I:$I,"&lt;="&amp;'NSST Print'!$B$3,Investors!$A:$A,'Investor Exit List'!$A66,Investors!$E:$E,'Investor Exit List'!$C66,Investors!$L:$L,'Investor Exit List'!$B66)-(SUMIFS(Investors!$M:$M,Investors!$I:$I,"&lt;="&amp;'NSST Print'!$B$3,Investors!$J:$J,"&gt;"&amp;'NSST Print'!$B$3,Investors!$A:$A,'Investor Exit List'!$A66,Investors!$E:$E,'Investor Exit List'!$C66,Investors!$L:$L,'Investor Exit List'!$B66)+SUMIFS(Investors!$M:$M,Investors!$I:$I,"&lt;="&amp;'NSST Print'!$B$3,Investors!$J:$J,"",Investors!$A:$A,'Investor Exit List'!$A66,Investors!$E:$E,'Investor Exit List'!$C66,Investors!$L:$L,'Investor Exit List'!$B66))</f>
        <v/>
      </c>
      <c r="G66" s="91" t="n">
        <v>44352</v>
      </c>
      <c r="H66" s="89" t="b">
        <v>1</v>
      </c>
      <c r="I66" s="89" t="b">
        <v>1</v>
      </c>
      <c r="J66" s="91" t="n">
        <v>44901</v>
      </c>
      <c r="K66" s="91">
        <f>IF(I66=TRUE,J66,"")</f>
        <v/>
      </c>
      <c r="L66" s="91">
        <f>G66+730</f>
        <v/>
      </c>
      <c r="M66" s="91" t="n">
        <v>45382</v>
      </c>
      <c r="N66" s="92">
        <f>IFERROR(IF(G66&lt;&gt;"",IF(I66=TRUE,0,IF(U66=TRUE,0,L66-M66)),0),0)</f>
        <v/>
      </c>
      <c r="O66" s="92">
        <f>IF(N66&gt;0,IF(N66&lt;=180,N66,0),0)</f>
        <v/>
      </c>
      <c r="P66" s="90">
        <f>IF(AND(N66&lt;90,N66&gt;0),Q66,0)</f>
        <v/>
      </c>
      <c r="Q66" s="90">
        <f>SUMIFS(Investors!$M:$M,Investors!$O:$O,FALSE,Investors!$P:$P,FALSE,Investors!$K:$K,"&gt;"&amp;'NSST Print'!$B$3,Investors!$I:$I,"&lt;="&amp;'NSST Print'!$B$3,Investors!$A:$A,'Investor Exit List'!$A66,Investors!$E:$E,'Investor Exit List'!$C66,Investors!$L:$L,'Investor Exit List'!$B66)-(SUMIFS(Investors!$M:$M,Investors!$I:$I,"&lt;="&amp;'NSST Print'!$B$3,Investors!$J:$J,"&gt;"&amp;'NSST Print'!$B$3,Investors!$A:$A,'Investor Exit List'!$A66,Investors!$E:$E,'Investor Exit List'!$C66,Investors!$L:$L,'Investor Exit List'!$B66)+SUMIFS(Investors!$M:$M,Investors!$I:$I,"&lt;="&amp;'NSST Print'!$B$3,Investors!$J:$J,"",Investors!$A:$A,'Investor Exit List'!$A66,Investors!$E:$E,'Investor Exit List'!$C66,Investors!$L:$L,'Investor Exit List'!$B66))+SUMIFS(Investors!$S:$S,Investors!$O:$O,FALSE,Investors!$P:$P,FALSE,Investors!$K:$K,"&gt;"&amp;'NSST Print'!$B$3,Investors!$I:$I,"&lt;="&amp;'NSST Print'!$B$3,Investors!$A:$A,'Investor Exit List'!$A66,Investors!$E:$E,'Investor Exit List'!$C66,Investors!$L:$L,'Investor Exit List'!$B66)-(SUMIFS(Investors!$S:$S,Investors!$I:$I,"&lt;="&amp;'NSST Print'!$B$3,Investors!$J:$J,"&gt;"&amp;'NSST Print'!$B$3,Investors!$A:$A,'Investor Exit List'!$A66,Investors!$E:$E,'Investor Exit List'!$C66,Investors!$L:$L,'Investor Exit List'!$B66)+SUMIFS(Investors!$S:$S,Investors!$I:$I,"&lt;="&amp;'NSST Print'!$B$3,Investors!$J:$J,"",Investors!$A:$A,'Investor Exit List'!$A66,Investors!$E:$E,'Investor Exit List'!$C66,Investors!$L:$L,'Investor Exit List'!$B66))</f>
        <v/>
      </c>
      <c r="R66" s="90">
        <f>IF(AND(H66=TRUE,I66=FALSE),Q66,0)</f>
        <v/>
      </c>
      <c r="S66" s="90">
        <f>SUMIFS(Investors!$M:$M,Investors!$O:$O,TRUE,Investors!$A:$A,'Investor Exit List'!$A66,Investors!$E:$E,'Investor Exit List'!$C66,Investors!$L:$L,'Investor Exit List'!$B66)+SUMIFS(Investors!$S:$S,Investors!$O:$O,TRUE,Investors!$A:$A,'Investor Exit List'!$A66,Investors!$E:$E,'Investor Exit List'!$C66,Investors!$L:$L,'Investor Exit List'!$B66)</f>
        <v/>
      </c>
      <c r="T66" s="91">
        <f>IF(U66=TRUE,$J66,"")</f>
        <v/>
      </c>
      <c r="U66" s="89" t="b">
        <v>0</v>
      </c>
      <c r="V66" s="90">
        <f>IF(AND(H66=TRUE,OR(K66="",K66&gt;M66)),S66,0)</f>
        <v/>
      </c>
      <c r="W66" s="89" t="n">
        <v>0</v>
      </c>
      <c r="X66" s="89" t="b">
        <v>0</v>
      </c>
    </row>
    <row r="67" hidden="1">
      <c r="A67" s="89" t="inlineStr">
        <is>
          <t>ZMAT03</t>
        </is>
      </c>
      <c r="B67" s="89" t="n">
        <v>2</v>
      </c>
      <c r="C67" s="89" t="inlineStr">
        <is>
          <t>HFA306</t>
        </is>
      </c>
      <c r="D67" s="89" t="inlineStr">
        <is>
          <t>A</t>
        </is>
      </c>
      <c r="E67" s="89" t="inlineStr">
        <is>
          <t>Matthee Delia</t>
        </is>
      </c>
      <c r="F67" s="90">
        <f>SUMIFS(Investors!$M:$M,Investors!$O:$O,FALSE,Investors!$P:$P,FALSE,Investors!$K:$K,"&gt;"&amp;'NSST Print'!$B$3,Investors!$I:$I,"&lt;="&amp;'NSST Print'!$B$3,Investors!$A:$A,'Investor Exit List'!$A67,Investors!$E:$E,'Investor Exit List'!$C67,Investors!$L:$L,'Investor Exit List'!$B67)-(SUMIFS(Investors!$M:$M,Investors!$I:$I,"&lt;="&amp;'NSST Print'!$B$3,Investors!$J:$J,"&gt;"&amp;'NSST Print'!$B$3,Investors!$A:$A,'Investor Exit List'!$A67,Investors!$E:$E,'Investor Exit List'!$C67,Investors!$L:$L,'Investor Exit List'!$B67)+SUMIFS(Investors!$M:$M,Investors!$I:$I,"&lt;="&amp;'NSST Print'!$B$3,Investors!$J:$J,"",Investors!$A:$A,'Investor Exit List'!$A67,Investors!$E:$E,'Investor Exit List'!$C67,Investors!$L:$L,'Investor Exit List'!$B67))</f>
        <v/>
      </c>
      <c r="G67" s="91" t="n">
        <v>44550</v>
      </c>
      <c r="H67" s="89" t="b">
        <v>1</v>
      </c>
      <c r="I67" s="89" t="b">
        <v>1</v>
      </c>
      <c r="J67" s="91" t="n">
        <v>44901</v>
      </c>
      <c r="K67" s="91">
        <f>IF(I67=TRUE,J67,"")</f>
        <v/>
      </c>
      <c r="L67" s="91">
        <f>G67+730</f>
        <v/>
      </c>
      <c r="M67" s="91" t="n">
        <v>45382</v>
      </c>
      <c r="N67" s="92">
        <f>IFERROR(IF(G67&lt;&gt;"",IF(I67=TRUE,0,IF(U67=TRUE,0,L67-M67)),0),0)</f>
        <v/>
      </c>
      <c r="O67" s="92">
        <f>IF(N67&gt;0,IF(N67&lt;=180,N67,0),0)</f>
        <v/>
      </c>
      <c r="P67" s="90">
        <f>IF(AND(N67&lt;90,N67&gt;0),Q67,0)</f>
        <v/>
      </c>
      <c r="Q67" s="90">
        <f>SUMIFS(Investors!$M:$M,Investors!$O:$O,FALSE,Investors!$P:$P,FALSE,Investors!$K:$K,"&gt;"&amp;'NSST Print'!$B$3,Investors!$I:$I,"&lt;="&amp;'NSST Print'!$B$3,Investors!$A:$A,'Investor Exit List'!$A67,Investors!$E:$E,'Investor Exit List'!$C67,Investors!$L:$L,'Investor Exit List'!$B67)-(SUMIFS(Investors!$M:$M,Investors!$I:$I,"&lt;="&amp;'NSST Print'!$B$3,Investors!$J:$J,"&gt;"&amp;'NSST Print'!$B$3,Investors!$A:$A,'Investor Exit List'!$A67,Investors!$E:$E,'Investor Exit List'!$C67,Investors!$L:$L,'Investor Exit List'!$B67)+SUMIFS(Investors!$M:$M,Investors!$I:$I,"&lt;="&amp;'NSST Print'!$B$3,Investors!$J:$J,"",Investors!$A:$A,'Investor Exit List'!$A67,Investors!$E:$E,'Investor Exit List'!$C67,Investors!$L:$L,'Investor Exit List'!$B67))+SUMIFS(Investors!$S:$S,Investors!$O:$O,FALSE,Investors!$P:$P,FALSE,Investors!$K:$K,"&gt;"&amp;'NSST Print'!$B$3,Investors!$I:$I,"&lt;="&amp;'NSST Print'!$B$3,Investors!$A:$A,'Investor Exit List'!$A67,Investors!$E:$E,'Investor Exit List'!$C67,Investors!$L:$L,'Investor Exit List'!$B67)-(SUMIFS(Investors!$S:$S,Investors!$I:$I,"&lt;="&amp;'NSST Print'!$B$3,Investors!$J:$J,"&gt;"&amp;'NSST Print'!$B$3,Investors!$A:$A,'Investor Exit List'!$A67,Investors!$E:$E,'Investor Exit List'!$C67,Investors!$L:$L,'Investor Exit List'!$B67)+SUMIFS(Investors!$S:$S,Investors!$I:$I,"&lt;="&amp;'NSST Print'!$B$3,Investors!$J:$J,"",Investors!$A:$A,'Investor Exit List'!$A67,Investors!$E:$E,'Investor Exit List'!$C67,Investors!$L:$L,'Investor Exit List'!$B67))</f>
        <v/>
      </c>
      <c r="R67" s="90">
        <f>IF(AND(H67=TRUE,I67=FALSE),Q67,0)</f>
        <v/>
      </c>
      <c r="S67" s="90">
        <f>SUMIFS(Investors!$M:$M,Investors!$O:$O,TRUE,Investors!$A:$A,'Investor Exit List'!$A67,Investors!$E:$E,'Investor Exit List'!$C67,Investors!$L:$L,'Investor Exit List'!$B67)+SUMIFS(Investors!$S:$S,Investors!$O:$O,TRUE,Investors!$A:$A,'Investor Exit List'!$A67,Investors!$E:$E,'Investor Exit List'!$C67,Investors!$L:$L,'Investor Exit List'!$B67)</f>
        <v/>
      </c>
      <c r="T67" s="91">
        <f>IF(U67=TRUE,$J67,"")</f>
        <v/>
      </c>
      <c r="U67" s="89" t="b">
        <v>0</v>
      </c>
      <c r="V67" s="90">
        <f>IF(AND(H67=TRUE,OR(K67="",K67&gt;M67)),S67,0)</f>
        <v/>
      </c>
      <c r="W67" s="89" t="n">
        <v>0</v>
      </c>
      <c r="X67" s="89" t="b">
        <v>0</v>
      </c>
    </row>
    <row r="68" hidden="1">
      <c r="A68" s="89" t="inlineStr">
        <is>
          <t>ZVOL01</t>
        </is>
      </c>
      <c r="B68" s="89" t="n">
        <v>2</v>
      </c>
      <c r="C68" s="89" t="inlineStr">
        <is>
          <t>HFA306</t>
        </is>
      </c>
      <c r="D68" s="89" t="inlineStr">
        <is>
          <t>A</t>
        </is>
      </c>
      <c r="E68" s="89" t="inlineStr">
        <is>
          <t>Volschenk Gideon Cornelius</t>
        </is>
      </c>
      <c r="F68" s="90">
        <f>SUMIFS(Investors!$M:$M,Investors!$O:$O,FALSE,Investors!$P:$P,FALSE,Investors!$K:$K,"&gt;"&amp;'NSST Print'!$B$3,Investors!$I:$I,"&lt;="&amp;'NSST Print'!$B$3,Investors!$A:$A,'Investor Exit List'!$A68,Investors!$E:$E,'Investor Exit List'!$C68,Investors!$L:$L,'Investor Exit List'!$B68)-(SUMIFS(Investors!$M:$M,Investors!$I:$I,"&lt;="&amp;'NSST Print'!$B$3,Investors!$J:$J,"&gt;"&amp;'NSST Print'!$B$3,Investors!$A:$A,'Investor Exit List'!$A68,Investors!$E:$E,'Investor Exit List'!$C68,Investors!$L:$L,'Investor Exit List'!$B68)+SUMIFS(Investors!$M:$M,Investors!$I:$I,"&lt;="&amp;'NSST Print'!$B$3,Investors!$J:$J,"",Investors!$A:$A,'Investor Exit List'!$A68,Investors!$E:$E,'Investor Exit List'!$C68,Investors!$L:$L,'Investor Exit List'!$B68))</f>
        <v/>
      </c>
      <c r="G68" s="91" t="n">
        <v>44590</v>
      </c>
      <c r="H68" s="89" t="b">
        <v>1</v>
      </c>
      <c r="I68" s="89" t="b">
        <v>1</v>
      </c>
      <c r="J68" s="91" t="n">
        <v>44901</v>
      </c>
      <c r="K68" s="91">
        <f>IF(I68=TRUE,J68,"")</f>
        <v/>
      </c>
      <c r="L68" s="91">
        <f>G68+730</f>
        <v/>
      </c>
      <c r="M68" s="91" t="n">
        <v>45382</v>
      </c>
      <c r="N68" s="92">
        <f>IFERROR(IF(G68&lt;&gt;"",IF(I68=TRUE,0,IF(U68=TRUE,0,L68-M68)),0),0)</f>
        <v/>
      </c>
      <c r="O68" s="92">
        <f>IF(N68&gt;0,IF(N68&lt;=180,N68,0),0)</f>
        <v/>
      </c>
      <c r="P68" s="90">
        <f>IF(AND(N68&lt;90,N68&gt;0),Q68,0)</f>
        <v/>
      </c>
      <c r="Q68" s="90">
        <f>SUMIFS(Investors!$M:$M,Investors!$O:$O,FALSE,Investors!$P:$P,FALSE,Investors!$K:$K,"&gt;"&amp;'NSST Print'!$B$3,Investors!$I:$I,"&lt;="&amp;'NSST Print'!$B$3,Investors!$A:$A,'Investor Exit List'!$A68,Investors!$E:$E,'Investor Exit List'!$C68,Investors!$L:$L,'Investor Exit List'!$B68)-(SUMIFS(Investors!$M:$M,Investors!$I:$I,"&lt;="&amp;'NSST Print'!$B$3,Investors!$J:$J,"&gt;"&amp;'NSST Print'!$B$3,Investors!$A:$A,'Investor Exit List'!$A68,Investors!$E:$E,'Investor Exit List'!$C68,Investors!$L:$L,'Investor Exit List'!$B68)+SUMIFS(Investors!$M:$M,Investors!$I:$I,"&lt;="&amp;'NSST Print'!$B$3,Investors!$J:$J,"",Investors!$A:$A,'Investor Exit List'!$A68,Investors!$E:$E,'Investor Exit List'!$C68,Investors!$L:$L,'Investor Exit List'!$B68))+SUMIFS(Investors!$S:$S,Investors!$O:$O,FALSE,Investors!$P:$P,FALSE,Investors!$K:$K,"&gt;"&amp;'NSST Print'!$B$3,Investors!$I:$I,"&lt;="&amp;'NSST Print'!$B$3,Investors!$A:$A,'Investor Exit List'!$A68,Investors!$E:$E,'Investor Exit List'!$C68,Investors!$L:$L,'Investor Exit List'!$B68)-(SUMIFS(Investors!$S:$S,Investors!$I:$I,"&lt;="&amp;'NSST Print'!$B$3,Investors!$J:$J,"&gt;"&amp;'NSST Print'!$B$3,Investors!$A:$A,'Investor Exit List'!$A68,Investors!$E:$E,'Investor Exit List'!$C68,Investors!$L:$L,'Investor Exit List'!$B68)+SUMIFS(Investors!$S:$S,Investors!$I:$I,"&lt;="&amp;'NSST Print'!$B$3,Investors!$J:$J,"",Investors!$A:$A,'Investor Exit List'!$A68,Investors!$E:$E,'Investor Exit List'!$C68,Investors!$L:$L,'Investor Exit List'!$B68))</f>
        <v/>
      </c>
      <c r="R68" s="90">
        <f>IF(AND(H68=TRUE,I68=FALSE),Q68,0)</f>
        <v/>
      </c>
      <c r="S68" s="90">
        <f>SUMIFS(Investors!$M:$M,Investors!$O:$O,TRUE,Investors!$A:$A,'Investor Exit List'!$A68,Investors!$E:$E,'Investor Exit List'!$C68,Investors!$L:$L,'Investor Exit List'!$B68)+SUMIFS(Investors!$S:$S,Investors!$O:$O,TRUE,Investors!$A:$A,'Investor Exit List'!$A68,Investors!$E:$E,'Investor Exit List'!$C68,Investors!$L:$L,'Investor Exit List'!$B68)</f>
        <v/>
      </c>
      <c r="T68" s="91">
        <f>IF(U68=TRUE,$J68,"")</f>
        <v/>
      </c>
      <c r="U68" s="89" t="b">
        <v>0</v>
      </c>
      <c r="V68" s="90">
        <f>IF(AND(H68=TRUE,OR(K68="",K68&gt;M68)),S68,0)</f>
        <v/>
      </c>
      <c r="W68" s="89" t="n">
        <v>0</v>
      </c>
      <c r="X68" s="89" t="b">
        <v>0</v>
      </c>
    </row>
    <row r="69" hidden="1">
      <c r="A69" s="89" t="inlineStr">
        <is>
          <t>ZINT01</t>
        </is>
      </c>
      <c r="B69" s="89" t="n">
        <v>8</v>
      </c>
      <c r="C69" s="89" t="inlineStr">
        <is>
          <t>HFB101</t>
        </is>
      </c>
      <c r="D69" s="89" t="inlineStr">
        <is>
          <t>B</t>
        </is>
      </c>
      <c r="E69" s="89" t="inlineStr">
        <is>
          <t>Lunau Marc</t>
        </is>
      </c>
      <c r="F69" s="90">
        <f>SUMIFS(Investors!$M:$M,Investors!$O:$O,FALSE,Investors!$P:$P,FALSE,Investors!$K:$K,"&gt;"&amp;'NSST Print'!$B$3,Investors!$I:$I,"&lt;="&amp;'NSST Print'!$B$3,Investors!$A:$A,'Investor Exit List'!$A69,Investors!$E:$E,'Investor Exit List'!$C69,Investors!$L:$L,'Investor Exit List'!$B69)-(SUMIFS(Investors!$M:$M,Investors!$I:$I,"&lt;="&amp;'NSST Print'!$B$3,Investors!$J:$J,"&gt;"&amp;'NSST Print'!$B$3,Investors!$A:$A,'Investor Exit List'!$A69,Investors!$E:$E,'Investor Exit List'!$C69,Investors!$L:$L,'Investor Exit List'!$B69)+SUMIFS(Investors!$M:$M,Investors!$I:$I,"&lt;="&amp;'NSST Print'!$B$3,Investors!$J:$J,"",Investors!$A:$A,'Investor Exit List'!$A69,Investors!$E:$E,'Investor Exit List'!$C69,Investors!$L:$L,'Investor Exit List'!$B69))</f>
        <v/>
      </c>
      <c r="G69" s="91" t="n">
        <v>44352</v>
      </c>
      <c r="H69" s="89" t="b">
        <v>1</v>
      </c>
      <c r="I69" s="89" t="b">
        <v>1</v>
      </c>
      <c r="J69" s="91" t="n">
        <v>44909</v>
      </c>
      <c r="K69" s="91">
        <f>IF(I69=TRUE,J69,"")</f>
        <v/>
      </c>
      <c r="L69" s="91">
        <f>G69+730</f>
        <v/>
      </c>
      <c r="M69" s="91" t="n">
        <v>45382</v>
      </c>
      <c r="N69" s="92">
        <f>IFERROR(IF(G69&lt;&gt;"",IF(I69=TRUE,0,IF(U69=TRUE,0,L69-M69)),0),0)</f>
        <v/>
      </c>
      <c r="O69" s="92">
        <f>IF(N69&gt;0,IF(N69&lt;=180,N69,0),0)</f>
        <v/>
      </c>
      <c r="P69" s="90">
        <f>IF(AND(N69&lt;90,N69&gt;0),Q69,0)</f>
        <v/>
      </c>
      <c r="Q69" s="90">
        <f>SUMIFS(Investors!$M:$M,Investors!$O:$O,FALSE,Investors!$P:$P,FALSE,Investors!$K:$K,"&gt;"&amp;'NSST Print'!$B$3,Investors!$I:$I,"&lt;="&amp;'NSST Print'!$B$3,Investors!$A:$A,'Investor Exit List'!$A69,Investors!$E:$E,'Investor Exit List'!$C69,Investors!$L:$L,'Investor Exit List'!$B69)-(SUMIFS(Investors!$M:$M,Investors!$I:$I,"&lt;="&amp;'NSST Print'!$B$3,Investors!$J:$J,"&gt;"&amp;'NSST Print'!$B$3,Investors!$A:$A,'Investor Exit List'!$A69,Investors!$E:$E,'Investor Exit List'!$C69,Investors!$L:$L,'Investor Exit List'!$B69)+SUMIFS(Investors!$M:$M,Investors!$I:$I,"&lt;="&amp;'NSST Print'!$B$3,Investors!$J:$J,"",Investors!$A:$A,'Investor Exit List'!$A69,Investors!$E:$E,'Investor Exit List'!$C69,Investors!$L:$L,'Investor Exit List'!$B69))+SUMIFS(Investors!$S:$S,Investors!$O:$O,FALSE,Investors!$P:$P,FALSE,Investors!$K:$K,"&gt;"&amp;'NSST Print'!$B$3,Investors!$I:$I,"&lt;="&amp;'NSST Print'!$B$3,Investors!$A:$A,'Investor Exit List'!$A69,Investors!$E:$E,'Investor Exit List'!$C69,Investors!$L:$L,'Investor Exit List'!$B69)-(SUMIFS(Investors!$S:$S,Investors!$I:$I,"&lt;="&amp;'NSST Print'!$B$3,Investors!$J:$J,"&gt;"&amp;'NSST Print'!$B$3,Investors!$A:$A,'Investor Exit List'!$A69,Investors!$E:$E,'Investor Exit List'!$C69,Investors!$L:$L,'Investor Exit List'!$B69)+SUMIFS(Investors!$S:$S,Investors!$I:$I,"&lt;="&amp;'NSST Print'!$B$3,Investors!$J:$J,"",Investors!$A:$A,'Investor Exit List'!$A69,Investors!$E:$E,'Investor Exit List'!$C69,Investors!$L:$L,'Investor Exit List'!$B69))</f>
        <v/>
      </c>
      <c r="R69" s="90">
        <f>IF(AND(H69=TRUE,I69=FALSE),Q69,0)</f>
        <v/>
      </c>
      <c r="S69" s="90">
        <f>SUMIFS(Investors!$M:$M,Investors!$O:$O,TRUE,Investors!$A:$A,'Investor Exit List'!$A69,Investors!$E:$E,'Investor Exit List'!$C69,Investors!$L:$L,'Investor Exit List'!$B69)+SUMIFS(Investors!$S:$S,Investors!$O:$O,TRUE,Investors!$A:$A,'Investor Exit List'!$A69,Investors!$E:$E,'Investor Exit List'!$C69,Investors!$L:$L,'Investor Exit List'!$B69)</f>
        <v/>
      </c>
      <c r="T69" s="91">
        <f>IF(U69=TRUE,$J69,"")</f>
        <v/>
      </c>
      <c r="U69" s="89" t="b">
        <v>0</v>
      </c>
      <c r="V69" s="90">
        <f>IF(AND(H69=TRUE,OR(K69="",K69&gt;M69)),S69,0)</f>
        <v/>
      </c>
      <c r="W69" s="89" t="n">
        <v>0</v>
      </c>
      <c r="X69" s="89" t="b">
        <v>0</v>
      </c>
    </row>
    <row r="70" hidden="1">
      <c r="A70" s="89" t="inlineStr">
        <is>
          <t>ZKFT01</t>
        </is>
      </c>
      <c r="B70" s="89" t="n">
        <v>1</v>
      </c>
      <c r="C70" s="89" t="inlineStr">
        <is>
          <t>HFB101</t>
        </is>
      </c>
      <c r="D70" s="89" t="inlineStr">
        <is>
          <t>B</t>
        </is>
      </c>
      <c r="E70" s="89" t="inlineStr">
        <is>
          <t>Koovarjee Koovarjee Family Trust</t>
        </is>
      </c>
      <c r="F70" s="90">
        <f>SUMIFS(Investors!$M:$M,Investors!$O:$O,FALSE,Investors!$P:$P,FALSE,Investors!$K:$K,"&gt;"&amp;'NSST Print'!$B$3,Investors!$I:$I,"&lt;="&amp;'NSST Print'!$B$3,Investors!$A:$A,'Investor Exit List'!$A70,Investors!$E:$E,'Investor Exit List'!$C70,Investors!$L:$L,'Investor Exit List'!$B70)-(SUMIFS(Investors!$M:$M,Investors!$I:$I,"&lt;="&amp;'NSST Print'!$B$3,Investors!$J:$J,"&gt;"&amp;'NSST Print'!$B$3,Investors!$A:$A,'Investor Exit List'!$A70,Investors!$E:$E,'Investor Exit List'!$C70,Investors!$L:$L,'Investor Exit List'!$B70)+SUMIFS(Investors!$M:$M,Investors!$I:$I,"&lt;="&amp;'NSST Print'!$B$3,Investors!$J:$J,"",Investors!$A:$A,'Investor Exit List'!$A70,Investors!$E:$E,'Investor Exit List'!$C70,Investors!$L:$L,'Investor Exit List'!$B70))</f>
        <v/>
      </c>
      <c r="G70" s="91" t="n">
        <v>44352</v>
      </c>
      <c r="H70" s="89" t="b">
        <v>1</v>
      </c>
      <c r="I70" s="89" t="b">
        <v>1</v>
      </c>
      <c r="J70" s="91" t="n">
        <v>44909</v>
      </c>
      <c r="K70" s="91">
        <f>IF(I70=TRUE,J70,"")</f>
        <v/>
      </c>
      <c r="L70" s="91">
        <f>G70+730</f>
        <v/>
      </c>
      <c r="M70" s="91" t="n">
        <v>45382</v>
      </c>
      <c r="N70" s="92">
        <f>IFERROR(IF(G70&lt;&gt;"",IF(I70=TRUE,0,IF(U70=TRUE,0,L70-M70)),0),0)</f>
        <v/>
      </c>
      <c r="O70" s="92">
        <f>IF(N70&gt;0,IF(N70&lt;=180,N70,0),0)</f>
        <v/>
      </c>
      <c r="P70" s="90">
        <f>IF(AND(N70&lt;90,N70&gt;0),Q70,0)</f>
        <v/>
      </c>
      <c r="Q70" s="90">
        <f>SUMIFS(Investors!$M:$M,Investors!$O:$O,FALSE,Investors!$P:$P,FALSE,Investors!$K:$K,"&gt;"&amp;'NSST Print'!$B$3,Investors!$I:$I,"&lt;="&amp;'NSST Print'!$B$3,Investors!$A:$A,'Investor Exit List'!$A70,Investors!$E:$E,'Investor Exit List'!$C70,Investors!$L:$L,'Investor Exit List'!$B70)-(SUMIFS(Investors!$M:$M,Investors!$I:$I,"&lt;="&amp;'NSST Print'!$B$3,Investors!$J:$J,"&gt;"&amp;'NSST Print'!$B$3,Investors!$A:$A,'Investor Exit List'!$A70,Investors!$E:$E,'Investor Exit List'!$C70,Investors!$L:$L,'Investor Exit List'!$B70)+SUMIFS(Investors!$M:$M,Investors!$I:$I,"&lt;="&amp;'NSST Print'!$B$3,Investors!$J:$J,"",Investors!$A:$A,'Investor Exit List'!$A70,Investors!$E:$E,'Investor Exit List'!$C70,Investors!$L:$L,'Investor Exit List'!$B70))+SUMIFS(Investors!$S:$S,Investors!$O:$O,FALSE,Investors!$P:$P,FALSE,Investors!$K:$K,"&gt;"&amp;'NSST Print'!$B$3,Investors!$I:$I,"&lt;="&amp;'NSST Print'!$B$3,Investors!$A:$A,'Investor Exit List'!$A70,Investors!$E:$E,'Investor Exit List'!$C70,Investors!$L:$L,'Investor Exit List'!$B70)-(SUMIFS(Investors!$S:$S,Investors!$I:$I,"&lt;="&amp;'NSST Print'!$B$3,Investors!$J:$J,"&gt;"&amp;'NSST Print'!$B$3,Investors!$A:$A,'Investor Exit List'!$A70,Investors!$E:$E,'Investor Exit List'!$C70,Investors!$L:$L,'Investor Exit List'!$B70)+SUMIFS(Investors!$S:$S,Investors!$I:$I,"&lt;="&amp;'NSST Print'!$B$3,Investors!$J:$J,"",Investors!$A:$A,'Investor Exit List'!$A70,Investors!$E:$E,'Investor Exit List'!$C70,Investors!$L:$L,'Investor Exit List'!$B70))</f>
        <v/>
      </c>
      <c r="R70" s="90">
        <f>IF(AND(H70=TRUE,I70=FALSE),Q70,0)</f>
        <v/>
      </c>
      <c r="S70" s="90">
        <f>SUMIFS(Investors!$M:$M,Investors!$O:$O,TRUE,Investors!$A:$A,'Investor Exit List'!$A70,Investors!$E:$E,'Investor Exit List'!$C70,Investors!$L:$L,'Investor Exit List'!$B70)+SUMIFS(Investors!$S:$S,Investors!$O:$O,TRUE,Investors!$A:$A,'Investor Exit List'!$A70,Investors!$E:$E,'Investor Exit List'!$C70,Investors!$L:$L,'Investor Exit List'!$B70)</f>
        <v/>
      </c>
      <c r="T70" s="91">
        <f>IF(U70=TRUE,$J70,"")</f>
        <v/>
      </c>
      <c r="U70" s="89" t="b">
        <v>0</v>
      </c>
      <c r="V70" s="90">
        <f>IF(AND(H70=TRUE,OR(K70="",K70&gt;M70)),S70,0)</f>
        <v/>
      </c>
      <c r="W70" s="89" t="n">
        <v>0</v>
      </c>
      <c r="X70" s="89" t="b">
        <v>0</v>
      </c>
    </row>
    <row r="71" hidden="1">
      <c r="A71" s="89" t="inlineStr">
        <is>
          <t>ZLUN01</t>
        </is>
      </c>
      <c r="B71" s="89" t="n">
        <v>3</v>
      </c>
      <c r="C71" s="89" t="inlineStr">
        <is>
          <t>HFB101</t>
        </is>
      </c>
      <c r="D71" s="89" t="inlineStr">
        <is>
          <t>B</t>
        </is>
      </c>
      <c r="E71" s="89" t="inlineStr">
        <is>
          <t>Lunau Marc</t>
        </is>
      </c>
      <c r="F71" s="90">
        <f>SUMIFS(Investors!$M:$M,Investors!$O:$O,FALSE,Investors!$P:$P,FALSE,Investors!$K:$K,"&gt;"&amp;'NSST Print'!$B$3,Investors!$I:$I,"&lt;="&amp;'NSST Print'!$B$3,Investors!$A:$A,'Investor Exit List'!$A71,Investors!$E:$E,'Investor Exit List'!$C71,Investors!$L:$L,'Investor Exit List'!$B71)-(SUMIFS(Investors!$M:$M,Investors!$I:$I,"&lt;="&amp;'NSST Print'!$B$3,Investors!$J:$J,"&gt;"&amp;'NSST Print'!$B$3,Investors!$A:$A,'Investor Exit List'!$A71,Investors!$E:$E,'Investor Exit List'!$C71,Investors!$L:$L,'Investor Exit List'!$B71)+SUMIFS(Investors!$M:$M,Investors!$I:$I,"&lt;="&amp;'NSST Print'!$B$3,Investors!$J:$J,"",Investors!$A:$A,'Investor Exit List'!$A71,Investors!$E:$E,'Investor Exit List'!$C71,Investors!$L:$L,'Investor Exit List'!$B71))</f>
        <v/>
      </c>
      <c r="G71" s="91" t="n">
        <v>44316</v>
      </c>
      <c r="H71" s="89" t="b">
        <v>1</v>
      </c>
      <c r="I71" s="89" t="b">
        <v>1</v>
      </c>
      <c r="J71" s="91" t="n">
        <v>44909</v>
      </c>
      <c r="K71" s="91">
        <f>IF(I71=TRUE,J71,"")</f>
        <v/>
      </c>
      <c r="L71" s="91">
        <f>G71+730</f>
        <v/>
      </c>
      <c r="M71" s="91" t="n">
        <v>45382</v>
      </c>
      <c r="N71" s="92">
        <f>IFERROR(IF(G71&lt;&gt;"",IF(I71=TRUE,0,IF(U71=TRUE,0,L71-M71)),0),0)</f>
        <v/>
      </c>
      <c r="O71" s="92">
        <f>IF(N71&gt;0,IF(N71&lt;=180,N71,0),0)</f>
        <v/>
      </c>
      <c r="P71" s="90">
        <f>IF(AND(N71&lt;90,N71&gt;0),Q71,0)</f>
        <v/>
      </c>
      <c r="Q71" s="90">
        <f>SUMIFS(Investors!$M:$M,Investors!$O:$O,FALSE,Investors!$P:$P,FALSE,Investors!$K:$K,"&gt;"&amp;'NSST Print'!$B$3,Investors!$I:$I,"&lt;="&amp;'NSST Print'!$B$3,Investors!$A:$A,'Investor Exit List'!$A71,Investors!$E:$E,'Investor Exit List'!$C71,Investors!$L:$L,'Investor Exit List'!$B71)-(SUMIFS(Investors!$M:$M,Investors!$I:$I,"&lt;="&amp;'NSST Print'!$B$3,Investors!$J:$J,"&gt;"&amp;'NSST Print'!$B$3,Investors!$A:$A,'Investor Exit List'!$A71,Investors!$E:$E,'Investor Exit List'!$C71,Investors!$L:$L,'Investor Exit List'!$B71)+SUMIFS(Investors!$M:$M,Investors!$I:$I,"&lt;="&amp;'NSST Print'!$B$3,Investors!$J:$J,"",Investors!$A:$A,'Investor Exit List'!$A71,Investors!$E:$E,'Investor Exit List'!$C71,Investors!$L:$L,'Investor Exit List'!$B71))+SUMIFS(Investors!$S:$S,Investors!$O:$O,FALSE,Investors!$P:$P,FALSE,Investors!$K:$K,"&gt;"&amp;'NSST Print'!$B$3,Investors!$I:$I,"&lt;="&amp;'NSST Print'!$B$3,Investors!$A:$A,'Investor Exit List'!$A71,Investors!$E:$E,'Investor Exit List'!$C71,Investors!$L:$L,'Investor Exit List'!$B71)-(SUMIFS(Investors!$S:$S,Investors!$I:$I,"&lt;="&amp;'NSST Print'!$B$3,Investors!$J:$J,"&gt;"&amp;'NSST Print'!$B$3,Investors!$A:$A,'Investor Exit List'!$A71,Investors!$E:$E,'Investor Exit List'!$C71,Investors!$L:$L,'Investor Exit List'!$B71)+SUMIFS(Investors!$S:$S,Investors!$I:$I,"&lt;="&amp;'NSST Print'!$B$3,Investors!$J:$J,"",Investors!$A:$A,'Investor Exit List'!$A71,Investors!$E:$E,'Investor Exit List'!$C71,Investors!$L:$L,'Investor Exit List'!$B71))</f>
        <v/>
      </c>
      <c r="R71" s="90">
        <f>IF(AND(H71=TRUE,I71=FALSE),Q71,0)</f>
        <v/>
      </c>
      <c r="S71" s="90">
        <f>SUMIFS(Investors!$M:$M,Investors!$O:$O,TRUE,Investors!$A:$A,'Investor Exit List'!$A71,Investors!$E:$E,'Investor Exit List'!$C71,Investors!$L:$L,'Investor Exit List'!$B71)+SUMIFS(Investors!$S:$S,Investors!$O:$O,TRUE,Investors!$A:$A,'Investor Exit List'!$A71,Investors!$E:$E,'Investor Exit List'!$C71,Investors!$L:$L,'Investor Exit List'!$B71)</f>
        <v/>
      </c>
      <c r="T71" s="91">
        <f>IF(U71=TRUE,$J71,"")</f>
        <v/>
      </c>
      <c r="U71" s="89" t="b">
        <v>0</v>
      </c>
      <c r="V71" s="90">
        <f>IF(AND(H71=TRUE,OR(K71="",K71&gt;M71)),S71,0)</f>
        <v/>
      </c>
      <c r="W71" s="89" t="n">
        <v>0</v>
      </c>
      <c r="X71" s="89" t="b">
        <v>0</v>
      </c>
    </row>
    <row r="72" hidden="1">
      <c r="A72" s="89" t="inlineStr">
        <is>
          <t>ZMEH01</t>
        </is>
      </c>
      <c r="B72" s="89" t="n">
        <v>1</v>
      </c>
      <c r="C72" s="89" t="inlineStr">
        <is>
          <t>HFB101</t>
        </is>
      </c>
      <c r="D72" s="89" t="inlineStr">
        <is>
          <t>B</t>
        </is>
      </c>
      <c r="E72" s="89" t="inlineStr">
        <is>
          <t>Mehl Ralph Graham</t>
        </is>
      </c>
      <c r="F72" s="90">
        <f>SUMIFS(Investors!$M:$M,Investors!$O:$O,FALSE,Investors!$P:$P,FALSE,Investors!$K:$K,"&gt;"&amp;'NSST Print'!$B$3,Investors!$I:$I,"&lt;="&amp;'NSST Print'!$B$3,Investors!$A:$A,'Investor Exit List'!$A72,Investors!$E:$E,'Investor Exit List'!$C72,Investors!$L:$L,'Investor Exit List'!$B72)-(SUMIFS(Investors!$M:$M,Investors!$I:$I,"&lt;="&amp;'NSST Print'!$B$3,Investors!$J:$J,"&gt;"&amp;'NSST Print'!$B$3,Investors!$A:$A,'Investor Exit List'!$A72,Investors!$E:$E,'Investor Exit List'!$C72,Investors!$L:$L,'Investor Exit List'!$B72)+SUMIFS(Investors!$M:$M,Investors!$I:$I,"&lt;="&amp;'NSST Print'!$B$3,Investors!$J:$J,"",Investors!$A:$A,'Investor Exit List'!$A72,Investors!$E:$E,'Investor Exit List'!$C72,Investors!$L:$L,'Investor Exit List'!$B72))</f>
        <v/>
      </c>
      <c r="G72" s="91" t="n">
        <v>44532</v>
      </c>
      <c r="H72" s="89" t="b">
        <v>1</v>
      </c>
      <c r="I72" s="89" t="b">
        <v>1</v>
      </c>
      <c r="J72" s="91" t="n">
        <v>44909</v>
      </c>
      <c r="K72" s="91">
        <f>IF(I72=TRUE,J72,"")</f>
        <v/>
      </c>
      <c r="L72" s="91">
        <f>G72+730</f>
        <v/>
      </c>
      <c r="M72" s="91" t="n">
        <v>45382</v>
      </c>
      <c r="N72" s="92">
        <f>IFERROR(IF(G72&lt;&gt;"",IF(I72=TRUE,0,IF(U72=TRUE,0,L72-M72)),0),0)</f>
        <v/>
      </c>
      <c r="O72" s="92">
        <f>IF(N72&gt;0,IF(N72&lt;=180,N72,0),0)</f>
        <v/>
      </c>
      <c r="P72" s="90">
        <f>IF(AND(N72&lt;90,N72&gt;0),Q72,0)</f>
        <v/>
      </c>
      <c r="Q72" s="90">
        <f>SUMIFS(Investors!$M:$M,Investors!$O:$O,FALSE,Investors!$P:$P,FALSE,Investors!$K:$K,"&gt;"&amp;'NSST Print'!$B$3,Investors!$I:$I,"&lt;="&amp;'NSST Print'!$B$3,Investors!$A:$A,'Investor Exit List'!$A72,Investors!$E:$E,'Investor Exit List'!$C72,Investors!$L:$L,'Investor Exit List'!$B72)-(SUMIFS(Investors!$M:$M,Investors!$I:$I,"&lt;="&amp;'NSST Print'!$B$3,Investors!$J:$J,"&gt;"&amp;'NSST Print'!$B$3,Investors!$A:$A,'Investor Exit List'!$A72,Investors!$E:$E,'Investor Exit List'!$C72,Investors!$L:$L,'Investor Exit List'!$B72)+SUMIFS(Investors!$M:$M,Investors!$I:$I,"&lt;="&amp;'NSST Print'!$B$3,Investors!$J:$J,"",Investors!$A:$A,'Investor Exit List'!$A72,Investors!$E:$E,'Investor Exit List'!$C72,Investors!$L:$L,'Investor Exit List'!$B72))+SUMIFS(Investors!$S:$S,Investors!$O:$O,FALSE,Investors!$P:$P,FALSE,Investors!$K:$K,"&gt;"&amp;'NSST Print'!$B$3,Investors!$I:$I,"&lt;="&amp;'NSST Print'!$B$3,Investors!$A:$A,'Investor Exit List'!$A72,Investors!$E:$E,'Investor Exit List'!$C72,Investors!$L:$L,'Investor Exit List'!$B72)-(SUMIFS(Investors!$S:$S,Investors!$I:$I,"&lt;="&amp;'NSST Print'!$B$3,Investors!$J:$J,"&gt;"&amp;'NSST Print'!$B$3,Investors!$A:$A,'Investor Exit List'!$A72,Investors!$E:$E,'Investor Exit List'!$C72,Investors!$L:$L,'Investor Exit List'!$B72)+SUMIFS(Investors!$S:$S,Investors!$I:$I,"&lt;="&amp;'NSST Print'!$B$3,Investors!$J:$J,"",Investors!$A:$A,'Investor Exit List'!$A72,Investors!$E:$E,'Investor Exit List'!$C72,Investors!$L:$L,'Investor Exit List'!$B72))</f>
        <v/>
      </c>
      <c r="R72" s="90">
        <f>IF(AND(H72=TRUE,I72=FALSE),Q72,0)</f>
        <v/>
      </c>
      <c r="S72" s="90">
        <f>SUMIFS(Investors!$M:$M,Investors!$O:$O,TRUE,Investors!$A:$A,'Investor Exit List'!$A72,Investors!$E:$E,'Investor Exit List'!$C72,Investors!$L:$L,'Investor Exit List'!$B72)+SUMIFS(Investors!$S:$S,Investors!$O:$O,TRUE,Investors!$A:$A,'Investor Exit List'!$A72,Investors!$E:$E,'Investor Exit List'!$C72,Investors!$L:$L,'Investor Exit List'!$B72)</f>
        <v/>
      </c>
      <c r="T72" s="91">
        <f>IF(U72=TRUE,$J72,"")</f>
        <v/>
      </c>
      <c r="U72" s="89" t="b">
        <v>0</v>
      </c>
      <c r="V72" s="90">
        <f>IF(AND(H72=TRUE,OR(K72="",K72&gt;M72)),S72,0)</f>
        <v/>
      </c>
      <c r="W72" s="89" t="n">
        <v>0</v>
      </c>
      <c r="X72" s="89" t="b">
        <v>0</v>
      </c>
    </row>
    <row r="73" hidden="1">
      <c r="A73" s="89" t="inlineStr">
        <is>
          <t>ZTHO01</t>
        </is>
      </c>
      <c r="B73" s="89" t="n">
        <v>1</v>
      </c>
      <c r="C73" s="89" t="inlineStr">
        <is>
          <t>HFB101</t>
        </is>
      </c>
      <c r="D73" s="89" t="inlineStr">
        <is>
          <t>B</t>
        </is>
      </c>
      <c r="E73" s="89" t="inlineStr">
        <is>
          <t>Hoets Tamzin</t>
        </is>
      </c>
      <c r="F73" s="90">
        <f>SUMIFS(Investors!$M:$M,Investors!$O:$O,FALSE,Investors!$P:$P,FALSE,Investors!$K:$K,"&gt;"&amp;'NSST Print'!$B$3,Investors!$I:$I,"&lt;="&amp;'NSST Print'!$B$3,Investors!$A:$A,'Investor Exit List'!$A73,Investors!$E:$E,'Investor Exit List'!$C73,Investors!$L:$L,'Investor Exit List'!$B73)-(SUMIFS(Investors!$M:$M,Investors!$I:$I,"&lt;="&amp;'NSST Print'!$B$3,Investors!$J:$J,"&gt;"&amp;'NSST Print'!$B$3,Investors!$A:$A,'Investor Exit List'!$A73,Investors!$E:$E,'Investor Exit List'!$C73,Investors!$L:$L,'Investor Exit List'!$B73)+SUMIFS(Investors!$M:$M,Investors!$I:$I,"&lt;="&amp;'NSST Print'!$B$3,Investors!$J:$J,"",Investors!$A:$A,'Investor Exit List'!$A73,Investors!$E:$E,'Investor Exit List'!$C73,Investors!$L:$L,'Investor Exit List'!$B73))</f>
        <v/>
      </c>
      <c r="G73" s="91" t="n">
        <v>44352</v>
      </c>
      <c r="H73" s="89" t="b">
        <v>1</v>
      </c>
      <c r="I73" s="89" t="b">
        <v>1</v>
      </c>
      <c r="J73" s="91" t="n">
        <v>44909</v>
      </c>
      <c r="K73" s="91">
        <f>IF(I73=TRUE,J73,"")</f>
        <v/>
      </c>
      <c r="L73" s="91">
        <f>G73+730</f>
        <v/>
      </c>
      <c r="M73" s="91" t="n">
        <v>45382</v>
      </c>
      <c r="N73" s="92">
        <f>IFERROR(IF(G73&lt;&gt;"",IF(I73=TRUE,0,IF(U73=TRUE,0,L73-M73)),0),0)</f>
        <v/>
      </c>
      <c r="O73" s="92">
        <f>IF(N73&gt;0,IF(N73&lt;=180,N73,0),0)</f>
        <v/>
      </c>
      <c r="P73" s="90">
        <f>IF(AND(N73&lt;90,N73&gt;0),Q73,0)</f>
        <v/>
      </c>
      <c r="Q73" s="90">
        <f>SUMIFS(Investors!$M:$M,Investors!$O:$O,FALSE,Investors!$P:$P,FALSE,Investors!$K:$K,"&gt;"&amp;'NSST Print'!$B$3,Investors!$I:$I,"&lt;="&amp;'NSST Print'!$B$3,Investors!$A:$A,'Investor Exit List'!$A73,Investors!$E:$E,'Investor Exit List'!$C73,Investors!$L:$L,'Investor Exit List'!$B73)-(SUMIFS(Investors!$M:$M,Investors!$I:$I,"&lt;="&amp;'NSST Print'!$B$3,Investors!$J:$J,"&gt;"&amp;'NSST Print'!$B$3,Investors!$A:$A,'Investor Exit List'!$A73,Investors!$E:$E,'Investor Exit List'!$C73,Investors!$L:$L,'Investor Exit List'!$B73)+SUMIFS(Investors!$M:$M,Investors!$I:$I,"&lt;="&amp;'NSST Print'!$B$3,Investors!$J:$J,"",Investors!$A:$A,'Investor Exit List'!$A73,Investors!$E:$E,'Investor Exit List'!$C73,Investors!$L:$L,'Investor Exit List'!$B73))+SUMIFS(Investors!$S:$S,Investors!$O:$O,FALSE,Investors!$P:$P,FALSE,Investors!$K:$K,"&gt;"&amp;'NSST Print'!$B$3,Investors!$I:$I,"&lt;="&amp;'NSST Print'!$B$3,Investors!$A:$A,'Investor Exit List'!$A73,Investors!$E:$E,'Investor Exit List'!$C73,Investors!$L:$L,'Investor Exit List'!$B73)-(SUMIFS(Investors!$S:$S,Investors!$I:$I,"&lt;="&amp;'NSST Print'!$B$3,Investors!$J:$J,"&gt;"&amp;'NSST Print'!$B$3,Investors!$A:$A,'Investor Exit List'!$A73,Investors!$E:$E,'Investor Exit List'!$C73,Investors!$L:$L,'Investor Exit List'!$B73)+SUMIFS(Investors!$S:$S,Investors!$I:$I,"&lt;="&amp;'NSST Print'!$B$3,Investors!$J:$J,"",Investors!$A:$A,'Investor Exit List'!$A73,Investors!$E:$E,'Investor Exit List'!$C73,Investors!$L:$L,'Investor Exit List'!$B73))</f>
        <v/>
      </c>
      <c r="R73" s="90">
        <f>IF(AND(H73=TRUE,I73=FALSE),Q73,0)</f>
        <v/>
      </c>
      <c r="S73" s="90">
        <f>SUMIFS(Investors!$M:$M,Investors!$O:$O,TRUE,Investors!$A:$A,'Investor Exit List'!$A73,Investors!$E:$E,'Investor Exit List'!$C73,Investors!$L:$L,'Investor Exit List'!$B73)+SUMIFS(Investors!$S:$S,Investors!$O:$O,TRUE,Investors!$A:$A,'Investor Exit List'!$A73,Investors!$E:$E,'Investor Exit List'!$C73,Investors!$L:$L,'Investor Exit List'!$B73)</f>
        <v/>
      </c>
      <c r="T73" s="91">
        <f>IF(U73=TRUE,$J73,"")</f>
        <v/>
      </c>
      <c r="U73" s="89" t="b">
        <v>0</v>
      </c>
      <c r="V73" s="90">
        <f>IF(AND(H73=TRUE,OR(K73="",K73&gt;M73)),S73,0)</f>
        <v/>
      </c>
      <c r="W73" s="89" t="n">
        <v>0</v>
      </c>
      <c r="X73" s="89" t="b">
        <v>0</v>
      </c>
    </row>
    <row r="74" hidden="1">
      <c r="A74" s="89" t="inlineStr">
        <is>
          <t>ZCRO01</t>
        </is>
      </c>
      <c r="B74" s="89" t="n">
        <v>2</v>
      </c>
      <c r="C74" s="89" t="inlineStr">
        <is>
          <t>HFB102</t>
        </is>
      </c>
      <c r="D74" s="89" t="inlineStr">
        <is>
          <t>B</t>
        </is>
      </c>
      <c r="E74" s="89" t="inlineStr">
        <is>
          <t>Lunau Marc</t>
        </is>
      </c>
      <c r="F74" s="90">
        <f>SUMIFS(Investors!$M:$M,Investors!$O:$O,FALSE,Investors!$P:$P,FALSE,Investors!$K:$K,"&gt;"&amp;'NSST Print'!$B$3,Investors!$I:$I,"&lt;="&amp;'NSST Print'!$B$3,Investors!$A:$A,'Investor Exit List'!$A74,Investors!$E:$E,'Investor Exit List'!$C74,Investors!$L:$L,'Investor Exit List'!$B74)-(SUMIFS(Investors!$M:$M,Investors!$I:$I,"&lt;="&amp;'NSST Print'!$B$3,Investors!$J:$J,"&gt;"&amp;'NSST Print'!$B$3,Investors!$A:$A,'Investor Exit List'!$A74,Investors!$E:$E,'Investor Exit List'!$C74,Investors!$L:$L,'Investor Exit List'!$B74)+SUMIFS(Investors!$M:$M,Investors!$I:$I,"&lt;="&amp;'NSST Print'!$B$3,Investors!$J:$J,"",Investors!$A:$A,'Investor Exit List'!$A74,Investors!$E:$E,'Investor Exit List'!$C74,Investors!$L:$L,'Investor Exit List'!$B74))</f>
        <v/>
      </c>
      <c r="G74" s="91" t="n">
        <v>44352</v>
      </c>
      <c r="H74" s="89" t="b">
        <v>1</v>
      </c>
      <c r="I74" s="89" t="b">
        <v>1</v>
      </c>
      <c r="J74" s="91" t="n">
        <v>44896</v>
      </c>
      <c r="K74" s="91">
        <f>IF(I74=TRUE,J74,"")</f>
        <v/>
      </c>
      <c r="L74" s="91">
        <f>G74+730</f>
        <v/>
      </c>
      <c r="M74" s="91" t="n">
        <v>45382</v>
      </c>
      <c r="N74" s="92">
        <f>IFERROR(IF(G74&lt;&gt;"",IF(I74=TRUE,0,IF(U74=TRUE,0,L74-M74)),0),0)</f>
        <v/>
      </c>
      <c r="O74" s="92">
        <f>IF(N74&gt;0,IF(N74&lt;=180,N74,0),0)</f>
        <v/>
      </c>
      <c r="P74" s="90">
        <f>IF(AND(N74&lt;90,N74&gt;0),Q74,0)</f>
        <v/>
      </c>
      <c r="Q74" s="90">
        <f>SUMIFS(Investors!$M:$M,Investors!$O:$O,FALSE,Investors!$P:$P,FALSE,Investors!$K:$K,"&gt;"&amp;'NSST Print'!$B$3,Investors!$I:$I,"&lt;="&amp;'NSST Print'!$B$3,Investors!$A:$A,'Investor Exit List'!$A74,Investors!$E:$E,'Investor Exit List'!$C74,Investors!$L:$L,'Investor Exit List'!$B74)-(SUMIFS(Investors!$M:$M,Investors!$I:$I,"&lt;="&amp;'NSST Print'!$B$3,Investors!$J:$J,"&gt;"&amp;'NSST Print'!$B$3,Investors!$A:$A,'Investor Exit List'!$A74,Investors!$E:$E,'Investor Exit List'!$C74,Investors!$L:$L,'Investor Exit List'!$B74)+SUMIFS(Investors!$M:$M,Investors!$I:$I,"&lt;="&amp;'NSST Print'!$B$3,Investors!$J:$J,"",Investors!$A:$A,'Investor Exit List'!$A74,Investors!$E:$E,'Investor Exit List'!$C74,Investors!$L:$L,'Investor Exit List'!$B74))+SUMIFS(Investors!$S:$S,Investors!$O:$O,FALSE,Investors!$P:$P,FALSE,Investors!$K:$K,"&gt;"&amp;'NSST Print'!$B$3,Investors!$I:$I,"&lt;="&amp;'NSST Print'!$B$3,Investors!$A:$A,'Investor Exit List'!$A74,Investors!$E:$E,'Investor Exit List'!$C74,Investors!$L:$L,'Investor Exit List'!$B74)-(SUMIFS(Investors!$S:$S,Investors!$I:$I,"&lt;="&amp;'NSST Print'!$B$3,Investors!$J:$J,"&gt;"&amp;'NSST Print'!$B$3,Investors!$A:$A,'Investor Exit List'!$A74,Investors!$E:$E,'Investor Exit List'!$C74,Investors!$L:$L,'Investor Exit List'!$B74)+SUMIFS(Investors!$S:$S,Investors!$I:$I,"&lt;="&amp;'NSST Print'!$B$3,Investors!$J:$J,"",Investors!$A:$A,'Investor Exit List'!$A74,Investors!$E:$E,'Investor Exit List'!$C74,Investors!$L:$L,'Investor Exit List'!$B74))</f>
        <v/>
      </c>
      <c r="R74" s="90">
        <f>IF(AND(H74=TRUE,I74=FALSE),Q74,0)</f>
        <v/>
      </c>
      <c r="S74" s="90">
        <f>SUMIFS(Investors!$M:$M,Investors!$O:$O,TRUE,Investors!$A:$A,'Investor Exit List'!$A74,Investors!$E:$E,'Investor Exit List'!$C74,Investors!$L:$L,'Investor Exit List'!$B74)+SUMIFS(Investors!$S:$S,Investors!$O:$O,TRUE,Investors!$A:$A,'Investor Exit List'!$A74,Investors!$E:$E,'Investor Exit List'!$C74,Investors!$L:$L,'Investor Exit List'!$B74)</f>
        <v/>
      </c>
      <c r="T74" s="91">
        <f>IF(U74=TRUE,$J74,"")</f>
        <v/>
      </c>
      <c r="U74" s="89" t="b">
        <v>0</v>
      </c>
      <c r="V74" s="90">
        <f>IF(AND(H74=TRUE,OR(K74="",K74&gt;M74)),S74,0)</f>
        <v/>
      </c>
      <c r="W74" s="89" t="n">
        <v>0</v>
      </c>
      <c r="X74" s="89" t="b">
        <v>0</v>
      </c>
    </row>
    <row r="75" hidden="1">
      <c r="A75" s="89" t="inlineStr">
        <is>
          <t>ZGOV01</t>
        </is>
      </c>
      <c r="B75" s="89" t="n">
        <v>1</v>
      </c>
      <c r="C75" s="89" t="inlineStr">
        <is>
          <t>HFB102</t>
        </is>
      </c>
      <c r="D75" s="89" t="inlineStr">
        <is>
          <t>B</t>
        </is>
      </c>
      <c r="E75" s="89" t="inlineStr">
        <is>
          <t>Govender Preshnee</t>
        </is>
      </c>
      <c r="F75" s="90">
        <f>SUMIFS(Investors!$M:$M,Investors!$O:$O,FALSE,Investors!$P:$P,FALSE,Investors!$K:$K,"&gt;"&amp;'NSST Print'!$B$3,Investors!$I:$I,"&lt;="&amp;'NSST Print'!$B$3,Investors!$A:$A,'Investor Exit List'!$A75,Investors!$E:$E,'Investor Exit List'!$C75,Investors!$L:$L,'Investor Exit List'!$B75)-(SUMIFS(Investors!$M:$M,Investors!$I:$I,"&lt;="&amp;'NSST Print'!$B$3,Investors!$J:$J,"&gt;"&amp;'NSST Print'!$B$3,Investors!$A:$A,'Investor Exit List'!$A75,Investors!$E:$E,'Investor Exit List'!$C75,Investors!$L:$L,'Investor Exit List'!$B75)+SUMIFS(Investors!$M:$M,Investors!$I:$I,"&lt;="&amp;'NSST Print'!$B$3,Investors!$J:$J,"",Investors!$A:$A,'Investor Exit List'!$A75,Investors!$E:$E,'Investor Exit List'!$C75,Investors!$L:$L,'Investor Exit List'!$B75))</f>
        <v/>
      </c>
      <c r="G75" s="91" t="n">
        <v>44352</v>
      </c>
      <c r="H75" s="89" t="b">
        <v>1</v>
      </c>
      <c r="I75" s="89" t="b">
        <v>1</v>
      </c>
      <c r="J75" s="91" t="n">
        <v>44896</v>
      </c>
      <c r="K75" s="91">
        <f>IF(I75=TRUE,J75,"")</f>
        <v/>
      </c>
      <c r="L75" s="91">
        <f>G75+730</f>
        <v/>
      </c>
      <c r="M75" s="91" t="n">
        <v>45382</v>
      </c>
      <c r="N75" s="92">
        <f>IFERROR(IF(G75&lt;&gt;"",IF(I75=TRUE,0,IF(U75=TRUE,0,L75-M75)),0),0)</f>
        <v/>
      </c>
      <c r="O75" s="92">
        <f>IF(N75&gt;0,IF(N75&lt;=180,N75,0),0)</f>
        <v/>
      </c>
      <c r="P75" s="90">
        <f>IF(AND(N75&lt;90,N75&gt;0),Q75,0)</f>
        <v/>
      </c>
      <c r="Q75" s="90">
        <f>SUMIFS(Investors!$M:$M,Investors!$O:$O,FALSE,Investors!$P:$P,FALSE,Investors!$K:$K,"&gt;"&amp;'NSST Print'!$B$3,Investors!$I:$I,"&lt;="&amp;'NSST Print'!$B$3,Investors!$A:$A,'Investor Exit List'!$A75,Investors!$E:$E,'Investor Exit List'!$C75,Investors!$L:$L,'Investor Exit List'!$B75)-(SUMIFS(Investors!$M:$M,Investors!$I:$I,"&lt;="&amp;'NSST Print'!$B$3,Investors!$J:$J,"&gt;"&amp;'NSST Print'!$B$3,Investors!$A:$A,'Investor Exit List'!$A75,Investors!$E:$E,'Investor Exit List'!$C75,Investors!$L:$L,'Investor Exit List'!$B75)+SUMIFS(Investors!$M:$M,Investors!$I:$I,"&lt;="&amp;'NSST Print'!$B$3,Investors!$J:$J,"",Investors!$A:$A,'Investor Exit List'!$A75,Investors!$E:$E,'Investor Exit List'!$C75,Investors!$L:$L,'Investor Exit List'!$B75))+SUMIFS(Investors!$S:$S,Investors!$O:$O,FALSE,Investors!$P:$P,FALSE,Investors!$K:$K,"&gt;"&amp;'NSST Print'!$B$3,Investors!$I:$I,"&lt;="&amp;'NSST Print'!$B$3,Investors!$A:$A,'Investor Exit List'!$A75,Investors!$E:$E,'Investor Exit List'!$C75,Investors!$L:$L,'Investor Exit List'!$B75)-(SUMIFS(Investors!$S:$S,Investors!$I:$I,"&lt;="&amp;'NSST Print'!$B$3,Investors!$J:$J,"&gt;"&amp;'NSST Print'!$B$3,Investors!$A:$A,'Investor Exit List'!$A75,Investors!$E:$E,'Investor Exit List'!$C75,Investors!$L:$L,'Investor Exit List'!$B75)+SUMIFS(Investors!$S:$S,Investors!$I:$I,"&lt;="&amp;'NSST Print'!$B$3,Investors!$J:$J,"",Investors!$A:$A,'Investor Exit List'!$A75,Investors!$E:$E,'Investor Exit List'!$C75,Investors!$L:$L,'Investor Exit List'!$B75))</f>
        <v/>
      </c>
      <c r="R75" s="90">
        <f>IF(AND(H75=TRUE,I75=FALSE),Q75,0)</f>
        <v/>
      </c>
      <c r="S75" s="90">
        <f>SUMIFS(Investors!$M:$M,Investors!$O:$O,TRUE,Investors!$A:$A,'Investor Exit List'!$A75,Investors!$E:$E,'Investor Exit List'!$C75,Investors!$L:$L,'Investor Exit List'!$B75)+SUMIFS(Investors!$S:$S,Investors!$O:$O,TRUE,Investors!$A:$A,'Investor Exit List'!$A75,Investors!$E:$E,'Investor Exit List'!$C75,Investors!$L:$L,'Investor Exit List'!$B75)</f>
        <v/>
      </c>
      <c r="T75" s="91">
        <f>IF(U75=TRUE,$J75,"")</f>
        <v/>
      </c>
      <c r="U75" s="89" t="b">
        <v>0</v>
      </c>
      <c r="V75" s="90">
        <f>IF(AND(H75=TRUE,OR(K75="",K75&gt;M75)),S75,0)</f>
        <v/>
      </c>
      <c r="W75" s="89" t="n">
        <v>0</v>
      </c>
      <c r="X75" s="89" t="b">
        <v>0</v>
      </c>
    </row>
    <row r="76" hidden="1">
      <c r="A76" s="89" t="inlineStr">
        <is>
          <t>ZINT01</t>
        </is>
      </c>
      <c r="B76" s="89" t="n">
        <v>7</v>
      </c>
      <c r="C76" s="89" t="inlineStr">
        <is>
          <t>HFB102</t>
        </is>
      </c>
      <c r="D76" s="89" t="inlineStr">
        <is>
          <t>B</t>
        </is>
      </c>
      <c r="E76" s="89" t="inlineStr">
        <is>
          <t>Lunau Marc</t>
        </is>
      </c>
      <c r="F76" s="90">
        <f>SUMIFS(Investors!$M:$M,Investors!$O:$O,FALSE,Investors!$P:$P,FALSE,Investors!$K:$K,"&gt;"&amp;'NSST Print'!$B$3,Investors!$I:$I,"&lt;="&amp;'NSST Print'!$B$3,Investors!$A:$A,'Investor Exit List'!$A76,Investors!$E:$E,'Investor Exit List'!$C76,Investors!$L:$L,'Investor Exit List'!$B76)-(SUMIFS(Investors!$M:$M,Investors!$I:$I,"&lt;="&amp;'NSST Print'!$B$3,Investors!$J:$J,"&gt;"&amp;'NSST Print'!$B$3,Investors!$A:$A,'Investor Exit List'!$A76,Investors!$E:$E,'Investor Exit List'!$C76,Investors!$L:$L,'Investor Exit List'!$B76)+SUMIFS(Investors!$M:$M,Investors!$I:$I,"&lt;="&amp;'NSST Print'!$B$3,Investors!$J:$J,"",Investors!$A:$A,'Investor Exit List'!$A76,Investors!$E:$E,'Investor Exit List'!$C76,Investors!$L:$L,'Investor Exit List'!$B76))</f>
        <v/>
      </c>
      <c r="G76" s="91" t="n">
        <v>44352</v>
      </c>
      <c r="H76" s="89" t="b">
        <v>1</v>
      </c>
      <c r="I76" s="89" t="b">
        <v>1</v>
      </c>
      <c r="J76" s="91" t="n">
        <v>44896</v>
      </c>
      <c r="K76" s="91">
        <f>IF(I76=TRUE,J76,"")</f>
        <v/>
      </c>
      <c r="L76" s="91">
        <f>G76+730</f>
        <v/>
      </c>
      <c r="M76" s="91" t="n">
        <v>45382</v>
      </c>
      <c r="N76" s="92">
        <f>IFERROR(IF(G76&lt;&gt;"",IF(I76=TRUE,0,IF(U76=TRUE,0,L76-M76)),0),0)</f>
        <v/>
      </c>
      <c r="O76" s="92">
        <f>IF(N76&gt;0,IF(N76&lt;=180,N76,0),0)</f>
        <v/>
      </c>
      <c r="P76" s="90">
        <f>IF(AND(N76&lt;90,N76&gt;0),Q76,0)</f>
        <v/>
      </c>
      <c r="Q76" s="90">
        <f>SUMIFS(Investors!$M:$M,Investors!$O:$O,FALSE,Investors!$P:$P,FALSE,Investors!$K:$K,"&gt;"&amp;'NSST Print'!$B$3,Investors!$I:$I,"&lt;="&amp;'NSST Print'!$B$3,Investors!$A:$A,'Investor Exit List'!$A76,Investors!$E:$E,'Investor Exit List'!$C76,Investors!$L:$L,'Investor Exit List'!$B76)-(SUMIFS(Investors!$M:$M,Investors!$I:$I,"&lt;="&amp;'NSST Print'!$B$3,Investors!$J:$J,"&gt;"&amp;'NSST Print'!$B$3,Investors!$A:$A,'Investor Exit List'!$A76,Investors!$E:$E,'Investor Exit List'!$C76,Investors!$L:$L,'Investor Exit List'!$B76)+SUMIFS(Investors!$M:$M,Investors!$I:$I,"&lt;="&amp;'NSST Print'!$B$3,Investors!$J:$J,"",Investors!$A:$A,'Investor Exit List'!$A76,Investors!$E:$E,'Investor Exit List'!$C76,Investors!$L:$L,'Investor Exit List'!$B76))+SUMIFS(Investors!$S:$S,Investors!$O:$O,FALSE,Investors!$P:$P,FALSE,Investors!$K:$K,"&gt;"&amp;'NSST Print'!$B$3,Investors!$I:$I,"&lt;="&amp;'NSST Print'!$B$3,Investors!$A:$A,'Investor Exit List'!$A76,Investors!$E:$E,'Investor Exit List'!$C76,Investors!$L:$L,'Investor Exit List'!$B76)-(SUMIFS(Investors!$S:$S,Investors!$I:$I,"&lt;="&amp;'NSST Print'!$B$3,Investors!$J:$J,"&gt;"&amp;'NSST Print'!$B$3,Investors!$A:$A,'Investor Exit List'!$A76,Investors!$E:$E,'Investor Exit List'!$C76,Investors!$L:$L,'Investor Exit List'!$B76)+SUMIFS(Investors!$S:$S,Investors!$I:$I,"&lt;="&amp;'NSST Print'!$B$3,Investors!$J:$J,"",Investors!$A:$A,'Investor Exit List'!$A76,Investors!$E:$E,'Investor Exit List'!$C76,Investors!$L:$L,'Investor Exit List'!$B76))</f>
        <v/>
      </c>
      <c r="R76" s="90">
        <f>IF(AND(H76=TRUE,I76=FALSE),Q76,0)</f>
        <v/>
      </c>
      <c r="S76" s="90">
        <f>SUMIFS(Investors!$M:$M,Investors!$O:$O,TRUE,Investors!$A:$A,'Investor Exit List'!$A76,Investors!$E:$E,'Investor Exit List'!$C76,Investors!$L:$L,'Investor Exit List'!$B76)+SUMIFS(Investors!$S:$S,Investors!$O:$O,TRUE,Investors!$A:$A,'Investor Exit List'!$A76,Investors!$E:$E,'Investor Exit List'!$C76,Investors!$L:$L,'Investor Exit List'!$B76)</f>
        <v/>
      </c>
      <c r="T76" s="91">
        <f>IF(U76=TRUE,$J76,"")</f>
        <v/>
      </c>
      <c r="U76" s="89" t="b">
        <v>0</v>
      </c>
      <c r="V76" s="90">
        <f>IF(AND(H76=TRUE,OR(K76="",K76&gt;M76)),S76,0)</f>
        <v/>
      </c>
      <c r="W76" s="89" t="n">
        <v>0</v>
      </c>
      <c r="X76" s="89" t="b">
        <v>0</v>
      </c>
    </row>
    <row r="77" hidden="1">
      <c r="A77" s="89" t="inlineStr">
        <is>
          <t>ZJOH01</t>
        </is>
      </c>
      <c r="B77" s="89" t="n">
        <v>2</v>
      </c>
      <c r="C77" s="89" t="inlineStr">
        <is>
          <t>HFB102</t>
        </is>
      </c>
      <c r="D77" s="89" t="inlineStr">
        <is>
          <t>B</t>
        </is>
      </c>
      <c r="E77" s="89" t="inlineStr">
        <is>
          <t>Johns Lisa-Marie Natalie</t>
        </is>
      </c>
      <c r="F77" s="90">
        <f>SUMIFS(Investors!$M:$M,Investors!$O:$O,FALSE,Investors!$P:$P,FALSE,Investors!$K:$K,"&gt;"&amp;'NSST Print'!$B$3,Investors!$I:$I,"&lt;="&amp;'NSST Print'!$B$3,Investors!$A:$A,'Investor Exit List'!$A77,Investors!$E:$E,'Investor Exit List'!$C77,Investors!$L:$L,'Investor Exit List'!$B77)-(SUMIFS(Investors!$M:$M,Investors!$I:$I,"&lt;="&amp;'NSST Print'!$B$3,Investors!$J:$J,"&gt;"&amp;'NSST Print'!$B$3,Investors!$A:$A,'Investor Exit List'!$A77,Investors!$E:$E,'Investor Exit List'!$C77,Investors!$L:$L,'Investor Exit List'!$B77)+SUMIFS(Investors!$M:$M,Investors!$I:$I,"&lt;="&amp;'NSST Print'!$B$3,Investors!$J:$J,"",Investors!$A:$A,'Investor Exit List'!$A77,Investors!$E:$E,'Investor Exit List'!$C77,Investors!$L:$L,'Investor Exit List'!$B77))</f>
        <v/>
      </c>
      <c r="G77" s="91" t="n">
        <v>44316</v>
      </c>
      <c r="H77" s="89" t="b">
        <v>1</v>
      </c>
      <c r="I77" s="89" t="b">
        <v>1</v>
      </c>
      <c r="J77" s="91" t="n">
        <v>44896</v>
      </c>
      <c r="K77" s="91">
        <f>IF(I77=TRUE,J77,"")</f>
        <v/>
      </c>
      <c r="L77" s="91">
        <f>G77+730</f>
        <v/>
      </c>
      <c r="M77" s="91" t="n">
        <v>45382</v>
      </c>
      <c r="N77" s="92">
        <f>IFERROR(IF(G77&lt;&gt;"",IF(I77=TRUE,0,IF(U77=TRUE,0,L77-M77)),0),0)</f>
        <v/>
      </c>
      <c r="O77" s="92">
        <f>IF(N77&gt;0,IF(N77&lt;=180,N77,0),0)</f>
        <v/>
      </c>
      <c r="P77" s="90">
        <f>IF(AND(N77&lt;90,N77&gt;0),Q77,0)</f>
        <v/>
      </c>
      <c r="Q77" s="90">
        <f>SUMIFS(Investors!$M:$M,Investors!$O:$O,FALSE,Investors!$P:$P,FALSE,Investors!$K:$K,"&gt;"&amp;'NSST Print'!$B$3,Investors!$I:$I,"&lt;="&amp;'NSST Print'!$B$3,Investors!$A:$A,'Investor Exit List'!$A77,Investors!$E:$E,'Investor Exit List'!$C77,Investors!$L:$L,'Investor Exit List'!$B77)-(SUMIFS(Investors!$M:$M,Investors!$I:$I,"&lt;="&amp;'NSST Print'!$B$3,Investors!$J:$J,"&gt;"&amp;'NSST Print'!$B$3,Investors!$A:$A,'Investor Exit List'!$A77,Investors!$E:$E,'Investor Exit List'!$C77,Investors!$L:$L,'Investor Exit List'!$B77)+SUMIFS(Investors!$M:$M,Investors!$I:$I,"&lt;="&amp;'NSST Print'!$B$3,Investors!$J:$J,"",Investors!$A:$A,'Investor Exit List'!$A77,Investors!$E:$E,'Investor Exit List'!$C77,Investors!$L:$L,'Investor Exit List'!$B77))+SUMIFS(Investors!$S:$S,Investors!$O:$O,FALSE,Investors!$P:$P,FALSE,Investors!$K:$K,"&gt;"&amp;'NSST Print'!$B$3,Investors!$I:$I,"&lt;="&amp;'NSST Print'!$B$3,Investors!$A:$A,'Investor Exit List'!$A77,Investors!$E:$E,'Investor Exit List'!$C77,Investors!$L:$L,'Investor Exit List'!$B77)-(SUMIFS(Investors!$S:$S,Investors!$I:$I,"&lt;="&amp;'NSST Print'!$B$3,Investors!$J:$J,"&gt;"&amp;'NSST Print'!$B$3,Investors!$A:$A,'Investor Exit List'!$A77,Investors!$E:$E,'Investor Exit List'!$C77,Investors!$L:$L,'Investor Exit List'!$B77)+SUMIFS(Investors!$S:$S,Investors!$I:$I,"&lt;="&amp;'NSST Print'!$B$3,Investors!$J:$J,"",Investors!$A:$A,'Investor Exit List'!$A77,Investors!$E:$E,'Investor Exit List'!$C77,Investors!$L:$L,'Investor Exit List'!$B77))</f>
        <v/>
      </c>
      <c r="R77" s="90">
        <f>IF(AND(H77=TRUE,I77=FALSE),Q77,0)</f>
        <v/>
      </c>
      <c r="S77" s="90">
        <f>SUMIFS(Investors!$M:$M,Investors!$O:$O,TRUE,Investors!$A:$A,'Investor Exit List'!$A77,Investors!$E:$E,'Investor Exit List'!$C77,Investors!$L:$L,'Investor Exit List'!$B77)+SUMIFS(Investors!$S:$S,Investors!$O:$O,TRUE,Investors!$A:$A,'Investor Exit List'!$A77,Investors!$E:$E,'Investor Exit List'!$C77,Investors!$L:$L,'Investor Exit List'!$B77)</f>
        <v/>
      </c>
      <c r="T77" s="91">
        <f>IF(U77=TRUE,$J77,"")</f>
        <v/>
      </c>
      <c r="U77" s="89" t="b">
        <v>0</v>
      </c>
      <c r="V77" s="90">
        <f>IF(AND(H77=TRUE,OR(K77="",K77&gt;M77)),S77,0)</f>
        <v/>
      </c>
      <c r="W77" s="89" t="n">
        <v>0</v>
      </c>
      <c r="X77" s="89" t="b">
        <v>0</v>
      </c>
    </row>
    <row r="78" hidden="1">
      <c r="A78" s="89" t="inlineStr">
        <is>
          <t>ZSCH02</t>
        </is>
      </c>
      <c r="B78" s="89" t="n">
        <v>1</v>
      </c>
      <c r="C78" s="89" t="inlineStr">
        <is>
          <t>HFB102</t>
        </is>
      </c>
      <c r="D78" s="89" t="inlineStr">
        <is>
          <t>B</t>
        </is>
      </c>
      <c r="E78" s="89" t="inlineStr">
        <is>
          <t>van Schalkwyk Zeldre</t>
        </is>
      </c>
      <c r="F78" s="90">
        <f>SUMIFS(Investors!$M:$M,Investors!$O:$O,FALSE,Investors!$P:$P,FALSE,Investors!$K:$K,"&gt;"&amp;'NSST Print'!$B$3,Investors!$I:$I,"&lt;="&amp;'NSST Print'!$B$3,Investors!$A:$A,'Investor Exit List'!$A78,Investors!$E:$E,'Investor Exit List'!$C78,Investors!$L:$L,'Investor Exit List'!$B78)-(SUMIFS(Investors!$M:$M,Investors!$I:$I,"&lt;="&amp;'NSST Print'!$B$3,Investors!$J:$J,"&gt;"&amp;'NSST Print'!$B$3,Investors!$A:$A,'Investor Exit List'!$A78,Investors!$E:$E,'Investor Exit List'!$C78,Investors!$L:$L,'Investor Exit List'!$B78)+SUMIFS(Investors!$M:$M,Investors!$I:$I,"&lt;="&amp;'NSST Print'!$B$3,Investors!$J:$J,"",Investors!$A:$A,'Investor Exit List'!$A78,Investors!$E:$E,'Investor Exit List'!$C78,Investors!$L:$L,'Investor Exit List'!$B78))</f>
        <v/>
      </c>
      <c r="G78" s="91" t="n">
        <v>44352</v>
      </c>
      <c r="H78" s="89" t="b">
        <v>1</v>
      </c>
      <c r="I78" s="89" t="b">
        <v>1</v>
      </c>
      <c r="J78" s="91" t="n">
        <v>44896</v>
      </c>
      <c r="K78" s="91">
        <f>IF(I78=TRUE,J78,"")</f>
        <v/>
      </c>
      <c r="L78" s="91">
        <f>G78+730</f>
        <v/>
      </c>
      <c r="M78" s="91" t="n">
        <v>45382</v>
      </c>
      <c r="N78" s="92">
        <f>IFERROR(IF(G78&lt;&gt;"",IF(I78=TRUE,0,IF(U78=TRUE,0,L78-M78)),0),0)</f>
        <v/>
      </c>
      <c r="O78" s="92">
        <f>IF(N78&gt;0,IF(N78&lt;=180,N78,0),0)</f>
        <v/>
      </c>
      <c r="P78" s="90">
        <f>IF(AND(N78&lt;90,N78&gt;0),Q78,0)</f>
        <v/>
      </c>
      <c r="Q78" s="90">
        <f>SUMIFS(Investors!$M:$M,Investors!$O:$O,FALSE,Investors!$P:$P,FALSE,Investors!$K:$K,"&gt;"&amp;'NSST Print'!$B$3,Investors!$I:$I,"&lt;="&amp;'NSST Print'!$B$3,Investors!$A:$A,'Investor Exit List'!$A78,Investors!$E:$E,'Investor Exit List'!$C78,Investors!$L:$L,'Investor Exit List'!$B78)-(SUMIFS(Investors!$M:$M,Investors!$I:$I,"&lt;="&amp;'NSST Print'!$B$3,Investors!$J:$J,"&gt;"&amp;'NSST Print'!$B$3,Investors!$A:$A,'Investor Exit List'!$A78,Investors!$E:$E,'Investor Exit List'!$C78,Investors!$L:$L,'Investor Exit List'!$B78)+SUMIFS(Investors!$M:$M,Investors!$I:$I,"&lt;="&amp;'NSST Print'!$B$3,Investors!$J:$J,"",Investors!$A:$A,'Investor Exit List'!$A78,Investors!$E:$E,'Investor Exit List'!$C78,Investors!$L:$L,'Investor Exit List'!$B78))+SUMIFS(Investors!$S:$S,Investors!$O:$O,FALSE,Investors!$P:$P,FALSE,Investors!$K:$K,"&gt;"&amp;'NSST Print'!$B$3,Investors!$I:$I,"&lt;="&amp;'NSST Print'!$B$3,Investors!$A:$A,'Investor Exit List'!$A78,Investors!$E:$E,'Investor Exit List'!$C78,Investors!$L:$L,'Investor Exit List'!$B78)-(SUMIFS(Investors!$S:$S,Investors!$I:$I,"&lt;="&amp;'NSST Print'!$B$3,Investors!$J:$J,"&gt;"&amp;'NSST Print'!$B$3,Investors!$A:$A,'Investor Exit List'!$A78,Investors!$E:$E,'Investor Exit List'!$C78,Investors!$L:$L,'Investor Exit List'!$B78)+SUMIFS(Investors!$S:$S,Investors!$I:$I,"&lt;="&amp;'NSST Print'!$B$3,Investors!$J:$J,"",Investors!$A:$A,'Investor Exit List'!$A78,Investors!$E:$E,'Investor Exit List'!$C78,Investors!$L:$L,'Investor Exit List'!$B78))</f>
        <v/>
      </c>
      <c r="R78" s="90">
        <f>IF(AND(H78=TRUE,I78=FALSE),Q78,0)</f>
        <v/>
      </c>
      <c r="S78" s="90">
        <f>SUMIFS(Investors!$M:$M,Investors!$O:$O,TRUE,Investors!$A:$A,'Investor Exit List'!$A78,Investors!$E:$E,'Investor Exit List'!$C78,Investors!$L:$L,'Investor Exit List'!$B78)+SUMIFS(Investors!$S:$S,Investors!$O:$O,TRUE,Investors!$A:$A,'Investor Exit List'!$A78,Investors!$E:$E,'Investor Exit List'!$C78,Investors!$L:$L,'Investor Exit List'!$B78)</f>
        <v/>
      </c>
      <c r="T78" s="91">
        <f>IF(U78=TRUE,$J78,"")</f>
        <v/>
      </c>
      <c r="U78" s="89" t="b">
        <v>0</v>
      </c>
      <c r="V78" s="90">
        <f>IF(AND(H78=TRUE,OR(K78="",K78&gt;M78)),S78,0)</f>
        <v/>
      </c>
      <c r="W78" s="89" t="n">
        <v>0</v>
      </c>
      <c r="X78" s="89" t="b">
        <v>0</v>
      </c>
    </row>
    <row r="79" hidden="1">
      <c r="A79" s="89" t="inlineStr">
        <is>
          <t>ZBET02</t>
        </is>
      </c>
      <c r="B79" s="89" t="n">
        <v>1</v>
      </c>
      <c r="C79" s="89" t="inlineStr">
        <is>
          <t>HFB103</t>
        </is>
      </c>
      <c r="D79" s="89" t="inlineStr">
        <is>
          <t>B</t>
        </is>
      </c>
      <c r="E79" s="89" t="inlineStr">
        <is>
          <t>Bester Dawie Izak</t>
        </is>
      </c>
      <c r="F79" s="90">
        <f>SUMIFS(Investors!$M:$M,Investors!$O:$O,FALSE,Investors!$P:$P,FALSE,Investors!$K:$K,"&gt;"&amp;'NSST Print'!$B$3,Investors!$I:$I,"&lt;="&amp;'NSST Print'!$B$3,Investors!$A:$A,'Investor Exit List'!$A79,Investors!$E:$E,'Investor Exit List'!$C79,Investors!$L:$L,'Investor Exit List'!$B79)-(SUMIFS(Investors!$M:$M,Investors!$I:$I,"&lt;="&amp;'NSST Print'!$B$3,Investors!$J:$J,"&gt;"&amp;'NSST Print'!$B$3,Investors!$A:$A,'Investor Exit List'!$A79,Investors!$E:$E,'Investor Exit List'!$C79,Investors!$L:$L,'Investor Exit List'!$B79)+SUMIFS(Investors!$M:$M,Investors!$I:$I,"&lt;="&amp;'NSST Print'!$B$3,Investors!$J:$J,"",Investors!$A:$A,'Investor Exit List'!$A79,Investors!$E:$E,'Investor Exit List'!$C79,Investors!$L:$L,'Investor Exit List'!$B79))</f>
        <v/>
      </c>
      <c r="G79" s="91" t="n">
        <v>44352</v>
      </c>
      <c r="H79" s="89" t="b">
        <v>1</v>
      </c>
      <c r="I79" s="89" t="b">
        <v>1</v>
      </c>
      <c r="J79" s="91" t="n">
        <v>44887</v>
      </c>
      <c r="K79" s="91">
        <f>IF(I79=TRUE,J79,"")</f>
        <v/>
      </c>
      <c r="L79" s="91">
        <f>G79+730</f>
        <v/>
      </c>
      <c r="M79" s="91" t="n">
        <v>45382</v>
      </c>
      <c r="N79" s="92">
        <f>IFERROR(IF(G79&lt;&gt;"",IF(I79=TRUE,0,IF(U79=TRUE,0,L79-M79)),0),0)</f>
        <v/>
      </c>
      <c r="O79" s="92">
        <f>IF(N79&gt;0,IF(N79&lt;=180,N79,0),0)</f>
        <v/>
      </c>
      <c r="P79" s="90">
        <f>IF(AND(N79&lt;90,N79&gt;0),Q79,0)</f>
        <v/>
      </c>
      <c r="Q79" s="90">
        <f>SUMIFS(Investors!$M:$M,Investors!$O:$O,FALSE,Investors!$P:$P,FALSE,Investors!$K:$K,"&gt;"&amp;'NSST Print'!$B$3,Investors!$I:$I,"&lt;="&amp;'NSST Print'!$B$3,Investors!$A:$A,'Investor Exit List'!$A79,Investors!$E:$E,'Investor Exit List'!$C79,Investors!$L:$L,'Investor Exit List'!$B79)-(SUMIFS(Investors!$M:$M,Investors!$I:$I,"&lt;="&amp;'NSST Print'!$B$3,Investors!$J:$J,"&gt;"&amp;'NSST Print'!$B$3,Investors!$A:$A,'Investor Exit List'!$A79,Investors!$E:$E,'Investor Exit List'!$C79,Investors!$L:$L,'Investor Exit List'!$B79)+SUMIFS(Investors!$M:$M,Investors!$I:$I,"&lt;="&amp;'NSST Print'!$B$3,Investors!$J:$J,"",Investors!$A:$A,'Investor Exit List'!$A79,Investors!$E:$E,'Investor Exit List'!$C79,Investors!$L:$L,'Investor Exit List'!$B79))+SUMIFS(Investors!$S:$S,Investors!$O:$O,FALSE,Investors!$P:$P,FALSE,Investors!$K:$K,"&gt;"&amp;'NSST Print'!$B$3,Investors!$I:$I,"&lt;="&amp;'NSST Print'!$B$3,Investors!$A:$A,'Investor Exit List'!$A79,Investors!$E:$E,'Investor Exit List'!$C79,Investors!$L:$L,'Investor Exit List'!$B79)-(SUMIFS(Investors!$S:$S,Investors!$I:$I,"&lt;="&amp;'NSST Print'!$B$3,Investors!$J:$J,"&gt;"&amp;'NSST Print'!$B$3,Investors!$A:$A,'Investor Exit List'!$A79,Investors!$E:$E,'Investor Exit List'!$C79,Investors!$L:$L,'Investor Exit List'!$B79)+SUMIFS(Investors!$S:$S,Investors!$I:$I,"&lt;="&amp;'NSST Print'!$B$3,Investors!$J:$J,"",Investors!$A:$A,'Investor Exit List'!$A79,Investors!$E:$E,'Investor Exit List'!$C79,Investors!$L:$L,'Investor Exit List'!$B79))</f>
        <v/>
      </c>
      <c r="R79" s="90">
        <f>IF(AND(H79=TRUE,I79=FALSE),Q79,0)</f>
        <v/>
      </c>
      <c r="S79" s="90">
        <f>SUMIFS(Investors!$M:$M,Investors!$O:$O,TRUE,Investors!$A:$A,'Investor Exit List'!$A79,Investors!$E:$E,'Investor Exit List'!$C79,Investors!$L:$L,'Investor Exit List'!$B79)+SUMIFS(Investors!$S:$S,Investors!$O:$O,TRUE,Investors!$A:$A,'Investor Exit List'!$A79,Investors!$E:$E,'Investor Exit List'!$C79,Investors!$L:$L,'Investor Exit List'!$B79)</f>
        <v/>
      </c>
      <c r="T79" s="91">
        <f>IF(U79=TRUE,$J79,"")</f>
        <v/>
      </c>
      <c r="U79" s="89" t="b">
        <v>0</v>
      </c>
      <c r="V79" s="90">
        <f>IF(AND(H79=TRUE,OR(K79="",K79&gt;M79)),S79,0)</f>
        <v/>
      </c>
      <c r="W79" s="89" t="n">
        <v>0</v>
      </c>
      <c r="X79" s="89" t="b">
        <v>0</v>
      </c>
    </row>
    <row r="80" hidden="1">
      <c r="A80" s="89" t="inlineStr">
        <is>
          <t>ZINT01</t>
        </is>
      </c>
      <c r="B80" s="89" t="n">
        <v>4</v>
      </c>
      <c r="C80" s="89" t="inlineStr">
        <is>
          <t>HFB103</t>
        </is>
      </c>
      <c r="D80" s="89" t="inlineStr">
        <is>
          <t>B</t>
        </is>
      </c>
      <c r="E80" s="89" t="inlineStr">
        <is>
          <t>Lunau Marc</t>
        </is>
      </c>
      <c r="F80" s="90">
        <f>SUMIFS(Investors!$M:$M,Investors!$O:$O,FALSE,Investors!$P:$P,FALSE,Investors!$K:$K,"&gt;"&amp;'NSST Print'!$B$3,Investors!$I:$I,"&lt;="&amp;'NSST Print'!$B$3,Investors!$A:$A,'Investor Exit List'!$A80,Investors!$E:$E,'Investor Exit List'!$C80,Investors!$L:$L,'Investor Exit List'!$B80)-(SUMIFS(Investors!$M:$M,Investors!$I:$I,"&lt;="&amp;'NSST Print'!$B$3,Investors!$J:$J,"&gt;"&amp;'NSST Print'!$B$3,Investors!$A:$A,'Investor Exit List'!$A80,Investors!$E:$E,'Investor Exit List'!$C80,Investors!$L:$L,'Investor Exit List'!$B80)+SUMIFS(Investors!$M:$M,Investors!$I:$I,"&lt;="&amp;'NSST Print'!$B$3,Investors!$J:$J,"",Investors!$A:$A,'Investor Exit List'!$A80,Investors!$E:$E,'Investor Exit List'!$C80,Investors!$L:$L,'Investor Exit List'!$B80))</f>
        <v/>
      </c>
      <c r="G80" s="91" t="n">
        <v>44316</v>
      </c>
      <c r="H80" s="89" t="b">
        <v>1</v>
      </c>
      <c r="I80" s="89" t="b">
        <v>1</v>
      </c>
      <c r="J80" s="91" t="n">
        <v>44887</v>
      </c>
      <c r="K80" s="91">
        <f>IF(I80=TRUE,J80,"")</f>
        <v/>
      </c>
      <c r="L80" s="91">
        <f>G80+730</f>
        <v/>
      </c>
      <c r="M80" s="91" t="n">
        <v>45382</v>
      </c>
      <c r="N80" s="92">
        <f>IFERROR(IF(G80&lt;&gt;"",IF(I80=TRUE,0,IF(U80=TRUE,0,L80-M80)),0),0)</f>
        <v/>
      </c>
      <c r="O80" s="92">
        <f>IF(N80&gt;0,IF(N80&lt;=180,N80,0),0)</f>
        <v/>
      </c>
      <c r="P80" s="90">
        <f>IF(AND(N80&lt;90,N80&gt;0),Q80,0)</f>
        <v/>
      </c>
      <c r="Q80" s="90">
        <f>SUMIFS(Investors!$M:$M,Investors!$O:$O,FALSE,Investors!$P:$P,FALSE,Investors!$K:$K,"&gt;"&amp;'NSST Print'!$B$3,Investors!$I:$I,"&lt;="&amp;'NSST Print'!$B$3,Investors!$A:$A,'Investor Exit List'!$A80,Investors!$E:$E,'Investor Exit List'!$C80,Investors!$L:$L,'Investor Exit List'!$B80)-(SUMIFS(Investors!$M:$M,Investors!$I:$I,"&lt;="&amp;'NSST Print'!$B$3,Investors!$J:$J,"&gt;"&amp;'NSST Print'!$B$3,Investors!$A:$A,'Investor Exit List'!$A80,Investors!$E:$E,'Investor Exit List'!$C80,Investors!$L:$L,'Investor Exit List'!$B80)+SUMIFS(Investors!$M:$M,Investors!$I:$I,"&lt;="&amp;'NSST Print'!$B$3,Investors!$J:$J,"",Investors!$A:$A,'Investor Exit List'!$A80,Investors!$E:$E,'Investor Exit List'!$C80,Investors!$L:$L,'Investor Exit List'!$B80))+SUMIFS(Investors!$S:$S,Investors!$O:$O,FALSE,Investors!$P:$P,FALSE,Investors!$K:$K,"&gt;"&amp;'NSST Print'!$B$3,Investors!$I:$I,"&lt;="&amp;'NSST Print'!$B$3,Investors!$A:$A,'Investor Exit List'!$A80,Investors!$E:$E,'Investor Exit List'!$C80,Investors!$L:$L,'Investor Exit List'!$B80)-(SUMIFS(Investors!$S:$S,Investors!$I:$I,"&lt;="&amp;'NSST Print'!$B$3,Investors!$J:$J,"&gt;"&amp;'NSST Print'!$B$3,Investors!$A:$A,'Investor Exit List'!$A80,Investors!$E:$E,'Investor Exit List'!$C80,Investors!$L:$L,'Investor Exit List'!$B80)+SUMIFS(Investors!$S:$S,Investors!$I:$I,"&lt;="&amp;'NSST Print'!$B$3,Investors!$J:$J,"",Investors!$A:$A,'Investor Exit List'!$A80,Investors!$E:$E,'Investor Exit List'!$C80,Investors!$L:$L,'Investor Exit List'!$B80))</f>
        <v/>
      </c>
      <c r="R80" s="90">
        <f>IF(AND(H80=TRUE,I80=FALSE),Q80,0)</f>
        <v/>
      </c>
      <c r="S80" s="90">
        <f>SUMIFS(Investors!$M:$M,Investors!$O:$O,TRUE,Investors!$A:$A,'Investor Exit List'!$A80,Investors!$E:$E,'Investor Exit List'!$C80,Investors!$L:$L,'Investor Exit List'!$B80)+SUMIFS(Investors!$S:$S,Investors!$O:$O,TRUE,Investors!$A:$A,'Investor Exit List'!$A80,Investors!$E:$E,'Investor Exit List'!$C80,Investors!$L:$L,'Investor Exit List'!$B80)</f>
        <v/>
      </c>
      <c r="T80" s="91">
        <f>IF(U80=TRUE,$J80,"")</f>
        <v/>
      </c>
      <c r="U80" s="89" t="b">
        <v>0</v>
      </c>
      <c r="V80" s="90">
        <f>IF(AND(H80=TRUE,OR(K80="",K80&gt;M80)),S80,0)</f>
        <v/>
      </c>
      <c r="W80" s="89" t="n">
        <v>0</v>
      </c>
      <c r="X80" s="89" t="b">
        <v>0</v>
      </c>
    </row>
    <row r="81" hidden="1">
      <c r="A81" s="89" t="inlineStr">
        <is>
          <t>ZMCK01</t>
        </is>
      </c>
      <c r="B81" s="89" t="n">
        <v>3</v>
      </c>
      <c r="C81" s="89" t="inlineStr">
        <is>
          <t>HFB103</t>
        </is>
      </c>
      <c r="D81" s="89" t="inlineStr">
        <is>
          <t>B</t>
        </is>
      </c>
      <c r="E81" s="89" t="inlineStr">
        <is>
          <t>MacKenzie-Jones Caitlin</t>
        </is>
      </c>
      <c r="F81" s="90">
        <f>SUMIFS(Investors!$M:$M,Investors!$O:$O,FALSE,Investors!$P:$P,FALSE,Investors!$K:$K,"&gt;"&amp;'NSST Print'!$B$3,Investors!$I:$I,"&lt;="&amp;'NSST Print'!$B$3,Investors!$A:$A,'Investor Exit List'!$A81,Investors!$E:$E,'Investor Exit List'!$C81,Investors!$L:$L,'Investor Exit List'!$B81)-(SUMIFS(Investors!$M:$M,Investors!$I:$I,"&lt;="&amp;'NSST Print'!$B$3,Investors!$J:$J,"&gt;"&amp;'NSST Print'!$B$3,Investors!$A:$A,'Investor Exit List'!$A81,Investors!$E:$E,'Investor Exit List'!$C81,Investors!$L:$L,'Investor Exit List'!$B81)+SUMIFS(Investors!$M:$M,Investors!$I:$I,"&lt;="&amp;'NSST Print'!$B$3,Investors!$J:$J,"",Investors!$A:$A,'Investor Exit List'!$A81,Investors!$E:$E,'Investor Exit List'!$C81,Investors!$L:$L,'Investor Exit List'!$B81))</f>
        <v/>
      </c>
      <c r="G81" s="91" t="n">
        <v>44352</v>
      </c>
      <c r="H81" s="89" t="b">
        <v>1</v>
      </c>
      <c r="I81" s="89" t="b">
        <v>1</v>
      </c>
      <c r="J81" s="91" t="n">
        <v>44887</v>
      </c>
      <c r="K81" s="91">
        <f>IF(I81=TRUE,J81,"")</f>
        <v/>
      </c>
      <c r="L81" s="91">
        <f>G81+730</f>
        <v/>
      </c>
      <c r="M81" s="91" t="n">
        <v>45382</v>
      </c>
      <c r="N81" s="92">
        <f>IFERROR(IF(G81&lt;&gt;"",IF(I81=TRUE,0,IF(U81=TRUE,0,L81-M81)),0),0)</f>
        <v/>
      </c>
      <c r="O81" s="92">
        <f>IF(N81&gt;0,IF(N81&lt;=180,N81,0),0)</f>
        <v/>
      </c>
      <c r="P81" s="90">
        <f>IF(AND(N81&lt;90,N81&gt;0),Q81,0)</f>
        <v/>
      </c>
      <c r="Q81" s="90">
        <f>SUMIFS(Investors!$M:$M,Investors!$O:$O,FALSE,Investors!$P:$P,FALSE,Investors!$K:$K,"&gt;"&amp;'NSST Print'!$B$3,Investors!$I:$I,"&lt;="&amp;'NSST Print'!$B$3,Investors!$A:$A,'Investor Exit List'!$A81,Investors!$E:$E,'Investor Exit List'!$C81,Investors!$L:$L,'Investor Exit List'!$B81)-(SUMIFS(Investors!$M:$M,Investors!$I:$I,"&lt;="&amp;'NSST Print'!$B$3,Investors!$J:$J,"&gt;"&amp;'NSST Print'!$B$3,Investors!$A:$A,'Investor Exit List'!$A81,Investors!$E:$E,'Investor Exit List'!$C81,Investors!$L:$L,'Investor Exit List'!$B81)+SUMIFS(Investors!$M:$M,Investors!$I:$I,"&lt;="&amp;'NSST Print'!$B$3,Investors!$J:$J,"",Investors!$A:$A,'Investor Exit List'!$A81,Investors!$E:$E,'Investor Exit List'!$C81,Investors!$L:$L,'Investor Exit List'!$B81))+SUMIFS(Investors!$S:$S,Investors!$O:$O,FALSE,Investors!$P:$P,FALSE,Investors!$K:$K,"&gt;"&amp;'NSST Print'!$B$3,Investors!$I:$I,"&lt;="&amp;'NSST Print'!$B$3,Investors!$A:$A,'Investor Exit List'!$A81,Investors!$E:$E,'Investor Exit List'!$C81,Investors!$L:$L,'Investor Exit List'!$B81)-(SUMIFS(Investors!$S:$S,Investors!$I:$I,"&lt;="&amp;'NSST Print'!$B$3,Investors!$J:$J,"&gt;"&amp;'NSST Print'!$B$3,Investors!$A:$A,'Investor Exit List'!$A81,Investors!$E:$E,'Investor Exit List'!$C81,Investors!$L:$L,'Investor Exit List'!$B81)+SUMIFS(Investors!$S:$S,Investors!$I:$I,"&lt;="&amp;'NSST Print'!$B$3,Investors!$J:$J,"",Investors!$A:$A,'Investor Exit List'!$A81,Investors!$E:$E,'Investor Exit List'!$C81,Investors!$L:$L,'Investor Exit List'!$B81))</f>
        <v/>
      </c>
      <c r="R81" s="90">
        <f>IF(AND(H81=TRUE,I81=FALSE),Q81,0)</f>
        <v/>
      </c>
      <c r="S81" s="90">
        <f>SUMIFS(Investors!$M:$M,Investors!$O:$O,TRUE,Investors!$A:$A,'Investor Exit List'!$A81,Investors!$E:$E,'Investor Exit List'!$C81,Investors!$L:$L,'Investor Exit List'!$B81)+SUMIFS(Investors!$S:$S,Investors!$O:$O,TRUE,Investors!$A:$A,'Investor Exit List'!$A81,Investors!$E:$E,'Investor Exit List'!$C81,Investors!$L:$L,'Investor Exit List'!$B81)</f>
        <v/>
      </c>
      <c r="T81" s="91">
        <f>IF(U81=TRUE,$J81,"")</f>
        <v/>
      </c>
      <c r="U81" s="89" t="b">
        <v>0</v>
      </c>
      <c r="V81" s="90">
        <f>IF(AND(H81=TRUE,OR(K81="",K81&gt;M81)),S81,0)</f>
        <v/>
      </c>
      <c r="W81" s="89" t="n">
        <v>0</v>
      </c>
      <c r="X81" s="89" t="b">
        <v>0</v>
      </c>
    </row>
    <row r="82" hidden="1">
      <c r="A82" s="89" t="inlineStr">
        <is>
          <t>ZZYL02</t>
        </is>
      </c>
      <c r="B82" s="89" t="n">
        <v>1</v>
      </c>
      <c r="C82" s="89" t="inlineStr">
        <is>
          <t>HFB103</t>
        </is>
      </c>
      <c r="D82" s="89" t="inlineStr">
        <is>
          <t>B</t>
        </is>
      </c>
      <c r="E82" s="89" t="inlineStr">
        <is>
          <t>Zylstra Petronella Johanna</t>
        </is>
      </c>
      <c r="F82" s="90">
        <f>SUMIFS(Investors!$M:$M,Investors!$O:$O,FALSE,Investors!$P:$P,FALSE,Investors!$K:$K,"&gt;"&amp;'NSST Print'!$B$3,Investors!$I:$I,"&lt;="&amp;'NSST Print'!$B$3,Investors!$A:$A,'Investor Exit List'!$A82,Investors!$E:$E,'Investor Exit List'!$C82,Investors!$L:$L,'Investor Exit List'!$B82)-(SUMIFS(Investors!$M:$M,Investors!$I:$I,"&lt;="&amp;'NSST Print'!$B$3,Investors!$J:$J,"&gt;"&amp;'NSST Print'!$B$3,Investors!$A:$A,'Investor Exit List'!$A82,Investors!$E:$E,'Investor Exit List'!$C82,Investors!$L:$L,'Investor Exit List'!$B82)+SUMIFS(Investors!$M:$M,Investors!$I:$I,"&lt;="&amp;'NSST Print'!$B$3,Investors!$J:$J,"",Investors!$A:$A,'Investor Exit List'!$A82,Investors!$E:$E,'Investor Exit List'!$C82,Investors!$L:$L,'Investor Exit List'!$B82))</f>
        <v/>
      </c>
      <c r="G82" s="91" t="n">
        <v>44352</v>
      </c>
      <c r="H82" s="89" t="b">
        <v>1</v>
      </c>
      <c r="I82" s="89" t="b">
        <v>1</v>
      </c>
      <c r="J82" s="91" t="n">
        <v>44887</v>
      </c>
      <c r="K82" s="91">
        <f>IF(I82=TRUE,J82,"")</f>
        <v/>
      </c>
      <c r="L82" s="91">
        <f>G82+730</f>
        <v/>
      </c>
      <c r="M82" s="91" t="n">
        <v>45382</v>
      </c>
      <c r="N82" s="92">
        <f>IFERROR(IF(G82&lt;&gt;"",IF(I82=TRUE,0,IF(U82=TRUE,0,L82-M82)),0),0)</f>
        <v/>
      </c>
      <c r="O82" s="92">
        <f>IF(N82&gt;0,IF(N82&lt;=180,N82,0),0)</f>
        <v/>
      </c>
      <c r="P82" s="90">
        <f>IF(AND(N82&lt;90,N82&gt;0),Q82,0)</f>
        <v/>
      </c>
      <c r="Q82" s="90">
        <f>SUMIFS(Investors!$M:$M,Investors!$O:$O,FALSE,Investors!$P:$P,FALSE,Investors!$K:$K,"&gt;"&amp;'NSST Print'!$B$3,Investors!$I:$I,"&lt;="&amp;'NSST Print'!$B$3,Investors!$A:$A,'Investor Exit List'!$A82,Investors!$E:$E,'Investor Exit List'!$C82,Investors!$L:$L,'Investor Exit List'!$B82)-(SUMIFS(Investors!$M:$M,Investors!$I:$I,"&lt;="&amp;'NSST Print'!$B$3,Investors!$J:$J,"&gt;"&amp;'NSST Print'!$B$3,Investors!$A:$A,'Investor Exit List'!$A82,Investors!$E:$E,'Investor Exit List'!$C82,Investors!$L:$L,'Investor Exit List'!$B82)+SUMIFS(Investors!$M:$M,Investors!$I:$I,"&lt;="&amp;'NSST Print'!$B$3,Investors!$J:$J,"",Investors!$A:$A,'Investor Exit List'!$A82,Investors!$E:$E,'Investor Exit List'!$C82,Investors!$L:$L,'Investor Exit List'!$B82))+SUMIFS(Investors!$S:$S,Investors!$O:$O,FALSE,Investors!$P:$P,FALSE,Investors!$K:$K,"&gt;"&amp;'NSST Print'!$B$3,Investors!$I:$I,"&lt;="&amp;'NSST Print'!$B$3,Investors!$A:$A,'Investor Exit List'!$A82,Investors!$E:$E,'Investor Exit List'!$C82,Investors!$L:$L,'Investor Exit List'!$B82)-(SUMIFS(Investors!$S:$S,Investors!$I:$I,"&lt;="&amp;'NSST Print'!$B$3,Investors!$J:$J,"&gt;"&amp;'NSST Print'!$B$3,Investors!$A:$A,'Investor Exit List'!$A82,Investors!$E:$E,'Investor Exit List'!$C82,Investors!$L:$L,'Investor Exit List'!$B82)+SUMIFS(Investors!$S:$S,Investors!$I:$I,"&lt;="&amp;'NSST Print'!$B$3,Investors!$J:$J,"",Investors!$A:$A,'Investor Exit List'!$A82,Investors!$E:$E,'Investor Exit List'!$C82,Investors!$L:$L,'Investor Exit List'!$B82))</f>
        <v/>
      </c>
      <c r="R82" s="90">
        <f>IF(AND(H82=TRUE,I82=FALSE),Q82,0)</f>
        <v/>
      </c>
      <c r="S82" s="90">
        <f>SUMIFS(Investors!$M:$M,Investors!$O:$O,TRUE,Investors!$A:$A,'Investor Exit List'!$A82,Investors!$E:$E,'Investor Exit List'!$C82,Investors!$L:$L,'Investor Exit List'!$B82)+SUMIFS(Investors!$S:$S,Investors!$O:$O,TRUE,Investors!$A:$A,'Investor Exit List'!$A82,Investors!$E:$E,'Investor Exit List'!$C82,Investors!$L:$L,'Investor Exit List'!$B82)</f>
        <v/>
      </c>
      <c r="T82" s="91">
        <f>IF(U82=TRUE,$J82,"")</f>
        <v/>
      </c>
      <c r="U82" s="89" t="b">
        <v>0</v>
      </c>
      <c r="V82" s="90">
        <f>IF(AND(H82=TRUE,OR(K82="",K82&gt;M82)),S82,0)</f>
        <v/>
      </c>
      <c r="W82" s="89" t="n">
        <v>0</v>
      </c>
      <c r="X82" s="89" t="b">
        <v>0</v>
      </c>
    </row>
    <row r="83" hidden="1">
      <c r="A83" s="89" t="inlineStr">
        <is>
          <t>ZLUN01</t>
        </is>
      </c>
      <c r="B83" s="89" t="n">
        <v>4</v>
      </c>
      <c r="C83" s="89" t="inlineStr">
        <is>
          <t>HFB104</t>
        </is>
      </c>
      <c r="D83" s="89" t="inlineStr">
        <is>
          <t>B</t>
        </is>
      </c>
      <c r="E83" s="89" t="inlineStr">
        <is>
          <t>Lunau Marc</t>
        </is>
      </c>
      <c r="F83" s="90">
        <f>SUMIFS(Investors!$M:$M,Investors!$O:$O,FALSE,Investors!$P:$P,FALSE,Investors!$K:$K,"&gt;"&amp;'NSST Print'!$B$3,Investors!$I:$I,"&lt;="&amp;'NSST Print'!$B$3,Investors!$A:$A,'Investor Exit List'!$A83,Investors!$E:$E,'Investor Exit List'!$C83,Investors!$L:$L,'Investor Exit List'!$B83)-(SUMIFS(Investors!$M:$M,Investors!$I:$I,"&lt;="&amp;'NSST Print'!$B$3,Investors!$J:$J,"&gt;"&amp;'NSST Print'!$B$3,Investors!$A:$A,'Investor Exit List'!$A83,Investors!$E:$E,'Investor Exit List'!$C83,Investors!$L:$L,'Investor Exit List'!$B83)+SUMIFS(Investors!$M:$M,Investors!$I:$I,"&lt;="&amp;'NSST Print'!$B$3,Investors!$J:$J,"",Investors!$A:$A,'Investor Exit List'!$A83,Investors!$E:$E,'Investor Exit List'!$C83,Investors!$L:$L,'Investor Exit List'!$B83))</f>
        <v/>
      </c>
      <c r="G83" s="91" t="n">
        <v>44352</v>
      </c>
      <c r="H83" s="89" t="b">
        <v>1</v>
      </c>
      <c r="I83" s="89" t="b">
        <v>1</v>
      </c>
      <c r="J83" s="91" t="n">
        <v>44895</v>
      </c>
      <c r="K83" s="91">
        <f>IF(I83=TRUE,J83,"")</f>
        <v/>
      </c>
      <c r="L83" s="91">
        <f>G83+730</f>
        <v/>
      </c>
      <c r="M83" s="91" t="n">
        <v>45382</v>
      </c>
      <c r="N83" s="92">
        <f>IFERROR(IF(G83&lt;&gt;"",IF(I83=TRUE,0,IF(U83=TRUE,0,L83-M83)),0),0)</f>
        <v/>
      </c>
      <c r="O83" s="92">
        <f>IF(N83&gt;0,IF(N83&lt;=180,N83,0),0)</f>
        <v/>
      </c>
      <c r="P83" s="90">
        <f>IF(AND(N83&lt;90,N83&gt;0),Q83,0)</f>
        <v/>
      </c>
      <c r="Q83" s="90">
        <f>SUMIFS(Investors!$M:$M,Investors!$O:$O,FALSE,Investors!$P:$P,FALSE,Investors!$K:$K,"&gt;"&amp;'NSST Print'!$B$3,Investors!$I:$I,"&lt;="&amp;'NSST Print'!$B$3,Investors!$A:$A,'Investor Exit List'!$A83,Investors!$E:$E,'Investor Exit List'!$C83,Investors!$L:$L,'Investor Exit List'!$B83)-(SUMIFS(Investors!$M:$M,Investors!$I:$I,"&lt;="&amp;'NSST Print'!$B$3,Investors!$J:$J,"&gt;"&amp;'NSST Print'!$B$3,Investors!$A:$A,'Investor Exit List'!$A83,Investors!$E:$E,'Investor Exit List'!$C83,Investors!$L:$L,'Investor Exit List'!$B83)+SUMIFS(Investors!$M:$M,Investors!$I:$I,"&lt;="&amp;'NSST Print'!$B$3,Investors!$J:$J,"",Investors!$A:$A,'Investor Exit List'!$A83,Investors!$E:$E,'Investor Exit List'!$C83,Investors!$L:$L,'Investor Exit List'!$B83))+SUMIFS(Investors!$S:$S,Investors!$O:$O,FALSE,Investors!$P:$P,FALSE,Investors!$K:$K,"&gt;"&amp;'NSST Print'!$B$3,Investors!$I:$I,"&lt;="&amp;'NSST Print'!$B$3,Investors!$A:$A,'Investor Exit List'!$A83,Investors!$E:$E,'Investor Exit List'!$C83,Investors!$L:$L,'Investor Exit List'!$B83)-(SUMIFS(Investors!$S:$S,Investors!$I:$I,"&lt;="&amp;'NSST Print'!$B$3,Investors!$J:$J,"&gt;"&amp;'NSST Print'!$B$3,Investors!$A:$A,'Investor Exit List'!$A83,Investors!$E:$E,'Investor Exit List'!$C83,Investors!$L:$L,'Investor Exit List'!$B83)+SUMIFS(Investors!$S:$S,Investors!$I:$I,"&lt;="&amp;'NSST Print'!$B$3,Investors!$J:$J,"",Investors!$A:$A,'Investor Exit List'!$A83,Investors!$E:$E,'Investor Exit List'!$C83,Investors!$L:$L,'Investor Exit List'!$B83))</f>
        <v/>
      </c>
      <c r="R83" s="90">
        <f>IF(AND(H83=TRUE,I83=FALSE),Q83,0)</f>
        <v/>
      </c>
      <c r="S83" s="90">
        <f>SUMIFS(Investors!$M:$M,Investors!$O:$O,TRUE,Investors!$A:$A,'Investor Exit List'!$A83,Investors!$E:$E,'Investor Exit List'!$C83,Investors!$L:$L,'Investor Exit List'!$B83)+SUMIFS(Investors!$S:$S,Investors!$O:$O,TRUE,Investors!$A:$A,'Investor Exit List'!$A83,Investors!$E:$E,'Investor Exit List'!$C83,Investors!$L:$L,'Investor Exit List'!$B83)</f>
        <v/>
      </c>
      <c r="T83" s="91">
        <f>IF(U83=TRUE,$J83,"")</f>
        <v/>
      </c>
      <c r="U83" s="89" t="b">
        <v>1</v>
      </c>
      <c r="V83" s="90">
        <f>IF(AND(H83=TRUE,OR(K83="",K83&gt;M83)),S83,0)</f>
        <v/>
      </c>
      <c r="W83" s="89" t="n">
        <v>0</v>
      </c>
      <c r="X83" s="89" t="b">
        <v>0</v>
      </c>
    </row>
    <row r="84" hidden="1">
      <c r="A84" s="89" t="inlineStr">
        <is>
          <t>ZMCD01</t>
        </is>
      </c>
      <c r="B84" s="89" t="n">
        <v>6</v>
      </c>
      <c r="C84" s="89" t="inlineStr">
        <is>
          <t>HFB104</t>
        </is>
      </c>
      <c r="D84" s="89" t="inlineStr">
        <is>
          <t>B</t>
        </is>
      </c>
      <c r="E84" s="89" t="inlineStr">
        <is>
          <t>McDonald Veronica Agnes</t>
        </is>
      </c>
      <c r="F84" s="90">
        <f>SUMIFS(Investors!$M:$M,Investors!$O:$O,FALSE,Investors!$P:$P,FALSE,Investors!$K:$K,"&gt;"&amp;'NSST Print'!$B$3,Investors!$I:$I,"&lt;="&amp;'NSST Print'!$B$3,Investors!$A:$A,'Investor Exit List'!$A84,Investors!$E:$E,'Investor Exit List'!$C84,Investors!$L:$L,'Investor Exit List'!$B84)-(SUMIFS(Investors!$M:$M,Investors!$I:$I,"&lt;="&amp;'NSST Print'!$B$3,Investors!$J:$J,"&gt;"&amp;'NSST Print'!$B$3,Investors!$A:$A,'Investor Exit List'!$A84,Investors!$E:$E,'Investor Exit List'!$C84,Investors!$L:$L,'Investor Exit List'!$B84)+SUMIFS(Investors!$M:$M,Investors!$I:$I,"&lt;="&amp;'NSST Print'!$B$3,Investors!$J:$J,"",Investors!$A:$A,'Investor Exit List'!$A84,Investors!$E:$E,'Investor Exit List'!$C84,Investors!$L:$L,'Investor Exit List'!$B84))</f>
        <v/>
      </c>
      <c r="G84" s="91" t="n">
        <v>44352</v>
      </c>
      <c r="H84" s="89" t="b">
        <v>1</v>
      </c>
      <c r="I84" s="89" t="b">
        <v>1</v>
      </c>
      <c r="J84" s="91" t="n">
        <v>44895</v>
      </c>
      <c r="K84" s="91">
        <f>IF(I84=TRUE,J84,"")</f>
        <v/>
      </c>
      <c r="L84" s="91">
        <f>G84+730</f>
        <v/>
      </c>
      <c r="M84" s="91" t="n">
        <v>45382</v>
      </c>
      <c r="N84" s="92">
        <f>IFERROR(IF(G84&lt;&gt;"",IF(I84=TRUE,0,IF(U84=TRUE,0,L84-M84)),0),0)</f>
        <v/>
      </c>
      <c r="O84" s="92">
        <f>IF(N84&gt;0,IF(N84&lt;=180,N84,0),0)</f>
        <v/>
      </c>
      <c r="P84" s="90">
        <f>IF(AND(N84&lt;90,N84&gt;0),Q84,0)</f>
        <v/>
      </c>
      <c r="Q84" s="90">
        <f>SUMIFS(Investors!$M:$M,Investors!$O:$O,FALSE,Investors!$P:$P,FALSE,Investors!$K:$K,"&gt;"&amp;'NSST Print'!$B$3,Investors!$I:$I,"&lt;="&amp;'NSST Print'!$B$3,Investors!$A:$A,'Investor Exit List'!$A84,Investors!$E:$E,'Investor Exit List'!$C84,Investors!$L:$L,'Investor Exit List'!$B84)-(SUMIFS(Investors!$M:$M,Investors!$I:$I,"&lt;="&amp;'NSST Print'!$B$3,Investors!$J:$J,"&gt;"&amp;'NSST Print'!$B$3,Investors!$A:$A,'Investor Exit List'!$A84,Investors!$E:$E,'Investor Exit List'!$C84,Investors!$L:$L,'Investor Exit List'!$B84)+SUMIFS(Investors!$M:$M,Investors!$I:$I,"&lt;="&amp;'NSST Print'!$B$3,Investors!$J:$J,"",Investors!$A:$A,'Investor Exit List'!$A84,Investors!$E:$E,'Investor Exit List'!$C84,Investors!$L:$L,'Investor Exit List'!$B84))+SUMIFS(Investors!$S:$S,Investors!$O:$O,FALSE,Investors!$P:$P,FALSE,Investors!$K:$K,"&gt;"&amp;'NSST Print'!$B$3,Investors!$I:$I,"&lt;="&amp;'NSST Print'!$B$3,Investors!$A:$A,'Investor Exit List'!$A84,Investors!$E:$E,'Investor Exit List'!$C84,Investors!$L:$L,'Investor Exit List'!$B84)-(SUMIFS(Investors!$S:$S,Investors!$I:$I,"&lt;="&amp;'NSST Print'!$B$3,Investors!$J:$J,"&gt;"&amp;'NSST Print'!$B$3,Investors!$A:$A,'Investor Exit List'!$A84,Investors!$E:$E,'Investor Exit List'!$C84,Investors!$L:$L,'Investor Exit List'!$B84)+SUMIFS(Investors!$S:$S,Investors!$I:$I,"&lt;="&amp;'NSST Print'!$B$3,Investors!$J:$J,"",Investors!$A:$A,'Investor Exit List'!$A84,Investors!$E:$E,'Investor Exit List'!$C84,Investors!$L:$L,'Investor Exit List'!$B84))</f>
        <v/>
      </c>
      <c r="R84" s="90">
        <f>IF(AND(H84=TRUE,I84=FALSE),Q84,0)</f>
        <v/>
      </c>
      <c r="S84" s="90">
        <f>SUMIFS(Investors!$M:$M,Investors!$O:$O,TRUE,Investors!$A:$A,'Investor Exit List'!$A84,Investors!$E:$E,'Investor Exit List'!$C84,Investors!$L:$L,'Investor Exit List'!$B84)+SUMIFS(Investors!$S:$S,Investors!$O:$O,TRUE,Investors!$A:$A,'Investor Exit List'!$A84,Investors!$E:$E,'Investor Exit List'!$C84,Investors!$L:$L,'Investor Exit List'!$B84)</f>
        <v/>
      </c>
      <c r="T84" s="91">
        <f>IF(U84=TRUE,$J84,"")</f>
        <v/>
      </c>
      <c r="U84" s="89" t="b">
        <v>1</v>
      </c>
      <c r="V84" s="90">
        <f>IF(AND(H84=TRUE,OR(K84="",K84&gt;M84)),S84,0)</f>
        <v/>
      </c>
      <c r="W84" s="89" t="n">
        <v>0</v>
      </c>
      <c r="X84" s="89" t="b">
        <v>0</v>
      </c>
    </row>
    <row r="85" hidden="1">
      <c r="A85" s="89" t="inlineStr">
        <is>
          <t>ZRAN01</t>
        </is>
      </c>
      <c r="B85" s="89" t="n">
        <v>21</v>
      </c>
      <c r="C85" s="89" t="inlineStr">
        <is>
          <t>HFB104</t>
        </is>
      </c>
      <c r="D85" s="89" t="inlineStr">
        <is>
          <t>B</t>
        </is>
      </c>
      <c r="E85" s="89" t="inlineStr">
        <is>
          <t>Rankin Ross Partick Gemill</t>
        </is>
      </c>
      <c r="F85" s="90">
        <f>SUMIFS(Investors!$M:$M,Investors!$O:$O,FALSE,Investors!$P:$P,FALSE,Investors!$K:$K,"&gt;"&amp;'NSST Print'!$B$3,Investors!$I:$I,"&lt;="&amp;'NSST Print'!$B$3,Investors!$A:$A,'Investor Exit List'!$A85,Investors!$E:$E,'Investor Exit List'!$C85,Investors!$L:$L,'Investor Exit List'!$B85)-(SUMIFS(Investors!$M:$M,Investors!$I:$I,"&lt;="&amp;'NSST Print'!$B$3,Investors!$J:$J,"&gt;"&amp;'NSST Print'!$B$3,Investors!$A:$A,'Investor Exit List'!$A85,Investors!$E:$E,'Investor Exit List'!$C85,Investors!$L:$L,'Investor Exit List'!$B85)+SUMIFS(Investors!$M:$M,Investors!$I:$I,"&lt;="&amp;'NSST Print'!$B$3,Investors!$J:$J,"",Investors!$A:$A,'Investor Exit List'!$A85,Investors!$E:$E,'Investor Exit List'!$C85,Investors!$L:$L,'Investor Exit List'!$B85))</f>
        <v/>
      </c>
      <c r="G85" s="91" t="n">
        <v>44664</v>
      </c>
      <c r="H85" s="89" t="b">
        <v>1</v>
      </c>
      <c r="I85" s="89" t="b">
        <v>1</v>
      </c>
      <c r="J85" s="91" t="n">
        <v>44895</v>
      </c>
      <c r="K85" s="91">
        <f>IF(I85=TRUE,J85,"")</f>
        <v/>
      </c>
      <c r="L85" s="91">
        <f>G85+730</f>
        <v/>
      </c>
      <c r="M85" s="91" t="n">
        <v>45382</v>
      </c>
      <c r="N85" s="92">
        <f>IFERROR(IF(G85&lt;&gt;"",IF(I85=TRUE,0,IF(U85=TRUE,0,L85-M85)),0),0)</f>
        <v/>
      </c>
      <c r="O85" s="92">
        <f>IF(N85&gt;0,IF(N85&lt;=180,N85,0),0)</f>
        <v/>
      </c>
      <c r="P85" s="90">
        <f>IF(AND(N85&lt;90,N85&gt;0),Q85,0)</f>
        <v/>
      </c>
      <c r="Q85" s="90">
        <f>SUMIFS(Investors!$M:$M,Investors!$O:$O,FALSE,Investors!$P:$P,FALSE,Investors!$K:$K,"&gt;"&amp;'NSST Print'!$B$3,Investors!$I:$I,"&lt;="&amp;'NSST Print'!$B$3,Investors!$A:$A,'Investor Exit List'!$A85,Investors!$E:$E,'Investor Exit List'!$C85,Investors!$L:$L,'Investor Exit List'!$B85)-(SUMIFS(Investors!$M:$M,Investors!$I:$I,"&lt;="&amp;'NSST Print'!$B$3,Investors!$J:$J,"&gt;"&amp;'NSST Print'!$B$3,Investors!$A:$A,'Investor Exit List'!$A85,Investors!$E:$E,'Investor Exit List'!$C85,Investors!$L:$L,'Investor Exit List'!$B85)+SUMIFS(Investors!$M:$M,Investors!$I:$I,"&lt;="&amp;'NSST Print'!$B$3,Investors!$J:$J,"",Investors!$A:$A,'Investor Exit List'!$A85,Investors!$E:$E,'Investor Exit List'!$C85,Investors!$L:$L,'Investor Exit List'!$B85))+SUMIFS(Investors!$S:$S,Investors!$O:$O,FALSE,Investors!$P:$P,FALSE,Investors!$K:$K,"&gt;"&amp;'NSST Print'!$B$3,Investors!$I:$I,"&lt;="&amp;'NSST Print'!$B$3,Investors!$A:$A,'Investor Exit List'!$A85,Investors!$E:$E,'Investor Exit List'!$C85,Investors!$L:$L,'Investor Exit List'!$B85)-(SUMIFS(Investors!$S:$S,Investors!$I:$I,"&lt;="&amp;'NSST Print'!$B$3,Investors!$J:$J,"&gt;"&amp;'NSST Print'!$B$3,Investors!$A:$A,'Investor Exit List'!$A85,Investors!$E:$E,'Investor Exit List'!$C85,Investors!$L:$L,'Investor Exit List'!$B85)+SUMIFS(Investors!$S:$S,Investors!$I:$I,"&lt;="&amp;'NSST Print'!$B$3,Investors!$J:$J,"",Investors!$A:$A,'Investor Exit List'!$A85,Investors!$E:$E,'Investor Exit List'!$C85,Investors!$L:$L,'Investor Exit List'!$B85))</f>
        <v/>
      </c>
      <c r="R85" s="90">
        <f>IF(AND(H85=TRUE,I85=FALSE),Q85,0)</f>
        <v/>
      </c>
      <c r="S85" s="90">
        <f>SUMIFS(Investors!$M:$M,Investors!$O:$O,TRUE,Investors!$A:$A,'Investor Exit List'!$A85,Investors!$E:$E,'Investor Exit List'!$C85,Investors!$L:$L,'Investor Exit List'!$B85)+SUMIFS(Investors!$S:$S,Investors!$O:$O,TRUE,Investors!$A:$A,'Investor Exit List'!$A85,Investors!$E:$E,'Investor Exit List'!$C85,Investors!$L:$L,'Investor Exit List'!$B85)</f>
        <v/>
      </c>
      <c r="T85" s="91">
        <f>IF(U85=TRUE,$J85,"")</f>
        <v/>
      </c>
      <c r="U85" s="89" t="b">
        <v>1</v>
      </c>
      <c r="V85" s="90">
        <f>IF(AND(H85=TRUE,OR(K85="",K85&gt;M85)),S85,0)</f>
        <v/>
      </c>
      <c r="W85" s="89" t="n">
        <v>0</v>
      </c>
      <c r="X85" s="89" t="b">
        <v>0</v>
      </c>
    </row>
    <row r="86" hidden="1">
      <c r="A86" s="89" t="inlineStr">
        <is>
          <t>ZRIB01</t>
        </is>
      </c>
      <c r="B86" s="89" t="n">
        <v>1</v>
      </c>
      <c r="C86" s="89" t="inlineStr">
        <is>
          <t>HFB104</t>
        </is>
      </c>
      <c r="D86" s="89" t="inlineStr">
        <is>
          <t>B</t>
        </is>
      </c>
      <c r="E86" s="89" t="inlineStr">
        <is>
          <t>Ribeiro Paulo Sergio Da Silva</t>
        </is>
      </c>
      <c r="F86" s="90">
        <f>SUMIFS(Investors!$M:$M,Investors!$O:$O,FALSE,Investors!$P:$P,FALSE,Investors!$K:$K,"&gt;"&amp;'NSST Print'!$B$3,Investors!$I:$I,"&lt;="&amp;'NSST Print'!$B$3,Investors!$A:$A,'Investor Exit List'!$A86,Investors!$E:$E,'Investor Exit List'!$C86,Investors!$L:$L,'Investor Exit List'!$B86)-(SUMIFS(Investors!$M:$M,Investors!$I:$I,"&lt;="&amp;'NSST Print'!$B$3,Investors!$J:$J,"&gt;"&amp;'NSST Print'!$B$3,Investors!$A:$A,'Investor Exit List'!$A86,Investors!$E:$E,'Investor Exit List'!$C86,Investors!$L:$L,'Investor Exit List'!$B86)+SUMIFS(Investors!$M:$M,Investors!$I:$I,"&lt;="&amp;'NSST Print'!$B$3,Investors!$J:$J,"",Investors!$A:$A,'Investor Exit List'!$A86,Investors!$E:$E,'Investor Exit List'!$C86,Investors!$L:$L,'Investor Exit List'!$B86))</f>
        <v/>
      </c>
      <c r="G86" s="91" t="n">
        <v>44352</v>
      </c>
      <c r="H86" s="89" t="b">
        <v>1</v>
      </c>
      <c r="I86" s="89" t="b">
        <v>1</v>
      </c>
      <c r="J86" s="91" t="n">
        <v>44908</v>
      </c>
      <c r="K86" s="91">
        <f>IF(I86=TRUE,J86,"")</f>
        <v/>
      </c>
      <c r="L86" s="91">
        <f>G86+730</f>
        <v/>
      </c>
      <c r="M86" s="91" t="n">
        <v>45382</v>
      </c>
      <c r="N86" s="92">
        <f>IFERROR(IF(G86&lt;&gt;"",IF(I86=TRUE,0,IF(U86=TRUE,0,L86-M86)),0),0)</f>
        <v/>
      </c>
      <c r="O86" s="92">
        <f>IF(N86&gt;0,IF(N86&lt;=180,N86,0),0)</f>
        <v/>
      </c>
      <c r="P86" s="90">
        <f>IF(AND(N86&lt;90,N86&gt;0),Q86,0)</f>
        <v/>
      </c>
      <c r="Q86" s="90">
        <f>SUMIFS(Investors!$M:$M,Investors!$O:$O,FALSE,Investors!$P:$P,FALSE,Investors!$K:$K,"&gt;"&amp;'NSST Print'!$B$3,Investors!$I:$I,"&lt;="&amp;'NSST Print'!$B$3,Investors!$A:$A,'Investor Exit List'!$A86,Investors!$E:$E,'Investor Exit List'!$C86,Investors!$L:$L,'Investor Exit List'!$B86)-(SUMIFS(Investors!$M:$M,Investors!$I:$I,"&lt;="&amp;'NSST Print'!$B$3,Investors!$J:$J,"&gt;"&amp;'NSST Print'!$B$3,Investors!$A:$A,'Investor Exit List'!$A86,Investors!$E:$E,'Investor Exit List'!$C86,Investors!$L:$L,'Investor Exit List'!$B86)+SUMIFS(Investors!$M:$M,Investors!$I:$I,"&lt;="&amp;'NSST Print'!$B$3,Investors!$J:$J,"",Investors!$A:$A,'Investor Exit List'!$A86,Investors!$E:$E,'Investor Exit List'!$C86,Investors!$L:$L,'Investor Exit List'!$B86))+SUMIFS(Investors!$S:$S,Investors!$O:$O,FALSE,Investors!$P:$P,FALSE,Investors!$K:$K,"&gt;"&amp;'NSST Print'!$B$3,Investors!$I:$I,"&lt;="&amp;'NSST Print'!$B$3,Investors!$A:$A,'Investor Exit List'!$A86,Investors!$E:$E,'Investor Exit List'!$C86,Investors!$L:$L,'Investor Exit List'!$B86)-(SUMIFS(Investors!$S:$S,Investors!$I:$I,"&lt;="&amp;'NSST Print'!$B$3,Investors!$J:$J,"&gt;"&amp;'NSST Print'!$B$3,Investors!$A:$A,'Investor Exit List'!$A86,Investors!$E:$E,'Investor Exit List'!$C86,Investors!$L:$L,'Investor Exit List'!$B86)+SUMIFS(Investors!$S:$S,Investors!$I:$I,"&lt;="&amp;'NSST Print'!$B$3,Investors!$J:$J,"",Investors!$A:$A,'Investor Exit List'!$A86,Investors!$E:$E,'Investor Exit List'!$C86,Investors!$L:$L,'Investor Exit List'!$B86))</f>
        <v/>
      </c>
      <c r="R86" s="90">
        <f>IF(AND(H86=TRUE,I86=FALSE),Q86,0)</f>
        <v/>
      </c>
      <c r="S86" s="90">
        <f>SUMIFS(Investors!$M:$M,Investors!$O:$O,TRUE,Investors!$A:$A,'Investor Exit List'!$A86,Investors!$E:$E,'Investor Exit List'!$C86,Investors!$L:$L,'Investor Exit List'!$B86)+SUMIFS(Investors!$S:$S,Investors!$O:$O,TRUE,Investors!$A:$A,'Investor Exit List'!$A86,Investors!$E:$E,'Investor Exit List'!$C86,Investors!$L:$L,'Investor Exit List'!$B86)</f>
        <v/>
      </c>
      <c r="T86" s="91">
        <f>IF(U86=TRUE,$J86,"")</f>
        <v/>
      </c>
      <c r="U86" s="89" t="b">
        <v>0</v>
      </c>
      <c r="V86" s="90">
        <f>IF(AND(H86=TRUE,OR(K86="",K86&gt;M86)),S86,0)</f>
        <v/>
      </c>
      <c r="W86" s="89" t="n">
        <v>0</v>
      </c>
      <c r="X86" s="89" t="b">
        <v>0</v>
      </c>
    </row>
    <row r="87" hidden="1">
      <c r="A87" s="89" t="inlineStr">
        <is>
          <t>ZBUR01</t>
        </is>
      </c>
      <c r="B87" s="89" t="n">
        <v>1</v>
      </c>
      <c r="C87" s="89" t="inlineStr">
        <is>
          <t>HFB105</t>
        </is>
      </c>
      <c r="D87" s="89" t="inlineStr">
        <is>
          <t>B</t>
        </is>
      </c>
      <c r="E87" s="89" t="inlineStr">
        <is>
          <t>Burger Barend Frederik</t>
        </is>
      </c>
      <c r="F87" s="90">
        <f>SUMIFS(Investors!$M:$M,Investors!$O:$O,FALSE,Investors!$P:$P,FALSE,Investors!$K:$K,"&gt;"&amp;'NSST Print'!$B$3,Investors!$I:$I,"&lt;="&amp;'NSST Print'!$B$3,Investors!$A:$A,'Investor Exit List'!$A87,Investors!$E:$E,'Investor Exit List'!$C87,Investors!$L:$L,'Investor Exit List'!$B87)-(SUMIFS(Investors!$M:$M,Investors!$I:$I,"&lt;="&amp;'NSST Print'!$B$3,Investors!$J:$J,"&gt;"&amp;'NSST Print'!$B$3,Investors!$A:$A,'Investor Exit List'!$A87,Investors!$E:$E,'Investor Exit List'!$C87,Investors!$L:$L,'Investor Exit List'!$B87)+SUMIFS(Investors!$M:$M,Investors!$I:$I,"&lt;="&amp;'NSST Print'!$B$3,Investors!$J:$J,"",Investors!$A:$A,'Investor Exit List'!$A87,Investors!$E:$E,'Investor Exit List'!$C87,Investors!$L:$L,'Investor Exit List'!$B87))</f>
        <v/>
      </c>
      <c r="G87" s="91" t="n">
        <v>44352</v>
      </c>
      <c r="H87" s="89" t="b">
        <v>1</v>
      </c>
      <c r="I87" s="89" t="b">
        <v>1</v>
      </c>
      <c r="J87" s="91" t="n">
        <v>44992</v>
      </c>
      <c r="K87" s="91">
        <f>IF(I87=TRUE,J87,"")</f>
        <v/>
      </c>
      <c r="L87" s="91">
        <f>G87+730</f>
        <v/>
      </c>
      <c r="M87" s="91" t="n">
        <v>45382</v>
      </c>
      <c r="N87" s="92">
        <f>IFERROR(IF(G87&lt;&gt;"",IF(I87=TRUE,0,IF(U87=TRUE,0,L87-M87)),0),0)</f>
        <v/>
      </c>
      <c r="O87" s="92">
        <f>IF(N87&gt;0,IF(N87&lt;=180,N87,0),0)</f>
        <v/>
      </c>
      <c r="P87" s="90">
        <f>IF(AND(N87&lt;90,N87&gt;0),Q87,0)</f>
        <v/>
      </c>
      <c r="Q87" s="90">
        <f>SUMIFS(Investors!$M:$M,Investors!$O:$O,FALSE,Investors!$P:$P,FALSE,Investors!$K:$K,"&gt;"&amp;'NSST Print'!$B$3,Investors!$I:$I,"&lt;="&amp;'NSST Print'!$B$3,Investors!$A:$A,'Investor Exit List'!$A87,Investors!$E:$E,'Investor Exit List'!$C87,Investors!$L:$L,'Investor Exit List'!$B87)-(SUMIFS(Investors!$M:$M,Investors!$I:$I,"&lt;="&amp;'NSST Print'!$B$3,Investors!$J:$J,"&gt;"&amp;'NSST Print'!$B$3,Investors!$A:$A,'Investor Exit List'!$A87,Investors!$E:$E,'Investor Exit List'!$C87,Investors!$L:$L,'Investor Exit List'!$B87)+SUMIFS(Investors!$M:$M,Investors!$I:$I,"&lt;="&amp;'NSST Print'!$B$3,Investors!$J:$J,"",Investors!$A:$A,'Investor Exit List'!$A87,Investors!$E:$E,'Investor Exit List'!$C87,Investors!$L:$L,'Investor Exit List'!$B87))+SUMIFS(Investors!$S:$S,Investors!$O:$O,FALSE,Investors!$P:$P,FALSE,Investors!$K:$K,"&gt;"&amp;'NSST Print'!$B$3,Investors!$I:$I,"&lt;="&amp;'NSST Print'!$B$3,Investors!$A:$A,'Investor Exit List'!$A87,Investors!$E:$E,'Investor Exit List'!$C87,Investors!$L:$L,'Investor Exit List'!$B87)-(SUMIFS(Investors!$S:$S,Investors!$I:$I,"&lt;="&amp;'NSST Print'!$B$3,Investors!$J:$J,"&gt;"&amp;'NSST Print'!$B$3,Investors!$A:$A,'Investor Exit List'!$A87,Investors!$E:$E,'Investor Exit List'!$C87,Investors!$L:$L,'Investor Exit List'!$B87)+SUMIFS(Investors!$S:$S,Investors!$I:$I,"&lt;="&amp;'NSST Print'!$B$3,Investors!$J:$J,"",Investors!$A:$A,'Investor Exit List'!$A87,Investors!$E:$E,'Investor Exit List'!$C87,Investors!$L:$L,'Investor Exit List'!$B87))</f>
        <v/>
      </c>
      <c r="R87" s="90">
        <f>IF(AND(H87=TRUE,I87=FALSE),Q87,0)</f>
        <v/>
      </c>
      <c r="S87" s="90">
        <f>SUMIFS(Investors!$M:$M,Investors!$O:$O,TRUE,Investors!$A:$A,'Investor Exit List'!$A87,Investors!$E:$E,'Investor Exit List'!$C87,Investors!$L:$L,'Investor Exit List'!$B87)+SUMIFS(Investors!$S:$S,Investors!$O:$O,TRUE,Investors!$A:$A,'Investor Exit List'!$A87,Investors!$E:$E,'Investor Exit List'!$C87,Investors!$L:$L,'Investor Exit List'!$B87)</f>
        <v/>
      </c>
      <c r="T87" s="91">
        <f>IF(U87=TRUE,$J87,"")</f>
        <v/>
      </c>
      <c r="U87" s="89" t="b">
        <v>0</v>
      </c>
      <c r="V87" s="90">
        <f>IF(AND(H87=TRUE,OR(K87="",K87&gt;M87)),S87,0)</f>
        <v/>
      </c>
      <c r="W87" s="89" t="n">
        <v>0</v>
      </c>
      <c r="X87" s="89" t="b">
        <v>0</v>
      </c>
    </row>
    <row r="88" hidden="1">
      <c r="A88" s="89" t="inlineStr">
        <is>
          <t>ZJOH01</t>
        </is>
      </c>
      <c r="B88" s="89" t="n">
        <v>3</v>
      </c>
      <c r="C88" s="89" t="inlineStr">
        <is>
          <t>HFB105</t>
        </is>
      </c>
      <c r="D88" s="89" t="inlineStr">
        <is>
          <t>B</t>
        </is>
      </c>
      <c r="E88" s="89" t="inlineStr">
        <is>
          <t>Johns Lisa-Marie Natalie</t>
        </is>
      </c>
      <c r="F88" s="90">
        <f>SUMIFS(Investors!$M:$M,Investors!$O:$O,FALSE,Investors!$P:$P,FALSE,Investors!$K:$K,"&gt;"&amp;'NSST Print'!$B$3,Investors!$I:$I,"&lt;="&amp;'NSST Print'!$B$3,Investors!$A:$A,'Investor Exit List'!$A88,Investors!$E:$E,'Investor Exit List'!$C88,Investors!$L:$L,'Investor Exit List'!$B88)-(SUMIFS(Investors!$M:$M,Investors!$I:$I,"&lt;="&amp;'NSST Print'!$B$3,Investors!$J:$J,"&gt;"&amp;'NSST Print'!$B$3,Investors!$A:$A,'Investor Exit List'!$A88,Investors!$E:$E,'Investor Exit List'!$C88,Investors!$L:$L,'Investor Exit List'!$B88)+SUMIFS(Investors!$M:$M,Investors!$I:$I,"&lt;="&amp;'NSST Print'!$B$3,Investors!$J:$J,"",Investors!$A:$A,'Investor Exit List'!$A88,Investors!$E:$E,'Investor Exit List'!$C88,Investors!$L:$L,'Investor Exit List'!$B88))</f>
        <v/>
      </c>
      <c r="G88" s="91" t="n">
        <v>44316</v>
      </c>
      <c r="H88" s="89" t="b">
        <v>1</v>
      </c>
      <c r="I88" s="89" t="b">
        <v>1</v>
      </c>
      <c r="J88" s="91" t="n">
        <v>44953</v>
      </c>
      <c r="K88" s="91">
        <f>IF(I88=TRUE,J88,"")</f>
        <v/>
      </c>
      <c r="L88" s="91">
        <f>G88+730</f>
        <v/>
      </c>
      <c r="M88" s="91" t="n">
        <v>45382</v>
      </c>
      <c r="N88" s="92">
        <f>IFERROR(IF(G88&lt;&gt;"",IF(I88=TRUE,0,IF(U88=TRUE,0,L88-M88)),0),0)</f>
        <v/>
      </c>
      <c r="O88" s="92">
        <f>IF(N88&gt;0,IF(N88&lt;=180,N88,0),0)</f>
        <v/>
      </c>
      <c r="P88" s="90">
        <f>IF(AND(N88&lt;90,N88&gt;0),Q88,0)</f>
        <v/>
      </c>
      <c r="Q88" s="90">
        <f>SUMIFS(Investors!$M:$M,Investors!$O:$O,FALSE,Investors!$P:$P,FALSE,Investors!$K:$K,"&gt;"&amp;'NSST Print'!$B$3,Investors!$I:$I,"&lt;="&amp;'NSST Print'!$B$3,Investors!$A:$A,'Investor Exit List'!$A88,Investors!$E:$E,'Investor Exit List'!$C88,Investors!$L:$L,'Investor Exit List'!$B88)-(SUMIFS(Investors!$M:$M,Investors!$I:$I,"&lt;="&amp;'NSST Print'!$B$3,Investors!$J:$J,"&gt;"&amp;'NSST Print'!$B$3,Investors!$A:$A,'Investor Exit List'!$A88,Investors!$E:$E,'Investor Exit List'!$C88,Investors!$L:$L,'Investor Exit List'!$B88)+SUMIFS(Investors!$M:$M,Investors!$I:$I,"&lt;="&amp;'NSST Print'!$B$3,Investors!$J:$J,"",Investors!$A:$A,'Investor Exit List'!$A88,Investors!$E:$E,'Investor Exit List'!$C88,Investors!$L:$L,'Investor Exit List'!$B88))+SUMIFS(Investors!$S:$S,Investors!$O:$O,FALSE,Investors!$P:$P,FALSE,Investors!$K:$K,"&gt;"&amp;'NSST Print'!$B$3,Investors!$I:$I,"&lt;="&amp;'NSST Print'!$B$3,Investors!$A:$A,'Investor Exit List'!$A88,Investors!$E:$E,'Investor Exit List'!$C88,Investors!$L:$L,'Investor Exit List'!$B88)-(SUMIFS(Investors!$S:$S,Investors!$I:$I,"&lt;="&amp;'NSST Print'!$B$3,Investors!$J:$J,"&gt;"&amp;'NSST Print'!$B$3,Investors!$A:$A,'Investor Exit List'!$A88,Investors!$E:$E,'Investor Exit List'!$C88,Investors!$L:$L,'Investor Exit List'!$B88)+SUMIFS(Investors!$S:$S,Investors!$I:$I,"&lt;="&amp;'NSST Print'!$B$3,Investors!$J:$J,"",Investors!$A:$A,'Investor Exit List'!$A88,Investors!$E:$E,'Investor Exit List'!$C88,Investors!$L:$L,'Investor Exit List'!$B88))</f>
        <v/>
      </c>
      <c r="R88" s="90">
        <f>IF(AND(H88=TRUE,I88=FALSE),Q88,0)</f>
        <v/>
      </c>
      <c r="S88" s="90">
        <f>SUMIFS(Investors!$M:$M,Investors!$O:$O,TRUE,Investors!$A:$A,'Investor Exit List'!$A88,Investors!$E:$E,'Investor Exit List'!$C88,Investors!$L:$L,'Investor Exit List'!$B88)+SUMIFS(Investors!$S:$S,Investors!$O:$O,TRUE,Investors!$A:$A,'Investor Exit List'!$A88,Investors!$E:$E,'Investor Exit List'!$C88,Investors!$L:$L,'Investor Exit List'!$B88)</f>
        <v/>
      </c>
      <c r="T88" s="91">
        <f>IF(U88=TRUE,$J88,"")</f>
        <v/>
      </c>
      <c r="U88" s="89" t="b">
        <v>1</v>
      </c>
      <c r="V88" s="90">
        <f>IF(AND(H88=TRUE,OR(K88="",K88&gt;M88)),S88,0)</f>
        <v/>
      </c>
      <c r="W88" s="89" t="n">
        <v>0</v>
      </c>
      <c r="X88" s="89" t="b">
        <v>0</v>
      </c>
    </row>
    <row r="89" hidden="1">
      <c r="A89" s="89" t="inlineStr">
        <is>
          <t>ZKRU01</t>
        </is>
      </c>
      <c r="B89" s="89" t="n">
        <v>4</v>
      </c>
      <c r="C89" s="89" t="inlineStr">
        <is>
          <t>HFB105</t>
        </is>
      </c>
      <c r="D89" s="89" t="inlineStr">
        <is>
          <t>B</t>
        </is>
      </c>
      <c r="E89" s="89" t="inlineStr">
        <is>
          <t>Kruger Jurgen</t>
        </is>
      </c>
      <c r="F89" s="90">
        <f>SUMIFS(Investors!$M:$M,Investors!$O:$O,FALSE,Investors!$P:$P,FALSE,Investors!$K:$K,"&gt;"&amp;'NSST Print'!$B$3,Investors!$I:$I,"&lt;="&amp;'NSST Print'!$B$3,Investors!$A:$A,'Investor Exit List'!$A89,Investors!$E:$E,'Investor Exit List'!$C89,Investors!$L:$L,'Investor Exit List'!$B89)-(SUMIFS(Investors!$M:$M,Investors!$I:$I,"&lt;="&amp;'NSST Print'!$B$3,Investors!$J:$J,"&gt;"&amp;'NSST Print'!$B$3,Investors!$A:$A,'Investor Exit List'!$A89,Investors!$E:$E,'Investor Exit List'!$C89,Investors!$L:$L,'Investor Exit List'!$B89)+SUMIFS(Investors!$M:$M,Investors!$I:$I,"&lt;="&amp;'NSST Print'!$B$3,Investors!$J:$J,"",Investors!$A:$A,'Investor Exit List'!$A89,Investors!$E:$E,'Investor Exit List'!$C89,Investors!$L:$L,'Investor Exit List'!$B89))</f>
        <v/>
      </c>
      <c r="G89" s="91" t="n">
        <v>44378</v>
      </c>
      <c r="H89" s="89" t="b">
        <v>1</v>
      </c>
      <c r="I89" s="89" t="b">
        <v>1</v>
      </c>
      <c r="J89" s="91" t="n">
        <v>44952</v>
      </c>
      <c r="K89" s="91">
        <f>IF(I89=TRUE,J89,"")</f>
        <v/>
      </c>
      <c r="L89" s="91">
        <f>G89+730</f>
        <v/>
      </c>
      <c r="M89" s="91" t="n">
        <v>45382</v>
      </c>
      <c r="N89" s="92">
        <f>IFERROR(IF(G89&lt;&gt;"",IF(I89=TRUE,0,IF(U89=TRUE,0,L89-M89)),0),0)</f>
        <v/>
      </c>
      <c r="O89" s="92">
        <f>IF(N89&gt;0,IF(N89&lt;=180,N89,0),0)</f>
        <v/>
      </c>
      <c r="P89" s="90">
        <f>IF(AND(N89&lt;90,N89&gt;0),Q89,0)</f>
        <v/>
      </c>
      <c r="Q89" s="90">
        <f>SUMIFS(Investors!$M:$M,Investors!$O:$O,FALSE,Investors!$P:$P,FALSE,Investors!$K:$K,"&gt;"&amp;'NSST Print'!$B$3,Investors!$I:$I,"&lt;="&amp;'NSST Print'!$B$3,Investors!$A:$A,'Investor Exit List'!$A89,Investors!$E:$E,'Investor Exit List'!$C89,Investors!$L:$L,'Investor Exit List'!$B89)-(SUMIFS(Investors!$M:$M,Investors!$I:$I,"&lt;="&amp;'NSST Print'!$B$3,Investors!$J:$J,"&gt;"&amp;'NSST Print'!$B$3,Investors!$A:$A,'Investor Exit List'!$A89,Investors!$E:$E,'Investor Exit List'!$C89,Investors!$L:$L,'Investor Exit List'!$B89)+SUMIFS(Investors!$M:$M,Investors!$I:$I,"&lt;="&amp;'NSST Print'!$B$3,Investors!$J:$J,"",Investors!$A:$A,'Investor Exit List'!$A89,Investors!$E:$E,'Investor Exit List'!$C89,Investors!$L:$L,'Investor Exit List'!$B89))+SUMIFS(Investors!$S:$S,Investors!$O:$O,FALSE,Investors!$P:$P,FALSE,Investors!$K:$K,"&gt;"&amp;'NSST Print'!$B$3,Investors!$I:$I,"&lt;="&amp;'NSST Print'!$B$3,Investors!$A:$A,'Investor Exit List'!$A89,Investors!$E:$E,'Investor Exit List'!$C89,Investors!$L:$L,'Investor Exit List'!$B89)-(SUMIFS(Investors!$S:$S,Investors!$I:$I,"&lt;="&amp;'NSST Print'!$B$3,Investors!$J:$J,"&gt;"&amp;'NSST Print'!$B$3,Investors!$A:$A,'Investor Exit List'!$A89,Investors!$E:$E,'Investor Exit List'!$C89,Investors!$L:$L,'Investor Exit List'!$B89)+SUMIFS(Investors!$S:$S,Investors!$I:$I,"&lt;="&amp;'NSST Print'!$B$3,Investors!$J:$J,"",Investors!$A:$A,'Investor Exit List'!$A89,Investors!$E:$E,'Investor Exit List'!$C89,Investors!$L:$L,'Investor Exit List'!$B89))</f>
        <v/>
      </c>
      <c r="R89" s="90">
        <f>IF(AND(H89=TRUE,I89=FALSE),Q89,0)</f>
        <v/>
      </c>
      <c r="S89" s="90">
        <f>SUMIFS(Investors!$M:$M,Investors!$O:$O,TRUE,Investors!$A:$A,'Investor Exit List'!$A89,Investors!$E:$E,'Investor Exit List'!$C89,Investors!$L:$L,'Investor Exit List'!$B89)+SUMIFS(Investors!$S:$S,Investors!$O:$O,TRUE,Investors!$A:$A,'Investor Exit List'!$A89,Investors!$E:$E,'Investor Exit List'!$C89,Investors!$L:$L,'Investor Exit List'!$B89)</f>
        <v/>
      </c>
      <c r="T89" s="91">
        <f>IF(U89=TRUE,$J89,"")</f>
        <v/>
      </c>
      <c r="U89" s="89" t="b">
        <v>1</v>
      </c>
      <c r="V89" s="90">
        <f>IF(AND(H89=TRUE,OR(K89="",K89&gt;M89)),S89,0)</f>
        <v/>
      </c>
      <c r="W89" s="89" t="n">
        <v>0</v>
      </c>
      <c r="X89" s="89" t="b">
        <v>0</v>
      </c>
    </row>
    <row r="90" hidden="1">
      <c r="A90" s="89" t="inlineStr">
        <is>
          <t>ZBAR02</t>
        </is>
      </c>
      <c r="B90" s="89" t="n">
        <v>1</v>
      </c>
      <c r="C90" s="89" t="inlineStr">
        <is>
          <t>HFB106</t>
        </is>
      </c>
      <c r="D90" s="89" t="inlineStr">
        <is>
          <t>B</t>
        </is>
      </c>
      <c r="E90" s="89" t="inlineStr">
        <is>
          <t>Barkhuysen Nicolaas Jacobus (Jaco)</t>
        </is>
      </c>
      <c r="F90" s="90">
        <f>SUMIFS(Investors!$M:$M,Investors!$O:$O,FALSE,Investors!$P:$P,FALSE,Investors!$K:$K,"&gt;"&amp;'NSST Print'!$B$3,Investors!$I:$I,"&lt;="&amp;'NSST Print'!$B$3,Investors!$A:$A,'Investor Exit List'!$A90,Investors!$E:$E,'Investor Exit List'!$C90,Investors!$L:$L,'Investor Exit List'!$B90)-(SUMIFS(Investors!$M:$M,Investors!$I:$I,"&lt;="&amp;'NSST Print'!$B$3,Investors!$J:$J,"&gt;"&amp;'NSST Print'!$B$3,Investors!$A:$A,'Investor Exit List'!$A90,Investors!$E:$E,'Investor Exit List'!$C90,Investors!$L:$L,'Investor Exit List'!$B90)+SUMIFS(Investors!$M:$M,Investors!$I:$I,"&lt;="&amp;'NSST Print'!$B$3,Investors!$J:$J,"",Investors!$A:$A,'Investor Exit List'!$A90,Investors!$E:$E,'Investor Exit List'!$C90,Investors!$L:$L,'Investor Exit List'!$B90))</f>
        <v/>
      </c>
      <c r="G90" s="91" t="n">
        <v>44352</v>
      </c>
      <c r="H90" s="89" t="b">
        <v>1</v>
      </c>
      <c r="I90" s="89" t="b">
        <v>1</v>
      </c>
      <c r="J90" s="91" t="n">
        <v>44956</v>
      </c>
      <c r="K90" s="91">
        <f>IF(I90=TRUE,J90,"")</f>
        <v/>
      </c>
      <c r="L90" s="91">
        <f>G90+730</f>
        <v/>
      </c>
      <c r="M90" s="91" t="n">
        <v>45382</v>
      </c>
      <c r="N90" s="92">
        <f>IFERROR(IF(G90&lt;&gt;"",IF(I90=TRUE,0,IF(U90=TRUE,0,L90-M90)),0),0)</f>
        <v/>
      </c>
      <c r="O90" s="92">
        <f>IF(N90&gt;0,IF(N90&lt;=180,N90,0),0)</f>
        <v/>
      </c>
      <c r="P90" s="90">
        <f>IF(AND(N90&lt;90,N90&gt;0),Q90,0)</f>
        <v/>
      </c>
      <c r="Q90" s="90">
        <f>SUMIFS(Investors!$M:$M,Investors!$O:$O,FALSE,Investors!$P:$P,FALSE,Investors!$K:$K,"&gt;"&amp;'NSST Print'!$B$3,Investors!$I:$I,"&lt;="&amp;'NSST Print'!$B$3,Investors!$A:$A,'Investor Exit List'!$A90,Investors!$E:$E,'Investor Exit List'!$C90,Investors!$L:$L,'Investor Exit List'!$B90)-(SUMIFS(Investors!$M:$M,Investors!$I:$I,"&lt;="&amp;'NSST Print'!$B$3,Investors!$J:$J,"&gt;"&amp;'NSST Print'!$B$3,Investors!$A:$A,'Investor Exit List'!$A90,Investors!$E:$E,'Investor Exit List'!$C90,Investors!$L:$L,'Investor Exit List'!$B90)+SUMIFS(Investors!$M:$M,Investors!$I:$I,"&lt;="&amp;'NSST Print'!$B$3,Investors!$J:$J,"",Investors!$A:$A,'Investor Exit List'!$A90,Investors!$E:$E,'Investor Exit List'!$C90,Investors!$L:$L,'Investor Exit List'!$B90))+SUMIFS(Investors!$S:$S,Investors!$O:$O,FALSE,Investors!$P:$P,FALSE,Investors!$K:$K,"&gt;"&amp;'NSST Print'!$B$3,Investors!$I:$I,"&lt;="&amp;'NSST Print'!$B$3,Investors!$A:$A,'Investor Exit List'!$A90,Investors!$E:$E,'Investor Exit List'!$C90,Investors!$L:$L,'Investor Exit List'!$B90)-(SUMIFS(Investors!$S:$S,Investors!$I:$I,"&lt;="&amp;'NSST Print'!$B$3,Investors!$J:$J,"&gt;"&amp;'NSST Print'!$B$3,Investors!$A:$A,'Investor Exit List'!$A90,Investors!$E:$E,'Investor Exit List'!$C90,Investors!$L:$L,'Investor Exit List'!$B90)+SUMIFS(Investors!$S:$S,Investors!$I:$I,"&lt;="&amp;'NSST Print'!$B$3,Investors!$J:$J,"",Investors!$A:$A,'Investor Exit List'!$A90,Investors!$E:$E,'Investor Exit List'!$C90,Investors!$L:$L,'Investor Exit List'!$B90))</f>
        <v/>
      </c>
      <c r="R90" s="90">
        <f>IF(AND(H90=TRUE,I90=FALSE),Q90,0)</f>
        <v/>
      </c>
      <c r="S90" s="90">
        <f>SUMIFS(Investors!$M:$M,Investors!$O:$O,TRUE,Investors!$A:$A,'Investor Exit List'!$A90,Investors!$E:$E,'Investor Exit List'!$C90,Investors!$L:$L,'Investor Exit List'!$B90)+SUMIFS(Investors!$S:$S,Investors!$O:$O,TRUE,Investors!$A:$A,'Investor Exit List'!$A90,Investors!$E:$E,'Investor Exit List'!$C90,Investors!$L:$L,'Investor Exit List'!$B90)</f>
        <v/>
      </c>
      <c r="T90" s="91">
        <f>IF(U90=TRUE,$J90,"")</f>
        <v/>
      </c>
      <c r="U90" s="89" t="b">
        <v>0</v>
      </c>
      <c r="V90" s="90">
        <f>IF(AND(H90=TRUE,OR(K90="",K90&gt;M90)),S90,0)</f>
        <v/>
      </c>
      <c r="W90" s="89" t="n">
        <v>0</v>
      </c>
      <c r="X90" s="89" t="b">
        <v>0</v>
      </c>
    </row>
    <row r="91" hidden="1">
      <c r="A91" s="89" t="inlineStr">
        <is>
          <t>ZINT01</t>
        </is>
      </c>
      <c r="B91" s="89" t="n">
        <v>5</v>
      </c>
      <c r="C91" s="89" t="inlineStr">
        <is>
          <t>HFB106</t>
        </is>
      </c>
      <c r="D91" s="89" t="inlineStr">
        <is>
          <t>B</t>
        </is>
      </c>
      <c r="E91" s="89" t="inlineStr">
        <is>
          <t>Lunau Marc</t>
        </is>
      </c>
      <c r="F91" s="90">
        <f>SUMIFS(Investors!$M:$M,Investors!$O:$O,FALSE,Investors!$P:$P,FALSE,Investors!$K:$K,"&gt;"&amp;'NSST Print'!$B$3,Investors!$I:$I,"&lt;="&amp;'NSST Print'!$B$3,Investors!$A:$A,'Investor Exit List'!$A91,Investors!$E:$E,'Investor Exit List'!$C91,Investors!$L:$L,'Investor Exit List'!$B91)-(SUMIFS(Investors!$M:$M,Investors!$I:$I,"&lt;="&amp;'NSST Print'!$B$3,Investors!$J:$J,"&gt;"&amp;'NSST Print'!$B$3,Investors!$A:$A,'Investor Exit List'!$A91,Investors!$E:$E,'Investor Exit List'!$C91,Investors!$L:$L,'Investor Exit List'!$B91)+SUMIFS(Investors!$M:$M,Investors!$I:$I,"&lt;="&amp;'NSST Print'!$B$3,Investors!$J:$J,"",Investors!$A:$A,'Investor Exit List'!$A91,Investors!$E:$E,'Investor Exit List'!$C91,Investors!$L:$L,'Investor Exit List'!$B91))</f>
        <v/>
      </c>
      <c r="G91" s="91" t="n">
        <v>44316</v>
      </c>
      <c r="H91" s="89" t="b">
        <v>1</v>
      </c>
      <c r="I91" s="89" t="b">
        <v>1</v>
      </c>
      <c r="J91" s="91" t="n">
        <v>44956</v>
      </c>
      <c r="K91" s="91">
        <f>IF(I91=TRUE,J91,"")</f>
        <v/>
      </c>
      <c r="L91" s="91">
        <f>G91+730</f>
        <v/>
      </c>
      <c r="M91" s="91" t="n">
        <v>45382</v>
      </c>
      <c r="N91" s="92">
        <f>IFERROR(IF(G91&lt;&gt;"",IF(I91=TRUE,0,IF(U91=TRUE,0,L91-M91)),0),0)</f>
        <v/>
      </c>
      <c r="O91" s="92">
        <f>IF(N91&gt;0,IF(N91&lt;=180,N91,0),0)</f>
        <v/>
      </c>
      <c r="P91" s="90">
        <f>IF(AND(N91&lt;90,N91&gt;0),Q91,0)</f>
        <v/>
      </c>
      <c r="Q91" s="90">
        <f>SUMIFS(Investors!$M:$M,Investors!$O:$O,FALSE,Investors!$P:$P,FALSE,Investors!$K:$K,"&gt;"&amp;'NSST Print'!$B$3,Investors!$I:$I,"&lt;="&amp;'NSST Print'!$B$3,Investors!$A:$A,'Investor Exit List'!$A91,Investors!$E:$E,'Investor Exit List'!$C91,Investors!$L:$L,'Investor Exit List'!$B91)-(SUMIFS(Investors!$M:$M,Investors!$I:$I,"&lt;="&amp;'NSST Print'!$B$3,Investors!$J:$J,"&gt;"&amp;'NSST Print'!$B$3,Investors!$A:$A,'Investor Exit List'!$A91,Investors!$E:$E,'Investor Exit List'!$C91,Investors!$L:$L,'Investor Exit List'!$B91)+SUMIFS(Investors!$M:$M,Investors!$I:$I,"&lt;="&amp;'NSST Print'!$B$3,Investors!$J:$J,"",Investors!$A:$A,'Investor Exit List'!$A91,Investors!$E:$E,'Investor Exit List'!$C91,Investors!$L:$L,'Investor Exit List'!$B91))+SUMIFS(Investors!$S:$S,Investors!$O:$O,FALSE,Investors!$P:$P,FALSE,Investors!$K:$K,"&gt;"&amp;'NSST Print'!$B$3,Investors!$I:$I,"&lt;="&amp;'NSST Print'!$B$3,Investors!$A:$A,'Investor Exit List'!$A91,Investors!$E:$E,'Investor Exit List'!$C91,Investors!$L:$L,'Investor Exit List'!$B91)-(SUMIFS(Investors!$S:$S,Investors!$I:$I,"&lt;="&amp;'NSST Print'!$B$3,Investors!$J:$J,"&gt;"&amp;'NSST Print'!$B$3,Investors!$A:$A,'Investor Exit List'!$A91,Investors!$E:$E,'Investor Exit List'!$C91,Investors!$L:$L,'Investor Exit List'!$B91)+SUMIFS(Investors!$S:$S,Investors!$I:$I,"&lt;="&amp;'NSST Print'!$B$3,Investors!$J:$J,"",Investors!$A:$A,'Investor Exit List'!$A91,Investors!$E:$E,'Investor Exit List'!$C91,Investors!$L:$L,'Investor Exit List'!$B91))</f>
        <v/>
      </c>
      <c r="R91" s="90">
        <f>IF(AND(H91=TRUE,I91=FALSE),Q91,0)</f>
        <v/>
      </c>
      <c r="S91" s="90">
        <f>SUMIFS(Investors!$M:$M,Investors!$O:$O,TRUE,Investors!$A:$A,'Investor Exit List'!$A91,Investors!$E:$E,'Investor Exit List'!$C91,Investors!$L:$L,'Investor Exit List'!$B91)+SUMIFS(Investors!$S:$S,Investors!$O:$O,TRUE,Investors!$A:$A,'Investor Exit List'!$A91,Investors!$E:$E,'Investor Exit List'!$C91,Investors!$L:$L,'Investor Exit List'!$B91)</f>
        <v/>
      </c>
      <c r="T91" s="91">
        <f>IF(U91=TRUE,$J91,"")</f>
        <v/>
      </c>
      <c r="U91" s="89" t="b">
        <v>0</v>
      </c>
      <c r="V91" s="90">
        <f>IF(AND(H91=TRUE,OR(K91="",K91&gt;M91)),S91,0)</f>
        <v/>
      </c>
      <c r="W91" s="89" t="n">
        <v>0</v>
      </c>
      <c r="X91" s="89" t="b">
        <v>0</v>
      </c>
    </row>
    <row r="92" hidden="1">
      <c r="A92" s="89" t="inlineStr">
        <is>
          <t>ZTSO01</t>
        </is>
      </c>
      <c r="B92" s="89" t="n">
        <v>1</v>
      </c>
      <c r="C92" s="89" t="inlineStr">
        <is>
          <t>HFB106</t>
        </is>
      </c>
      <c r="D92" s="89" t="inlineStr">
        <is>
          <t>B</t>
        </is>
      </c>
      <c r="E92" s="89" t="inlineStr">
        <is>
          <t>Tsoku Abram Matlotleng</t>
        </is>
      </c>
      <c r="F92" s="90">
        <f>SUMIFS(Investors!$M:$M,Investors!$O:$O,FALSE,Investors!$P:$P,FALSE,Investors!$K:$K,"&gt;"&amp;'NSST Print'!$B$3,Investors!$I:$I,"&lt;="&amp;'NSST Print'!$B$3,Investors!$A:$A,'Investor Exit List'!$A92,Investors!$E:$E,'Investor Exit List'!$C92,Investors!$L:$L,'Investor Exit List'!$B92)-(SUMIFS(Investors!$M:$M,Investors!$I:$I,"&lt;="&amp;'NSST Print'!$B$3,Investors!$J:$J,"&gt;"&amp;'NSST Print'!$B$3,Investors!$A:$A,'Investor Exit List'!$A92,Investors!$E:$E,'Investor Exit List'!$C92,Investors!$L:$L,'Investor Exit List'!$B92)+SUMIFS(Investors!$M:$M,Investors!$I:$I,"&lt;="&amp;'NSST Print'!$B$3,Investors!$J:$J,"",Investors!$A:$A,'Investor Exit List'!$A92,Investors!$E:$E,'Investor Exit List'!$C92,Investors!$L:$L,'Investor Exit List'!$B92))</f>
        <v/>
      </c>
      <c r="G92" s="91" t="n">
        <v>44352</v>
      </c>
      <c r="H92" s="89" t="b">
        <v>1</v>
      </c>
      <c r="I92" s="89" t="b">
        <v>1</v>
      </c>
      <c r="J92" s="91" t="n">
        <v>44956</v>
      </c>
      <c r="K92" s="91">
        <f>IF(I92=TRUE,J92,"")</f>
        <v/>
      </c>
      <c r="L92" s="91">
        <f>G92+730</f>
        <v/>
      </c>
      <c r="M92" s="91" t="n">
        <v>45382</v>
      </c>
      <c r="N92" s="92">
        <f>IFERROR(IF(G92&lt;&gt;"",IF(I92=TRUE,0,IF(U92=TRUE,0,L92-M92)),0),0)</f>
        <v/>
      </c>
      <c r="O92" s="92">
        <f>IF(N92&gt;0,IF(N92&lt;=180,N92,0),0)</f>
        <v/>
      </c>
      <c r="P92" s="90">
        <f>IF(AND(N92&lt;90,N92&gt;0),Q92,0)</f>
        <v/>
      </c>
      <c r="Q92" s="90">
        <f>SUMIFS(Investors!$M:$M,Investors!$O:$O,FALSE,Investors!$P:$P,FALSE,Investors!$K:$K,"&gt;"&amp;'NSST Print'!$B$3,Investors!$I:$I,"&lt;="&amp;'NSST Print'!$B$3,Investors!$A:$A,'Investor Exit List'!$A92,Investors!$E:$E,'Investor Exit List'!$C92,Investors!$L:$L,'Investor Exit List'!$B92)-(SUMIFS(Investors!$M:$M,Investors!$I:$I,"&lt;="&amp;'NSST Print'!$B$3,Investors!$J:$J,"&gt;"&amp;'NSST Print'!$B$3,Investors!$A:$A,'Investor Exit List'!$A92,Investors!$E:$E,'Investor Exit List'!$C92,Investors!$L:$L,'Investor Exit List'!$B92)+SUMIFS(Investors!$M:$M,Investors!$I:$I,"&lt;="&amp;'NSST Print'!$B$3,Investors!$J:$J,"",Investors!$A:$A,'Investor Exit List'!$A92,Investors!$E:$E,'Investor Exit List'!$C92,Investors!$L:$L,'Investor Exit List'!$B92))+SUMIFS(Investors!$S:$S,Investors!$O:$O,FALSE,Investors!$P:$P,FALSE,Investors!$K:$K,"&gt;"&amp;'NSST Print'!$B$3,Investors!$I:$I,"&lt;="&amp;'NSST Print'!$B$3,Investors!$A:$A,'Investor Exit List'!$A92,Investors!$E:$E,'Investor Exit List'!$C92,Investors!$L:$L,'Investor Exit List'!$B92)-(SUMIFS(Investors!$S:$S,Investors!$I:$I,"&lt;="&amp;'NSST Print'!$B$3,Investors!$J:$J,"&gt;"&amp;'NSST Print'!$B$3,Investors!$A:$A,'Investor Exit List'!$A92,Investors!$E:$E,'Investor Exit List'!$C92,Investors!$L:$L,'Investor Exit List'!$B92)+SUMIFS(Investors!$S:$S,Investors!$I:$I,"&lt;="&amp;'NSST Print'!$B$3,Investors!$J:$J,"",Investors!$A:$A,'Investor Exit List'!$A92,Investors!$E:$E,'Investor Exit List'!$C92,Investors!$L:$L,'Investor Exit List'!$B92))</f>
        <v/>
      </c>
      <c r="R92" s="90">
        <f>IF(AND(H92=TRUE,I92=FALSE),Q92,0)</f>
        <v/>
      </c>
      <c r="S92" s="90">
        <f>SUMIFS(Investors!$M:$M,Investors!$O:$O,TRUE,Investors!$A:$A,'Investor Exit List'!$A92,Investors!$E:$E,'Investor Exit List'!$C92,Investors!$L:$L,'Investor Exit List'!$B92)+SUMIFS(Investors!$S:$S,Investors!$O:$O,TRUE,Investors!$A:$A,'Investor Exit List'!$A92,Investors!$E:$E,'Investor Exit List'!$C92,Investors!$L:$L,'Investor Exit List'!$B92)</f>
        <v/>
      </c>
      <c r="T92" s="91">
        <f>IF(U92=TRUE,$J92,"")</f>
        <v/>
      </c>
      <c r="U92" s="89" t="b">
        <v>0</v>
      </c>
      <c r="V92" s="90">
        <f>IF(AND(H92=TRUE,OR(K92="",K92&gt;M92)),S92,0)</f>
        <v/>
      </c>
      <c r="W92" s="89" t="n">
        <v>0</v>
      </c>
      <c r="X92" s="89" t="b">
        <v>0</v>
      </c>
    </row>
    <row r="93" hidden="1">
      <c r="A93" s="89" t="inlineStr">
        <is>
          <t>ZWAY01</t>
        </is>
      </c>
      <c r="B93" s="89" t="n">
        <v>1</v>
      </c>
      <c r="C93" s="89" t="inlineStr">
        <is>
          <t>HFB106</t>
        </is>
      </c>
      <c r="D93" s="89" t="inlineStr">
        <is>
          <t>B</t>
        </is>
      </c>
      <c r="E93" s="89" t="inlineStr">
        <is>
          <t>Way Shirley Kathleen</t>
        </is>
      </c>
      <c r="F93" s="90">
        <f>SUMIFS(Investors!$M:$M,Investors!$O:$O,FALSE,Investors!$P:$P,FALSE,Investors!$K:$K,"&gt;"&amp;'NSST Print'!$B$3,Investors!$I:$I,"&lt;="&amp;'NSST Print'!$B$3,Investors!$A:$A,'Investor Exit List'!$A93,Investors!$E:$E,'Investor Exit List'!$C93,Investors!$L:$L,'Investor Exit List'!$B93)-(SUMIFS(Investors!$M:$M,Investors!$I:$I,"&lt;="&amp;'NSST Print'!$B$3,Investors!$J:$J,"&gt;"&amp;'NSST Print'!$B$3,Investors!$A:$A,'Investor Exit List'!$A93,Investors!$E:$E,'Investor Exit List'!$C93,Investors!$L:$L,'Investor Exit List'!$B93)+SUMIFS(Investors!$M:$M,Investors!$I:$I,"&lt;="&amp;'NSST Print'!$B$3,Investors!$J:$J,"",Investors!$A:$A,'Investor Exit List'!$A93,Investors!$E:$E,'Investor Exit List'!$C93,Investors!$L:$L,'Investor Exit List'!$B93))</f>
        <v/>
      </c>
      <c r="G93" s="91" t="n">
        <v>44352</v>
      </c>
      <c r="H93" s="89" t="b">
        <v>1</v>
      </c>
      <c r="I93" s="89" t="b">
        <v>1</v>
      </c>
      <c r="J93" s="91" t="n">
        <v>44956</v>
      </c>
      <c r="K93" s="91">
        <f>IF(I93=TRUE,J93,"")</f>
        <v/>
      </c>
      <c r="L93" s="91">
        <f>G93+730</f>
        <v/>
      </c>
      <c r="M93" s="91" t="n">
        <v>45382</v>
      </c>
      <c r="N93" s="92">
        <f>IFERROR(IF(G93&lt;&gt;"",IF(I93=TRUE,0,IF(U93=TRUE,0,L93-M93)),0),0)</f>
        <v/>
      </c>
      <c r="O93" s="92">
        <f>IF(N93&gt;0,IF(N93&lt;=180,N93,0),0)</f>
        <v/>
      </c>
      <c r="P93" s="90">
        <f>IF(AND(N93&lt;90,N93&gt;0),Q93,0)</f>
        <v/>
      </c>
      <c r="Q93" s="90">
        <f>SUMIFS(Investors!$M:$M,Investors!$O:$O,FALSE,Investors!$P:$P,FALSE,Investors!$K:$K,"&gt;"&amp;'NSST Print'!$B$3,Investors!$I:$I,"&lt;="&amp;'NSST Print'!$B$3,Investors!$A:$A,'Investor Exit List'!$A93,Investors!$E:$E,'Investor Exit List'!$C93,Investors!$L:$L,'Investor Exit List'!$B93)-(SUMIFS(Investors!$M:$M,Investors!$I:$I,"&lt;="&amp;'NSST Print'!$B$3,Investors!$J:$J,"&gt;"&amp;'NSST Print'!$B$3,Investors!$A:$A,'Investor Exit List'!$A93,Investors!$E:$E,'Investor Exit List'!$C93,Investors!$L:$L,'Investor Exit List'!$B93)+SUMIFS(Investors!$M:$M,Investors!$I:$I,"&lt;="&amp;'NSST Print'!$B$3,Investors!$J:$J,"",Investors!$A:$A,'Investor Exit List'!$A93,Investors!$E:$E,'Investor Exit List'!$C93,Investors!$L:$L,'Investor Exit List'!$B93))+SUMIFS(Investors!$S:$S,Investors!$O:$O,FALSE,Investors!$P:$P,FALSE,Investors!$K:$K,"&gt;"&amp;'NSST Print'!$B$3,Investors!$I:$I,"&lt;="&amp;'NSST Print'!$B$3,Investors!$A:$A,'Investor Exit List'!$A93,Investors!$E:$E,'Investor Exit List'!$C93,Investors!$L:$L,'Investor Exit List'!$B93)-(SUMIFS(Investors!$S:$S,Investors!$I:$I,"&lt;="&amp;'NSST Print'!$B$3,Investors!$J:$J,"&gt;"&amp;'NSST Print'!$B$3,Investors!$A:$A,'Investor Exit List'!$A93,Investors!$E:$E,'Investor Exit List'!$C93,Investors!$L:$L,'Investor Exit List'!$B93)+SUMIFS(Investors!$S:$S,Investors!$I:$I,"&lt;="&amp;'NSST Print'!$B$3,Investors!$J:$J,"",Investors!$A:$A,'Investor Exit List'!$A93,Investors!$E:$E,'Investor Exit List'!$C93,Investors!$L:$L,'Investor Exit List'!$B93))</f>
        <v/>
      </c>
      <c r="R93" s="90">
        <f>IF(AND(H93=TRUE,I93=FALSE),Q93,0)</f>
        <v/>
      </c>
      <c r="S93" s="90">
        <f>SUMIFS(Investors!$M:$M,Investors!$O:$O,TRUE,Investors!$A:$A,'Investor Exit List'!$A93,Investors!$E:$E,'Investor Exit List'!$C93,Investors!$L:$L,'Investor Exit List'!$B93)+SUMIFS(Investors!$S:$S,Investors!$O:$O,TRUE,Investors!$A:$A,'Investor Exit List'!$A93,Investors!$E:$E,'Investor Exit List'!$C93,Investors!$L:$L,'Investor Exit List'!$B93)</f>
        <v/>
      </c>
      <c r="T93" s="91">
        <f>IF(U93=TRUE,$J93,"")</f>
        <v/>
      </c>
      <c r="U93" s="89" t="b">
        <v>0</v>
      </c>
      <c r="V93" s="90">
        <f>IF(AND(H93=TRUE,OR(K93="",K93&gt;M93)),S93,0)</f>
        <v/>
      </c>
      <c r="W93" s="89" t="n">
        <v>0</v>
      </c>
      <c r="X93" s="89" t="b">
        <v>0</v>
      </c>
    </row>
    <row r="94" hidden="1">
      <c r="A94" s="89" t="inlineStr">
        <is>
          <t>ZDIC01</t>
        </is>
      </c>
      <c r="B94" s="89" t="n">
        <v>6</v>
      </c>
      <c r="C94" s="89" t="inlineStr">
        <is>
          <t>HFB107</t>
        </is>
      </c>
      <c r="D94" s="89" t="inlineStr">
        <is>
          <t>B</t>
        </is>
      </c>
      <c r="E94" s="89" t="inlineStr">
        <is>
          <t>Dickinson Grant Allan</t>
        </is>
      </c>
      <c r="F94" s="90">
        <f>SUMIFS(Investors!$M:$M,Investors!$O:$O,FALSE,Investors!$P:$P,FALSE,Investors!$K:$K,"&gt;"&amp;'NSST Print'!$B$3,Investors!$I:$I,"&lt;="&amp;'NSST Print'!$B$3,Investors!$A:$A,'Investor Exit List'!$A94,Investors!$E:$E,'Investor Exit List'!$C94,Investors!$L:$L,'Investor Exit List'!$B94)-(SUMIFS(Investors!$M:$M,Investors!$I:$I,"&lt;="&amp;'NSST Print'!$B$3,Investors!$J:$J,"&gt;"&amp;'NSST Print'!$B$3,Investors!$A:$A,'Investor Exit List'!$A94,Investors!$E:$E,'Investor Exit List'!$C94,Investors!$L:$L,'Investor Exit List'!$B94)+SUMIFS(Investors!$M:$M,Investors!$I:$I,"&lt;="&amp;'NSST Print'!$B$3,Investors!$J:$J,"",Investors!$A:$A,'Investor Exit List'!$A94,Investors!$E:$E,'Investor Exit List'!$C94,Investors!$L:$L,'Investor Exit List'!$B94))</f>
        <v/>
      </c>
      <c r="G94" s="91" t="n">
        <v>44352</v>
      </c>
      <c r="H94" s="89" t="b">
        <v>1</v>
      </c>
      <c r="I94" s="89" t="b">
        <v>1</v>
      </c>
      <c r="J94" s="91" t="n">
        <v>45027</v>
      </c>
      <c r="K94" s="91">
        <f>IF(I94=TRUE,J94,"")</f>
        <v/>
      </c>
      <c r="L94" s="91">
        <f>G94+730</f>
        <v/>
      </c>
      <c r="M94" s="91" t="n">
        <v>45382</v>
      </c>
      <c r="N94" s="92">
        <f>IFERROR(IF(G94&lt;&gt;"",IF(I94=TRUE,0,IF(U94=TRUE,0,L94-M94)),0),0)</f>
        <v/>
      </c>
      <c r="O94" s="92">
        <f>IF(N94&gt;0,IF(N94&lt;=180,N94,0),0)</f>
        <v/>
      </c>
      <c r="P94" s="90">
        <f>IF(AND(N94&lt;90,N94&gt;0),Q94,0)</f>
        <v/>
      </c>
      <c r="Q94" s="90">
        <f>SUMIFS(Investors!$M:$M,Investors!$O:$O,FALSE,Investors!$P:$P,FALSE,Investors!$K:$K,"&gt;"&amp;'NSST Print'!$B$3,Investors!$I:$I,"&lt;="&amp;'NSST Print'!$B$3,Investors!$A:$A,'Investor Exit List'!$A94,Investors!$E:$E,'Investor Exit List'!$C94,Investors!$L:$L,'Investor Exit List'!$B94)-(SUMIFS(Investors!$M:$M,Investors!$I:$I,"&lt;="&amp;'NSST Print'!$B$3,Investors!$J:$J,"&gt;"&amp;'NSST Print'!$B$3,Investors!$A:$A,'Investor Exit List'!$A94,Investors!$E:$E,'Investor Exit List'!$C94,Investors!$L:$L,'Investor Exit List'!$B94)+SUMIFS(Investors!$M:$M,Investors!$I:$I,"&lt;="&amp;'NSST Print'!$B$3,Investors!$J:$J,"",Investors!$A:$A,'Investor Exit List'!$A94,Investors!$E:$E,'Investor Exit List'!$C94,Investors!$L:$L,'Investor Exit List'!$B94))+SUMIFS(Investors!$S:$S,Investors!$O:$O,FALSE,Investors!$P:$P,FALSE,Investors!$K:$K,"&gt;"&amp;'NSST Print'!$B$3,Investors!$I:$I,"&lt;="&amp;'NSST Print'!$B$3,Investors!$A:$A,'Investor Exit List'!$A94,Investors!$E:$E,'Investor Exit List'!$C94,Investors!$L:$L,'Investor Exit List'!$B94)-(SUMIFS(Investors!$S:$S,Investors!$I:$I,"&lt;="&amp;'NSST Print'!$B$3,Investors!$J:$J,"&gt;"&amp;'NSST Print'!$B$3,Investors!$A:$A,'Investor Exit List'!$A94,Investors!$E:$E,'Investor Exit List'!$C94,Investors!$L:$L,'Investor Exit List'!$B94)+SUMIFS(Investors!$S:$S,Investors!$I:$I,"&lt;="&amp;'NSST Print'!$B$3,Investors!$J:$J,"",Investors!$A:$A,'Investor Exit List'!$A94,Investors!$E:$E,'Investor Exit List'!$C94,Investors!$L:$L,'Investor Exit List'!$B94))</f>
        <v/>
      </c>
      <c r="R94" s="90">
        <f>IF(AND(H94=TRUE,I94=FALSE),Q94,0)</f>
        <v/>
      </c>
      <c r="S94" s="90">
        <f>SUMIFS(Investors!$M:$M,Investors!$O:$O,TRUE,Investors!$A:$A,'Investor Exit List'!$A94,Investors!$E:$E,'Investor Exit List'!$C94,Investors!$L:$L,'Investor Exit List'!$B94)+SUMIFS(Investors!$S:$S,Investors!$O:$O,TRUE,Investors!$A:$A,'Investor Exit List'!$A94,Investors!$E:$E,'Investor Exit List'!$C94,Investors!$L:$L,'Investor Exit List'!$B94)</f>
        <v/>
      </c>
      <c r="T94" s="91">
        <f>IF(U94=TRUE,$J94,"")</f>
        <v/>
      </c>
      <c r="U94" s="89" t="b">
        <v>0</v>
      </c>
      <c r="V94" s="90">
        <f>IF(AND(H94=TRUE,OR(K94="",K94&gt;M94)),S94,0)</f>
        <v/>
      </c>
      <c r="W94" s="89" t="n">
        <v>0</v>
      </c>
      <c r="X94" s="89" t="b">
        <v>0</v>
      </c>
    </row>
    <row r="95" hidden="1">
      <c r="A95" s="89" t="inlineStr">
        <is>
          <t>ZJOR01</t>
        </is>
      </c>
      <c r="B95" s="89" t="n">
        <v>1</v>
      </c>
      <c r="C95" s="89" t="inlineStr">
        <is>
          <t>HFB107</t>
        </is>
      </c>
      <c r="D95" s="89" t="inlineStr">
        <is>
          <t>B</t>
        </is>
      </c>
      <c r="E95" s="89" t="inlineStr">
        <is>
          <t>Jordaan Glen Rutherford</t>
        </is>
      </c>
      <c r="F95" s="90">
        <f>SUMIFS(Investors!$M:$M,Investors!$O:$O,FALSE,Investors!$P:$P,FALSE,Investors!$K:$K,"&gt;"&amp;'NSST Print'!$B$3,Investors!$I:$I,"&lt;="&amp;'NSST Print'!$B$3,Investors!$A:$A,'Investor Exit List'!$A95,Investors!$E:$E,'Investor Exit List'!$C95,Investors!$L:$L,'Investor Exit List'!$B95)-(SUMIFS(Investors!$M:$M,Investors!$I:$I,"&lt;="&amp;'NSST Print'!$B$3,Investors!$J:$J,"&gt;"&amp;'NSST Print'!$B$3,Investors!$A:$A,'Investor Exit List'!$A95,Investors!$E:$E,'Investor Exit List'!$C95,Investors!$L:$L,'Investor Exit List'!$B95)+SUMIFS(Investors!$M:$M,Investors!$I:$I,"&lt;="&amp;'NSST Print'!$B$3,Investors!$J:$J,"",Investors!$A:$A,'Investor Exit List'!$A95,Investors!$E:$E,'Investor Exit List'!$C95,Investors!$L:$L,'Investor Exit List'!$B95))</f>
        <v/>
      </c>
      <c r="G95" s="91" t="n">
        <v>44352</v>
      </c>
      <c r="H95" s="89" t="b">
        <v>1</v>
      </c>
      <c r="I95" s="89" t="b">
        <v>1</v>
      </c>
      <c r="J95" s="91" t="n">
        <v>44981</v>
      </c>
      <c r="K95" s="91">
        <f>IF(I95=TRUE,J95,"")</f>
        <v/>
      </c>
      <c r="L95" s="91">
        <f>G95+730</f>
        <v/>
      </c>
      <c r="M95" s="91" t="n">
        <v>45382</v>
      </c>
      <c r="N95" s="92">
        <f>IFERROR(IF(G95&lt;&gt;"",IF(I95=TRUE,0,IF(U95=TRUE,0,L95-M95)),0),0)</f>
        <v/>
      </c>
      <c r="O95" s="92">
        <f>IF(N95&gt;0,IF(N95&lt;=180,N95,0),0)</f>
        <v/>
      </c>
      <c r="P95" s="90">
        <f>IF(AND(N95&lt;90,N95&gt;0),Q95,0)</f>
        <v/>
      </c>
      <c r="Q95" s="90">
        <f>SUMIFS(Investors!$M:$M,Investors!$O:$O,FALSE,Investors!$P:$P,FALSE,Investors!$K:$K,"&gt;"&amp;'NSST Print'!$B$3,Investors!$I:$I,"&lt;="&amp;'NSST Print'!$B$3,Investors!$A:$A,'Investor Exit List'!$A95,Investors!$E:$E,'Investor Exit List'!$C95,Investors!$L:$L,'Investor Exit List'!$B95)-(SUMIFS(Investors!$M:$M,Investors!$I:$I,"&lt;="&amp;'NSST Print'!$B$3,Investors!$J:$J,"&gt;"&amp;'NSST Print'!$B$3,Investors!$A:$A,'Investor Exit List'!$A95,Investors!$E:$E,'Investor Exit List'!$C95,Investors!$L:$L,'Investor Exit List'!$B95)+SUMIFS(Investors!$M:$M,Investors!$I:$I,"&lt;="&amp;'NSST Print'!$B$3,Investors!$J:$J,"",Investors!$A:$A,'Investor Exit List'!$A95,Investors!$E:$E,'Investor Exit List'!$C95,Investors!$L:$L,'Investor Exit List'!$B95))+SUMIFS(Investors!$S:$S,Investors!$O:$O,FALSE,Investors!$P:$P,FALSE,Investors!$K:$K,"&gt;"&amp;'NSST Print'!$B$3,Investors!$I:$I,"&lt;="&amp;'NSST Print'!$B$3,Investors!$A:$A,'Investor Exit List'!$A95,Investors!$E:$E,'Investor Exit List'!$C95,Investors!$L:$L,'Investor Exit List'!$B95)-(SUMIFS(Investors!$S:$S,Investors!$I:$I,"&lt;="&amp;'NSST Print'!$B$3,Investors!$J:$J,"&gt;"&amp;'NSST Print'!$B$3,Investors!$A:$A,'Investor Exit List'!$A95,Investors!$E:$E,'Investor Exit List'!$C95,Investors!$L:$L,'Investor Exit List'!$B95)+SUMIFS(Investors!$S:$S,Investors!$I:$I,"&lt;="&amp;'NSST Print'!$B$3,Investors!$J:$J,"",Investors!$A:$A,'Investor Exit List'!$A95,Investors!$E:$E,'Investor Exit List'!$C95,Investors!$L:$L,'Investor Exit List'!$B95))</f>
        <v/>
      </c>
      <c r="R95" s="90">
        <f>IF(AND(H95=TRUE,I95=FALSE),Q95,0)</f>
        <v/>
      </c>
      <c r="S95" s="90">
        <f>SUMIFS(Investors!$M:$M,Investors!$O:$O,TRUE,Investors!$A:$A,'Investor Exit List'!$A95,Investors!$E:$E,'Investor Exit List'!$C95,Investors!$L:$L,'Investor Exit List'!$B95)+SUMIFS(Investors!$S:$S,Investors!$O:$O,TRUE,Investors!$A:$A,'Investor Exit List'!$A95,Investors!$E:$E,'Investor Exit List'!$C95,Investors!$L:$L,'Investor Exit List'!$B95)</f>
        <v/>
      </c>
      <c r="T95" s="91">
        <f>IF(U95=TRUE,$J95,"")</f>
        <v/>
      </c>
      <c r="U95" s="89" t="b">
        <v>1</v>
      </c>
      <c r="V95" s="90">
        <f>IF(AND(H95=TRUE,OR(K95="",K95&gt;M95)),S95,0)</f>
        <v/>
      </c>
      <c r="W95" s="89" t="n">
        <v>0</v>
      </c>
      <c r="X95" s="89" t="b">
        <v>0</v>
      </c>
    </row>
    <row r="96" hidden="1">
      <c r="A96" s="89" t="inlineStr">
        <is>
          <t>ZLUN01</t>
        </is>
      </c>
      <c r="B96" s="89" t="n">
        <v>5</v>
      </c>
      <c r="C96" s="89" t="inlineStr">
        <is>
          <t>HFB107</t>
        </is>
      </c>
      <c r="D96" s="89" t="inlineStr">
        <is>
          <t>B</t>
        </is>
      </c>
      <c r="E96" s="89" t="inlineStr">
        <is>
          <t>Lunau Marc</t>
        </is>
      </c>
      <c r="F96" s="90">
        <f>SUMIFS(Investors!$M:$M,Investors!$O:$O,FALSE,Investors!$P:$P,FALSE,Investors!$K:$K,"&gt;"&amp;'NSST Print'!$B$3,Investors!$I:$I,"&lt;="&amp;'NSST Print'!$B$3,Investors!$A:$A,'Investor Exit List'!$A96,Investors!$E:$E,'Investor Exit List'!$C96,Investors!$L:$L,'Investor Exit List'!$B96)-(SUMIFS(Investors!$M:$M,Investors!$I:$I,"&lt;="&amp;'NSST Print'!$B$3,Investors!$J:$J,"&gt;"&amp;'NSST Print'!$B$3,Investors!$A:$A,'Investor Exit List'!$A96,Investors!$E:$E,'Investor Exit List'!$C96,Investors!$L:$L,'Investor Exit List'!$B96)+SUMIFS(Investors!$M:$M,Investors!$I:$I,"&lt;="&amp;'NSST Print'!$B$3,Investors!$J:$J,"",Investors!$A:$A,'Investor Exit List'!$A96,Investors!$E:$E,'Investor Exit List'!$C96,Investors!$L:$L,'Investor Exit List'!$B96))</f>
        <v/>
      </c>
      <c r="G96" s="91" t="n">
        <v>44352</v>
      </c>
      <c r="H96" s="89" t="b">
        <v>1</v>
      </c>
      <c r="I96" s="89" t="b">
        <v>1</v>
      </c>
      <c r="J96" s="91" t="n">
        <v>45027</v>
      </c>
      <c r="K96" s="91">
        <f>IF(I96=TRUE,J96,"")</f>
        <v/>
      </c>
      <c r="L96" s="91">
        <f>G96+730</f>
        <v/>
      </c>
      <c r="M96" s="91" t="n">
        <v>45382</v>
      </c>
      <c r="N96" s="92">
        <f>IFERROR(IF(G96&lt;&gt;"",IF(I96=TRUE,0,IF(U96=TRUE,0,L96-M96)),0),0)</f>
        <v/>
      </c>
      <c r="O96" s="92">
        <f>IF(N96&gt;0,IF(N96&lt;=180,N96,0),0)</f>
        <v/>
      </c>
      <c r="P96" s="90">
        <f>IF(AND(N96&lt;90,N96&gt;0),Q96,0)</f>
        <v/>
      </c>
      <c r="Q96" s="90">
        <f>SUMIFS(Investors!$M:$M,Investors!$O:$O,FALSE,Investors!$P:$P,FALSE,Investors!$K:$K,"&gt;"&amp;'NSST Print'!$B$3,Investors!$I:$I,"&lt;="&amp;'NSST Print'!$B$3,Investors!$A:$A,'Investor Exit List'!$A96,Investors!$E:$E,'Investor Exit List'!$C96,Investors!$L:$L,'Investor Exit List'!$B96)-(SUMIFS(Investors!$M:$M,Investors!$I:$I,"&lt;="&amp;'NSST Print'!$B$3,Investors!$J:$J,"&gt;"&amp;'NSST Print'!$B$3,Investors!$A:$A,'Investor Exit List'!$A96,Investors!$E:$E,'Investor Exit List'!$C96,Investors!$L:$L,'Investor Exit List'!$B96)+SUMIFS(Investors!$M:$M,Investors!$I:$I,"&lt;="&amp;'NSST Print'!$B$3,Investors!$J:$J,"",Investors!$A:$A,'Investor Exit List'!$A96,Investors!$E:$E,'Investor Exit List'!$C96,Investors!$L:$L,'Investor Exit List'!$B96))+SUMIFS(Investors!$S:$S,Investors!$O:$O,FALSE,Investors!$P:$P,FALSE,Investors!$K:$K,"&gt;"&amp;'NSST Print'!$B$3,Investors!$I:$I,"&lt;="&amp;'NSST Print'!$B$3,Investors!$A:$A,'Investor Exit List'!$A96,Investors!$E:$E,'Investor Exit List'!$C96,Investors!$L:$L,'Investor Exit List'!$B96)-(SUMIFS(Investors!$S:$S,Investors!$I:$I,"&lt;="&amp;'NSST Print'!$B$3,Investors!$J:$J,"&gt;"&amp;'NSST Print'!$B$3,Investors!$A:$A,'Investor Exit List'!$A96,Investors!$E:$E,'Investor Exit List'!$C96,Investors!$L:$L,'Investor Exit List'!$B96)+SUMIFS(Investors!$S:$S,Investors!$I:$I,"&lt;="&amp;'NSST Print'!$B$3,Investors!$J:$J,"",Investors!$A:$A,'Investor Exit List'!$A96,Investors!$E:$E,'Investor Exit List'!$C96,Investors!$L:$L,'Investor Exit List'!$B96))</f>
        <v/>
      </c>
      <c r="R96" s="90">
        <f>IF(AND(H96=TRUE,I96=FALSE),Q96,0)</f>
        <v/>
      </c>
      <c r="S96" s="90">
        <f>SUMIFS(Investors!$M:$M,Investors!$O:$O,TRUE,Investors!$A:$A,'Investor Exit List'!$A96,Investors!$E:$E,'Investor Exit List'!$C96,Investors!$L:$L,'Investor Exit List'!$B96)+SUMIFS(Investors!$S:$S,Investors!$O:$O,TRUE,Investors!$A:$A,'Investor Exit List'!$A96,Investors!$E:$E,'Investor Exit List'!$C96,Investors!$L:$L,'Investor Exit List'!$B96)</f>
        <v/>
      </c>
      <c r="T96" s="91">
        <f>IF(U96=TRUE,$J96,"")</f>
        <v/>
      </c>
      <c r="U96" s="89" t="b">
        <v>0</v>
      </c>
      <c r="V96" s="90">
        <f>IF(AND(H96=TRUE,OR(K96="",K96&gt;M96)),S96,0)</f>
        <v/>
      </c>
      <c r="W96" s="89" t="n">
        <v>0</v>
      </c>
      <c r="X96" s="89" t="b">
        <v>0</v>
      </c>
    </row>
    <row r="97" hidden="1">
      <c r="A97" s="89" t="inlineStr">
        <is>
          <t>ZCRO01</t>
        </is>
      </c>
      <c r="B97" s="89" t="n">
        <v>3</v>
      </c>
      <c r="C97" s="89" t="inlineStr">
        <is>
          <t>HFB108</t>
        </is>
      </c>
      <c r="D97" s="89" t="inlineStr">
        <is>
          <t>B</t>
        </is>
      </c>
      <c r="E97" s="89" t="inlineStr">
        <is>
          <t>Lunau Marc</t>
        </is>
      </c>
      <c r="F97" s="90">
        <f>SUMIFS(Investors!$M:$M,Investors!$O:$O,FALSE,Investors!$P:$P,FALSE,Investors!$K:$K,"&gt;"&amp;'NSST Print'!$B$3,Investors!$I:$I,"&lt;="&amp;'NSST Print'!$B$3,Investors!$A:$A,'Investor Exit List'!$A97,Investors!$E:$E,'Investor Exit List'!$C97,Investors!$L:$L,'Investor Exit List'!$B97)-(SUMIFS(Investors!$M:$M,Investors!$I:$I,"&lt;="&amp;'NSST Print'!$B$3,Investors!$J:$J,"&gt;"&amp;'NSST Print'!$B$3,Investors!$A:$A,'Investor Exit List'!$A97,Investors!$E:$E,'Investor Exit List'!$C97,Investors!$L:$L,'Investor Exit List'!$B97)+SUMIFS(Investors!$M:$M,Investors!$I:$I,"&lt;="&amp;'NSST Print'!$B$3,Investors!$J:$J,"",Investors!$A:$A,'Investor Exit List'!$A97,Investors!$E:$E,'Investor Exit List'!$C97,Investors!$L:$L,'Investor Exit List'!$B97))</f>
        <v/>
      </c>
      <c r="G97" s="91" t="n">
        <v>44352</v>
      </c>
      <c r="H97" s="89" t="b">
        <v>1</v>
      </c>
      <c r="I97" s="89" t="b">
        <v>1</v>
      </c>
      <c r="J97" s="91" t="n">
        <v>44953</v>
      </c>
      <c r="K97" s="91">
        <f>IF(I97=TRUE,J97,"")</f>
        <v/>
      </c>
      <c r="L97" s="91">
        <f>G97+730</f>
        <v/>
      </c>
      <c r="M97" s="91" t="n">
        <v>45382</v>
      </c>
      <c r="N97" s="92">
        <f>IFERROR(IF(G97&lt;&gt;"",IF(I97=TRUE,0,IF(U97=TRUE,0,L97-M97)),0),0)</f>
        <v/>
      </c>
      <c r="O97" s="92">
        <f>IF(N97&gt;0,IF(N97&lt;=180,N97,0),0)</f>
        <v/>
      </c>
      <c r="P97" s="90">
        <f>IF(AND(N97&lt;90,N97&gt;0),Q97,0)</f>
        <v/>
      </c>
      <c r="Q97" s="90">
        <f>SUMIFS(Investors!$M:$M,Investors!$O:$O,FALSE,Investors!$P:$P,FALSE,Investors!$K:$K,"&gt;"&amp;'NSST Print'!$B$3,Investors!$I:$I,"&lt;="&amp;'NSST Print'!$B$3,Investors!$A:$A,'Investor Exit List'!$A97,Investors!$E:$E,'Investor Exit List'!$C97,Investors!$L:$L,'Investor Exit List'!$B97)-(SUMIFS(Investors!$M:$M,Investors!$I:$I,"&lt;="&amp;'NSST Print'!$B$3,Investors!$J:$J,"&gt;"&amp;'NSST Print'!$B$3,Investors!$A:$A,'Investor Exit List'!$A97,Investors!$E:$E,'Investor Exit List'!$C97,Investors!$L:$L,'Investor Exit List'!$B97)+SUMIFS(Investors!$M:$M,Investors!$I:$I,"&lt;="&amp;'NSST Print'!$B$3,Investors!$J:$J,"",Investors!$A:$A,'Investor Exit List'!$A97,Investors!$E:$E,'Investor Exit List'!$C97,Investors!$L:$L,'Investor Exit List'!$B97))+SUMIFS(Investors!$S:$S,Investors!$O:$O,FALSE,Investors!$P:$P,FALSE,Investors!$K:$K,"&gt;"&amp;'NSST Print'!$B$3,Investors!$I:$I,"&lt;="&amp;'NSST Print'!$B$3,Investors!$A:$A,'Investor Exit List'!$A97,Investors!$E:$E,'Investor Exit List'!$C97,Investors!$L:$L,'Investor Exit List'!$B97)-(SUMIFS(Investors!$S:$S,Investors!$I:$I,"&lt;="&amp;'NSST Print'!$B$3,Investors!$J:$J,"&gt;"&amp;'NSST Print'!$B$3,Investors!$A:$A,'Investor Exit List'!$A97,Investors!$E:$E,'Investor Exit List'!$C97,Investors!$L:$L,'Investor Exit List'!$B97)+SUMIFS(Investors!$S:$S,Investors!$I:$I,"&lt;="&amp;'NSST Print'!$B$3,Investors!$J:$J,"",Investors!$A:$A,'Investor Exit List'!$A97,Investors!$E:$E,'Investor Exit List'!$C97,Investors!$L:$L,'Investor Exit List'!$B97))</f>
        <v/>
      </c>
      <c r="R97" s="90">
        <f>IF(AND(H97=TRUE,I97=FALSE),Q97,0)</f>
        <v/>
      </c>
      <c r="S97" s="90">
        <f>SUMIFS(Investors!$M:$M,Investors!$O:$O,TRUE,Investors!$A:$A,'Investor Exit List'!$A97,Investors!$E:$E,'Investor Exit List'!$C97,Investors!$L:$L,'Investor Exit List'!$B97)+SUMIFS(Investors!$S:$S,Investors!$O:$O,TRUE,Investors!$A:$A,'Investor Exit List'!$A97,Investors!$E:$E,'Investor Exit List'!$C97,Investors!$L:$L,'Investor Exit List'!$B97)</f>
        <v/>
      </c>
      <c r="T97" s="91">
        <f>IF(U97=TRUE,$J97,"")</f>
        <v/>
      </c>
      <c r="U97" s="89" t="b">
        <v>1</v>
      </c>
      <c r="V97" s="90">
        <f>IF(AND(H97=TRUE,OR(K97="",K97&gt;M97)),S97,0)</f>
        <v/>
      </c>
      <c r="W97" s="89" t="n">
        <v>0</v>
      </c>
      <c r="X97" s="89" t="b">
        <v>0</v>
      </c>
    </row>
    <row r="98" hidden="1">
      <c r="A98" s="89" t="inlineStr">
        <is>
          <t>ZDEK01</t>
        </is>
      </c>
      <c r="B98" s="89" t="n">
        <v>1</v>
      </c>
      <c r="C98" s="89" t="inlineStr">
        <is>
          <t>HFB108</t>
        </is>
      </c>
      <c r="D98" s="89" t="inlineStr">
        <is>
          <t>B</t>
        </is>
      </c>
      <c r="E98" s="89" t="inlineStr">
        <is>
          <t>De Klerk (Way) Dawn Margaret</t>
        </is>
      </c>
      <c r="F98" s="90">
        <f>SUMIFS(Investors!$M:$M,Investors!$O:$O,FALSE,Investors!$P:$P,FALSE,Investors!$K:$K,"&gt;"&amp;'NSST Print'!$B$3,Investors!$I:$I,"&lt;="&amp;'NSST Print'!$B$3,Investors!$A:$A,'Investor Exit List'!$A98,Investors!$E:$E,'Investor Exit List'!$C98,Investors!$L:$L,'Investor Exit List'!$B98)-(SUMIFS(Investors!$M:$M,Investors!$I:$I,"&lt;="&amp;'NSST Print'!$B$3,Investors!$J:$J,"&gt;"&amp;'NSST Print'!$B$3,Investors!$A:$A,'Investor Exit List'!$A98,Investors!$E:$E,'Investor Exit List'!$C98,Investors!$L:$L,'Investor Exit List'!$B98)+SUMIFS(Investors!$M:$M,Investors!$I:$I,"&lt;="&amp;'NSST Print'!$B$3,Investors!$J:$J,"",Investors!$A:$A,'Investor Exit List'!$A98,Investors!$E:$E,'Investor Exit List'!$C98,Investors!$L:$L,'Investor Exit List'!$B98))</f>
        <v/>
      </c>
      <c r="G98" s="91" t="n">
        <v>44352</v>
      </c>
      <c r="H98" s="89" t="b">
        <v>1</v>
      </c>
      <c r="I98" s="89" t="b">
        <v>1</v>
      </c>
      <c r="J98" s="91" t="n">
        <v>44984</v>
      </c>
      <c r="K98" s="91">
        <f>IF(I98=TRUE,J98,"")</f>
        <v/>
      </c>
      <c r="L98" s="91">
        <f>G98+730</f>
        <v/>
      </c>
      <c r="M98" s="91" t="n">
        <v>45382</v>
      </c>
      <c r="N98" s="92">
        <f>IFERROR(IF(G98&lt;&gt;"",IF(I98=TRUE,0,IF(U98=TRUE,0,L98-M98)),0),0)</f>
        <v/>
      </c>
      <c r="O98" s="92">
        <f>IF(N98&gt;0,IF(N98&lt;=180,N98,0),0)</f>
        <v/>
      </c>
      <c r="P98" s="90">
        <f>IF(AND(N98&lt;90,N98&gt;0),Q98,0)</f>
        <v/>
      </c>
      <c r="Q98" s="90">
        <f>SUMIFS(Investors!$M:$M,Investors!$O:$O,FALSE,Investors!$P:$P,FALSE,Investors!$K:$K,"&gt;"&amp;'NSST Print'!$B$3,Investors!$I:$I,"&lt;="&amp;'NSST Print'!$B$3,Investors!$A:$A,'Investor Exit List'!$A98,Investors!$E:$E,'Investor Exit List'!$C98,Investors!$L:$L,'Investor Exit List'!$B98)-(SUMIFS(Investors!$M:$M,Investors!$I:$I,"&lt;="&amp;'NSST Print'!$B$3,Investors!$J:$J,"&gt;"&amp;'NSST Print'!$B$3,Investors!$A:$A,'Investor Exit List'!$A98,Investors!$E:$E,'Investor Exit List'!$C98,Investors!$L:$L,'Investor Exit List'!$B98)+SUMIFS(Investors!$M:$M,Investors!$I:$I,"&lt;="&amp;'NSST Print'!$B$3,Investors!$J:$J,"",Investors!$A:$A,'Investor Exit List'!$A98,Investors!$E:$E,'Investor Exit List'!$C98,Investors!$L:$L,'Investor Exit List'!$B98))+SUMIFS(Investors!$S:$S,Investors!$O:$O,FALSE,Investors!$P:$P,FALSE,Investors!$K:$K,"&gt;"&amp;'NSST Print'!$B$3,Investors!$I:$I,"&lt;="&amp;'NSST Print'!$B$3,Investors!$A:$A,'Investor Exit List'!$A98,Investors!$E:$E,'Investor Exit List'!$C98,Investors!$L:$L,'Investor Exit List'!$B98)-(SUMIFS(Investors!$S:$S,Investors!$I:$I,"&lt;="&amp;'NSST Print'!$B$3,Investors!$J:$J,"&gt;"&amp;'NSST Print'!$B$3,Investors!$A:$A,'Investor Exit List'!$A98,Investors!$E:$E,'Investor Exit List'!$C98,Investors!$L:$L,'Investor Exit List'!$B98)+SUMIFS(Investors!$S:$S,Investors!$I:$I,"&lt;="&amp;'NSST Print'!$B$3,Investors!$J:$J,"",Investors!$A:$A,'Investor Exit List'!$A98,Investors!$E:$E,'Investor Exit List'!$C98,Investors!$L:$L,'Investor Exit List'!$B98))</f>
        <v/>
      </c>
      <c r="R98" s="90">
        <f>IF(AND(H98=TRUE,I98=FALSE),Q98,0)</f>
        <v/>
      </c>
      <c r="S98" s="90">
        <f>SUMIFS(Investors!$M:$M,Investors!$O:$O,TRUE,Investors!$A:$A,'Investor Exit List'!$A98,Investors!$E:$E,'Investor Exit List'!$C98,Investors!$L:$L,'Investor Exit List'!$B98)+SUMIFS(Investors!$S:$S,Investors!$O:$O,TRUE,Investors!$A:$A,'Investor Exit List'!$A98,Investors!$E:$E,'Investor Exit List'!$C98,Investors!$L:$L,'Investor Exit List'!$B98)</f>
        <v/>
      </c>
      <c r="T98" s="91">
        <f>IF(U98=TRUE,$J98,"")</f>
        <v/>
      </c>
      <c r="U98" s="89" t="b">
        <v>0</v>
      </c>
      <c r="V98" s="90">
        <f>IF(AND(H98=TRUE,OR(K98="",K98&gt;M98)),S98,0)</f>
        <v/>
      </c>
      <c r="W98" s="89" t="n">
        <v>0</v>
      </c>
      <c r="X98" s="89" t="b">
        <v>0</v>
      </c>
    </row>
    <row r="99" hidden="1">
      <c r="A99" s="89" t="inlineStr">
        <is>
          <t>ZJOH01</t>
        </is>
      </c>
      <c r="B99" s="89" t="n">
        <v>4</v>
      </c>
      <c r="C99" s="89" t="inlineStr">
        <is>
          <t>HFB108</t>
        </is>
      </c>
      <c r="D99" s="89" t="inlineStr">
        <is>
          <t>B</t>
        </is>
      </c>
      <c r="E99" s="89" t="inlineStr">
        <is>
          <t>Johns Lisa-Marie Natalie</t>
        </is>
      </c>
      <c r="F99" s="90">
        <f>SUMIFS(Investors!$M:$M,Investors!$O:$O,FALSE,Investors!$P:$P,FALSE,Investors!$K:$K,"&gt;"&amp;'NSST Print'!$B$3,Investors!$I:$I,"&lt;="&amp;'NSST Print'!$B$3,Investors!$A:$A,'Investor Exit List'!$A99,Investors!$E:$E,'Investor Exit List'!$C99,Investors!$L:$L,'Investor Exit List'!$B99)-(SUMIFS(Investors!$M:$M,Investors!$I:$I,"&lt;="&amp;'NSST Print'!$B$3,Investors!$J:$J,"&gt;"&amp;'NSST Print'!$B$3,Investors!$A:$A,'Investor Exit List'!$A99,Investors!$E:$E,'Investor Exit List'!$C99,Investors!$L:$L,'Investor Exit List'!$B99)+SUMIFS(Investors!$M:$M,Investors!$I:$I,"&lt;="&amp;'NSST Print'!$B$3,Investors!$J:$J,"",Investors!$A:$A,'Investor Exit List'!$A99,Investors!$E:$E,'Investor Exit List'!$C99,Investors!$L:$L,'Investor Exit List'!$B99))</f>
        <v/>
      </c>
      <c r="G99" s="91" t="n">
        <v>44316</v>
      </c>
      <c r="H99" s="89" t="b">
        <v>1</v>
      </c>
      <c r="I99" s="89" t="b">
        <v>1</v>
      </c>
      <c r="J99" s="91" t="n">
        <v>44953</v>
      </c>
      <c r="K99" s="91">
        <f>IF(I99=TRUE,J99,"")</f>
        <v/>
      </c>
      <c r="L99" s="91">
        <f>G99+730</f>
        <v/>
      </c>
      <c r="M99" s="91" t="n">
        <v>45382</v>
      </c>
      <c r="N99" s="92">
        <f>IFERROR(IF(G99&lt;&gt;"",IF(I99=TRUE,0,IF(U99=TRUE,0,L99-M99)),0),0)</f>
        <v/>
      </c>
      <c r="O99" s="92">
        <f>IF(N99&gt;0,IF(N99&lt;=180,N99,0),0)</f>
        <v/>
      </c>
      <c r="P99" s="90">
        <f>IF(AND(N99&lt;90,N99&gt;0),Q99,0)</f>
        <v/>
      </c>
      <c r="Q99" s="90">
        <f>SUMIFS(Investors!$M:$M,Investors!$O:$O,FALSE,Investors!$P:$P,FALSE,Investors!$K:$K,"&gt;"&amp;'NSST Print'!$B$3,Investors!$I:$I,"&lt;="&amp;'NSST Print'!$B$3,Investors!$A:$A,'Investor Exit List'!$A99,Investors!$E:$E,'Investor Exit List'!$C99,Investors!$L:$L,'Investor Exit List'!$B99)-(SUMIFS(Investors!$M:$M,Investors!$I:$I,"&lt;="&amp;'NSST Print'!$B$3,Investors!$J:$J,"&gt;"&amp;'NSST Print'!$B$3,Investors!$A:$A,'Investor Exit List'!$A99,Investors!$E:$E,'Investor Exit List'!$C99,Investors!$L:$L,'Investor Exit List'!$B99)+SUMIFS(Investors!$M:$M,Investors!$I:$I,"&lt;="&amp;'NSST Print'!$B$3,Investors!$J:$J,"",Investors!$A:$A,'Investor Exit List'!$A99,Investors!$E:$E,'Investor Exit List'!$C99,Investors!$L:$L,'Investor Exit List'!$B99))+SUMIFS(Investors!$S:$S,Investors!$O:$O,FALSE,Investors!$P:$P,FALSE,Investors!$K:$K,"&gt;"&amp;'NSST Print'!$B$3,Investors!$I:$I,"&lt;="&amp;'NSST Print'!$B$3,Investors!$A:$A,'Investor Exit List'!$A99,Investors!$E:$E,'Investor Exit List'!$C99,Investors!$L:$L,'Investor Exit List'!$B99)-(SUMIFS(Investors!$S:$S,Investors!$I:$I,"&lt;="&amp;'NSST Print'!$B$3,Investors!$J:$J,"&gt;"&amp;'NSST Print'!$B$3,Investors!$A:$A,'Investor Exit List'!$A99,Investors!$E:$E,'Investor Exit List'!$C99,Investors!$L:$L,'Investor Exit List'!$B99)+SUMIFS(Investors!$S:$S,Investors!$I:$I,"&lt;="&amp;'NSST Print'!$B$3,Investors!$J:$J,"",Investors!$A:$A,'Investor Exit List'!$A99,Investors!$E:$E,'Investor Exit List'!$C99,Investors!$L:$L,'Investor Exit List'!$B99))</f>
        <v/>
      </c>
      <c r="R99" s="90">
        <f>IF(AND(H99=TRUE,I99=FALSE),Q99,0)</f>
        <v/>
      </c>
      <c r="S99" s="90">
        <f>SUMIFS(Investors!$M:$M,Investors!$O:$O,TRUE,Investors!$A:$A,'Investor Exit List'!$A99,Investors!$E:$E,'Investor Exit List'!$C99,Investors!$L:$L,'Investor Exit List'!$B99)+SUMIFS(Investors!$S:$S,Investors!$O:$O,TRUE,Investors!$A:$A,'Investor Exit List'!$A99,Investors!$E:$E,'Investor Exit List'!$C99,Investors!$L:$L,'Investor Exit List'!$B99)</f>
        <v/>
      </c>
      <c r="T99" s="91">
        <f>IF(U99=TRUE,$J99,"")</f>
        <v/>
      </c>
      <c r="U99" s="89" t="b">
        <v>1</v>
      </c>
      <c r="V99" s="90">
        <f>IF(AND(H99=TRUE,OR(K99="",K99&gt;M99)),S99,0)</f>
        <v/>
      </c>
      <c r="W99" s="89" t="n">
        <v>0</v>
      </c>
      <c r="X99" s="89" t="b">
        <v>0</v>
      </c>
    </row>
    <row r="100" hidden="1">
      <c r="A100" s="89" t="inlineStr">
        <is>
          <t>ZSCA01</t>
        </is>
      </c>
      <c r="B100" s="89" t="n">
        <v>1</v>
      </c>
      <c r="C100" s="89" t="inlineStr">
        <is>
          <t>HFB108</t>
        </is>
      </c>
      <c r="D100" s="89" t="inlineStr">
        <is>
          <t>B</t>
        </is>
      </c>
      <c r="E100" s="89" t="inlineStr">
        <is>
          <t>Scalzini Kert</t>
        </is>
      </c>
      <c r="F100" s="90">
        <f>SUMIFS(Investors!$M:$M,Investors!$O:$O,FALSE,Investors!$P:$P,FALSE,Investors!$K:$K,"&gt;"&amp;'NSST Print'!$B$3,Investors!$I:$I,"&lt;="&amp;'NSST Print'!$B$3,Investors!$A:$A,'Investor Exit List'!$A100,Investors!$E:$E,'Investor Exit List'!$C100,Investors!$L:$L,'Investor Exit List'!$B100)-(SUMIFS(Investors!$M:$M,Investors!$I:$I,"&lt;="&amp;'NSST Print'!$B$3,Investors!$J:$J,"&gt;"&amp;'NSST Print'!$B$3,Investors!$A:$A,'Investor Exit List'!$A100,Investors!$E:$E,'Investor Exit List'!$C100,Investors!$L:$L,'Investor Exit List'!$B100)+SUMIFS(Investors!$M:$M,Investors!$I:$I,"&lt;="&amp;'NSST Print'!$B$3,Investors!$J:$J,"",Investors!$A:$A,'Investor Exit List'!$A100,Investors!$E:$E,'Investor Exit List'!$C100,Investors!$L:$L,'Investor Exit List'!$B100))</f>
        <v/>
      </c>
      <c r="G100" s="91" t="n">
        <v>44532</v>
      </c>
      <c r="H100" s="89" t="b">
        <v>1</v>
      </c>
      <c r="I100" s="89" t="b">
        <v>1</v>
      </c>
      <c r="J100" s="91" t="n">
        <v>44984</v>
      </c>
      <c r="K100" s="91">
        <f>IF(I100=TRUE,J100,"")</f>
        <v/>
      </c>
      <c r="L100" s="91">
        <f>G100+730</f>
        <v/>
      </c>
      <c r="M100" s="91" t="n">
        <v>45382</v>
      </c>
      <c r="N100" s="92">
        <f>IFERROR(IF(G100&lt;&gt;"",IF(I100=TRUE,0,IF(U100=TRUE,0,L100-M100)),0),0)</f>
        <v/>
      </c>
      <c r="O100" s="92">
        <f>IF(N100&gt;0,IF(N100&lt;=180,N100,0),0)</f>
        <v/>
      </c>
      <c r="P100" s="90">
        <f>IF(AND(N100&lt;90,N100&gt;0),Q100,0)</f>
        <v/>
      </c>
      <c r="Q100" s="90">
        <f>SUMIFS(Investors!$M:$M,Investors!$O:$O,FALSE,Investors!$P:$P,FALSE,Investors!$K:$K,"&gt;"&amp;'NSST Print'!$B$3,Investors!$I:$I,"&lt;="&amp;'NSST Print'!$B$3,Investors!$A:$A,'Investor Exit List'!$A100,Investors!$E:$E,'Investor Exit List'!$C100,Investors!$L:$L,'Investor Exit List'!$B100)-(SUMIFS(Investors!$M:$M,Investors!$I:$I,"&lt;="&amp;'NSST Print'!$B$3,Investors!$J:$J,"&gt;"&amp;'NSST Print'!$B$3,Investors!$A:$A,'Investor Exit List'!$A100,Investors!$E:$E,'Investor Exit List'!$C100,Investors!$L:$L,'Investor Exit List'!$B100)+SUMIFS(Investors!$M:$M,Investors!$I:$I,"&lt;="&amp;'NSST Print'!$B$3,Investors!$J:$J,"",Investors!$A:$A,'Investor Exit List'!$A100,Investors!$E:$E,'Investor Exit List'!$C100,Investors!$L:$L,'Investor Exit List'!$B100))+SUMIFS(Investors!$S:$S,Investors!$O:$O,FALSE,Investors!$P:$P,FALSE,Investors!$K:$K,"&gt;"&amp;'NSST Print'!$B$3,Investors!$I:$I,"&lt;="&amp;'NSST Print'!$B$3,Investors!$A:$A,'Investor Exit List'!$A100,Investors!$E:$E,'Investor Exit List'!$C100,Investors!$L:$L,'Investor Exit List'!$B100)-(SUMIFS(Investors!$S:$S,Investors!$I:$I,"&lt;="&amp;'NSST Print'!$B$3,Investors!$J:$J,"&gt;"&amp;'NSST Print'!$B$3,Investors!$A:$A,'Investor Exit List'!$A100,Investors!$E:$E,'Investor Exit List'!$C100,Investors!$L:$L,'Investor Exit List'!$B100)+SUMIFS(Investors!$S:$S,Investors!$I:$I,"&lt;="&amp;'NSST Print'!$B$3,Investors!$J:$J,"",Investors!$A:$A,'Investor Exit List'!$A100,Investors!$E:$E,'Investor Exit List'!$C100,Investors!$L:$L,'Investor Exit List'!$B100))</f>
        <v/>
      </c>
      <c r="R100" s="90">
        <f>IF(AND(H100=TRUE,I100=FALSE),Q100,0)</f>
        <v/>
      </c>
      <c r="S100" s="90">
        <f>SUMIFS(Investors!$M:$M,Investors!$O:$O,TRUE,Investors!$A:$A,'Investor Exit List'!$A100,Investors!$E:$E,'Investor Exit List'!$C100,Investors!$L:$L,'Investor Exit List'!$B100)+SUMIFS(Investors!$S:$S,Investors!$O:$O,TRUE,Investors!$A:$A,'Investor Exit List'!$A100,Investors!$E:$E,'Investor Exit List'!$C100,Investors!$L:$L,'Investor Exit List'!$B100)</f>
        <v/>
      </c>
      <c r="T100" s="91">
        <f>IF(U100=TRUE,$J100,"")</f>
        <v/>
      </c>
      <c r="U100" s="89" t="b">
        <v>0</v>
      </c>
      <c r="V100" s="90">
        <f>IF(AND(H100=TRUE,OR(K100="",K100&gt;M100)),S100,0)</f>
        <v/>
      </c>
      <c r="W100" s="89" t="n">
        <v>0</v>
      </c>
      <c r="X100" s="89" t="b">
        <v>0</v>
      </c>
    </row>
    <row r="101" hidden="1">
      <c r="A101" s="89" t="inlineStr">
        <is>
          <t>ZCRO01</t>
        </is>
      </c>
      <c r="B101" s="89" t="n">
        <v>4</v>
      </c>
      <c r="C101" s="89" t="inlineStr">
        <is>
          <t>HFB109</t>
        </is>
      </c>
      <c r="D101" s="89" t="inlineStr">
        <is>
          <t>B</t>
        </is>
      </c>
      <c r="E101" s="89" t="inlineStr">
        <is>
          <t>Lunau Marc</t>
        </is>
      </c>
      <c r="F101" s="90">
        <f>SUMIFS(Investors!$M:$M,Investors!$O:$O,FALSE,Investors!$P:$P,FALSE,Investors!$K:$K,"&gt;"&amp;'NSST Print'!$B$3,Investors!$I:$I,"&lt;="&amp;'NSST Print'!$B$3,Investors!$A:$A,'Investor Exit List'!$A101,Investors!$E:$E,'Investor Exit List'!$C101,Investors!$L:$L,'Investor Exit List'!$B101)-(SUMIFS(Investors!$M:$M,Investors!$I:$I,"&lt;="&amp;'NSST Print'!$B$3,Investors!$J:$J,"&gt;"&amp;'NSST Print'!$B$3,Investors!$A:$A,'Investor Exit List'!$A101,Investors!$E:$E,'Investor Exit List'!$C101,Investors!$L:$L,'Investor Exit List'!$B101)+SUMIFS(Investors!$M:$M,Investors!$I:$I,"&lt;="&amp;'NSST Print'!$B$3,Investors!$J:$J,"",Investors!$A:$A,'Investor Exit List'!$A101,Investors!$E:$E,'Investor Exit List'!$C101,Investors!$L:$L,'Investor Exit List'!$B101))</f>
        <v/>
      </c>
      <c r="G101" s="91" t="n">
        <v>44352</v>
      </c>
      <c r="H101" s="89" t="b">
        <v>1</v>
      </c>
      <c r="I101" s="89" t="b">
        <v>1</v>
      </c>
      <c r="J101" s="91" t="n">
        <v>44999</v>
      </c>
      <c r="K101" s="91">
        <f>IF(I101=TRUE,J101,"")</f>
        <v/>
      </c>
      <c r="L101" s="91">
        <f>G101+730</f>
        <v/>
      </c>
      <c r="M101" s="91" t="n">
        <v>45382</v>
      </c>
      <c r="N101" s="92">
        <f>IFERROR(IF(G101&lt;&gt;"",IF(I101=TRUE,0,IF(U101=TRUE,0,L101-M101)),0),0)</f>
        <v/>
      </c>
      <c r="O101" s="92">
        <f>IF(N101&gt;0,IF(N101&lt;=180,N101,0),0)</f>
        <v/>
      </c>
      <c r="P101" s="90">
        <f>IF(AND(N101&lt;90,N101&gt;0),Q101,0)</f>
        <v/>
      </c>
      <c r="Q101" s="90">
        <f>SUMIFS(Investors!$M:$M,Investors!$O:$O,FALSE,Investors!$P:$P,FALSE,Investors!$K:$K,"&gt;"&amp;'NSST Print'!$B$3,Investors!$I:$I,"&lt;="&amp;'NSST Print'!$B$3,Investors!$A:$A,'Investor Exit List'!$A101,Investors!$E:$E,'Investor Exit List'!$C101,Investors!$L:$L,'Investor Exit List'!$B101)-(SUMIFS(Investors!$M:$M,Investors!$I:$I,"&lt;="&amp;'NSST Print'!$B$3,Investors!$J:$J,"&gt;"&amp;'NSST Print'!$B$3,Investors!$A:$A,'Investor Exit List'!$A101,Investors!$E:$E,'Investor Exit List'!$C101,Investors!$L:$L,'Investor Exit List'!$B101)+SUMIFS(Investors!$M:$M,Investors!$I:$I,"&lt;="&amp;'NSST Print'!$B$3,Investors!$J:$J,"",Investors!$A:$A,'Investor Exit List'!$A101,Investors!$E:$E,'Investor Exit List'!$C101,Investors!$L:$L,'Investor Exit List'!$B101))+SUMIFS(Investors!$S:$S,Investors!$O:$O,FALSE,Investors!$P:$P,FALSE,Investors!$K:$K,"&gt;"&amp;'NSST Print'!$B$3,Investors!$I:$I,"&lt;="&amp;'NSST Print'!$B$3,Investors!$A:$A,'Investor Exit List'!$A101,Investors!$E:$E,'Investor Exit List'!$C101,Investors!$L:$L,'Investor Exit List'!$B101)-(SUMIFS(Investors!$S:$S,Investors!$I:$I,"&lt;="&amp;'NSST Print'!$B$3,Investors!$J:$J,"&gt;"&amp;'NSST Print'!$B$3,Investors!$A:$A,'Investor Exit List'!$A101,Investors!$E:$E,'Investor Exit List'!$C101,Investors!$L:$L,'Investor Exit List'!$B101)+SUMIFS(Investors!$S:$S,Investors!$I:$I,"&lt;="&amp;'NSST Print'!$B$3,Investors!$J:$J,"",Investors!$A:$A,'Investor Exit List'!$A101,Investors!$E:$E,'Investor Exit List'!$C101,Investors!$L:$L,'Investor Exit List'!$B101))</f>
        <v/>
      </c>
      <c r="R101" s="90">
        <f>IF(AND(H101=TRUE,I101=FALSE),Q101,0)</f>
        <v/>
      </c>
      <c r="S101" s="90">
        <f>SUMIFS(Investors!$M:$M,Investors!$O:$O,TRUE,Investors!$A:$A,'Investor Exit List'!$A101,Investors!$E:$E,'Investor Exit List'!$C101,Investors!$L:$L,'Investor Exit List'!$B101)+SUMIFS(Investors!$S:$S,Investors!$O:$O,TRUE,Investors!$A:$A,'Investor Exit List'!$A101,Investors!$E:$E,'Investor Exit List'!$C101,Investors!$L:$L,'Investor Exit List'!$B101)</f>
        <v/>
      </c>
      <c r="T101" s="91">
        <f>IF(U101=TRUE,$J101,"")</f>
        <v/>
      </c>
      <c r="U101" s="89" t="b">
        <v>0</v>
      </c>
      <c r="V101" s="90">
        <f>IF(AND(H101=TRUE,OR(K101="",K101&gt;M101)),S101,0)</f>
        <v/>
      </c>
      <c r="W101" s="89" t="n">
        <v>0</v>
      </c>
      <c r="X101" s="89" t="b">
        <v>0</v>
      </c>
    </row>
    <row r="102" hidden="1">
      <c r="A102" s="89" t="inlineStr">
        <is>
          <t>ZGIL01</t>
        </is>
      </c>
      <c r="B102" s="89" t="n">
        <v>1</v>
      </c>
      <c r="C102" s="89" t="inlineStr">
        <is>
          <t>HFB109</t>
        </is>
      </c>
      <c r="D102" s="89" t="inlineStr">
        <is>
          <t>B</t>
        </is>
      </c>
      <c r="E102" s="89" t="inlineStr">
        <is>
          <t>Gildenhuys Estelle Maria</t>
        </is>
      </c>
      <c r="F102" s="90">
        <f>SUMIFS(Investors!$M:$M,Investors!$O:$O,FALSE,Investors!$P:$P,FALSE,Investors!$K:$K,"&gt;"&amp;'NSST Print'!$B$3,Investors!$I:$I,"&lt;="&amp;'NSST Print'!$B$3,Investors!$A:$A,'Investor Exit List'!$A102,Investors!$E:$E,'Investor Exit List'!$C102,Investors!$L:$L,'Investor Exit List'!$B102)-(SUMIFS(Investors!$M:$M,Investors!$I:$I,"&lt;="&amp;'NSST Print'!$B$3,Investors!$J:$J,"&gt;"&amp;'NSST Print'!$B$3,Investors!$A:$A,'Investor Exit List'!$A102,Investors!$E:$E,'Investor Exit List'!$C102,Investors!$L:$L,'Investor Exit List'!$B102)+SUMIFS(Investors!$M:$M,Investors!$I:$I,"&lt;="&amp;'NSST Print'!$B$3,Investors!$J:$J,"",Investors!$A:$A,'Investor Exit List'!$A102,Investors!$E:$E,'Investor Exit List'!$C102,Investors!$L:$L,'Investor Exit List'!$B102))</f>
        <v/>
      </c>
      <c r="G102" s="91" t="n">
        <v>44352</v>
      </c>
      <c r="H102" s="89" t="b">
        <v>1</v>
      </c>
      <c r="I102" s="89" t="b">
        <v>1</v>
      </c>
      <c r="J102" s="91" t="n">
        <v>44999</v>
      </c>
      <c r="K102" s="91">
        <f>IF(I102=TRUE,J102,"")</f>
        <v/>
      </c>
      <c r="L102" s="91">
        <f>G102+730</f>
        <v/>
      </c>
      <c r="M102" s="91" t="n">
        <v>45382</v>
      </c>
      <c r="N102" s="92">
        <f>IFERROR(IF(G102&lt;&gt;"",IF(I102=TRUE,0,IF(U102=TRUE,0,L102-M102)),0),0)</f>
        <v/>
      </c>
      <c r="O102" s="92">
        <f>IF(N102&gt;0,IF(N102&lt;=180,N102,0),0)</f>
        <v/>
      </c>
      <c r="P102" s="90">
        <f>IF(AND(N102&lt;90,N102&gt;0),Q102,0)</f>
        <v/>
      </c>
      <c r="Q102" s="90">
        <f>SUMIFS(Investors!$M:$M,Investors!$O:$O,FALSE,Investors!$P:$P,FALSE,Investors!$K:$K,"&gt;"&amp;'NSST Print'!$B$3,Investors!$I:$I,"&lt;="&amp;'NSST Print'!$B$3,Investors!$A:$A,'Investor Exit List'!$A102,Investors!$E:$E,'Investor Exit List'!$C102,Investors!$L:$L,'Investor Exit List'!$B102)-(SUMIFS(Investors!$M:$M,Investors!$I:$I,"&lt;="&amp;'NSST Print'!$B$3,Investors!$J:$J,"&gt;"&amp;'NSST Print'!$B$3,Investors!$A:$A,'Investor Exit List'!$A102,Investors!$E:$E,'Investor Exit List'!$C102,Investors!$L:$L,'Investor Exit List'!$B102)+SUMIFS(Investors!$M:$M,Investors!$I:$I,"&lt;="&amp;'NSST Print'!$B$3,Investors!$J:$J,"",Investors!$A:$A,'Investor Exit List'!$A102,Investors!$E:$E,'Investor Exit List'!$C102,Investors!$L:$L,'Investor Exit List'!$B102))+SUMIFS(Investors!$S:$S,Investors!$O:$O,FALSE,Investors!$P:$P,FALSE,Investors!$K:$K,"&gt;"&amp;'NSST Print'!$B$3,Investors!$I:$I,"&lt;="&amp;'NSST Print'!$B$3,Investors!$A:$A,'Investor Exit List'!$A102,Investors!$E:$E,'Investor Exit List'!$C102,Investors!$L:$L,'Investor Exit List'!$B102)-(SUMIFS(Investors!$S:$S,Investors!$I:$I,"&lt;="&amp;'NSST Print'!$B$3,Investors!$J:$J,"&gt;"&amp;'NSST Print'!$B$3,Investors!$A:$A,'Investor Exit List'!$A102,Investors!$E:$E,'Investor Exit List'!$C102,Investors!$L:$L,'Investor Exit List'!$B102)+SUMIFS(Investors!$S:$S,Investors!$I:$I,"&lt;="&amp;'NSST Print'!$B$3,Investors!$J:$J,"",Investors!$A:$A,'Investor Exit List'!$A102,Investors!$E:$E,'Investor Exit List'!$C102,Investors!$L:$L,'Investor Exit List'!$B102))</f>
        <v/>
      </c>
      <c r="R102" s="90">
        <f>IF(AND(H102=TRUE,I102=FALSE),Q102,0)</f>
        <v/>
      </c>
      <c r="S102" s="90">
        <f>SUMIFS(Investors!$M:$M,Investors!$O:$O,TRUE,Investors!$A:$A,'Investor Exit List'!$A102,Investors!$E:$E,'Investor Exit List'!$C102,Investors!$L:$L,'Investor Exit List'!$B102)+SUMIFS(Investors!$S:$S,Investors!$O:$O,TRUE,Investors!$A:$A,'Investor Exit List'!$A102,Investors!$E:$E,'Investor Exit List'!$C102,Investors!$L:$L,'Investor Exit List'!$B102)</f>
        <v/>
      </c>
      <c r="T102" s="91">
        <f>IF(U102=TRUE,$J102,"")</f>
        <v/>
      </c>
      <c r="U102" s="89" t="b">
        <v>0</v>
      </c>
      <c r="V102" s="90">
        <f>IF(AND(H102=TRUE,OR(K102="",K102&gt;M102)),S102,0)</f>
        <v/>
      </c>
      <c r="W102" s="89" t="n">
        <v>0</v>
      </c>
      <c r="X102" s="89" t="b">
        <v>0</v>
      </c>
    </row>
    <row r="103" hidden="1">
      <c r="A103" s="89" t="inlineStr">
        <is>
          <t>ZHAM01</t>
        </is>
      </c>
      <c r="B103" s="89" t="n">
        <v>1</v>
      </c>
      <c r="C103" s="89" t="inlineStr">
        <is>
          <t>HFB109</t>
        </is>
      </c>
      <c r="D103" s="89" t="inlineStr">
        <is>
          <t>B</t>
        </is>
      </c>
      <c r="E103" s="89" t="inlineStr">
        <is>
          <t>Hambidge Lynnette Gladys</t>
        </is>
      </c>
      <c r="F103" s="90">
        <f>SUMIFS(Investors!$M:$M,Investors!$O:$O,FALSE,Investors!$P:$P,FALSE,Investors!$K:$K,"&gt;"&amp;'NSST Print'!$B$3,Investors!$I:$I,"&lt;="&amp;'NSST Print'!$B$3,Investors!$A:$A,'Investor Exit List'!$A103,Investors!$E:$E,'Investor Exit List'!$C103,Investors!$L:$L,'Investor Exit List'!$B103)-(SUMIFS(Investors!$M:$M,Investors!$I:$I,"&lt;="&amp;'NSST Print'!$B$3,Investors!$J:$J,"&gt;"&amp;'NSST Print'!$B$3,Investors!$A:$A,'Investor Exit List'!$A103,Investors!$E:$E,'Investor Exit List'!$C103,Investors!$L:$L,'Investor Exit List'!$B103)+SUMIFS(Investors!$M:$M,Investors!$I:$I,"&lt;="&amp;'NSST Print'!$B$3,Investors!$J:$J,"",Investors!$A:$A,'Investor Exit List'!$A103,Investors!$E:$E,'Investor Exit List'!$C103,Investors!$L:$L,'Investor Exit List'!$B103))</f>
        <v/>
      </c>
      <c r="G103" s="91" t="n">
        <v>44352</v>
      </c>
      <c r="H103" s="89" t="b">
        <v>1</v>
      </c>
      <c r="I103" s="89" t="b">
        <v>1</v>
      </c>
      <c r="J103" s="91" t="n">
        <v>44999</v>
      </c>
      <c r="K103" s="91">
        <f>IF(I103=TRUE,J103,"")</f>
        <v/>
      </c>
      <c r="L103" s="91">
        <f>G103+730</f>
        <v/>
      </c>
      <c r="M103" s="91" t="n">
        <v>45382</v>
      </c>
      <c r="N103" s="92">
        <f>IFERROR(IF(G103&lt;&gt;"",IF(I103=TRUE,0,IF(U103=TRUE,0,L103-M103)),0),0)</f>
        <v/>
      </c>
      <c r="O103" s="92">
        <f>IF(N103&gt;0,IF(N103&lt;=180,N103,0),0)</f>
        <v/>
      </c>
      <c r="P103" s="90">
        <f>IF(AND(N103&lt;90,N103&gt;0),Q103,0)</f>
        <v/>
      </c>
      <c r="Q103" s="90">
        <f>SUMIFS(Investors!$M:$M,Investors!$O:$O,FALSE,Investors!$P:$P,FALSE,Investors!$K:$K,"&gt;"&amp;'NSST Print'!$B$3,Investors!$I:$I,"&lt;="&amp;'NSST Print'!$B$3,Investors!$A:$A,'Investor Exit List'!$A103,Investors!$E:$E,'Investor Exit List'!$C103,Investors!$L:$L,'Investor Exit List'!$B103)-(SUMIFS(Investors!$M:$M,Investors!$I:$I,"&lt;="&amp;'NSST Print'!$B$3,Investors!$J:$J,"&gt;"&amp;'NSST Print'!$B$3,Investors!$A:$A,'Investor Exit List'!$A103,Investors!$E:$E,'Investor Exit List'!$C103,Investors!$L:$L,'Investor Exit List'!$B103)+SUMIFS(Investors!$M:$M,Investors!$I:$I,"&lt;="&amp;'NSST Print'!$B$3,Investors!$J:$J,"",Investors!$A:$A,'Investor Exit List'!$A103,Investors!$E:$E,'Investor Exit List'!$C103,Investors!$L:$L,'Investor Exit List'!$B103))+SUMIFS(Investors!$S:$S,Investors!$O:$O,FALSE,Investors!$P:$P,FALSE,Investors!$K:$K,"&gt;"&amp;'NSST Print'!$B$3,Investors!$I:$I,"&lt;="&amp;'NSST Print'!$B$3,Investors!$A:$A,'Investor Exit List'!$A103,Investors!$E:$E,'Investor Exit List'!$C103,Investors!$L:$L,'Investor Exit List'!$B103)-(SUMIFS(Investors!$S:$S,Investors!$I:$I,"&lt;="&amp;'NSST Print'!$B$3,Investors!$J:$J,"&gt;"&amp;'NSST Print'!$B$3,Investors!$A:$A,'Investor Exit List'!$A103,Investors!$E:$E,'Investor Exit List'!$C103,Investors!$L:$L,'Investor Exit List'!$B103)+SUMIFS(Investors!$S:$S,Investors!$I:$I,"&lt;="&amp;'NSST Print'!$B$3,Investors!$J:$J,"",Investors!$A:$A,'Investor Exit List'!$A103,Investors!$E:$E,'Investor Exit List'!$C103,Investors!$L:$L,'Investor Exit List'!$B103))</f>
        <v/>
      </c>
      <c r="R103" s="90">
        <f>IF(AND(H103=TRUE,I103=FALSE),Q103,0)</f>
        <v/>
      </c>
      <c r="S103" s="90">
        <f>SUMIFS(Investors!$M:$M,Investors!$O:$O,TRUE,Investors!$A:$A,'Investor Exit List'!$A103,Investors!$E:$E,'Investor Exit List'!$C103,Investors!$L:$L,'Investor Exit List'!$B103)+SUMIFS(Investors!$S:$S,Investors!$O:$O,TRUE,Investors!$A:$A,'Investor Exit List'!$A103,Investors!$E:$E,'Investor Exit List'!$C103,Investors!$L:$L,'Investor Exit List'!$B103)</f>
        <v/>
      </c>
      <c r="T103" s="91">
        <f>IF(U103=TRUE,$J103,"")</f>
        <v/>
      </c>
      <c r="U103" s="89" t="b">
        <v>0</v>
      </c>
      <c r="V103" s="90">
        <f>IF(AND(H103=TRUE,OR(K103="",K103&gt;M103)),S103,0)</f>
        <v/>
      </c>
      <c r="W103" s="89" t="n">
        <v>0</v>
      </c>
      <c r="X103" s="89" t="b">
        <v>0</v>
      </c>
    </row>
    <row r="104" hidden="1">
      <c r="A104" s="89" t="inlineStr">
        <is>
          <t>ZINT01</t>
        </is>
      </c>
      <c r="B104" s="89" t="n">
        <v>6</v>
      </c>
      <c r="C104" s="89" t="inlineStr">
        <is>
          <t>HFB109</t>
        </is>
      </c>
      <c r="D104" s="89" t="inlineStr">
        <is>
          <t>B</t>
        </is>
      </c>
      <c r="E104" s="89" t="inlineStr">
        <is>
          <t>Lunau Marc</t>
        </is>
      </c>
      <c r="F104" s="90">
        <f>SUMIFS(Investors!$M:$M,Investors!$O:$O,FALSE,Investors!$P:$P,FALSE,Investors!$K:$K,"&gt;"&amp;'NSST Print'!$B$3,Investors!$I:$I,"&lt;="&amp;'NSST Print'!$B$3,Investors!$A:$A,'Investor Exit List'!$A104,Investors!$E:$E,'Investor Exit List'!$C104,Investors!$L:$L,'Investor Exit List'!$B104)-(SUMIFS(Investors!$M:$M,Investors!$I:$I,"&lt;="&amp;'NSST Print'!$B$3,Investors!$J:$J,"&gt;"&amp;'NSST Print'!$B$3,Investors!$A:$A,'Investor Exit List'!$A104,Investors!$E:$E,'Investor Exit List'!$C104,Investors!$L:$L,'Investor Exit List'!$B104)+SUMIFS(Investors!$M:$M,Investors!$I:$I,"&lt;="&amp;'NSST Print'!$B$3,Investors!$J:$J,"",Investors!$A:$A,'Investor Exit List'!$A104,Investors!$E:$E,'Investor Exit List'!$C104,Investors!$L:$L,'Investor Exit List'!$B104))</f>
        <v/>
      </c>
      <c r="G104" s="91" t="n">
        <v>44316</v>
      </c>
      <c r="H104" s="89" t="b">
        <v>1</v>
      </c>
      <c r="I104" s="89" t="b">
        <v>1</v>
      </c>
      <c r="J104" s="91" t="n">
        <v>44999</v>
      </c>
      <c r="K104" s="91">
        <f>IF(I104=TRUE,J104,"")</f>
        <v/>
      </c>
      <c r="L104" s="91">
        <f>G104+730</f>
        <v/>
      </c>
      <c r="M104" s="91" t="n">
        <v>45382</v>
      </c>
      <c r="N104" s="92">
        <f>IFERROR(IF(G104&lt;&gt;"",IF(I104=TRUE,0,IF(U104=TRUE,0,L104-M104)),0),0)</f>
        <v/>
      </c>
      <c r="O104" s="92">
        <f>IF(N104&gt;0,IF(N104&lt;=180,N104,0),0)</f>
        <v/>
      </c>
      <c r="P104" s="90">
        <f>IF(AND(N104&lt;90,N104&gt;0),Q104,0)</f>
        <v/>
      </c>
      <c r="Q104" s="90">
        <f>SUMIFS(Investors!$M:$M,Investors!$O:$O,FALSE,Investors!$P:$P,FALSE,Investors!$K:$K,"&gt;"&amp;'NSST Print'!$B$3,Investors!$I:$I,"&lt;="&amp;'NSST Print'!$B$3,Investors!$A:$A,'Investor Exit List'!$A104,Investors!$E:$E,'Investor Exit List'!$C104,Investors!$L:$L,'Investor Exit List'!$B104)-(SUMIFS(Investors!$M:$M,Investors!$I:$I,"&lt;="&amp;'NSST Print'!$B$3,Investors!$J:$J,"&gt;"&amp;'NSST Print'!$B$3,Investors!$A:$A,'Investor Exit List'!$A104,Investors!$E:$E,'Investor Exit List'!$C104,Investors!$L:$L,'Investor Exit List'!$B104)+SUMIFS(Investors!$M:$M,Investors!$I:$I,"&lt;="&amp;'NSST Print'!$B$3,Investors!$J:$J,"",Investors!$A:$A,'Investor Exit List'!$A104,Investors!$E:$E,'Investor Exit List'!$C104,Investors!$L:$L,'Investor Exit List'!$B104))+SUMIFS(Investors!$S:$S,Investors!$O:$O,FALSE,Investors!$P:$P,FALSE,Investors!$K:$K,"&gt;"&amp;'NSST Print'!$B$3,Investors!$I:$I,"&lt;="&amp;'NSST Print'!$B$3,Investors!$A:$A,'Investor Exit List'!$A104,Investors!$E:$E,'Investor Exit List'!$C104,Investors!$L:$L,'Investor Exit List'!$B104)-(SUMIFS(Investors!$S:$S,Investors!$I:$I,"&lt;="&amp;'NSST Print'!$B$3,Investors!$J:$J,"&gt;"&amp;'NSST Print'!$B$3,Investors!$A:$A,'Investor Exit List'!$A104,Investors!$E:$E,'Investor Exit List'!$C104,Investors!$L:$L,'Investor Exit List'!$B104)+SUMIFS(Investors!$S:$S,Investors!$I:$I,"&lt;="&amp;'NSST Print'!$B$3,Investors!$J:$J,"",Investors!$A:$A,'Investor Exit List'!$A104,Investors!$E:$E,'Investor Exit List'!$C104,Investors!$L:$L,'Investor Exit List'!$B104))</f>
        <v/>
      </c>
      <c r="R104" s="90">
        <f>IF(AND(H104=TRUE,I104=FALSE),Q104,0)</f>
        <v/>
      </c>
      <c r="S104" s="90">
        <f>SUMIFS(Investors!$M:$M,Investors!$O:$O,TRUE,Investors!$A:$A,'Investor Exit List'!$A104,Investors!$E:$E,'Investor Exit List'!$C104,Investors!$L:$L,'Investor Exit List'!$B104)+SUMIFS(Investors!$S:$S,Investors!$O:$O,TRUE,Investors!$A:$A,'Investor Exit List'!$A104,Investors!$E:$E,'Investor Exit List'!$C104,Investors!$L:$L,'Investor Exit List'!$B104)</f>
        <v/>
      </c>
      <c r="T104" s="91">
        <f>IF(U104=TRUE,$J104,"")</f>
        <v/>
      </c>
      <c r="U104" s="89" t="b">
        <v>0</v>
      </c>
      <c r="V104" s="90">
        <f>IF(AND(H104=TRUE,OR(K104="",K104&gt;M104)),S104,0)</f>
        <v/>
      </c>
      <c r="W104" s="89" t="n">
        <v>0</v>
      </c>
      <c r="X104" s="89" t="b">
        <v>0</v>
      </c>
    </row>
    <row r="105" hidden="1">
      <c r="A105" s="89" t="inlineStr">
        <is>
          <t>ZPED01</t>
        </is>
      </c>
      <c r="B105" s="89" t="n">
        <v>2</v>
      </c>
      <c r="C105" s="89" t="inlineStr">
        <is>
          <t>HFB110</t>
        </is>
      </c>
      <c r="D105" s="89" t="inlineStr">
        <is>
          <t>B</t>
        </is>
      </c>
      <c r="E105" s="89" t="inlineStr">
        <is>
          <t>Pedersen Wendy</t>
        </is>
      </c>
      <c r="F105" s="90">
        <f>SUMIFS(Investors!$M:$M,Investors!$O:$O,FALSE,Investors!$P:$P,FALSE,Investors!$K:$K,"&gt;"&amp;'NSST Print'!$B$3,Investors!$I:$I,"&lt;="&amp;'NSST Print'!$B$3,Investors!$A:$A,'Investor Exit List'!$A105,Investors!$E:$E,'Investor Exit List'!$C105,Investors!$L:$L,'Investor Exit List'!$B105)-(SUMIFS(Investors!$M:$M,Investors!$I:$I,"&lt;="&amp;'NSST Print'!$B$3,Investors!$J:$J,"&gt;"&amp;'NSST Print'!$B$3,Investors!$A:$A,'Investor Exit List'!$A105,Investors!$E:$E,'Investor Exit List'!$C105,Investors!$L:$L,'Investor Exit List'!$B105)+SUMIFS(Investors!$M:$M,Investors!$I:$I,"&lt;="&amp;'NSST Print'!$B$3,Investors!$J:$J,"",Investors!$A:$A,'Investor Exit List'!$A105,Investors!$E:$E,'Investor Exit List'!$C105,Investors!$L:$L,'Investor Exit List'!$B105))</f>
        <v/>
      </c>
      <c r="G105" s="91" t="n">
        <v>44352</v>
      </c>
      <c r="H105" s="89" t="b">
        <v>1</v>
      </c>
      <c r="I105" s="89" t="b">
        <v>1</v>
      </c>
      <c r="J105" s="91" t="n">
        <v>45019</v>
      </c>
      <c r="K105" s="91">
        <f>IF(I105=TRUE,J105,"")</f>
        <v/>
      </c>
      <c r="L105" s="91">
        <f>G105+730</f>
        <v/>
      </c>
      <c r="M105" s="91" t="n">
        <v>45382</v>
      </c>
      <c r="N105" s="92">
        <f>IFERROR(IF(G105&lt;&gt;"",IF(I105=TRUE,0,IF(U105=TRUE,0,L105-M105)),0),0)</f>
        <v/>
      </c>
      <c r="O105" s="92">
        <f>IF(N105&gt;0,IF(N105&lt;=180,N105,0),0)</f>
        <v/>
      </c>
      <c r="P105" s="90">
        <f>IF(AND(N105&lt;90,N105&gt;0),Q105,0)</f>
        <v/>
      </c>
      <c r="Q105" s="90">
        <f>SUMIFS(Investors!$M:$M,Investors!$O:$O,FALSE,Investors!$P:$P,FALSE,Investors!$K:$K,"&gt;"&amp;'NSST Print'!$B$3,Investors!$I:$I,"&lt;="&amp;'NSST Print'!$B$3,Investors!$A:$A,'Investor Exit List'!$A105,Investors!$E:$E,'Investor Exit List'!$C105,Investors!$L:$L,'Investor Exit List'!$B105)-(SUMIFS(Investors!$M:$M,Investors!$I:$I,"&lt;="&amp;'NSST Print'!$B$3,Investors!$J:$J,"&gt;"&amp;'NSST Print'!$B$3,Investors!$A:$A,'Investor Exit List'!$A105,Investors!$E:$E,'Investor Exit List'!$C105,Investors!$L:$L,'Investor Exit List'!$B105)+SUMIFS(Investors!$M:$M,Investors!$I:$I,"&lt;="&amp;'NSST Print'!$B$3,Investors!$J:$J,"",Investors!$A:$A,'Investor Exit List'!$A105,Investors!$E:$E,'Investor Exit List'!$C105,Investors!$L:$L,'Investor Exit List'!$B105))+SUMIFS(Investors!$S:$S,Investors!$O:$O,FALSE,Investors!$P:$P,FALSE,Investors!$K:$K,"&gt;"&amp;'NSST Print'!$B$3,Investors!$I:$I,"&lt;="&amp;'NSST Print'!$B$3,Investors!$A:$A,'Investor Exit List'!$A105,Investors!$E:$E,'Investor Exit List'!$C105,Investors!$L:$L,'Investor Exit List'!$B105)-(SUMIFS(Investors!$S:$S,Investors!$I:$I,"&lt;="&amp;'NSST Print'!$B$3,Investors!$J:$J,"&gt;"&amp;'NSST Print'!$B$3,Investors!$A:$A,'Investor Exit List'!$A105,Investors!$E:$E,'Investor Exit List'!$C105,Investors!$L:$L,'Investor Exit List'!$B105)+SUMIFS(Investors!$S:$S,Investors!$I:$I,"&lt;="&amp;'NSST Print'!$B$3,Investors!$J:$J,"",Investors!$A:$A,'Investor Exit List'!$A105,Investors!$E:$E,'Investor Exit List'!$C105,Investors!$L:$L,'Investor Exit List'!$B105))</f>
        <v/>
      </c>
      <c r="R105" s="90">
        <f>IF(AND(H105=TRUE,I105=FALSE),Q105,0)</f>
        <v/>
      </c>
      <c r="S105" s="90">
        <f>SUMIFS(Investors!$M:$M,Investors!$O:$O,TRUE,Investors!$A:$A,'Investor Exit List'!$A105,Investors!$E:$E,'Investor Exit List'!$C105,Investors!$L:$L,'Investor Exit List'!$B105)+SUMIFS(Investors!$S:$S,Investors!$O:$O,TRUE,Investors!$A:$A,'Investor Exit List'!$A105,Investors!$E:$E,'Investor Exit List'!$C105,Investors!$L:$L,'Investor Exit List'!$B105)</f>
        <v/>
      </c>
      <c r="T105" s="91">
        <f>IF(U105=TRUE,$J105,"")</f>
        <v/>
      </c>
      <c r="U105" s="89" t="b">
        <v>0</v>
      </c>
      <c r="V105" s="90">
        <f>IF(AND(H105=TRUE,OR(K105="",K105&gt;M105)),S105,0)</f>
        <v/>
      </c>
      <c r="W105" s="89" t="n">
        <v>0</v>
      </c>
      <c r="X105" s="89" t="b">
        <v>0</v>
      </c>
    </row>
    <row r="106" hidden="1">
      <c r="A106" s="89" t="inlineStr">
        <is>
          <t>ZCRO01</t>
        </is>
      </c>
      <c r="B106" s="89" t="n">
        <v>5</v>
      </c>
      <c r="C106" s="89" t="inlineStr">
        <is>
          <t>HFB111</t>
        </is>
      </c>
      <c r="D106" s="89" t="inlineStr">
        <is>
          <t>B</t>
        </is>
      </c>
      <c r="E106" s="89" t="inlineStr">
        <is>
          <t>Lunau Marc</t>
        </is>
      </c>
      <c r="F106" s="90">
        <f>SUMIFS(Investors!$M:$M,Investors!$O:$O,FALSE,Investors!$P:$P,FALSE,Investors!$K:$K,"&gt;"&amp;'NSST Print'!$B$3,Investors!$I:$I,"&lt;="&amp;'NSST Print'!$B$3,Investors!$A:$A,'Investor Exit List'!$A106,Investors!$E:$E,'Investor Exit List'!$C106,Investors!$L:$L,'Investor Exit List'!$B106)-(SUMIFS(Investors!$M:$M,Investors!$I:$I,"&lt;="&amp;'NSST Print'!$B$3,Investors!$J:$J,"&gt;"&amp;'NSST Print'!$B$3,Investors!$A:$A,'Investor Exit List'!$A106,Investors!$E:$E,'Investor Exit List'!$C106,Investors!$L:$L,'Investor Exit List'!$B106)+SUMIFS(Investors!$M:$M,Investors!$I:$I,"&lt;="&amp;'NSST Print'!$B$3,Investors!$J:$J,"",Investors!$A:$A,'Investor Exit List'!$A106,Investors!$E:$E,'Investor Exit List'!$C106,Investors!$L:$L,'Investor Exit List'!$B106))</f>
        <v/>
      </c>
      <c r="G106" s="91" t="n">
        <v>44352</v>
      </c>
      <c r="H106" s="89" t="b">
        <v>1</v>
      </c>
      <c r="I106" s="89" t="b">
        <v>1</v>
      </c>
      <c r="J106" s="91" t="n">
        <v>45027</v>
      </c>
      <c r="K106" s="91">
        <f>IF(I106=TRUE,J106,"")</f>
        <v/>
      </c>
      <c r="L106" s="91">
        <f>G106+730</f>
        <v/>
      </c>
      <c r="M106" s="91" t="n">
        <v>45382</v>
      </c>
      <c r="N106" s="92">
        <f>IFERROR(IF(G106&lt;&gt;"",IF(I106=TRUE,0,IF(U106=TRUE,0,L106-M106)),0),0)</f>
        <v/>
      </c>
      <c r="O106" s="92">
        <f>IF(N106&gt;0,IF(N106&lt;=180,N106,0),0)</f>
        <v/>
      </c>
      <c r="P106" s="90">
        <f>IF(AND(N106&lt;90,N106&gt;0),Q106,0)</f>
        <v/>
      </c>
      <c r="Q106" s="90">
        <f>SUMIFS(Investors!$M:$M,Investors!$O:$O,FALSE,Investors!$P:$P,FALSE,Investors!$K:$K,"&gt;"&amp;'NSST Print'!$B$3,Investors!$I:$I,"&lt;="&amp;'NSST Print'!$B$3,Investors!$A:$A,'Investor Exit List'!$A106,Investors!$E:$E,'Investor Exit List'!$C106,Investors!$L:$L,'Investor Exit List'!$B106)-(SUMIFS(Investors!$M:$M,Investors!$I:$I,"&lt;="&amp;'NSST Print'!$B$3,Investors!$J:$J,"&gt;"&amp;'NSST Print'!$B$3,Investors!$A:$A,'Investor Exit List'!$A106,Investors!$E:$E,'Investor Exit List'!$C106,Investors!$L:$L,'Investor Exit List'!$B106)+SUMIFS(Investors!$M:$M,Investors!$I:$I,"&lt;="&amp;'NSST Print'!$B$3,Investors!$J:$J,"",Investors!$A:$A,'Investor Exit List'!$A106,Investors!$E:$E,'Investor Exit List'!$C106,Investors!$L:$L,'Investor Exit List'!$B106))+SUMIFS(Investors!$S:$S,Investors!$O:$O,FALSE,Investors!$P:$P,FALSE,Investors!$K:$K,"&gt;"&amp;'NSST Print'!$B$3,Investors!$I:$I,"&lt;="&amp;'NSST Print'!$B$3,Investors!$A:$A,'Investor Exit List'!$A106,Investors!$E:$E,'Investor Exit List'!$C106,Investors!$L:$L,'Investor Exit List'!$B106)-(SUMIFS(Investors!$S:$S,Investors!$I:$I,"&lt;="&amp;'NSST Print'!$B$3,Investors!$J:$J,"&gt;"&amp;'NSST Print'!$B$3,Investors!$A:$A,'Investor Exit List'!$A106,Investors!$E:$E,'Investor Exit List'!$C106,Investors!$L:$L,'Investor Exit List'!$B106)+SUMIFS(Investors!$S:$S,Investors!$I:$I,"&lt;="&amp;'NSST Print'!$B$3,Investors!$J:$J,"",Investors!$A:$A,'Investor Exit List'!$A106,Investors!$E:$E,'Investor Exit List'!$C106,Investors!$L:$L,'Investor Exit List'!$B106))</f>
        <v/>
      </c>
      <c r="R106" s="90">
        <f>IF(AND(H106=TRUE,I106=FALSE),Q106,0)</f>
        <v/>
      </c>
      <c r="S106" s="90">
        <f>SUMIFS(Investors!$M:$M,Investors!$O:$O,TRUE,Investors!$A:$A,'Investor Exit List'!$A106,Investors!$E:$E,'Investor Exit List'!$C106,Investors!$L:$L,'Investor Exit List'!$B106)+SUMIFS(Investors!$S:$S,Investors!$O:$O,TRUE,Investors!$A:$A,'Investor Exit List'!$A106,Investors!$E:$E,'Investor Exit List'!$C106,Investors!$L:$L,'Investor Exit List'!$B106)</f>
        <v/>
      </c>
      <c r="T106" s="91">
        <f>IF(U106=TRUE,$J106,"")</f>
        <v/>
      </c>
      <c r="U106" s="89" t="b">
        <v>0</v>
      </c>
      <c r="V106" s="90">
        <f>IF(AND(H106=TRUE,OR(K106="",K106&gt;M106)),S106,0)</f>
        <v/>
      </c>
      <c r="W106" s="89" t="n">
        <v>0</v>
      </c>
      <c r="X106" s="89" t="b">
        <v>0</v>
      </c>
    </row>
    <row r="107" hidden="1">
      <c r="A107" s="89" t="inlineStr">
        <is>
          <t>ZLUN01</t>
        </is>
      </c>
      <c r="B107" s="89" t="n">
        <v>6</v>
      </c>
      <c r="C107" s="89" t="inlineStr">
        <is>
          <t>HFB111</t>
        </is>
      </c>
      <c r="D107" s="89" t="inlineStr">
        <is>
          <t>B</t>
        </is>
      </c>
      <c r="E107" s="89" t="inlineStr">
        <is>
          <t>Lunau Marc</t>
        </is>
      </c>
      <c r="F107" s="90">
        <f>SUMIFS(Investors!$M:$M,Investors!$O:$O,FALSE,Investors!$P:$P,FALSE,Investors!$K:$K,"&gt;"&amp;'NSST Print'!$B$3,Investors!$I:$I,"&lt;="&amp;'NSST Print'!$B$3,Investors!$A:$A,'Investor Exit List'!$A107,Investors!$E:$E,'Investor Exit List'!$C107,Investors!$L:$L,'Investor Exit List'!$B107)-(SUMIFS(Investors!$M:$M,Investors!$I:$I,"&lt;="&amp;'NSST Print'!$B$3,Investors!$J:$J,"&gt;"&amp;'NSST Print'!$B$3,Investors!$A:$A,'Investor Exit List'!$A107,Investors!$E:$E,'Investor Exit List'!$C107,Investors!$L:$L,'Investor Exit List'!$B107)+SUMIFS(Investors!$M:$M,Investors!$I:$I,"&lt;="&amp;'NSST Print'!$B$3,Investors!$J:$J,"",Investors!$A:$A,'Investor Exit List'!$A107,Investors!$E:$E,'Investor Exit List'!$C107,Investors!$L:$L,'Investor Exit List'!$B107))</f>
        <v/>
      </c>
      <c r="G107" s="91" t="n">
        <v>44352</v>
      </c>
      <c r="H107" s="89" t="b">
        <v>1</v>
      </c>
      <c r="I107" s="89" t="b">
        <v>1</v>
      </c>
      <c r="J107" s="91" t="n">
        <v>45027</v>
      </c>
      <c r="K107" s="91">
        <f>IF(I107=TRUE,J107,"")</f>
        <v/>
      </c>
      <c r="L107" s="91">
        <f>G107+730</f>
        <v/>
      </c>
      <c r="M107" s="91" t="n">
        <v>45382</v>
      </c>
      <c r="N107" s="92">
        <f>IFERROR(IF(G107&lt;&gt;"",IF(I107=TRUE,0,IF(U107=TRUE,0,L107-M107)),0),0)</f>
        <v/>
      </c>
      <c r="O107" s="92">
        <f>IF(N107&gt;0,IF(N107&lt;=180,N107,0),0)</f>
        <v/>
      </c>
      <c r="P107" s="90">
        <f>IF(AND(N107&lt;90,N107&gt;0),Q107,0)</f>
        <v/>
      </c>
      <c r="Q107" s="90">
        <f>SUMIFS(Investors!$M:$M,Investors!$O:$O,FALSE,Investors!$P:$P,FALSE,Investors!$K:$K,"&gt;"&amp;'NSST Print'!$B$3,Investors!$I:$I,"&lt;="&amp;'NSST Print'!$B$3,Investors!$A:$A,'Investor Exit List'!$A107,Investors!$E:$E,'Investor Exit List'!$C107,Investors!$L:$L,'Investor Exit List'!$B107)-(SUMIFS(Investors!$M:$M,Investors!$I:$I,"&lt;="&amp;'NSST Print'!$B$3,Investors!$J:$J,"&gt;"&amp;'NSST Print'!$B$3,Investors!$A:$A,'Investor Exit List'!$A107,Investors!$E:$E,'Investor Exit List'!$C107,Investors!$L:$L,'Investor Exit List'!$B107)+SUMIFS(Investors!$M:$M,Investors!$I:$I,"&lt;="&amp;'NSST Print'!$B$3,Investors!$J:$J,"",Investors!$A:$A,'Investor Exit List'!$A107,Investors!$E:$E,'Investor Exit List'!$C107,Investors!$L:$L,'Investor Exit List'!$B107))+SUMIFS(Investors!$S:$S,Investors!$O:$O,FALSE,Investors!$P:$P,FALSE,Investors!$K:$K,"&gt;"&amp;'NSST Print'!$B$3,Investors!$I:$I,"&lt;="&amp;'NSST Print'!$B$3,Investors!$A:$A,'Investor Exit List'!$A107,Investors!$E:$E,'Investor Exit List'!$C107,Investors!$L:$L,'Investor Exit List'!$B107)-(SUMIFS(Investors!$S:$S,Investors!$I:$I,"&lt;="&amp;'NSST Print'!$B$3,Investors!$J:$J,"&gt;"&amp;'NSST Print'!$B$3,Investors!$A:$A,'Investor Exit List'!$A107,Investors!$E:$E,'Investor Exit List'!$C107,Investors!$L:$L,'Investor Exit List'!$B107)+SUMIFS(Investors!$S:$S,Investors!$I:$I,"&lt;="&amp;'NSST Print'!$B$3,Investors!$J:$J,"",Investors!$A:$A,'Investor Exit List'!$A107,Investors!$E:$E,'Investor Exit List'!$C107,Investors!$L:$L,'Investor Exit List'!$B107))</f>
        <v/>
      </c>
      <c r="R107" s="90">
        <f>IF(AND(H107=TRUE,I107=FALSE),Q107,0)</f>
        <v/>
      </c>
      <c r="S107" s="90">
        <f>SUMIFS(Investors!$M:$M,Investors!$O:$O,TRUE,Investors!$A:$A,'Investor Exit List'!$A107,Investors!$E:$E,'Investor Exit List'!$C107,Investors!$L:$L,'Investor Exit List'!$B107)+SUMIFS(Investors!$S:$S,Investors!$O:$O,TRUE,Investors!$A:$A,'Investor Exit List'!$A107,Investors!$E:$E,'Investor Exit List'!$C107,Investors!$L:$L,'Investor Exit List'!$B107)</f>
        <v/>
      </c>
      <c r="T107" s="91">
        <f>IF(U107=TRUE,$J107,"")</f>
        <v/>
      </c>
      <c r="U107" s="89" t="b">
        <v>0</v>
      </c>
      <c r="V107" s="90">
        <f>IF(AND(H107=TRUE,OR(K107="",K107&gt;M107)),S107,0)</f>
        <v/>
      </c>
      <c r="W107" s="89" t="n">
        <v>0</v>
      </c>
      <c r="X107" s="89" t="b">
        <v>0</v>
      </c>
    </row>
    <row r="108" hidden="1">
      <c r="A108" s="89" t="inlineStr">
        <is>
          <t>ZSCA02</t>
        </is>
      </c>
      <c r="B108" s="89" t="n">
        <v>1</v>
      </c>
      <c r="C108" s="89" t="inlineStr">
        <is>
          <t>HFB111</t>
        </is>
      </c>
      <c r="D108" s="89" t="inlineStr">
        <is>
          <t>B</t>
        </is>
      </c>
      <c r="E108" s="89" t="inlineStr">
        <is>
          <t>Scalzini Chad</t>
        </is>
      </c>
      <c r="F108" s="90">
        <f>SUMIFS(Investors!$M:$M,Investors!$O:$O,FALSE,Investors!$P:$P,FALSE,Investors!$K:$K,"&gt;"&amp;'NSST Print'!$B$3,Investors!$I:$I,"&lt;="&amp;'NSST Print'!$B$3,Investors!$A:$A,'Investor Exit List'!$A108,Investors!$E:$E,'Investor Exit List'!$C108,Investors!$L:$L,'Investor Exit List'!$B108)-(SUMIFS(Investors!$M:$M,Investors!$I:$I,"&lt;="&amp;'NSST Print'!$B$3,Investors!$J:$J,"&gt;"&amp;'NSST Print'!$B$3,Investors!$A:$A,'Investor Exit List'!$A108,Investors!$E:$E,'Investor Exit List'!$C108,Investors!$L:$L,'Investor Exit List'!$B108)+SUMIFS(Investors!$M:$M,Investors!$I:$I,"&lt;="&amp;'NSST Print'!$B$3,Investors!$J:$J,"",Investors!$A:$A,'Investor Exit List'!$A108,Investors!$E:$E,'Investor Exit List'!$C108,Investors!$L:$L,'Investor Exit List'!$B108))</f>
        <v/>
      </c>
      <c r="G108" s="91" t="n">
        <v>44508</v>
      </c>
      <c r="H108" s="89" t="b">
        <v>1</v>
      </c>
      <c r="I108" s="89" t="b">
        <v>1</v>
      </c>
      <c r="J108" s="91" t="n">
        <v>45027</v>
      </c>
      <c r="K108" s="91">
        <f>IF(I108=TRUE,J108,"")</f>
        <v/>
      </c>
      <c r="L108" s="91">
        <f>G108+730</f>
        <v/>
      </c>
      <c r="M108" s="91" t="n">
        <v>45382</v>
      </c>
      <c r="N108" s="92">
        <f>IFERROR(IF(G108&lt;&gt;"",IF(I108=TRUE,0,IF(U108=TRUE,0,L108-M108)),0),0)</f>
        <v/>
      </c>
      <c r="O108" s="92">
        <f>IF(N108&gt;0,IF(N108&lt;=180,N108,0),0)</f>
        <v/>
      </c>
      <c r="P108" s="90">
        <f>IF(AND(N108&lt;90,N108&gt;0),Q108,0)</f>
        <v/>
      </c>
      <c r="Q108" s="90">
        <f>SUMIFS(Investors!$M:$M,Investors!$O:$O,FALSE,Investors!$P:$P,FALSE,Investors!$K:$K,"&gt;"&amp;'NSST Print'!$B$3,Investors!$I:$I,"&lt;="&amp;'NSST Print'!$B$3,Investors!$A:$A,'Investor Exit List'!$A108,Investors!$E:$E,'Investor Exit List'!$C108,Investors!$L:$L,'Investor Exit List'!$B108)-(SUMIFS(Investors!$M:$M,Investors!$I:$I,"&lt;="&amp;'NSST Print'!$B$3,Investors!$J:$J,"&gt;"&amp;'NSST Print'!$B$3,Investors!$A:$A,'Investor Exit List'!$A108,Investors!$E:$E,'Investor Exit List'!$C108,Investors!$L:$L,'Investor Exit List'!$B108)+SUMIFS(Investors!$M:$M,Investors!$I:$I,"&lt;="&amp;'NSST Print'!$B$3,Investors!$J:$J,"",Investors!$A:$A,'Investor Exit List'!$A108,Investors!$E:$E,'Investor Exit List'!$C108,Investors!$L:$L,'Investor Exit List'!$B108))+SUMIFS(Investors!$S:$S,Investors!$O:$O,FALSE,Investors!$P:$P,FALSE,Investors!$K:$K,"&gt;"&amp;'NSST Print'!$B$3,Investors!$I:$I,"&lt;="&amp;'NSST Print'!$B$3,Investors!$A:$A,'Investor Exit List'!$A108,Investors!$E:$E,'Investor Exit List'!$C108,Investors!$L:$L,'Investor Exit List'!$B108)-(SUMIFS(Investors!$S:$S,Investors!$I:$I,"&lt;="&amp;'NSST Print'!$B$3,Investors!$J:$J,"&gt;"&amp;'NSST Print'!$B$3,Investors!$A:$A,'Investor Exit List'!$A108,Investors!$E:$E,'Investor Exit List'!$C108,Investors!$L:$L,'Investor Exit List'!$B108)+SUMIFS(Investors!$S:$S,Investors!$I:$I,"&lt;="&amp;'NSST Print'!$B$3,Investors!$J:$J,"",Investors!$A:$A,'Investor Exit List'!$A108,Investors!$E:$E,'Investor Exit List'!$C108,Investors!$L:$L,'Investor Exit List'!$B108))</f>
        <v/>
      </c>
      <c r="R108" s="90">
        <f>IF(AND(H108=TRUE,I108=FALSE),Q108,0)</f>
        <v/>
      </c>
      <c r="S108" s="90">
        <f>SUMIFS(Investors!$M:$M,Investors!$O:$O,TRUE,Investors!$A:$A,'Investor Exit List'!$A108,Investors!$E:$E,'Investor Exit List'!$C108,Investors!$L:$L,'Investor Exit List'!$B108)+SUMIFS(Investors!$S:$S,Investors!$O:$O,TRUE,Investors!$A:$A,'Investor Exit List'!$A108,Investors!$E:$E,'Investor Exit List'!$C108,Investors!$L:$L,'Investor Exit List'!$B108)</f>
        <v/>
      </c>
      <c r="T108" s="91">
        <f>IF(U108=TRUE,$J108,"")</f>
        <v/>
      </c>
      <c r="U108" s="89" t="b">
        <v>0</v>
      </c>
      <c r="V108" s="90">
        <f>IF(AND(H108=TRUE,OR(K108="",K108&gt;M108)),S108,0)</f>
        <v/>
      </c>
      <c r="W108" s="89" t="n">
        <v>0</v>
      </c>
      <c r="X108" s="89" t="b">
        <v>0</v>
      </c>
    </row>
    <row r="109" hidden="1">
      <c r="A109" s="89" t="inlineStr">
        <is>
          <t>ZSCH03</t>
        </is>
      </c>
      <c r="B109" s="89" t="n">
        <v>1</v>
      </c>
      <c r="C109" s="89" t="inlineStr">
        <is>
          <t>HFB111</t>
        </is>
      </c>
      <c r="D109" s="89" t="inlineStr">
        <is>
          <t>B</t>
        </is>
      </c>
      <c r="E109" s="89" t="inlineStr">
        <is>
          <t>Schmidt Gary James</t>
        </is>
      </c>
      <c r="F109" s="90">
        <f>SUMIFS(Investors!$M:$M,Investors!$O:$O,FALSE,Investors!$P:$P,FALSE,Investors!$K:$K,"&gt;"&amp;'NSST Print'!$B$3,Investors!$I:$I,"&lt;="&amp;'NSST Print'!$B$3,Investors!$A:$A,'Investor Exit List'!$A109,Investors!$E:$E,'Investor Exit List'!$C109,Investors!$L:$L,'Investor Exit List'!$B109)-(SUMIFS(Investors!$M:$M,Investors!$I:$I,"&lt;="&amp;'NSST Print'!$B$3,Investors!$J:$J,"&gt;"&amp;'NSST Print'!$B$3,Investors!$A:$A,'Investor Exit List'!$A109,Investors!$E:$E,'Investor Exit List'!$C109,Investors!$L:$L,'Investor Exit List'!$B109)+SUMIFS(Investors!$M:$M,Investors!$I:$I,"&lt;="&amp;'NSST Print'!$B$3,Investors!$J:$J,"",Investors!$A:$A,'Investor Exit List'!$A109,Investors!$E:$E,'Investor Exit List'!$C109,Investors!$L:$L,'Investor Exit List'!$B109))</f>
        <v/>
      </c>
      <c r="G109" s="91" t="n">
        <v>44352</v>
      </c>
      <c r="H109" s="89" t="b">
        <v>1</v>
      </c>
      <c r="I109" s="89" t="b">
        <v>1</v>
      </c>
      <c r="J109" s="91" t="n">
        <v>45027</v>
      </c>
      <c r="K109" s="91">
        <f>IF(I109=TRUE,J109,"")</f>
        <v/>
      </c>
      <c r="L109" s="91">
        <f>G109+730</f>
        <v/>
      </c>
      <c r="M109" s="91" t="n">
        <v>45382</v>
      </c>
      <c r="N109" s="92">
        <f>IFERROR(IF(G109&lt;&gt;"",IF(I109=TRUE,0,IF(U109=TRUE,0,L109-M109)),0),0)</f>
        <v/>
      </c>
      <c r="O109" s="92">
        <f>IF(N109&gt;0,IF(N109&lt;=180,N109,0),0)</f>
        <v/>
      </c>
      <c r="P109" s="90">
        <f>IF(AND(N109&lt;90,N109&gt;0),Q109,0)</f>
        <v/>
      </c>
      <c r="Q109" s="90">
        <f>SUMIFS(Investors!$M:$M,Investors!$O:$O,FALSE,Investors!$P:$P,FALSE,Investors!$K:$K,"&gt;"&amp;'NSST Print'!$B$3,Investors!$I:$I,"&lt;="&amp;'NSST Print'!$B$3,Investors!$A:$A,'Investor Exit List'!$A109,Investors!$E:$E,'Investor Exit List'!$C109,Investors!$L:$L,'Investor Exit List'!$B109)-(SUMIFS(Investors!$M:$M,Investors!$I:$I,"&lt;="&amp;'NSST Print'!$B$3,Investors!$J:$J,"&gt;"&amp;'NSST Print'!$B$3,Investors!$A:$A,'Investor Exit List'!$A109,Investors!$E:$E,'Investor Exit List'!$C109,Investors!$L:$L,'Investor Exit List'!$B109)+SUMIFS(Investors!$M:$M,Investors!$I:$I,"&lt;="&amp;'NSST Print'!$B$3,Investors!$J:$J,"",Investors!$A:$A,'Investor Exit List'!$A109,Investors!$E:$E,'Investor Exit List'!$C109,Investors!$L:$L,'Investor Exit List'!$B109))+SUMIFS(Investors!$S:$S,Investors!$O:$O,FALSE,Investors!$P:$P,FALSE,Investors!$K:$K,"&gt;"&amp;'NSST Print'!$B$3,Investors!$I:$I,"&lt;="&amp;'NSST Print'!$B$3,Investors!$A:$A,'Investor Exit List'!$A109,Investors!$E:$E,'Investor Exit List'!$C109,Investors!$L:$L,'Investor Exit List'!$B109)-(SUMIFS(Investors!$S:$S,Investors!$I:$I,"&lt;="&amp;'NSST Print'!$B$3,Investors!$J:$J,"&gt;"&amp;'NSST Print'!$B$3,Investors!$A:$A,'Investor Exit List'!$A109,Investors!$E:$E,'Investor Exit List'!$C109,Investors!$L:$L,'Investor Exit List'!$B109)+SUMIFS(Investors!$S:$S,Investors!$I:$I,"&lt;="&amp;'NSST Print'!$B$3,Investors!$J:$J,"",Investors!$A:$A,'Investor Exit List'!$A109,Investors!$E:$E,'Investor Exit List'!$C109,Investors!$L:$L,'Investor Exit List'!$B109))</f>
        <v/>
      </c>
      <c r="R109" s="90">
        <f>IF(AND(H109=TRUE,I109=FALSE),Q109,0)</f>
        <v/>
      </c>
      <c r="S109" s="90">
        <f>SUMIFS(Investors!$M:$M,Investors!$O:$O,TRUE,Investors!$A:$A,'Investor Exit List'!$A109,Investors!$E:$E,'Investor Exit List'!$C109,Investors!$L:$L,'Investor Exit List'!$B109)+SUMIFS(Investors!$S:$S,Investors!$O:$O,TRUE,Investors!$A:$A,'Investor Exit List'!$A109,Investors!$E:$E,'Investor Exit List'!$C109,Investors!$L:$L,'Investor Exit List'!$B109)</f>
        <v/>
      </c>
      <c r="T109" s="91">
        <f>IF(U109=TRUE,$J109,"")</f>
        <v/>
      </c>
      <c r="U109" s="89" t="b">
        <v>0</v>
      </c>
      <c r="V109" s="90">
        <f>IF(AND(H109=TRUE,OR(K109="",K109&gt;M109)),S109,0)</f>
        <v/>
      </c>
      <c r="W109" s="89" t="n">
        <v>0</v>
      </c>
      <c r="X109" s="89" t="b">
        <v>0</v>
      </c>
    </row>
    <row r="110" hidden="1">
      <c r="A110" s="89" t="inlineStr">
        <is>
          <t>ZBEN01</t>
        </is>
      </c>
      <c r="B110" s="89" t="n">
        <v>1</v>
      </c>
      <c r="C110" s="89" t="inlineStr">
        <is>
          <t>HFB201</t>
        </is>
      </c>
      <c r="D110" s="89" t="inlineStr">
        <is>
          <t>B</t>
        </is>
      </c>
      <c r="E110" s="89" t="inlineStr">
        <is>
          <t>Beneke Heino</t>
        </is>
      </c>
      <c r="F110" s="90">
        <f>SUMIFS(Investors!$M:$M,Investors!$O:$O,FALSE,Investors!$P:$P,FALSE,Investors!$K:$K,"&gt;"&amp;'NSST Print'!$B$3,Investors!$I:$I,"&lt;="&amp;'NSST Print'!$B$3,Investors!$A:$A,'Investor Exit List'!$A110,Investors!$E:$E,'Investor Exit List'!$C110,Investors!$L:$L,'Investor Exit List'!$B110)-(SUMIFS(Investors!$M:$M,Investors!$I:$I,"&lt;="&amp;'NSST Print'!$B$3,Investors!$J:$J,"&gt;"&amp;'NSST Print'!$B$3,Investors!$A:$A,'Investor Exit List'!$A110,Investors!$E:$E,'Investor Exit List'!$C110,Investors!$L:$L,'Investor Exit List'!$B110)+SUMIFS(Investors!$M:$M,Investors!$I:$I,"&lt;="&amp;'NSST Print'!$B$3,Investors!$J:$J,"",Investors!$A:$A,'Investor Exit List'!$A110,Investors!$E:$E,'Investor Exit List'!$C110,Investors!$L:$L,'Investor Exit List'!$B110))</f>
        <v/>
      </c>
      <c r="G110" s="91" t="n">
        <v>44352</v>
      </c>
      <c r="H110" s="89" t="b">
        <v>1</v>
      </c>
      <c r="I110" s="89" t="b">
        <v>1</v>
      </c>
      <c r="J110" s="91" t="n">
        <v>44936</v>
      </c>
      <c r="K110" s="91">
        <f>IF(I110=TRUE,J110,"")</f>
        <v/>
      </c>
      <c r="L110" s="91">
        <f>G110+730</f>
        <v/>
      </c>
      <c r="M110" s="91" t="n">
        <v>45382</v>
      </c>
      <c r="N110" s="92">
        <f>IFERROR(IF(G110&lt;&gt;"",IF(I110=TRUE,0,IF(U110=TRUE,0,L110-M110)),0),0)</f>
        <v/>
      </c>
      <c r="O110" s="92">
        <f>IF(N110&gt;0,IF(N110&lt;=180,N110,0),0)</f>
        <v/>
      </c>
      <c r="P110" s="90">
        <f>IF(AND(N110&lt;90,N110&gt;0),Q110,0)</f>
        <v/>
      </c>
      <c r="Q110" s="90">
        <f>SUMIFS(Investors!$M:$M,Investors!$O:$O,FALSE,Investors!$P:$P,FALSE,Investors!$K:$K,"&gt;"&amp;'NSST Print'!$B$3,Investors!$I:$I,"&lt;="&amp;'NSST Print'!$B$3,Investors!$A:$A,'Investor Exit List'!$A110,Investors!$E:$E,'Investor Exit List'!$C110,Investors!$L:$L,'Investor Exit List'!$B110)-(SUMIFS(Investors!$M:$M,Investors!$I:$I,"&lt;="&amp;'NSST Print'!$B$3,Investors!$J:$J,"&gt;"&amp;'NSST Print'!$B$3,Investors!$A:$A,'Investor Exit List'!$A110,Investors!$E:$E,'Investor Exit List'!$C110,Investors!$L:$L,'Investor Exit List'!$B110)+SUMIFS(Investors!$M:$M,Investors!$I:$I,"&lt;="&amp;'NSST Print'!$B$3,Investors!$J:$J,"",Investors!$A:$A,'Investor Exit List'!$A110,Investors!$E:$E,'Investor Exit List'!$C110,Investors!$L:$L,'Investor Exit List'!$B110))+SUMIFS(Investors!$S:$S,Investors!$O:$O,FALSE,Investors!$P:$P,FALSE,Investors!$K:$K,"&gt;"&amp;'NSST Print'!$B$3,Investors!$I:$I,"&lt;="&amp;'NSST Print'!$B$3,Investors!$A:$A,'Investor Exit List'!$A110,Investors!$E:$E,'Investor Exit List'!$C110,Investors!$L:$L,'Investor Exit List'!$B110)-(SUMIFS(Investors!$S:$S,Investors!$I:$I,"&lt;="&amp;'NSST Print'!$B$3,Investors!$J:$J,"&gt;"&amp;'NSST Print'!$B$3,Investors!$A:$A,'Investor Exit List'!$A110,Investors!$E:$E,'Investor Exit List'!$C110,Investors!$L:$L,'Investor Exit List'!$B110)+SUMIFS(Investors!$S:$S,Investors!$I:$I,"&lt;="&amp;'NSST Print'!$B$3,Investors!$J:$J,"",Investors!$A:$A,'Investor Exit List'!$A110,Investors!$E:$E,'Investor Exit List'!$C110,Investors!$L:$L,'Investor Exit List'!$B110))</f>
        <v/>
      </c>
      <c r="R110" s="90">
        <f>IF(AND(H110=TRUE,I110=FALSE),Q110,0)</f>
        <v/>
      </c>
      <c r="S110" s="90">
        <f>SUMIFS(Investors!$M:$M,Investors!$O:$O,TRUE,Investors!$A:$A,'Investor Exit List'!$A110,Investors!$E:$E,'Investor Exit List'!$C110,Investors!$L:$L,'Investor Exit List'!$B110)+SUMIFS(Investors!$S:$S,Investors!$O:$O,TRUE,Investors!$A:$A,'Investor Exit List'!$A110,Investors!$E:$E,'Investor Exit List'!$C110,Investors!$L:$L,'Investor Exit List'!$B110)</f>
        <v/>
      </c>
      <c r="T110" s="91">
        <f>IF(U110=TRUE,$J110,"")</f>
        <v/>
      </c>
      <c r="U110" s="89" t="b">
        <v>0</v>
      </c>
      <c r="V110" s="90">
        <f>IF(AND(H110=TRUE,OR(K110="",K110&gt;M110)),S110,0)</f>
        <v/>
      </c>
      <c r="W110" s="89" t="n">
        <v>0</v>
      </c>
      <c r="X110" s="89" t="b">
        <v>0</v>
      </c>
    </row>
    <row r="111" hidden="1">
      <c r="A111" s="89" t="inlineStr">
        <is>
          <t>ZGLO01</t>
        </is>
      </c>
      <c r="B111" s="89" t="n">
        <v>1</v>
      </c>
      <c r="C111" s="89" t="inlineStr">
        <is>
          <t>HFB201</t>
        </is>
      </c>
      <c r="D111" s="89" t="inlineStr">
        <is>
          <t>B</t>
        </is>
      </c>
      <c r="E111" s="89" t="inlineStr">
        <is>
          <t>Goltz Elizma</t>
        </is>
      </c>
      <c r="F111" s="90">
        <f>SUMIFS(Investors!$M:$M,Investors!$O:$O,FALSE,Investors!$P:$P,FALSE,Investors!$K:$K,"&gt;"&amp;'NSST Print'!$B$3,Investors!$I:$I,"&lt;="&amp;'NSST Print'!$B$3,Investors!$A:$A,'Investor Exit List'!$A111,Investors!$E:$E,'Investor Exit List'!$C111,Investors!$L:$L,'Investor Exit List'!$B111)-(SUMIFS(Investors!$M:$M,Investors!$I:$I,"&lt;="&amp;'NSST Print'!$B$3,Investors!$J:$J,"&gt;"&amp;'NSST Print'!$B$3,Investors!$A:$A,'Investor Exit List'!$A111,Investors!$E:$E,'Investor Exit List'!$C111,Investors!$L:$L,'Investor Exit List'!$B111)+SUMIFS(Investors!$M:$M,Investors!$I:$I,"&lt;="&amp;'NSST Print'!$B$3,Investors!$J:$J,"",Investors!$A:$A,'Investor Exit List'!$A111,Investors!$E:$E,'Investor Exit List'!$C111,Investors!$L:$L,'Investor Exit List'!$B111))</f>
        <v/>
      </c>
      <c r="G111" s="91" t="n">
        <v>44378</v>
      </c>
      <c r="H111" s="89" t="b">
        <v>1</v>
      </c>
      <c r="I111" s="89" t="b">
        <v>1</v>
      </c>
      <c r="J111" s="91" t="n">
        <v>44936</v>
      </c>
      <c r="K111" s="91">
        <f>IF(I111=TRUE,J111,"")</f>
        <v/>
      </c>
      <c r="L111" s="91">
        <f>G111+730</f>
        <v/>
      </c>
      <c r="M111" s="91" t="n">
        <v>45382</v>
      </c>
      <c r="N111" s="92">
        <f>IFERROR(IF(G111&lt;&gt;"",IF(I111=TRUE,0,IF(U111=TRUE,0,L111-M111)),0),0)</f>
        <v/>
      </c>
      <c r="O111" s="92">
        <f>IF(N111&gt;0,IF(N111&lt;=180,N111,0),0)</f>
        <v/>
      </c>
      <c r="P111" s="90">
        <f>IF(AND(N111&lt;90,N111&gt;0),Q111,0)</f>
        <v/>
      </c>
      <c r="Q111" s="90">
        <f>SUMIFS(Investors!$M:$M,Investors!$O:$O,FALSE,Investors!$P:$P,FALSE,Investors!$K:$K,"&gt;"&amp;'NSST Print'!$B$3,Investors!$I:$I,"&lt;="&amp;'NSST Print'!$B$3,Investors!$A:$A,'Investor Exit List'!$A111,Investors!$E:$E,'Investor Exit List'!$C111,Investors!$L:$L,'Investor Exit List'!$B111)-(SUMIFS(Investors!$M:$M,Investors!$I:$I,"&lt;="&amp;'NSST Print'!$B$3,Investors!$J:$J,"&gt;"&amp;'NSST Print'!$B$3,Investors!$A:$A,'Investor Exit List'!$A111,Investors!$E:$E,'Investor Exit List'!$C111,Investors!$L:$L,'Investor Exit List'!$B111)+SUMIFS(Investors!$M:$M,Investors!$I:$I,"&lt;="&amp;'NSST Print'!$B$3,Investors!$J:$J,"",Investors!$A:$A,'Investor Exit List'!$A111,Investors!$E:$E,'Investor Exit List'!$C111,Investors!$L:$L,'Investor Exit List'!$B111))+SUMIFS(Investors!$S:$S,Investors!$O:$O,FALSE,Investors!$P:$P,FALSE,Investors!$K:$K,"&gt;"&amp;'NSST Print'!$B$3,Investors!$I:$I,"&lt;="&amp;'NSST Print'!$B$3,Investors!$A:$A,'Investor Exit List'!$A111,Investors!$E:$E,'Investor Exit List'!$C111,Investors!$L:$L,'Investor Exit List'!$B111)-(SUMIFS(Investors!$S:$S,Investors!$I:$I,"&lt;="&amp;'NSST Print'!$B$3,Investors!$J:$J,"&gt;"&amp;'NSST Print'!$B$3,Investors!$A:$A,'Investor Exit List'!$A111,Investors!$E:$E,'Investor Exit List'!$C111,Investors!$L:$L,'Investor Exit List'!$B111)+SUMIFS(Investors!$S:$S,Investors!$I:$I,"&lt;="&amp;'NSST Print'!$B$3,Investors!$J:$J,"",Investors!$A:$A,'Investor Exit List'!$A111,Investors!$E:$E,'Investor Exit List'!$C111,Investors!$L:$L,'Investor Exit List'!$B111))</f>
        <v/>
      </c>
      <c r="R111" s="90">
        <f>IF(AND(H111=TRUE,I111=FALSE),Q111,0)</f>
        <v/>
      </c>
      <c r="S111" s="90">
        <f>SUMIFS(Investors!$M:$M,Investors!$O:$O,TRUE,Investors!$A:$A,'Investor Exit List'!$A111,Investors!$E:$E,'Investor Exit List'!$C111,Investors!$L:$L,'Investor Exit List'!$B111)+SUMIFS(Investors!$S:$S,Investors!$O:$O,TRUE,Investors!$A:$A,'Investor Exit List'!$A111,Investors!$E:$E,'Investor Exit List'!$C111,Investors!$L:$L,'Investor Exit List'!$B111)</f>
        <v/>
      </c>
      <c r="T111" s="91">
        <f>IF(U111=TRUE,$J111,"")</f>
        <v/>
      </c>
      <c r="U111" s="89" t="b">
        <v>0</v>
      </c>
      <c r="V111" s="90">
        <f>IF(AND(H111=TRUE,OR(K111="",K111&gt;M111)),S111,0)</f>
        <v/>
      </c>
      <c r="W111" s="89" t="n">
        <v>0</v>
      </c>
      <c r="X111" s="89" t="b">
        <v>0</v>
      </c>
    </row>
    <row r="112" hidden="1">
      <c r="A112" s="89" t="inlineStr">
        <is>
          <t>ZMIN01</t>
        </is>
      </c>
      <c r="B112" s="89" t="n">
        <v>1</v>
      </c>
      <c r="C112" s="89" t="inlineStr">
        <is>
          <t>HFB202</t>
        </is>
      </c>
      <c r="D112" s="89" t="inlineStr">
        <is>
          <t>B</t>
        </is>
      </c>
      <c r="E112" s="89" t="inlineStr">
        <is>
          <t>Minnaar Irene Petronella</t>
        </is>
      </c>
      <c r="F112" s="90">
        <f>SUMIFS(Investors!$M:$M,Investors!$O:$O,FALSE,Investors!$P:$P,FALSE,Investors!$K:$K,"&gt;"&amp;'NSST Print'!$B$3,Investors!$I:$I,"&lt;="&amp;'NSST Print'!$B$3,Investors!$A:$A,'Investor Exit List'!$A112,Investors!$E:$E,'Investor Exit List'!$C112,Investors!$L:$L,'Investor Exit List'!$B112)-(SUMIFS(Investors!$M:$M,Investors!$I:$I,"&lt;="&amp;'NSST Print'!$B$3,Investors!$J:$J,"&gt;"&amp;'NSST Print'!$B$3,Investors!$A:$A,'Investor Exit List'!$A112,Investors!$E:$E,'Investor Exit List'!$C112,Investors!$L:$L,'Investor Exit List'!$B112)+SUMIFS(Investors!$M:$M,Investors!$I:$I,"&lt;="&amp;'NSST Print'!$B$3,Investors!$J:$J,"",Investors!$A:$A,'Investor Exit List'!$A112,Investors!$E:$E,'Investor Exit List'!$C112,Investors!$L:$L,'Investor Exit List'!$B112))</f>
        <v/>
      </c>
      <c r="G112" s="91" t="n">
        <v>44378</v>
      </c>
      <c r="H112" s="89" t="b">
        <v>1</v>
      </c>
      <c r="I112" s="89" t="b">
        <v>1</v>
      </c>
      <c r="J112" s="91" t="n">
        <v>44895</v>
      </c>
      <c r="K112" s="91">
        <f>IF(I112=TRUE,J112,"")</f>
        <v/>
      </c>
      <c r="L112" s="91">
        <f>G112+730</f>
        <v/>
      </c>
      <c r="M112" s="91" t="n">
        <v>45382</v>
      </c>
      <c r="N112" s="92">
        <f>IFERROR(IF(G112&lt;&gt;"",IF(I112=TRUE,0,IF(U112=TRUE,0,L112-M112)),0),0)</f>
        <v/>
      </c>
      <c r="O112" s="92">
        <f>IF(N112&gt;0,IF(N112&lt;=180,N112,0),0)</f>
        <v/>
      </c>
      <c r="P112" s="90">
        <f>IF(AND(N112&lt;90,N112&gt;0),Q112,0)</f>
        <v/>
      </c>
      <c r="Q112" s="90">
        <f>SUMIFS(Investors!$M:$M,Investors!$O:$O,FALSE,Investors!$P:$P,FALSE,Investors!$K:$K,"&gt;"&amp;'NSST Print'!$B$3,Investors!$I:$I,"&lt;="&amp;'NSST Print'!$B$3,Investors!$A:$A,'Investor Exit List'!$A112,Investors!$E:$E,'Investor Exit List'!$C112,Investors!$L:$L,'Investor Exit List'!$B112)-(SUMIFS(Investors!$M:$M,Investors!$I:$I,"&lt;="&amp;'NSST Print'!$B$3,Investors!$J:$J,"&gt;"&amp;'NSST Print'!$B$3,Investors!$A:$A,'Investor Exit List'!$A112,Investors!$E:$E,'Investor Exit List'!$C112,Investors!$L:$L,'Investor Exit List'!$B112)+SUMIFS(Investors!$M:$M,Investors!$I:$I,"&lt;="&amp;'NSST Print'!$B$3,Investors!$J:$J,"",Investors!$A:$A,'Investor Exit List'!$A112,Investors!$E:$E,'Investor Exit List'!$C112,Investors!$L:$L,'Investor Exit List'!$B112))+SUMIFS(Investors!$S:$S,Investors!$O:$O,FALSE,Investors!$P:$P,FALSE,Investors!$K:$K,"&gt;"&amp;'NSST Print'!$B$3,Investors!$I:$I,"&lt;="&amp;'NSST Print'!$B$3,Investors!$A:$A,'Investor Exit List'!$A112,Investors!$E:$E,'Investor Exit List'!$C112,Investors!$L:$L,'Investor Exit List'!$B112)-(SUMIFS(Investors!$S:$S,Investors!$I:$I,"&lt;="&amp;'NSST Print'!$B$3,Investors!$J:$J,"&gt;"&amp;'NSST Print'!$B$3,Investors!$A:$A,'Investor Exit List'!$A112,Investors!$E:$E,'Investor Exit List'!$C112,Investors!$L:$L,'Investor Exit List'!$B112)+SUMIFS(Investors!$S:$S,Investors!$I:$I,"&lt;="&amp;'NSST Print'!$B$3,Investors!$J:$J,"",Investors!$A:$A,'Investor Exit List'!$A112,Investors!$E:$E,'Investor Exit List'!$C112,Investors!$L:$L,'Investor Exit List'!$B112))</f>
        <v/>
      </c>
      <c r="R112" s="90">
        <f>IF(AND(H112=TRUE,I112=FALSE),Q112,0)</f>
        <v/>
      </c>
      <c r="S112" s="90">
        <f>SUMIFS(Investors!$M:$M,Investors!$O:$O,TRUE,Investors!$A:$A,'Investor Exit List'!$A112,Investors!$E:$E,'Investor Exit List'!$C112,Investors!$L:$L,'Investor Exit List'!$B112)+SUMIFS(Investors!$S:$S,Investors!$O:$O,TRUE,Investors!$A:$A,'Investor Exit List'!$A112,Investors!$E:$E,'Investor Exit List'!$C112,Investors!$L:$L,'Investor Exit List'!$B112)</f>
        <v/>
      </c>
      <c r="T112" s="91">
        <f>IF(U112=TRUE,$J112,"")</f>
        <v/>
      </c>
      <c r="U112" s="89" t="b">
        <v>1</v>
      </c>
      <c r="V112" s="90">
        <f>IF(AND(H112=TRUE,OR(K112="",K112&gt;M112)),S112,0)</f>
        <v/>
      </c>
      <c r="W112" s="89" t="n">
        <v>0</v>
      </c>
      <c r="X112" s="89" t="b">
        <v>0</v>
      </c>
    </row>
    <row r="113" hidden="1">
      <c r="A113" s="89" t="inlineStr">
        <is>
          <t>ZRUS01</t>
        </is>
      </c>
      <c r="B113" s="89" t="n">
        <v>1</v>
      </c>
      <c r="C113" s="89" t="inlineStr">
        <is>
          <t>HFB202</t>
        </is>
      </c>
      <c r="D113" s="89" t="inlineStr">
        <is>
          <t>B</t>
        </is>
      </c>
      <c r="E113" s="89" t="inlineStr">
        <is>
          <t>Rust Izak Cornelius</t>
        </is>
      </c>
      <c r="F113" s="90">
        <f>SUMIFS(Investors!$M:$M,Investors!$O:$O,FALSE,Investors!$P:$P,FALSE,Investors!$K:$K,"&gt;"&amp;'NSST Print'!$B$3,Investors!$I:$I,"&lt;="&amp;'NSST Print'!$B$3,Investors!$A:$A,'Investor Exit List'!$A113,Investors!$E:$E,'Investor Exit List'!$C113,Investors!$L:$L,'Investor Exit List'!$B113)-(SUMIFS(Investors!$M:$M,Investors!$I:$I,"&lt;="&amp;'NSST Print'!$B$3,Investors!$J:$J,"&gt;"&amp;'NSST Print'!$B$3,Investors!$A:$A,'Investor Exit List'!$A113,Investors!$E:$E,'Investor Exit List'!$C113,Investors!$L:$L,'Investor Exit List'!$B113)+SUMIFS(Investors!$M:$M,Investors!$I:$I,"&lt;="&amp;'NSST Print'!$B$3,Investors!$J:$J,"",Investors!$A:$A,'Investor Exit List'!$A113,Investors!$E:$E,'Investor Exit List'!$C113,Investors!$L:$L,'Investor Exit List'!$B113))</f>
        <v/>
      </c>
      <c r="G113" s="91" t="n">
        <v>44352</v>
      </c>
      <c r="H113" s="89" t="b">
        <v>1</v>
      </c>
      <c r="I113" s="89" t="b">
        <v>1</v>
      </c>
      <c r="J113" s="91" t="n">
        <v>45007</v>
      </c>
      <c r="K113" s="91">
        <f>IF(I113=TRUE,J113,"")</f>
        <v/>
      </c>
      <c r="L113" s="91">
        <f>G113+730</f>
        <v/>
      </c>
      <c r="M113" s="91" t="n">
        <v>45382</v>
      </c>
      <c r="N113" s="92">
        <f>IFERROR(IF(G113&lt;&gt;"",IF(I113=TRUE,0,IF(U113=TRUE,0,L113-M113)),0),0)</f>
        <v/>
      </c>
      <c r="O113" s="92">
        <f>IF(N113&gt;0,IF(N113&lt;=180,N113,0),0)</f>
        <v/>
      </c>
      <c r="P113" s="90">
        <f>IF(AND(N113&lt;90,N113&gt;0),Q113,0)</f>
        <v/>
      </c>
      <c r="Q113" s="90">
        <f>SUMIFS(Investors!$M:$M,Investors!$O:$O,FALSE,Investors!$P:$P,FALSE,Investors!$K:$K,"&gt;"&amp;'NSST Print'!$B$3,Investors!$I:$I,"&lt;="&amp;'NSST Print'!$B$3,Investors!$A:$A,'Investor Exit List'!$A113,Investors!$E:$E,'Investor Exit List'!$C113,Investors!$L:$L,'Investor Exit List'!$B113)-(SUMIFS(Investors!$M:$M,Investors!$I:$I,"&lt;="&amp;'NSST Print'!$B$3,Investors!$J:$J,"&gt;"&amp;'NSST Print'!$B$3,Investors!$A:$A,'Investor Exit List'!$A113,Investors!$E:$E,'Investor Exit List'!$C113,Investors!$L:$L,'Investor Exit List'!$B113)+SUMIFS(Investors!$M:$M,Investors!$I:$I,"&lt;="&amp;'NSST Print'!$B$3,Investors!$J:$J,"",Investors!$A:$A,'Investor Exit List'!$A113,Investors!$E:$E,'Investor Exit List'!$C113,Investors!$L:$L,'Investor Exit List'!$B113))+SUMIFS(Investors!$S:$S,Investors!$O:$O,FALSE,Investors!$P:$P,FALSE,Investors!$K:$K,"&gt;"&amp;'NSST Print'!$B$3,Investors!$I:$I,"&lt;="&amp;'NSST Print'!$B$3,Investors!$A:$A,'Investor Exit List'!$A113,Investors!$E:$E,'Investor Exit List'!$C113,Investors!$L:$L,'Investor Exit List'!$B113)-(SUMIFS(Investors!$S:$S,Investors!$I:$I,"&lt;="&amp;'NSST Print'!$B$3,Investors!$J:$J,"&gt;"&amp;'NSST Print'!$B$3,Investors!$A:$A,'Investor Exit List'!$A113,Investors!$E:$E,'Investor Exit List'!$C113,Investors!$L:$L,'Investor Exit List'!$B113)+SUMIFS(Investors!$S:$S,Investors!$I:$I,"&lt;="&amp;'NSST Print'!$B$3,Investors!$J:$J,"",Investors!$A:$A,'Investor Exit List'!$A113,Investors!$E:$E,'Investor Exit List'!$C113,Investors!$L:$L,'Investor Exit List'!$B113))</f>
        <v/>
      </c>
      <c r="R113" s="90">
        <f>IF(AND(H113=TRUE,I113=FALSE),Q113,0)</f>
        <v/>
      </c>
      <c r="S113" s="90">
        <f>SUMIFS(Investors!$M:$M,Investors!$O:$O,TRUE,Investors!$A:$A,'Investor Exit List'!$A113,Investors!$E:$E,'Investor Exit List'!$C113,Investors!$L:$L,'Investor Exit List'!$B113)+SUMIFS(Investors!$S:$S,Investors!$O:$O,TRUE,Investors!$A:$A,'Investor Exit List'!$A113,Investors!$E:$E,'Investor Exit List'!$C113,Investors!$L:$L,'Investor Exit List'!$B113)</f>
        <v/>
      </c>
      <c r="T113" s="91">
        <f>IF(U113=TRUE,$J113,"")</f>
        <v/>
      </c>
      <c r="U113" s="89" t="b">
        <v>0</v>
      </c>
      <c r="V113" s="90">
        <f>IF(AND(H113=TRUE,OR(K113="",K113&gt;M113)),S113,0)</f>
        <v/>
      </c>
      <c r="W113" s="89" t="n">
        <v>0</v>
      </c>
      <c r="X113" s="89" t="b">
        <v>0</v>
      </c>
    </row>
    <row r="114" hidden="1">
      <c r="A114" s="89" t="inlineStr">
        <is>
          <t>ZVAL01</t>
        </is>
      </c>
      <c r="B114" s="89" t="n">
        <v>1</v>
      </c>
      <c r="C114" s="89" t="inlineStr">
        <is>
          <t>HFB202</t>
        </is>
      </c>
      <c r="D114" s="89" t="inlineStr">
        <is>
          <t>B</t>
        </is>
      </c>
      <c r="E114" s="89" t="inlineStr">
        <is>
          <t>Vallabh Manoj</t>
        </is>
      </c>
      <c r="F114" s="90">
        <f>SUMIFS(Investors!$M:$M,Investors!$O:$O,FALSE,Investors!$P:$P,FALSE,Investors!$K:$K,"&gt;"&amp;'NSST Print'!$B$3,Investors!$I:$I,"&lt;="&amp;'NSST Print'!$B$3,Investors!$A:$A,'Investor Exit List'!$A114,Investors!$E:$E,'Investor Exit List'!$C114,Investors!$L:$L,'Investor Exit List'!$B114)-(SUMIFS(Investors!$M:$M,Investors!$I:$I,"&lt;="&amp;'NSST Print'!$B$3,Investors!$J:$J,"&gt;"&amp;'NSST Print'!$B$3,Investors!$A:$A,'Investor Exit List'!$A114,Investors!$E:$E,'Investor Exit List'!$C114,Investors!$L:$L,'Investor Exit List'!$B114)+SUMIFS(Investors!$M:$M,Investors!$I:$I,"&lt;="&amp;'NSST Print'!$B$3,Investors!$J:$J,"",Investors!$A:$A,'Investor Exit List'!$A114,Investors!$E:$E,'Investor Exit List'!$C114,Investors!$L:$L,'Investor Exit List'!$B114))</f>
        <v/>
      </c>
      <c r="G114" s="91" t="n">
        <v>44352</v>
      </c>
      <c r="H114" s="89" t="b">
        <v>1</v>
      </c>
      <c r="I114" s="89" t="b">
        <v>1</v>
      </c>
      <c r="J114" s="91" t="n">
        <v>45007</v>
      </c>
      <c r="K114" s="91">
        <f>IF(I114=TRUE,J114,"")</f>
        <v/>
      </c>
      <c r="L114" s="91">
        <f>G114+730</f>
        <v/>
      </c>
      <c r="M114" s="91" t="n">
        <v>45382</v>
      </c>
      <c r="N114" s="92">
        <f>IFERROR(IF(G114&lt;&gt;"",IF(I114=TRUE,0,IF(U114=TRUE,0,L114-M114)),0),0)</f>
        <v/>
      </c>
      <c r="O114" s="92">
        <f>IF(N114&gt;0,IF(N114&lt;=180,N114,0),0)</f>
        <v/>
      </c>
      <c r="P114" s="90">
        <f>IF(AND(N114&lt;90,N114&gt;0),Q114,0)</f>
        <v/>
      </c>
      <c r="Q114" s="90">
        <f>SUMIFS(Investors!$M:$M,Investors!$O:$O,FALSE,Investors!$P:$P,FALSE,Investors!$K:$K,"&gt;"&amp;'NSST Print'!$B$3,Investors!$I:$I,"&lt;="&amp;'NSST Print'!$B$3,Investors!$A:$A,'Investor Exit List'!$A114,Investors!$E:$E,'Investor Exit List'!$C114,Investors!$L:$L,'Investor Exit List'!$B114)-(SUMIFS(Investors!$M:$M,Investors!$I:$I,"&lt;="&amp;'NSST Print'!$B$3,Investors!$J:$J,"&gt;"&amp;'NSST Print'!$B$3,Investors!$A:$A,'Investor Exit List'!$A114,Investors!$E:$E,'Investor Exit List'!$C114,Investors!$L:$L,'Investor Exit List'!$B114)+SUMIFS(Investors!$M:$M,Investors!$I:$I,"&lt;="&amp;'NSST Print'!$B$3,Investors!$J:$J,"",Investors!$A:$A,'Investor Exit List'!$A114,Investors!$E:$E,'Investor Exit List'!$C114,Investors!$L:$L,'Investor Exit List'!$B114))+SUMIFS(Investors!$S:$S,Investors!$O:$O,FALSE,Investors!$P:$P,FALSE,Investors!$K:$K,"&gt;"&amp;'NSST Print'!$B$3,Investors!$I:$I,"&lt;="&amp;'NSST Print'!$B$3,Investors!$A:$A,'Investor Exit List'!$A114,Investors!$E:$E,'Investor Exit List'!$C114,Investors!$L:$L,'Investor Exit List'!$B114)-(SUMIFS(Investors!$S:$S,Investors!$I:$I,"&lt;="&amp;'NSST Print'!$B$3,Investors!$J:$J,"&gt;"&amp;'NSST Print'!$B$3,Investors!$A:$A,'Investor Exit List'!$A114,Investors!$E:$E,'Investor Exit List'!$C114,Investors!$L:$L,'Investor Exit List'!$B114)+SUMIFS(Investors!$S:$S,Investors!$I:$I,"&lt;="&amp;'NSST Print'!$B$3,Investors!$J:$J,"",Investors!$A:$A,'Investor Exit List'!$A114,Investors!$E:$E,'Investor Exit List'!$C114,Investors!$L:$L,'Investor Exit List'!$B114))</f>
        <v/>
      </c>
      <c r="R114" s="90">
        <f>IF(AND(H114=TRUE,I114=FALSE),Q114,0)</f>
        <v/>
      </c>
      <c r="S114" s="90">
        <f>SUMIFS(Investors!$M:$M,Investors!$O:$O,TRUE,Investors!$A:$A,'Investor Exit List'!$A114,Investors!$E:$E,'Investor Exit List'!$C114,Investors!$L:$L,'Investor Exit List'!$B114)+SUMIFS(Investors!$S:$S,Investors!$O:$O,TRUE,Investors!$A:$A,'Investor Exit List'!$A114,Investors!$E:$E,'Investor Exit List'!$C114,Investors!$L:$L,'Investor Exit List'!$B114)</f>
        <v/>
      </c>
      <c r="T114" s="91">
        <f>IF(U114=TRUE,$J114,"")</f>
        <v/>
      </c>
      <c r="U114" s="89" t="b">
        <v>0</v>
      </c>
      <c r="V114" s="90">
        <f>IF(AND(H114=TRUE,OR(K114="",K114&gt;M114)),S114,0)</f>
        <v/>
      </c>
      <c r="W114" s="89" t="n">
        <v>0</v>
      </c>
      <c r="X114" s="89" t="b">
        <v>0</v>
      </c>
    </row>
    <row r="115" hidden="1">
      <c r="A115" s="89" t="inlineStr">
        <is>
          <t>ZDIC01</t>
        </is>
      </c>
      <c r="B115" s="89" t="n">
        <v>4</v>
      </c>
      <c r="C115" s="89" t="inlineStr">
        <is>
          <t>HFB203</t>
        </is>
      </c>
      <c r="D115" s="89" t="inlineStr">
        <is>
          <t>B</t>
        </is>
      </c>
      <c r="E115" s="89" t="inlineStr">
        <is>
          <t>Dickinson Grant Allan</t>
        </is>
      </c>
      <c r="F115" s="90">
        <f>SUMIFS(Investors!$M:$M,Investors!$O:$O,FALSE,Investors!$P:$P,FALSE,Investors!$K:$K,"&gt;"&amp;'NSST Print'!$B$3,Investors!$I:$I,"&lt;="&amp;'NSST Print'!$B$3,Investors!$A:$A,'Investor Exit List'!$A115,Investors!$E:$E,'Investor Exit List'!$C115,Investors!$L:$L,'Investor Exit List'!$B115)-(SUMIFS(Investors!$M:$M,Investors!$I:$I,"&lt;="&amp;'NSST Print'!$B$3,Investors!$J:$J,"&gt;"&amp;'NSST Print'!$B$3,Investors!$A:$A,'Investor Exit List'!$A115,Investors!$E:$E,'Investor Exit List'!$C115,Investors!$L:$L,'Investor Exit List'!$B115)+SUMIFS(Investors!$M:$M,Investors!$I:$I,"&lt;="&amp;'NSST Print'!$B$3,Investors!$J:$J,"",Investors!$A:$A,'Investor Exit List'!$A115,Investors!$E:$E,'Investor Exit List'!$C115,Investors!$L:$L,'Investor Exit List'!$B115))</f>
        <v/>
      </c>
      <c r="G115" s="91" t="n">
        <v>44352</v>
      </c>
      <c r="H115" s="89" t="b">
        <v>1</v>
      </c>
      <c r="I115" s="89" t="b">
        <v>1</v>
      </c>
      <c r="J115" s="91" t="n">
        <v>44895</v>
      </c>
      <c r="K115" s="91">
        <f>IF(I115=TRUE,J115,"")</f>
        <v/>
      </c>
      <c r="L115" s="91">
        <f>G115+730</f>
        <v/>
      </c>
      <c r="M115" s="91" t="n">
        <v>45382</v>
      </c>
      <c r="N115" s="92">
        <f>IFERROR(IF(G115&lt;&gt;"",IF(I115=TRUE,0,IF(U115=TRUE,0,L115-M115)),0),0)</f>
        <v/>
      </c>
      <c r="O115" s="92">
        <f>IF(N115&gt;0,IF(N115&lt;=180,N115,0),0)</f>
        <v/>
      </c>
      <c r="P115" s="90">
        <f>IF(AND(N115&lt;90,N115&gt;0),Q115,0)</f>
        <v/>
      </c>
      <c r="Q115" s="90">
        <f>SUMIFS(Investors!$M:$M,Investors!$O:$O,FALSE,Investors!$P:$P,FALSE,Investors!$K:$K,"&gt;"&amp;'NSST Print'!$B$3,Investors!$I:$I,"&lt;="&amp;'NSST Print'!$B$3,Investors!$A:$A,'Investor Exit List'!$A115,Investors!$E:$E,'Investor Exit List'!$C115,Investors!$L:$L,'Investor Exit List'!$B115)-(SUMIFS(Investors!$M:$M,Investors!$I:$I,"&lt;="&amp;'NSST Print'!$B$3,Investors!$J:$J,"&gt;"&amp;'NSST Print'!$B$3,Investors!$A:$A,'Investor Exit List'!$A115,Investors!$E:$E,'Investor Exit List'!$C115,Investors!$L:$L,'Investor Exit List'!$B115)+SUMIFS(Investors!$M:$M,Investors!$I:$I,"&lt;="&amp;'NSST Print'!$B$3,Investors!$J:$J,"",Investors!$A:$A,'Investor Exit List'!$A115,Investors!$E:$E,'Investor Exit List'!$C115,Investors!$L:$L,'Investor Exit List'!$B115))+SUMIFS(Investors!$S:$S,Investors!$O:$O,FALSE,Investors!$P:$P,FALSE,Investors!$K:$K,"&gt;"&amp;'NSST Print'!$B$3,Investors!$I:$I,"&lt;="&amp;'NSST Print'!$B$3,Investors!$A:$A,'Investor Exit List'!$A115,Investors!$E:$E,'Investor Exit List'!$C115,Investors!$L:$L,'Investor Exit List'!$B115)-(SUMIFS(Investors!$S:$S,Investors!$I:$I,"&lt;="&amp;'NSST Print'!$B$3,Investors!$J:$J,"&gt;"&amp;'NSST Print'!$B$3,Investors!$A:$A,'Investor Exit List'!$A115,Investors!$E:$E,'Investor Exit List'!$C115,Investors!$L:$L,'Investor Exit List'!$B115)+SUMIFS(Investors!$S:$S,Investors!$I:$I,"&lt;="&amp;'NSST Print'!$B$3,Investors!$J:$J,"",Investors!$A:$A,'Investor Exit List'!$A115,Investors!$E:$E,'Investor Exit List'!$C115,Investors!$L:$L,'Investor Exit List'!$B115))</f>
        <v/>
      </c>
      <c r="R115" s="90">
        <f>IF(AND(H115=TRUE,I115=FALSE),Q115,0)</f>
        <v/>
      </c>
      <c r="S115" s="90">
        <f>SUMIFS(Investors!$M:$M,Investors!$O:$O,TRUE,Investors!$A:$A,'Investor Exit List'!$A115,Investors!$E:$E,'Investor Exit List'!$C115,Investors!$L:$L,'Investor Exit List'!$B115)+SUMIFS(Investors!$S:$S,Investors!$O:$O,TRUE,Investors!$A:$A,'Investor Exit List'!$A115,Investors!$E:$E,'Investor Exit List'!$C115,Investors!$L:$L,'Investor Exit List'!$B115)</f>
        <v/>
      </c>
      <c r="T115" s="91">
        <f>IF(U115=TRUE,$J115,"")</f>
        <v/>
      </c>
      <c r="U115" s="89" t="b">
        <v>1</v>
      </c>
      <c r="V115" s="90">
        <f>IF(AND(H115=TRUE,OR(K115="",K115&gt;M115)),S115,0)</f>
        <v/>
      </c>
      <c r="W115" s="89" t="n">
        <v>0</v>
      </c>
      <c r="X115" s="89" t="b">
        <v>0</v>
      </c>
    </row>
    <row r="116" hidden="1">
      <c r="A116" s="89" t="inlineStr">
        <is>
          <t>ZWAL01</t>
        </is>
      </c>
      <c r="B116" s="89" t="n">
        <v>1</v>
      </c>
      <c r="C116" s="89" t="inlineStr">
        <is>
          <t>HFB203</t>
        </is>
      </c>
      <c r="D116" s="89" t="inlineStr">
        <is>
          <t>B</t>
        </is>
      </c>
      <c r="E116" s="89" t="inlineStr">
        <is>
          <t>Walters Benedict Joseph</t>
        </is>
      </c>
      <c r="F116" s="90">
        <f>SUMIFS(Investors!$M:$M,Investors!$O:$O,FALSE,Investors!$P:$P,FALSE,Investors!$K:$K,"&gt;"&amp;'NSST Print'!$B$3,Investors!$I:$I,"&lt;="&amp;'NSST Print'!$B$3,Investors!$A:$A,'Investor Exit List'!$A116,Investors!$E:$E,'Investor Exit List'!$C116,Investors!$L:$L,'Investor Exit List'!$B116)-(SUMIFS(Investors!$M:$M,Investors!$I:$I,"&lt;="&amp;'NSST Print'!$B$3,Investors!$J:$J,"&gt;"&amp;'NSST Print'!$B$3,Investors!$A:$A,'Investor Exit List'!$A116,Investors!$E:$E,'Investor Exit List'!$C116,Investors!$L:$L,'Investor Exit List'!$B116)+SUMIFS(Investors!$M:$M,Investors!$I:$I,"&lt;="&amp;'NSST Print'!$B$3,Investors!$J:$J,"",Investors!$A:$A,'Investor Exit List'!$A116,Investors!$E:$E,'Investor Exit List'!$C116,Investors!$L:$L,'Investor Exit List'!$B116))</f>
        <v/>
      </c>
      <c r="G116" s="91" t="n">
        <v>44352</v>
      </c>
      <c r="H116" s="89" t="b">
        <v>1</v>
      </c>
      <c r="I116" s="89" t="b">
        <v>1</v>
      </c>
      <c r="J116" s="91" t="n">
        <v>44936</v>
      </c>
      <c r="K116" s="91">
        <f>IF(I116=TRUE,J116,"")</f>
        <v/>
      </c>
      <c r="L116" s="91">
        <f>G116+730</f>
        <v/>
      </c>
      <c r="M116" s="91" t="n">
        <v>45382</v>
      </c>
      <c r="N116" s="92">
        <f>IFERROR(IF(G116&lt;&gt;"",IF(I116=TRUE,0,IF(U116=TRUE,0,L116-M116)),0),0)</f>
        <v/>
      </c>
      <c r="O116" s="92">
        <f>IF(N116&gt;0,IF(N116&lt;=180,N116,0),0)</f>
        <v/>
      </c>
      <c r="P116" s="90">
        <f>IF(AND(N116&lt;90,N116&gt;0),Q116,0)</f>
        <v/>
      </c>
      <c r="Q116" s="90">
        <f>SUMIFS(Investors!$M:$M,Investors!$O:$O,FALSE,Investors!$P:$P,FALSE,Investors!$K:$K,"&gt;"&amp;'NSST Print'!$B$3,Investors!$I:$I,"&lt;="&amp;'NSST Print'!$B$3,Investors!$A:$A,'Investor Exit List'!$A116,Investors!$E:$E,'Investor Exit List'!$C116,Investors!$L:$L,'Investor Exit List'!$B116)-(SUMIFS(Investors!$M:$M,Investors!$I:$I,"&lt;="&amp;'NSST Print'!$B$3,Investors!$J:$J,"&gt;"&amp;'NSST Print'!$B$3,Investors!$A:$A,'Investor Exit List'!$A116,Investors!$E:$E,'Investor Exit List'!$C116,Investors!$L:$L,'Investor Exit List'!$B116)+SUMIFS(Investors!$M:$M,Investors!$I:$I,"&lt;="&amp;'NSST Print'!$B$3,Investors!$J:$J,"",Investors!$A:$A,'Investor Exit List'!$A116,Investors!$E:$E,'Investor Exit List'!$C116,Investors!$L:$L,'Investor Exit List'!$B116))+SUMIFS(Investors!$S:$S,Investors!$O:$O,FALSE,Investors!$P:$P,FALSE,Investors!$K:$K,"&gt;"&amp;'NSST Print'!$B$3,Investors!$I:$I,"&lt;="&amp;'NSST Print'!$B$3,Investors!$A:$A,'Investor Exit List'!$A116,Investors!$E:$E,'Investor Exit List'!$C116,Investors!$L:$L,'Investor Exit List'!$B116)-(SUMIFS(Investors!$S:$S,Investors!$I:$I,"&lt;="&amp;'NSST Print'!$B$3,Investors!$J:$J,"&gt;"&amp;'NSST Print'!$B$3,Investors!$A:$A,'Investor Exit List'!$A116,Investors!$E:$E,'Investor Exit List'!$C116,Investors!$L:$L,'Investor Exit List'!$B116)+SUMIFS(Investors!$S:$S,Investors!$I:$I,"&lt;="&amp;'NSST Print'!$B$3,Investors!$J:$J,"",Investors!$A:$A,'Investor Exit List'!$A116,Investors!$E:$E,'Investor Exit List'!$C116,Investors!$L:$L,'Investor Exit List'!$B116))</f>
        <v/>
      </c>
      <c r="R116" s="90">
        <f>IF(AND(H116=TRUE,I116=FALSE),Q116,0)</f>
        <v/>
      </c>
      <c r="S116" s="90">
        <f>SUMIFS(Investors!$M:$M,Investors!$O:$O,TRUE,Investors!$A:$A,'Investor Exit List'!$A116,Investors!$E:$E,'Investor Exit List'!$C116,Investors!$L:$L,'Investor Exit List'!$B116)+SUMIFS(Investors!$S:$S,Investors!$O:$O,TRUE,Investors!$A:$A,'Investor Exit List'!$A116,Investors!$E:$E,'Investor Exit List'!$C116,Investors!$L:$L,'Investor Exit List'!$B116)</f>
        <v/>
      </c>
      <c r="T116" s="91">
        <f>IF(U116=TRUE,$J116,"")</f>
        <v/>
      </c>
      <c r="U116" s="89" t="b">
        <v>0</v>
      </c>
      <c r="V116" s="90">
        <f>IF(AND(H116=TRUE,OR(K116="",K116&gt;M116)),S116,0)</f>
        <v/>
      </c>
      <c r="W116" s="89" t="n">
        <v>0</v>
      </c>
      <c r="X116" s="89" t="b">
        <v>0</v>
      </c>
    </row>
    <row r="117" hidden="1">
      <c r="A117" s="89" t="inlineStr">
        <is>
          <t>ZDEB01</t>
        </is>
      </c>
      <c r="B117" s="89" t="n">
        <v>2</v>
      </c>
      <c r="C117" s="89" t="inlineStr">
        <is>
          <t>HFB204</t>
        </is>
      </c>
      <c r="D117" s="89" t="inlineStr">
        <is>
          <t>B</t>
        </is>
      </c>
      <c r="E117" s="89" t="inlineStr">
        <is>
          <t>De Beer William Henry</t>
        </is>
      </c>
      <c r="F117" s="90">
        <f>SUMIFS(Investors!$M:$M,Investors!$O:$O,FALSE,Investors!$P:$P,FALSE,Investors!$K:$K,"&gt;"&amp;'NSST Print'!$B$3,Investors!$I:$I,"&lt;="&amp;'NSST Print'!$B$3,Investors!$A:$A,'Investor Exit List'!$A117,Investors!$E:$E,'Investor Exit List'!$C117,Investors!$L:$L,'Investor Exit List'!$B117)-(SUMIFS(Investors!$M:$M,Investors!$I:$I,"&lt;="&amp;'NSST Print'!$B$3,Investors!$J:$J,"&gt;"&amp;'NSST Print'!$B$3,Investors!$A:$A,'Investor Exit List'!$A117,Investors!$E:$E,'Investor Exit List'!$C117,Investors!$L:$L,'Investor Exit List'!$B117)+SUMIFS(Investors!$M:$M,Investors!$I:$I,"&lt;="&amp;'NSST Print'!$B$3,Investors!$J:$J,"",Investors!$A:$A,'Investor Exit List'!$A117,Investors!$E:$E,'Investor Exit List'!$C117,Investors!$L:$L,'Investor Exit List'!$B117))</f>
        <v/>
      </c>
      <c r="G117" s="91" t="n">
        <v>44352</v>
      </c>
      <c r="H117" s="89" t="b">
        <v>1</v>
      </c>
      <c r="I117" s="89" t="b">
        <v>1</v>
      </c>
      <c r="J117" s="91" t="n">
        <v>44998</v>
      </c>
      <c r="K117" s="91">
        <f>IF(I117=TRUE,J117,"")</f>
        <v/>
      </c>
      <c r="L117" s="91">
        <f>G117+730</f>
        <v/>
      </c>
      <c r="M117" s="91" t="n">
        <v>45382</v>
      </c>
      <c r="N117" s="92">
        <f>IFERROR(IF(G117&lt;&gt;"",IF(I117=TRUE,0,IF(U117=TRUE,0,L117-M117)),0),0)</f>
        <v/>
      </c>
      <c r="O117" s="92">
        <f>IF(N117&gt;0,IF(N117&lt;=180,N117,0),0)</f>
        <v/>
      </c>
      <c r="P117" s="90">
        <f>IF(AND(N117&lt;90,N117&gt;0),Q117,0)</f>
        <v/>
      </c>
      <c r="Q117" s="90">
        <f>SUMIFS(Investors!$M:$M,Investors!$O:$O,FALSE,Investors!$P:$P,FALSE,Investors!$K:$K,"&gt;"&amp;'NSST Print'!$B$3,Investors!$I:$I,"&lt;="&amp;'NSST Print'!$B$3,Investors!$A:$A,'Investor Exit List'!$A117,Investors!$E:$E,'Investor Exit List'!$C117,Investors!$L:$L,'Investor Exit List'!$B117)-(SUMIFS(Investors!$M:$M,Investors!$I:$I,"&lt;="&amp;'NSST Print'!$B$3,Investors!$J:$J,"&gt;"&amp;'NSST Print'!$B$3,Investors!$A:$A,'Investor Exit List'!$A117,Investors!$E:$E,'Investor Exit List'!$C117,Investors!$L:$L,'Investor Exit List'!$B117)+SUMIFS(Investors!$M:$M,Investors!$I:$I,"&lt;="&amp;'NSST Print'!$B$3,Investors!$J:$J,"",Investors!$A:$A,'Investor Exit List'!$A117,Investors!$E:$E,'Investor Exit List'!$C117,Investors!$L:$L,'Investor Exit List'!$B117))+SUMIFS(Investors!$S:$S,Investors!$O:$O,FALSE,Investors!$P:$P,FALSE,Investors!$K:$K,"&gt;"&amp;'NSST Print'!$B$3,Investors!$I:$I,"&lt;="&amp;'NSST Print'!$B$3,Investors!$A:$A,'Investor Exit List'!$A117,Investors!$E:$E,'Investor Exit List'!$C117,Investors!$L:$L,'Investor Exit List'!$B117)-(SUMIFS(Investors!$S:$S,Investors!$I:$I,"&lt;="&amp;'NSST Print'!$B$3,Investors!$J:$J,"&gt;"&amp;'NSST Print'!$B$3,Investors!$A:$A,'Investor Exit List'!$A117,Investors!$E:$E,'Investor Exit List'!$C117,Investors!$L:$L,'Investor Exit List'!$B117)+SUMIFS(Investors!$S:$S,Investors!$I:$I,"&lt;="&amp;'NSST Print'!$B$3,Investors!$J:$J,"",Investors!$A:$A,'Investor Exit List'!$A117,Investors!$E:$E,'Investor Exit List'!$C117,Investors!$L:$L,'Investor Exit List'!$B117))</f>
        <v/>
      </c>
      <c r="R117" s="90">
        <f>IF(AND(H117=TRUE,I117=FALSE),Q117,0)</f>
        <v/>
      </c>
      <c r="S117" s="90">
        <f>SUMIFS(Investors!$M:$M,Investors!$O:$O,TRUE,Investors!$A:$A,'Investor Exit List'!$A117,Investors!$E:$E,'Investor Exit List'!$C117,Investors!$L:$L,'Investor Exit List'!$B117)+SUMIFS(Investors!$S:$S,Investors!$O:$O,TRUE,Investors!$A:$A,'Investor Exit List'!$A117,Investors!$E:$E,'Investor Exit List'!$C117,Investors!$L:$L,'Investor Exit List'!$B117)</f>
        <v/>
      </c>
      <c r="T117" s="91">
        <f>IF(U117=TRUE,$J117,"")</f>
        <v/>
      </c>
      <c r="U117" s="89" t="b">
        <v>1</v>
      </c>
      <c r="V117" s="90">
        <f>IF(AND(H117=TRUE,OR(K117="",K117&gt;M117)),S117,0)</f>
        <v/>
      </c>
      <c r="W117" s="89" t="n">
        <v>0</v>
      </c>
      <c r="X117" s="89" t="b">
        <v>0</v>
      </c>
    </row>
    <row r="118" hidden="1">
      <c r="A118" s="89" t="inlineStr">
        <is>
          <t>ZDEB01</t>
        </is>
      </c>
      <c r="B118" s="89" t="n">
        <v>3</v>
      </c>
      <c r="C118" s="89" t="inlineStr">
        <is>
          <t>HFB205</t>
        </is>
      </c>
      <c r="D118" s="89" t="inlineStr">
        <is>
          <t>B</t>
        </is>
      </c>
      <c r="E118" s="89" t="inlineStr">
        <is>
          <t>De Beer William Henry</t>
        </is>
      </c>
      <c r="F118" s="90">
        <f>SUMIFS(Investors!$M:$M,Investors!$O:$O,FALSE,Investors!$P:$P,FALSE,Investors!$K:$K,"&gt;"&amp;'NSST Print'!$B$3,Investors!$I:$I,"&lt;="&amp;'NSST Print'!$B$3,Investors!$A:$A,'Investor Exit List'!$A118,Investors!$E:$E,'Investor Exit List'!$C118,Investors!$L:$L,'Investor Exit List'!$B118)-(SUMIFS(Investors!$M:$M,Investors!$I:$I,"&lt;="&amp;'NSST Print'!$B$3,Investors!$J:$J,"&gt;"&amp;'NSST Print'!$B$3,Investors!$A:$A,'Investor Exit List'!$A118,Investors!$E:$E,'Investor Exit List'!$C118,Investors!$L:$L,'Investor Exit List'!$B118)+SUMIFS(Investors!$M:$M,Investors!$I:$I,"&lt;="&amp;'NSST Print'!$B$3,Investors!$J:$J,"",Investors!$A:$A,'Investor Exit List'!$A118,Investors!$E:$E,'Investor Exit List'!$C118,Investors!$L:$L,'Investor Exit List'!$B118))</f>
        <v/>
      </c>
      <c r="G118" s="91" t="n">
        <v>44352</v>
      </c>
      <c r="H118" s="89" t="b">
        <v>1</v>
      </c>
      <c r="I118" s="89" t="b">
        <v>1</v>
      </c>
      <c r="J118" s="91" t="n">
        <v>44974</v>
      </c>
      <c r="K118" s="91">
        <f>IF(I118=TRUE,J118,"")</f>
        <v/>
      </c>
      <c r="L118" s="91">
        <f>G118+730</f>
        <v/>
      </c>
      <c r="M118" s="91" t="n">
        <v>45382</v>
      </c>
      <c r="N118" s="92">
        <f>IFERROR(IF(G118&lt;&gt;"",IF(I118=TRUE,0,IF(U118=TRUE,0,L118-M118)),0),0)</f>
        <v/>
      </c>
      <c r="O118" s="92">
        <f>IF(N118&gt;0,IF(N118&lt;=180,N118,0),0)</f>
        <v/>
      </c>
      <c r="P118" s="90">
        <f>IF(AND(N118&lt;90,N118&gt;0),Q118,0)</f>
        <v/>
      </c>
      <c r="Q118" s="90">
        <f>SUMIFS(Investors!$M:$M,Investors!$O:$O,FALSE,Investors!$P:$P,FALSE,Investors!$K:$K,"&gt;"&amp;'NSST Print'!$B$3,Investors!$I:$I,"&lt;="&amp;'NSST Print'!$B$3,Investors!$A:$A,'Investor Exit List'!$A118,Investors!$E:$E,'Investor Exit List'!$C118,Investors!$L:$L,'Investor Exit List'!$B118)-(SUMIFS(Investors!$M:$M,Investors!$I:$I,"&lt;="&amp;'NSST Print'!$B$3,Investors!$J:$J,"&gt;"&amp;'NSST Print'!$B$3,Investors!$A:$A,'Investor Exit List'!$A118,Investors!$E:$E,'Investor Exit List'!$C118,Investors!$L:$L,'Investor Exit List'!$B118)+SUMIFS(Investors!$M:$M,Investors!$I:$I,"&lt;="&amp;'NSST Print'!$B$3,Investors!$J:$J,"",Investors!$A:$A,'Investor Exit List'!$A118,Investors!$E:$E,'Investor Exit List'!$C118,Investors!$L:$L,'Investor Exit List'!$B118))+SUMIFS(Investors!$S:$S,Investors!$O:$O,FALSE,Investors!$P:$P,FALSE,Investors!$K:$K,"&gt;"&amp;'NSST Print'!$B$3,Investors!$I:$I,"&lt;="&amp;'NSST Print'!$B$3,Investors!$A:$A,'Investor Exit List'!$A118,Investors!$E:$E,'Investor Exit List'!$C118,Investors!$L:$L,'Investor Exit List'!$B118)-(SUMIFS(Investors!$S:$S,Investors!$I:$I,"&lt;="&amp;'NSST Print'!$B$3,Investors!$J:$J,"&gt;"&amp;'NSST Print'!$B$3,Investors!$A:$A,'Investor Exit List'!$A118,Investors!$E:$E,'Investor Exit List'!$C118,Investors!$L:$L,'Investor Exit List'!$B118)+SUMIFS(Investors!$S:$S,Investors!$I:$I,"&lt;="&amp;'NSST Print'!$B$3,Investors!$J:$J,"",Investors!$A:$A,'Investor Exit List'!$A118,Investors!$E:$E,'Investor Exit List'!$C118,Investors!$L:$L,'Investor Exit List'!$B118))</f>
        <v/>
      </c>
      <c r="R118" s="90">
        <f>IF(AND(H118=TRUE,I118=FALSE),Q118,0)</f>
        <v/>
      </c>
      <c r="S118" s="90">
        <f>SUMIFS(Investors!$M:$M,Investors!$O:$O,TRUE,Investors!$A:$A,'Investor Exit List'!$A118,Investors!$E:$E,'Investor Exit List'!$C118,Investors!$L:$L,'Investor Exit List'!$B118)+SUMIFS(Investors!$S:$S,Investors!$O:$O,TRUE,Investors!$A:$A,'Investor Exit List'!$A118,Investors!$E:$E,'Investor Exit List'!$C118,Investors!$L:$L,'Investor Exit List'!$B118)</f>
        <v/>
      </c>
      <c r="T118" s="91">
        <f>IF(U118=TRUE,$J118,"")</f>
        <v/>
      </c>
      <c r="U118" s="89" t="b">
        <v>0</v>
      </c>
      <c r="V118" s="90">
        <f>IF(AND(H118=TRUE,OR(K118="",K118&gt;M118)),S118,0)</f>
        <v/>
      </c>
      <c r="W118" s="89" t="n">
        <v>0</v>
      </c>
      <c r="X118" s="89" t="b">
        <v>0</v>
      </c>
    </row>
    <row r="119">
      <c r="A119" s="93" t="inlineStr">
        <is>
          <t>ZDEL01</t>
        </is>
      </c>
      <c r="B119" s="93" t="n">
        <v>1</v>
      </c>
      <c r="C119" s="93" t="inlineStr">
        <is>
          <t>HFB206</t>
        </is>
      </c>
      <c r="D119" s="93" t="inlineStr">
        <is>
          <t>B</t>
        </is>
      </c>
      <c r="E119" s="93" t="inlineStr">
        <is>
          <t>Jansen van Vuuren Pieter</t>
        </is>
      </c>
      <c r="F119" s="94">
        <f>SUMIFS(Investors!$M:$M,Investors!$O:$O,FALSE,Investors!$P:$P,FALSE,Investors!$K:$K,"&gt;"&amp;'NSST Print'!$B$3,Investors!$I:$I,"&lt;="&amp;'NSST Print'!$B$3,Investors!$A:$A,'Investor Exit List'!$A119,Investors!$E:$E,'Investor Exit List'!$C119,Investors!$L:$L,'Investor Exit List'!$B119)-(SUMIFS(Investors!$M:$M,Investors!$I:$I,"&lt;="&amp;'NSST Print'!$B$3,Investors!$J:$J,"&gt;"&amp;'NSST Print'!$B$3,Investors!$A:$A,'Investor Exit List'!$A119,Investors!$E:$E,'Investor Exit List'!$C119,Investors!$L:$L,'Investor Exit List'!$B119)+SUMIFS(Investors!$M:$M,Investors!$I:$I,"&lt;="&amp;'NSST Print'!$B$3,Investors!$J:$J,"",Investors!$A:$A,'Investor Exit List'!$A119,Investors!$E:$E,'Investor Exit List'!$C119,Investors!$L:$L,'Investor Exit List'!$B119))</f>
        <v/>
      </c>
      <c r="G119" s="95" t="n">
        <v>44618</v>
      </c>
      <c r="H119" s="93" t="b">
        <v>0</v>
      </c>
      <c r="I119" s="93" t="b">
        <v>0</v>
      </c>
      <c r="J119" s="95" t="n">
        <v>45343</v>
      </c>
      <c r="K119" s="95">
        <f>IF(I119=TRUE,J119,"")</f>
        <v/>
      </c>
      <c r="L119" s="95">
        <f>G119+730</f>
        <v/>
      </c>
      <c r="M119" s="95" t="n">
        <v>45382</v>
      </c>
      <c r="N119" s="96">
        <f>IFERROR(IF(G119&lt;&gt;"",IF(I119=TRUE,0,IF(U119=TRUE,0,L119-M119)),0),0)</f>
        <v/>
      </c>
      <c r="O119" s="96">
        <f>IF(N119&gt;0,IF(N119&lt;=180,N119,0),0)</f>
        <v/>
      </c>
      <c r="P119" s="94">
        <f>IF(AND(N119&lt;90,N119&gt;0),Q119,0)</f>
        <v/>
      </c>
      <c r="Q119" s="94">
        <f>SUMIFS(Investors!$M:$M,Investors!$O:$O,FALSE,Investors!$P:$P,FALSE,Investors!$K:$K,"&gt;"&amp;'NSST Print'!$B$3,Investors!$I:$I,"&lt;="&amp;'NSST Print'!$B$3,Investors!$A:$A,'Investor Exit List'!$A119,Investors!$E:$E,'Investor Exit List'!$C119,Investors!$L:$L,'Investor Exit List'!$B119)-(SUMIFS(Investors!$M:$M,Investors!$I:$I,"&lt;="&amp;'NSST Print'!$B$3,Investors!$J:$J,"&gt;"&amp;'NSST Print'!$B$3,Investors!$A:$A,'Investor Exit List'!$A119,Investors!$E:$E,'Investor Exit List'!$C119,Investors!$L:$L,'Investor Exit List'!$B119)+SUMIFS(Investors!$M:$M,Investors!$I:$I,"&lt;="&amp;'NSST Print'!$B$3,Investors!$J:$J,"",Investors!$A:$A,'Investor Exit List'!$A119,Investors!$E:$E,'Investor Exit List'!$C119,Investors!$L:$L,'Investor Exit List'!$B119))+SUMIFS(Investors!$S:$S,Investors!$O:$O,FALSE,Investors!$P:$P,FALSE,Investors!$K:$K,"&gt;"&amp;'NSST Print'!$B$3,Investors!$I:$I,"&lt;="&amp;'NSST Print'!$B$3,Investors!$A:$A,'Investor Exit List'!$A119,Investors!$E:$E,'Investor Exit List'!$C119,Investors!$L:$L,'Investor Exit List'!$B119)-(SUMIFS(Investors!$S:$S,Investors!$I:$I,"&lt;="&amp;'NSST Print'!$B$3,Investors!$J:$J,"&gt;"&amp;'NSST Print'!$B$3,Investors!$A:$A,'Investor Exit List'!$A119,Investors!$E:$E,'Investor Exit List'!$C119,Investors!$L:$L,'Investor Exit List'!$B119)+SUMIFS(Investors!$S:$S,Investors!$I:$I,"&lt;="&amp;'NSST Print'!$B$3,Investors!$J:$J,"",Investors!$A:$A,'Investor Exit List'!$A119,Investors!$E:$E,'Investor Exit List'!$C119,Investors!$L:$L,'Investor Exit List'!$B119))</f>
        <v/>
      </c>
      <c r="R119" s="94">
        <f>IF(AND(H119=TRUE,I119=FALSE),Q119,0)</f>
        <v/>
      </c>
      <c r="S119" s="94">
        <f>SUMIFS(Investors!$M:$M,Investors!$O:$O,TRUE,Investors!$A:$A,'Investor Exit List'!$A119,Investors!$E:$E,'Investor Exit List'!$C119,Investors!$L:$L,'Investor Exit List'!$B119)+SUMIFS(Investors!$S:$S,Investors!$O:$O,TRUE,Investors!$A:$A,'Investor Exit List'!$A119,Investors!$E:$E,'Investor Exit List'!$C119,Investors!$L:$L,'Investor Exit List'!$B119)</f>
        <v/>
      </c>
      <c r="T119" s="95">
        <f>IF(U119=TRUE,$J119,"")</f>
        <v/>
      </c>
      <c r="U119" s="93" t="b">
        <v>1</v>
      </c>
      <c r="V119" s="94">
        <f>IF(AND(H119=TRUE,OR(K119="",K119&gt;M119)),S119,0)</f>
        <v/>
      </c>
      <c r="W119" s="93" t="n">
        <v>0</v>
      </c>
      <c r="X119" s="93" t="b">
        <v>0</v>
      </c>
    </row>
    <row r="120">
      <c r="A120" s="93" t="inlineStr">
        <is>
          <t>ZDAD01</t>
        </is>
      </c>
      <c r="B120" s="93" t="n">
        <v>2</v>
      </c>
      <c r="C120" s="93" t="inlineStr">
        <is>
          <t>HFB207</t>
        </is>
      </c>
      <c r="D120" s="93" t="inlineStr">
        <is>
          <t>B</t>
        </is>
      </c>
      <c r="E120" s="93" t="inlineStr">
        <is>
          <t>Dadoo Feroz</t>
        </is>
      </c>
      <c r="F120" s="94">
        <f>SUMIFS(Investors!$M:$M,Investors!$O:$O,FALSE,Investors!$P:$P,FALSE,Investors!$K:$K,"&gt;"&amp;'NSST Print'!$B$3,Investors!$I:$I,"&lt;="&amp;'NSST Print'!$B$3,Investors!$A:$A,'Investor Exit List'!$A120,Investors!$E:$E,'Investor Exit List'!$C120,Investors!$L:$L,'Investor Exit List'!$B120)-(SUMIFS(Investors!$M:$M,Investors!$I:$I,"&lt;="&amp;'NSST Print'!$B$3,Investors!$J:$J,"&gt;"&amp;'NSST Print'!$B$3,Investors!$A:$A,'Investor Exit List'!$A120,Investors!$E:$E,'Investor Exit List'!$C120,Investors!$L:$L,'Investor Exit List'!$B120)+SUMIFS(Investors!$M:$M,Investors!$I:$I,"&lt;="&amp;'NSST Print'!$B$3,Investors!$J:$J,"",Investors!$A:$A,'Investor Exit List'!$A120,Investors!$E:$E,'Investor Exit List'!$C120,Investors!$L:$L,'Investor Exit List'!$B120))</f>
        <v/>
      </c>
      <c r="G120" s="95" t="n">
        <v>44352</v>
      </c>
      <c r="H120" s="93" t="b">
        <v>0</v>
      </c>
      <c r="I120" s="93" t="b">
        <v>0</v>
      </c>
      <c r="J120" s="95" t="n">
        <v>45035</v>
      </c>
      <c r="K120" s="95">
        <f>IF(I120=TRUE,J120,"")</f>
        <v/>
      </c>
      <c r="L120" s="95">
        <f>G120+730</f>
        <v/>
      </c>
      <c r="M120" s="95" t="n">
        <v>45382</v>
      </c>
      <c r="N120" s="96">
        <f>IFERROR(IF(G120&lt;&gt;"",IF(I120=TRUE,0,IF(U120=TRUE,0,L120-M120)),0),0)</f>
        <v/>
      </c>
      <c r="O120" s="96">
        <f>IF(N120&gt;0,IF(N120&lt;=180,N120,0),0)</f>
        <v/>
      </c>
      <c r="P120" s="94">
        <f>IF(AND(N120&lt;90,N120&gt;0),Q120,0)</f>
        <v/>
      </c>
      <c r="Q120" s="94">
        <f>SUMIFS(Investors!$M:$M,Investors!$O:$O,FALSE,Investors!$P:$P,FALSE,Investors!$K:$K,"&gt;"&amp;'NSST Print'!$B$3,Investors!$I:$I,"&lt;="&amp;'NSST Print'!$B$3,Investors!$A:$A,'Investor Exit List'!$A120,Investors!$E:$E,'Investor Exit List'!$C120,Investors!$L:$L,'Investor Exit List'!$B120)-(SUMIFS(Investors!$M:$M,Investors!$I:$I,"&lt;="&amp;'NSST Print'!$B$3,Investors!$J:$J,"&gt;"&amp;'NSST Print'!$B$3,Investors!$A:$A,'Investor Exit List'!$A120,Investors!$E:$E,'Investor Exit List'!$C120,Investors!$L:$L,'Investor Exit List'!$B120)+SUMIFS(Investors!$M:$M,Investors!$I:$I,"&lt;="&amp;'NSST Print'!$B$3,Investors!$J:$J,"",Investors!$A:$A,'Investor Exit List'!$A120,Investors!$E:$E,'Investor Exit List'!$C120,Investors!$L:$L,'Investor Exit List'!$B120))+SUMIFS(Investors!$S:$S,Investors!$O:$O,FALSE,Investors!$P:$P,FALSE,Investors!$K:$K,"&gt;"&amp;'NSST Print'!$B$3,Investors!$I:$I,"&lt;="&amp;'NSST Print'!$B$3,Investors!$A:$A,'Investor Exit List'!$A120,Investors!$E:$E,'Investor Exit List'!$C120,Investors!$L:$L,'Investor Exit List'!$B120)-(SUMIFS(Investors!$S:$S,Investors!$I:$I,"&lt;="&amp;'NSST Print'!$B$3,Investors!$J:$J,"&gt;"&amp;'NSST Print'!$B$3,Investors!$A:$A,'Investor Exit List'!$A120,Investors!$E:$E,'Investor Exit List'!$C120,Investors!$L:$L,'Investor Exit List'!$B120)+SUMIFS(Investors!$S:$S,Investors!$I:$I,"&lt;="&amp;'NSST Print'!$B$3,Investors!$J:$J,"",Investors!$A:$A,'Investor Exit List'!$A120,Investors!$E:$E,'Investor Exit List'!$C120,Investors!$L:$L,'Investor Exit List'!$B120))</f>
        <v/>
      </c>
      <c r="R120" s="94">
        <f>IF(AND(H120=TRUE,I120=FALSE),Q120,0)</f>
        <v/>
      </c>
      <c r="S120" s="94">
        <f>SUMIFS(Investors!$M:$M,Investors!$O:$O,TRUE,Investors!$A:$A,'Investor Exit List'!$A120,Investors!$E:$E,'Investor Exit List'!$C120,Investors!$L:$L,'Investor Exit List'!$B120)+SUMIFS(Investors!$S:$S,Investors!$O:$O,TRUE,Investors!$A:$A,'Investor Exit List'!$A120,Investors!$E:$E,'Investor Exit List'!$C120,Investors!$L:$L,'Investor Exit List'!$B120)</f>
        <v/>
      </c>
      <c r="T120" s="95">
        <f>IF(U120=TRUE,$J120,"")</f>
        <v/>
      </c>
      <c r="U120" s="93" t="b">
        <v>1</v>
      </c>
      <c r="V120" s="94">
        <f>IF(AND(H120=TRUE,OR(K120="",K120&gt;M120)),S120,0)</f>
        <v/>
      </c>
      <c r="W120" s="93" t="n">
        <v>0</v>
      </c>
      <c r="X120" s="93" t="b">
        <v>0</v>
      </c>
    </row>
    <row r="121">
      <c r="A121" s="93" t="inlineStr">
        <is>
          <t>ZGIL01</t>
        </is>
      </c>
      <c r="B121" s="93" t="n">
        <v>2</v>
      </c>
      <c r="C121" s="93" t="inlineStr">
        <is>
          <t>HFB207</t>
        </is>
      </c>
      <c r="D121" s="93" t="inlineStr">
        <is>
          <t>B</t>
        </is>
      </c>
      <c r="E121" s="93" t="inlineStr">
        <is>
          <t>Gildenhuys Estelle Maria</t>
        </is>
      </c>
      <c r="F121" s="94">
        <f>SUMIFS(Investors!$M:$M,Investors!$O:$O,FALSE,Investors!$P:$P,FALSE,Investors!$K:$K,"&gt;"&amp;'NSST Print'!$B$3,Investors!$I:$I,"&lt;="&amp;'NSST Print'!$B$3,Investors!$A:$A,'Investor Exit List'!$A121,Investors!$E:$E,'Investor Exit List'!$C121,Investors!$L:$L,'Investor Exit List'!$B121)-(SUMIFS(Investors!$M:$M,Investors!$I:$I,"&lt;="&amp;'NSST Print'!$B$3,Investors!$J:$J,"&gt;"&amp;'NSST Print'!$B$3,Investors!$A:$A,'Investor Exit List'!$A121,Investors!$E:$E,'Investor Exit List'!$C121,Investors!$L:$L,'Investor Exit List'!$B121)+SUMIFS(Investors!$M:$M,Investors!$I:$I,"&lt;="&amp;'NSST Print'!$B$3,Investors!$J:$J,"",Investors!$A:$A,'Investor Exit List'!$A121,Investors!$E:$E,'Investor Exit List'!$C121,Investors!$L:$L,'Investor Exit List'!$B121))</f>
        <v/>
      </c>
      <c r="G121" s="95" t="n">
        <v>44352</v>
      </c>
      <c r="H121" s="93" t="b">
        <v>0</v>
      </c>
      <c r="I121" s="93" t="b">
        <v>0</v>
      </c>
      <c r="J121" s="95" t="n">
        <v>45106</v>
      </c>
      <c r="K121" s="95">
        <f>IF(I121=TRUE,J121,"")</f>
        <v/>
      </c>
      <c r="L121" s="95">
        <f>G121+730</f>
        <v/>
      </c>
      <c r="M121" s="95" t="n">
        <v>45382</v>
      </c>
      <c r="N121" s="96">
        <f>IFERROR(IF(G121&lt;&gt;"",IF(I121=TRUE,0,IF(U121=TRUE,0,L121-M121)),0),0)</f>
        <v/>
      </c>
      <c r="O121" s="96">
        <f>IF(N121&gt;0,IF(N121&lt;=180,N121,0),0)</f>
        <v/>
      </c>
      <c r="P121" s="94">
        <f>IF(AND(N121&lt;90,N121&gt;0),Q121,0)</f>
        <v/>
      </c>
      <c r="Q121" s="94">
        <f>SUMIFS(Investors!$M:$M,Investors!$O:$O,FALSE,Investors!$P:$P,FALSE,Investors!$K:$K,"&gt;"&amp;'NSST Print'!$B$3,Investors!$I:$I,"&lt;="&amp;'NSST Print'!$B$3,Investors!$A:$A,'Investor Exit List'!$A121,Investors!$E:$E,'Investor Exit List'!$C121,Investors!$L:$L,'Investor Exit List'!$B121)-(SUMIFS(Investors!$M:$M,Investors!$I:$I,"&lt;="&amp;'NSST Print'!$B$3,Investors!$J:$J,"&gt;"&amp;'NSST Print'!$B$3,Investors!$A:$A,'Investor Exit List'!$A121,Investors!$E:$E,'Investor Exit List'!$C121,Investors!$L:$L,'Investor Exit List'!$B121)+SUMIFS(Investors!$M:$M,Investors!$I:$I,"&lt;="&amp;'NSST Print'!$B$3,Investors!$J:$J,"",Investors!$A:$A,'Investor Exit List'!$A121,Investors!$E:$E,'Investor Exit List'!$C121,Investors!$L:$L,'Investor Exit List'!$B121))+SUMIFS(Investors!$S:$S,Investors!$O:$O,FALSE,Investors!$P:$P,FALSE,Investors!$K:$K,"&gt;"&amp;'NSST Print'!$B$3,Investors!$I:$I,"&lt;="&amp;'NSST Print'!$B$3,Investors!$A:$A,'Investor Exit List'!$A121,Investors!$E:$E,'Investor Exit List'!$C121,Investors!$L:$L,'Investor Exit List'!$B121)-(SUMIFS(Investors!$S:$S,Investors!$I:$I,"&lt;="&amp;'NSST Print'!$B$3,Investors!$J:$J,"&gt;"&amp;'NSST Print'!$B$3,Investors!$A:$A,'Investor Exit List'!$A121,Investors!$E:$E,'Investor Exit List'!$C121,Investors!$L:$L,'Investor Exit List'!$B121)+SUMIFS(Investors!$S:$S,Investors!$I:$I,"&lt;="&amp;'NSST Print'!$B$3,Investors!$J:$J,"",Investors!$A:$A,'Investor Exit List'!$A121,Investors!$E:$E,'Investor Exit List'!$C121,Investors!$L:$L,'Investor Exit List'!$B121))</f>
        <v/>
      </c>
      <c r="R121" s="94">
        <f>IF(AND(H121=TRUE,I121=FALSE),Q121,0)</f>
        <v/>
      </c>
      <c r="S121" s="94">
        <f>SUMIFS(Investors!$M:$M,Investors!$O:$O,TRUE,Investors!$A:$A,'Investor Exit List'!$A121,Investors!$E:$E,'Investor Exit List'!$C121,Investors!$L:$L,'Investor Exit List'!$B121)+SUMIFS(Investors!$S:$S,Investors!$O:$O,TRUE,Investors!$A:$A,'Investor Exit List'!$A121,Investors!$E:$E,'Investor Exit List'!$C121,Investors!$L:$L,'Investor Exit List'!$B121)</f>
        <v/>
      </c>
      <c r="T121" s="95">
        <f>IF(U121=TRUE,$J121,"")</f>
        <v/>
      </c>
      <c r="U121" s="93" t="b">
        <v>1</v>
      </c>
      <c r="V121" s="94">
        <f>IF(AND(H121=TRUE,OR(K121="",K121&gt;M121)),S121,0)</f>
        <v/>
      </c>
      <c r="W121" s="93" t="n">
        <v>0</v>
      </c>
      <c r="X121" s="93" t="b">
        <v>0</v>
      </c>
    </row>
    <row r="122" hidden="1">
      <c r="A122" s="89" t="inlineStr">
        <is>
          <t>ZFLA01</t>
        </is>
      </c>
      <c r="B122" s="89" t="n">
        <v>1</v>
      </c>
      <c r="C122" s="89" t="inlineStr">
        <is>
          <t>HFB208</t>
        </is>
      </c>
      <c r="D122" s="89" t="inlineStr">
        <is>
          <t>B</t>
        </is>
      </c>
      <c r="E122" s="89" t="inlineStr">
        <is>
          <t>Flamengo Jose Manuel Rezende</t>
        </is>
      </c>
      <c r="F122" s="90">
        <f>SUMIFS(Investors!$M:$M,Investors!$O:$O,FALSE,Investors!$P:$P,FALSE,Investors!$K:$K,"&gt;"&amp;'NSST Print'!$B$3,Investors!$I:$I,"&lt;="&amp;'NSST Print'!$B$3,Investors!$A:$A,'Investor Exit List'!$A122,Investors!$E:$E,'Investor Exit List'!$C122,Investors!$L:$L,'Investor Exit List'!$B122)-(SUMIFS(Investors!$M:$M,Investors!$I:$I,"&lt;="&amp;'NSST Print'!$B$3,Investors!$J:$J,"&gt;"&amp;'NSST Print'!$B$3,Investors!$A:$A,'Investor Exit List'!$A122,Investors!$E:$E,'Investor Exit List'!$C122,Investors!$L:$L,'Investor Exit List'!$B122)+SUMIFS(Investors!$M:$M,Investors!$I:$I,"&lt;="&amp;'NSST Print'!$B$3,Investors!$J:$J,"",Investors!$A:$A,'Investor Exit List'!$A122,Investors!$E:$E,'Investor Exit List'!$C122,Investors!$L:$L,'Investor Exit List'!$B122))</f>
        <v/>
      </c>
      <c r="G122" s="91" t="n">
        <v>44840</v>
      </c>
      <c r="H122" s="89" t="b">
        <v>1</v>
      </c>
      <c r="I122" s="89" t="b">
        <v>1</v>
      </c>
      <c r="J122" s="91" t="n">
        <v>45002</v>
      </c>
      <c r="K122" s="91">
        <f>IF(I122=TRUE,J122,"")</f>
        <v/>
      </c>
      <c r="L122" s="91">
        <f>G122+730</f>
        <v/>
      </c>
      <c r="M122" s="91" t="n">
        <v>45382</v>
      </c>
      <c r="N122" s="92">
        <f>IFERROR(IF(G122&lt;&gt;"",IF(I122=TRUE,0,IF(U122=TRUE,0,L122-M122)),0),0)</f>
        <v/>
      </c>
      <c r="O122" s="92">
        <f>IF(N122&gt;0,IF(N122&lt;=180,N122,0),0)</f>
        <v/>
      </c>
      <c r="P122" s="90">
        <f>IF(AND(N122&lt;90,N122&gt;0),Q122,0)</f>
        <v/>
      </c>
      <c r="Q122" s="90">
        <f>SUMIFS(Investors!$M:$M,Investors!$O:$O,FALSE,Investors!$P:$P,FALSE,Investors!$K:$K,"&gt;"&amp;'NSST Print'!$B$3,Investors!$I:$I,"&lt;="&amp;'NSST Print'!$B$3,Investors!$A:$A,'Investor Exit List'!$A122,Investors!$E:$E,'Investor Exit List'!$C122,Investors!$L:$L,'Investor Exit List'!$B122)-(SUMIFS(Investors!$M:$M,Investors!$I:$I,"&lt;="&amp;'NSST Print'!$B$3,Investors!$J:$J,"&gt;"&amp;'NSST Print'!$B$3,Investors!$A:$A,'Investor Exit List'!$A122,Investors!$E:$E,'Investor Exit List'!$C122,Investors!$L:$L,'Investor Exit List'!$B122)+SUMIFS(Investors!$M:$M,Investors!$I:$I,"&lt;="&amp;'NSST Print'!$B$3,Investors!$J:$J,"",Investors!$A:$A,'Investor Exit List'!$A122,Investors!$E:$E,'Investor Exit List'!$C122,Investors!$L:$L,'Investor Exit List'!$B122))+SUMIFS(Investors!$S:$S,Investors!$O:$O,FALSE,Investors!$P:$P,FALSE,Investors!$K:$K,"&gt;"&amp;'NSST Print'!$B$3,Investors!$I:$I,"&lt;="&amp;'NSST Print'!$B$3,Investors!$A:$A,'Investor Exit List'!$A122,Investors!$E:$E,'Investor Exit List'!$C122,Investors!$L:$L,'Investor Exit List'!$B122)-(SUMIFS(Investors!$S:$S,Investors!$I:$I,"&lt;="&amp;'NSST Print'!$B$3,Investors!$J:$J,"&gt;"&amp;'NSST Print'!$B$3,Investors!$A:$A,'Investor Exit List'!$A122,Investors!$E:$E,'Investor Exit List'!$C122,Investors!$L:$L,'Investor Exit List'!$B122)+SUMIFS(Investors!$S:$S,Investors!$I:$I,"&lt;="&amp;'NSST Print'!$B$3,Investors!$J:$J,"",Investors!$A:$A,'Investor Exit List'!$A122,Investors!$E:$E,'Investor Exit List'!$C122,Investors!$L:$L,'Investor Exit List'!$B122))</f>
        <v/>
      </c>
      <c r="R122" s="90">
        <f>IF(AND(H122=TRUE,I122=FALSE),Q122,0)</f>
        <v/>
      </c>
      <c r="S122" s="90">
        <f>SUMIFS(Investors!$M:$M,Investors!$O:$O,TRUE,Investors!$A:$A,'Investor Exit List'!$A122,Investors!$E:$E,'Investor Exit List'!$C122,Investors!$L:$L,'Investor Exit List'!$B122)+SUMIFS(Investors!$S:$S,Investors!$O:$O,TRUE,Investors!$A:$A,'Investor Exit List'!$A122,Investors!$E:$E,'Investor Exit List'!$C122,Investors!$L:$L,'Investor Exit List'!$B122)</f>
        <v/>
      </c>
      <c r="T122" s="91">
        <f>IF(U122=TRUE,$J122,"")</f>
        <v/>
      </c>
      <c r="U122" s="89" t="b">
        <v>0</v>
      </c>
      <c r="V122" s="90">
        <f>IF(AND(H122=TRUE,OR(K122="",K122&gt;M122)),S122,0)</f>
        <v/>
      </c>
      <c r="W122" s="89" t="n">
        <v>0</v>
      </c>
      <c r="X122" s="89" t="b">
        <v>0</v>
      </c>
    </row>
    <row r="123" hidden="1">
      <c r="A123" s="89" t="inlineStr">
        <is>
          <t>ZHAA01</t>
        </is>
      </c>
      <c r="B123" s="89" t="n">
        <v>1</v>
      </c>
      <c r="C123" s="89" t="inlineStr">
        <is>
          <t>HFB208</t>
        </is>
      </c>
      <c r="D123" s="89" t="inlineStr">
        <is>
          <t>B</t>
        </is>
      </c>
      <c r="E123" s="89" t="inlineStr">
        <is>
          <t>Haasbroek Maresia</t>
        </is>
      </c>
      <c r="F123" s="90">
        <f>SUMIFS(Investors!$M:$M,Investors!$O:$O,FALSE,Investors!$P:$P,FALSE,Investors!$K:$K,"&gt;"&amp;'NSST Print'!$B$3,Investors!$I:$I,"&lt;="&amp;'NSST Print'!$B$3,Investors!$A:$A,'Investor Exit List'!$A123,Investors!$E:$E,'Investor Exit List'!$C123,Investors!$L:$L,'Investor Exit List'!$B123)-(SUMIFS(Investors!$M:$M,Investors!$I:$I,"&lt;="&amp;'NSST Print'!$B$3,Investors!$J:$J,"&gt;"&amp;'NSST Print'!$B$3,Investors!$A:$A,'Investor Exit List'!$A123,Investors!$E:$E,'Investor Exit List'!$C123,Investors!$L:$L,'Investor Exit List'!$B123)+SUMIFS(Investors!$M:$M,Investors!$I:$I,"&lt;="&amp;'NSST Print'!$B$3,Investors!$J:$J,"",Investors!$A:$A,'Investor Exit List'!$A123,Investors!$E:$E,'Investor Exit List'!$C123,Investors!$L:$L,'Investor Exit List'!$B123))</f>
        <v/>
      </c>
      <c r="G123" s="91" t="n">
        <v>44352</v>
      </c>
      <c r="H123" s="89" t="b">
        <v>1</v>
      </c>
      <c r="I123" s="89" t="b">
        <v>1</v>
      </c>
      <c r="J123" s="91" t="n">
        <v>45002</v>
      </c>
      <c r="K123" s="91">
        <f>IF(I123=TRUE,J123,"")</f>
        <v/>
      </c>
      <c r="L123" s="91">
        <f>G123+730</f>
        <v/>
      </c>
      <c r="M123" s="91" t="n">
        <v>45382</v>
      </c>
      <c r="N123" s="92">
        <f>IFERROR(IF(G123&lt;&gt;"",IF(I123=TRUE,0,IF(U123=TRUE,0,L123-M123)),0),0)</f>
        <v/>
      </c>
      <c r="O123" s="92">
        <f>IF(N123&gt;0,IF(N123&lt;=180,N123,0),0)</f>
        <v/>
      </c>
      <c r="P123" s="90">
        <f>IF(AND(N123&lt;90,N123&gt;0),Q123,0)</f>
        <v/>
      </c>
      <c r="Q123" s="90">
        <f>SUMIFS(Investors!$M:$M,Investors!$O:$O,FALSE,Investors!$P:$P,FALSE,Investors!$K:$K,"&gt;"&amp;'NSST Print'!$B$3,Investors!$I:$I,"&lt;="&amp;'NSST Print'!$B$3,Investors!$A:$A,'Investor Exit List'!$A123,Investors!$E:$E,'Investor Exit List'!$C123,Investors!$L:$L,'Investor Exit List'!$B123)-(SUMIFS(Investors!$M:$M,Investors!$I:$I,"&lt;="&amp;'NSST Print'!$B$3,Investors!$J:$J,"&gt;"&amp;'NSST Print'!$B$3,Investors!$A:$A,'Investor Exit List'!$A123,Investors!$E:$E,'Investor Exit List'!$C123,Investors!$L:$L,'Investor Exit List'!$B123)+SUMIFS(Investors!$M:$M,Investors!$I:$I,"&lt;="&amp;'NSST Print'!$B$3,Investors!$J:$J,"",Investors!$A:$A,'Investor Exit List'!$A123,Investors!$E:$E,'Investor Exit List'!$C123,Investors!$L:$L,'Investor Exit List'!$B123))+SUMIFS(Investors!$S:$S,Investors!$O:$O,FALSE,Investors!$P:$P,FALSE,Investors!$K:$K,"&gt;"&amp;'NSST Print'!$B$3,Investors!$I:$I,"&lt;="&amp;'NSST Print'!$B$3,Investors!$A:$A,'Investor Exit List'!$A123,Investors!$E:$E,'Investor Exit List'!$C123,Investors!$L:$L,'Investor Exit List'!$B123)-(SUMIFS(Investors!$S:$S,Investors!$I:$I,"&lt;="&amp;'NSST Print'!$B$3,Investors!$J:$J,"&gt;"&amp;'NSST Print'!$B$3,Investors!$A:$A,'Investor Exit List'!$A123,Investors!$E:$E,'Investor Exit List'!$C123,Investors!$L:$L,'Investor Exit List'!$B123)+SUMIFS(Investors!$S:$S,Investors!$I:$I,"&lt;="&amp;'NSST Print'!$B$3,Investors!$J:$J,"",Investors!$A:$A,'Investor Exit List'!$A123,Investors!$E:$E,'Investor Exit List'!$C123,Investors!$L:$L,'Investor Exit List'!$B123))</f>
        <v/>
      </c>
      <c r="R123" s="90">
        <f>IF(AND(H123=TRUE,I123=FALSE),Q123,0)</f>
        <v/>
      </c>
      <c r="S123" s="90">
        <f>SUMIFS(Investors!$M:$M,Investors!$O:$O,TRUE,Investors!$A:$A,'Investor Exit List'!$A123,Investors!$E:$E,'Investor Exit List'!$C123,Investors!$L:$L,'Investor Exit List'!$B123)+SUMIFS(Investors!$S:$S,Investors!$O:$O,TRUE,Investors!$A:$A,'Investor Exit List'!$A123,Investors!$E:$E,'Investor Exit List'!$C123,Investors!$L:$L,'Investor Exit List'!$B123)</f>
        <v/>
      </c>
      <c r="T123" s="91">
        <f>IF(U123=TRUE,$J123,"")</f>
        <v/>
      </c>
      <c r="U123" s="89" t="b">
        <v>0</v>
      </c>
      <c r="V123" s="90">
        <f>IF(AND(H123=TRUE,OR(K123="",K123&gt;M123)),S123,0)</f>
        <v/>
      </c>
      <c r="W123" s="89" t="n">
        <v>0</v>
      </c>
      <c r="X123" s="89" t="b">
        <v>0</v>
      </c>
    </row>
    <row r="124">
      <c r="A124" s="97" t="inlineStr">
        <is>
          <t>ZDEB01</t>
        </is>
      </c>
      <c r="B124" s="97" t="n">
        <v>4</v>
      </c>
      <c r="C124" s="97" t="inlineStr">
        <is>
          <t>HFB209</t>
        </is>
      </c>
      <c r="D124" s="97" t="inlineStr">
        <is>
          <t>B</t>
        </is>
      </c>
      <c r="E124" s="97" t="inlineStr">
        <is>
          <t>De Beer William Henry</t>
        </is>
      </c>
      <c r="F124" s="98">
        <f>SUMIFS(Investors!$M:$M,Investors!$O:$O,FALSE,Investors!$P:$P,FALSE,Investors!$K:$K,"&gt;"&amp;'NSST Print'!$B$3,Investors!$I:$I,"&lt;="&amp;'NSST Print'!$B$3,Investors!$A:$A,'Investor Exit List'!$A124,Investors!$E:$E,'Investor Exit List'!$C124,Investors!$L:$L,'Investor Exit List'!$B124)-(SUMIFS(Investors!$M:$M,Investors!$I:$I,"&lt;="&amp;'NSST Print'!$B$3,Investors!$J:$J,"&gt;"&amp;'NSST Print'!$B$3,Investors!$A:$A,'Investor Exit List'!$A124,Investors!$E:$E,'Investor Exit List'!$C124,Investors!$L:$L,'Investor Exit List'!$B124)+SUMIFS(Investors!$M:$M,Investors!$I:$I,"&lt;="&amp;'NSST Print'!$B$3,Investors!$J:$J,"",Investors!$A:$A,'Investor Exit List'!$A124,Investors!$E:$E,'Investor Exit List'!$C124,Investors!$L:$L,'Investor Exit List'!$B124))</f>
        <v/>
      </c>
      <c r="G124" s="99" t="n">
        <v>44352</v>
      </c>
      <c r="H124" s="97" t="b">
        <v>1</v>
      </c>
      <c r="I124" s="97" t="b">
        <v>0</v>
      </c>
      <c r="J124" s="99" t="n">
        <v>45036</v>
      </c>
      <c r="K124" s="99">
        <f>IF(I124=TRUE,J124,"")</f>
        <v/>
      </c>
      <c r="L124" s="99">
        <f>G124+730</f>
        <v/>
      </c>
      <c r="M124" s="99" t="n">
        <v>45382</v>
      </c>
      <c r="N124" s="100">
        <f>IFERROR(IF(G124&lt;&gt;"",IF(I124=TRUE,0,IF(U124=TRUE,0,L124-M124)),0),0)</f>
        <v/>
      </c>
      <c r="O124" s="100">
        <f>IF(N124&gt;0,IF(N124&lt;=180,N124,0),0)</f>
        <v/>
      </c>
      <c r="P124" s="98">
        <f>IF(AND(N124&lt;90,N124&gt;0),Q124,0)</f>
        <v/>
      </c>
      <c r="Q124" s="98">
        <f>SUMIFS(Investors!$M:$M,Investors!$O:$O,FALSE,Investors!$P:$P,FALSE,Investors!$K:$K,"&gt;"&amp;'NSST Print'!$B$3,Investors!$I:$I,"&lt;="&amp;'NSST Print'!$B$3,Investors!$A:$A,'Investor Exit List'!$A124,Investors!$E:$E,'Investor Exit List'!$C124,Investors!$L:$L,'Investor Exit List'!$B124)-(SUMIFS(Investors!$M:$M,Investors!$I:$I,"&lt;="&amp;'NSST Print'!$B$3,Investors!$J:$J,"&gt;"&amp;'NSST Print'!$B$3,Investors!$A:$A,'Investor Exit List'!$A124,Investors!$E:$E,'Investor Exit List'!$C124,Investors!$L:$L,'Investor Exit List'!$B124)+SUMIFS(Investors!$M:$M,Investors!$I:$I,"&lt;="&amp;'NSST Print'!$B$3,Investors!$J:$J,"",Investors!$A:$A,'Investor Exit List'!$A124,Investors!$E:$E,'Investor Exit List'!$C124,Investors!$L:$L,'Investor Exit List'!$B124))+SUMIFS(Investors!$S:$S,Investors!$O:$O,FALSE,Investors!$P:$P,FALSE,Investors!$K:$K,"&gt;"&amp;'NSST Print'!$B$3,Investors!$I:$I,"&lt;="&amp;'NSST Print'!$B$3,Investors!$A:$A,'Investor Exit List'!$A124,Investors!$E:$E,'Investor Exit List'!$C124,Investors!$L:$L,'Investor Exit List'!$B124)-(SUMIFS(Investors!$S:$S,Investors!$I:$I,"&lt;="&amp;'NSST Print'!$B$3,Investors!$J:$J,"&gt;"&amp;'NSST Print'!$B$3,Investors!$A:$A,'Investor Exit List'!$A124,Investors!$E:$E,'Investor Exit List'!$C124,Investors!$L:$L,'Investor Exit List'!$B124)+SUMIFS(Investors!$S:$S,Investors!$I:$I,"&lt;="&amp;'NSST Print'!$B$3,Investors!$J:$J,"",Investors!$A:$A,'Investor Exit List'!$A124,Investors!$E:$E,'Investor Exit List'!$C124,Investors!$L:$L,'Investor Exit List'!$B124))</f>
        <v/>
      </c>
      <c r="R124" s="98">
        <f>IF(AND(H124=TRUE,I124=FALSE),Q124,0)</f>
        <v/>
      </c>
      <c r="S124" s="98">
        <f>SUMIFS(Investors!$M:$M,Investors!$O:$O,TRUE,Investors!$A:$A,'Investor Exit List'!$A124,Investors!$E:$E,'Investor Exit List'!$C124,Investors!$L:$L,'Investor Exit List'!$B124)+SUMIFS(Investors!$S:$S,Investors!$O:$O,TRUE,Investors!$A:$A,'Investor Exit List'!$A124,Investors!$E:$E,'Investor Exit List'!$C124,Investors!$L:$L,'Investor Exit List'!$B124)</f>
        <v/>
      </c>
      <c r="T124" s="99">
        <f>IF(U124=TRUE,$J124,"")</f>
        <v/>
      </c>
      <c r="U124" s="97" t="b">
        <v>1</v>
      </c>
      <c r="V124" s="98">
        <f>IF(AND(H124=TRUE,OR(K124="",K124&gt;M124)),S124,0)</f>
        <v/>
      </c>
      <c r="W124" s="97" t="n">
        <v>0</v>
      </c>
      <c r="X124" s="97" t="b">
        <v>0</v>
      </c>
    </row>
    <row r="125">
      <c r="A125" s="93" t="inlineStr">
        <is>
          <t>ZEDE01</t>
        </is>
      </c>
      <c r="B125" s="93" t="n">
        <v>1</v>
      </c>
      <c r="C125" s="93" t="inlineStr">
        <is>
          <t>HFB210</t>
        </is>
      </c>
      <c r="D125" s="93" t="inlineStr">
        <is>
          <t>B</t>
        </is>
      </c>
      <c r="E125" s="93" t="inlineStr">
        <is>
          <t>van Eden JP</t>
        </is>
      </c>
      <c r="F125" s="94">
        <f>SUMIFS(Investors!$M:$M,Investors!$O:$O,FALSE,Investors!$P:$P,FALSE,Investors!$K:$K,"&gt;"&amp;'NSST Print'!$B$3,Investors!$I:$I,"&lt;="&amp;'NSST Print'!$B$3,Investors!$A:$A,'Investor Exit List'!$A125,Investors!$E:$E,'Investor Exit List'!$C125,Investors!$L:$L,'Investor Exit List'!$B125)-(SUMIFS(Investors!$M:$M,Investors!$I:$I,"&lt;="&amp;'NSST Print'!$B$3,Investors!$J:$J,"&gt;"&amp;'NSST Print'!$B$3,Investors!$A:$A,'Investor Exit List'!$A125,Investors!$E:$E,'Investor Exit List'!$C125,Investors!$L:$L,'Investor Exit List'!$B125)+SUMIFS(Investors!$M:$M,Investors!$I:$I,"&lt;="&amp;'NSST Print'!$B$3,Investors!$J:$J,"",Investors!$A:$A,'Investor Exit List'!$A125,Investors!$E:$E,'Investor Exit List'!$C125,Investors!$L:$L,'Investor Exit List'!$B125))</f>
        <v/>
      </c>
      <c r="G125" s="95" t="n">
        <v>44352</v>
      </c>
      <c r="H125" s="93" t="b">
        <v>0</v>
      </c>
      <c r="I125" s="93" t="b">
        <v>0</v>
      </c>
      <c r="J125" s="95" t="n">
        <v>45035</v>
      </c>
      <c r="K125" s="95">
        <f>IF(I125=TRUE,J125,"")</f>
        <v/>
      </c>
      <c r="L125" s="95">
        <f>G125+730</f>
        <v/>
      </c>
      <c r="M125" s="95" t="n">
        <v>45382</v>
      </c>
      <c r="N125" s="96">
        <f>IFERROR(IF(G125&lt;&gt;"",IF(I125=TRUE,0,IF(U125=TRUE,0,L125-M125)),0),0)</f>
        <v/>
      </c>
      <c r="O125" s="96">
        <f>IF(N125&gt;0,IF(N125&lt;=180,N125,0),0)</f>
        <v/>
      </c>
      <c r="P125" s="94">
        <f>IF(AND(N125&lt;90,N125&gt;0),Q125,0)</f>
        <v/>
      </c>
      <c r="Q125" s="94">
        <f>SUMIFS(Investors!$M:$M,Investors!$O:$O,FALSE,Investors!$P:$P,FALSE,Investors!$K:$K,"&gt;"&amp;'NSST Print'!$B$3,Investors!$I:$I,"&lt;="&amp;'NSST Print'!$B$3,Investors!$A:$A,'Investor Exit List'!$A125,Investors!$E:$E,'Investor Exit List'!$C125,Investors!$L:$L,'Investor Exit List'!$B125)-(SUMIFS(Investors!$M:$M,Investors!$I:$I,"&lt;="&amp;'NSST Print'!$B$3,Investors!$J:$J,"&gt;"&amp;'NSST Print'!$B$3,Investors!$A:$A,'Investor Exit List'!$A125,Investors!$E:$E,'Investor Exit List'!$C125,Investors!$L:$L,'Investor Exit List'!$B125)+SUMIFS(Investors!$M:$M,Investors!$I:$I,"&lt;="&amp;'NSST Print'!$B$3,Investors!$J:$J,"",Investors!$A:$A,'Investor Exit List'!$A125,Investors!$E:$E,'Investor Exit List'!$C125,Investors!$L:$L,'Investor Exit List'!$B125))+SUMIFS(Investors!$S:$S,Investors!$O:$O,FALSE,Investors!$P:$P,FALSE,Investors!$K:$K,"&gt;"&amp;'NSST Print'!$B$3,Investors!$I:$I,"&lt;="&amp;'NSST Print'!$B$3,Investors!$A:$A,'Investor Exit List'!$A125,Investors!$E:$E,'Investor Exit List'!$C125,Investors!$L:$L,'Investor Exit List'!$B125)-(SUMIFS(Investors!$S:$S,Investors!$I:$I,"&lt;="&amp;'NSST Print'!$B$3,Investors!$J:$J,"&gt;"&amp;'NSST Print'!$B$3,Investors!$A:$A,'Investor Exit List'!$A125,Investors!$E:$E,'Investor Exit List'!$C125,Investors!$L:$L,'Investor Exit List'!$B125)+SUMIFS(Investors!$S:$S,Investors!$I:$I,"&lt;="&amp;'NSST Print'!$B$3,Investors!$J:$J,"",Investors!$A:$A,'Investor Exit List'!$A125,Investors!$E:$E,'Investor Exit List'!$C125,Investors!$L:$L,'Investor Exit List'!$B125))</f>
        <v/>
      </c>
      <c r="R125" s="94">
        <f>IF(AND(H125=TRUE,I125=FALSE),Q125,0)</f>
        <v/>
      </c>
      <c r="S125" s="94">
        <f>SUMIFS(Investors!$M:$M,Investors!$O:$O,TRUE,Investors!$A:$A,'Investor Exit List'!$A125,Investors!$E:$E,'Investor Exit List'!$C125,Investors!$L:$L,'Investor Exit List'!$B125)+SUMIFS(Investors!$S:$S,Investors!$O:$O,TRUE,Investors!$A:$A,'Investor Exit List'!$A125,Investors!$E:$E,'Investor Exit List'!$C125,Investors!$L:$L,'Investor Exit List'!$B125)</f>
        <v/>
      </c>
      <c r="T125" s="95">
        <f>IF(U125=TRUE,$J125,"")</f>
        <v/>
      </c>
      <c r="U125" s="93" t="b">
        <v>1</v>
      </c>
      <c r="V125" s="94">
        <f>IF(AND(H125=TRUE,OR(K125="",K125&gt;M125)),S125,0)</f>
        <v/>
      </c>
      <c r="W125" s="93" t="n">
        <v>0</v>
      </c>
      <c r="X125" s="93" t="b">
        <v>0</v>
      </c>
    </row>
    <row r="126">
      <c r="A126" s="93" t="inlineStr">
        <is>
          <t>ZJAN02</t>
        </is>
      </c>
      <c r="B126" s="93" t="n">
        <v>1</v>
      </c>
      <c r="C126" s="93" t="inlineStr">
        <is>
          <t>HFB210</t>
        </is>
      </c>
      <c r="D126" s="93" t="inlineStr">
        <is>
          <t>B</t>
        </is>
      </c>
      <c r="E126" s="93" t="inlineStr">
        <is>
          <t>Jansen van Vuuren Lynne</t>
        </is>
      </c>
      <c r="F126" s="94">
        <f>SUMIFS(Investors!$M:$M,Investors!$O:$O,FALSE,Investors!$P:$P,FALSE,Investors!$K:$K,"&gt;"&amp;'NSST Print'!$B$3,Investors!$I:$I,"&lt;="&amp;'NSST Print'!$B$3,Investors!$A:$A,'Investor Exit List'!$A126,Investors!$E:$E,'Investor Exit List'!$C126,Investors!$L:$L,'Investor Exit List'!$B126)-(SUMIFS(Investors!$M:$M,Investors!$I:$I,"&lt;="&amp;'NSST Print'!$B$3,Investors!$J:$J,"&gt;"&amp;'NSST Print'!$B$3,Investors!$A:$A,'Investor Exit List'!$A126,Investors!$E:$E,'Investor Exit List'!$C126,Investors!$L:$L,'Investor Exit List'!$B126)+SUMIFS(Investors!$M:$M,Investors!$I:$I,"&lt;="&amp;'NSST Print'!$B$3,Investors!$J:$J,"",Investors!$A:$A,'Investor Exit List'!$A126,Investors!$E:$E,'Investor Exit List'!$C126,Investors!$L:$L,'Investor Exit List'!$B126))</f>
        <v/>
      </c>
      <c r="G126" s="95" t="n">
        <v>44664</v>
      </c>
      <c r="H126" s="93" t="b">
        <v>0</v>
      </c>
      <c r="I126" s="93" t="b">
        <v>0</v>
      </c>
      <c r="J126" s="95" t="n">
        <v>45343</v>
      </c>
      <c r="K126" s="95">
        <f>IF(I126=TRUE,J126,"")</f>
        <v/>
      </c>
      <c r="L126" s="95">
        <f>G126+730</f>
        <v/>
      </c>
      <c r="M126" s="95" t="n">
        <v>45382</v>
      </c>
      <c r="N126" s="96">
        <f>IFERROR(IF(G126&lt;&gt;"",IF(I126=TRUE,0,IF(U126=TRUE,0,L126-M126)),0),0)</f>
        <v/>
      </c>
      <c r="O126" s="96">
        <f>IF(N126&gt;0,IF(N126&lt;=180,N126,0),0)</f>
        <v/>
      </c>
      <c r="P126" s="94">
        <f>IF(AND(N126&lt;90,N126&gt;0),Q126,0)</f>
        <v/>
      </c>
      <c r="Q126" s="94">
        <f>SUMIFS(Investors!$M:$M,Investors!$O:$O,FALSE,Investors!$P:$P,FALSE,Investors!$K:$K,"&gt;"&amp;'NSST Print'!$B$3,Investors!$I:$I,"&lt;="&amp;'NSST Print'!$B$3,Investors!$A:$A,'Investor Exit List'!$A126,Investors!$E:$E,'Investor Exit List'!$C126,Investors!$L:$L,'Investor Exit List'!$B126)-(SUMIFS(Investors!$M:$M,Investors!$I:$I,"&lt;="&amp;'NSST Print'!$B$3,Investors!$J:$J,"&gt;"&amp;'NSST Print'!$B$3,Investors!$A:$A,'Investor Exit List'!$A126,Investors!$E:$E,'Investor Exit List'!$C126,Investors!$L:$L,'Investor Exit List'!$B126)+SUMIFS(Investors!$M:$M,Investors!$I:$I,"&lt;="&amp;'NSST Print'!$B$3,Investors!$J:$J,"",Investors!$A:$A,'Investor Exit List'!$A126,Investors!$E:$E,'Investor Exit List'!$C126,Investors!$L:$L,'Investor Exit List'!$B126))+SUMIFS(Investors!$S:$S,Investors!$O:$O,FALSE,Investors!$P:$P,FALSE,Investors!$K:$K,"&gt;"&amp;'NSST Print'!$B$3,Investors!$I:$I,"&lt;="&amp;'NSST Print'!$B$3,Investors!$A:$A,'Investor Exit List'!$A126,Investors!$E:$E,'Investor Exit List'!$C126,Investors!$L:$L,'Investor Exit List'!$B126)-(SUMIFS(Investors!$S:$S,Investors!$I:$I,"&lt;="&amp;'NSST Print'!$B$3,Investors!$J:$J,"&gt;"&amp;'NSST Print'!$B$3,Investors!$A:$A,'Investor Exit List'!$A126,Investors!$E:$E,'Investor Exit List'!$C126,Investors!$L:$L,'Investor Exit List'!$B126)+SUMIFS(Investors!$S:$S,Investors!$I:$I,"&lt;="&amp;'NSST Print'!$B$3,Investors!$J:$J,"",Investors!$A:$A,'Investor Exit List'!$A126,Investors!$E:$E,'Investor Exit List'!$C126,Investors!$L:$L,'Investor Exit List'!$B126))</f>
        <v/>
      </c>
      <c r="R126" s="94">
        <f>IF(AND(H126=TRUE,I126=FALSE),Q126,0)</f>
        <v/>
      </c>
      <c r="S126" s="94">
        <f>SUMIFS(Investors!$M:$M,Investors!$O:$O,TRUE,Investors!$A:$A,'Investor Exit List'!$A126,Investors!$E:$E,'Investor Exit List'!$C126,Investors!$L:$L,'Investor Exit List'!$B126)+SUMIFS(Investors!$S:$S,Investors!$O:$O,TRUE,Investors!$A:$A,'Investor Exit List'!$A126,Investors!$E:$E,'Investor Exit List'!$C126,Investors!$L:$L,'Investor Exit List'!$B126)</f>
        <v/>
      </c>
      <c r="T126" s="95">
        <f>IF(U126=TRUE,$J126,"")</f>
        <v/>
      </c>
      <c r="U126" s="93" t="b">
        <v>1</v>
      </c>
      <c r="V126" s="94">
        <f>IF(AND(H126=TRUE,OR(K126="",K126&gt;M126)),S126,0)</f>
        <v/>
      </c>
      <c r="W126" s="93" t="n">
        <v>0</v>
      </c>
      <c r="X126" s="93" t="b">
        <v>0</v>
      </c>
    </row>
    <row r="127">
      <c r="A127" s="93" t="inlineStr">
        <is>
          <t>ZMBA01</t>
        </is>
      </c>
      <c r="B127" s="93" t="n">
        <v>1</v>
      </c>
      <c r="C127" s="93" t="inlineStr">
        <is>
          <t>HFB210</t>
        </is>
      </c>
      <c r="D127" s="93" t="inlineStr">
        <is>
          <t>B</t>
        </is>
      </c>
      <c r="E127" s="93" t="inlineStr">
        <is>
          <t>Mbatha Vincent Mogoane</t>
        </is>
      </c>
      <c r="F127" s="94">
        <f>SUMIFS(Investors!$M:$M,Investors!$O:$O,FALSE,Investors!$P:$P,FALSE,Investors!$K:$K,"&gt;"&amp;'NSST Print'!$B$3,Investors!$I:$I,"&lt;="&amp;'NSST Print'!$B$3,Investors!$A:$A,'Investor Exit List'!$A127,Investors!$E:$E,'Investor Exit List'!$C127,Investors!$L:$L,'Investor Exit List'!$B127)-(SUMIFS(Investors!$M:$M,Investors!$I:$I,"&lt;="&amp;'NSST Print'!$B$3,Investors!$J:$J,"&gt;"&amp;'NSST Print'!$B$3,Investors!$A:$A,'Investor Exit List'!$A127,Investors!$E:$E,'Investor Exit List'!$C127,Investors!$L:$L,'Investor Exit List'!$B127)+SUMIFS(Investors!$M:$M,Investors!$I:$I,"&lt;="&amp;'NSST Print'!$B$3,Investors!$J:$J,"",Investors!$A:$A,'Investor Exit List'!$A127,Investors!$E:$E,'Investor Exit List'!$C127,Investors!$L:$L,'Investor Exit List'!$B127))</f>
        <v/>
      </c>
      <c r="G127" s="95" t="n">
        <v>44618</v>
      </c>
      <c r="H127" s="93" t="b">
        <v>0</v>
      </c>
      <c r="I127" s="93" t="b">
        <v>0</v>
      </c>
      <c r="J127" s="95" t="n">
        <v>45323</v>
      </c>
      <c r="K127" s="95">
        <f>IF(I127=TRUE,J127,"")</f>
        <v/>
      </c>
      <c r="L127" s="95">
        <f>G127+730</f>
        <v/>
      </c>
      <c r="M127" s="95" t="n">
        <v>45382</v>
      </c>
      <c r="N127" s="96">
        <f>IFERROR(IF(G127&lt;&gt;"",IF(I127=TRUE,0,IF(U127=TRUE,0,L127-M127)),0),0)</f>
        <v/>
      </c>
      <c r="O127" s="96">
        <f>IF(N127&gt;0,IF(N127&lt;=180,N127,0),0)</f>
        <v/>
      </c>
      <c r="P127" s="94">
        <f>IF(AND(N127&lt;90,N127&gt;0),Q127,0)</f>
        <v/>
      </c>
      <c r="Q127" s="94">
        <f>SUMIFS(Investors!$M:$M,Investors!$O:$O,FALSE,Investors!$P:$P,FALSE,Investors!$K:$K,"&gt;"&amp;'NSST Print'!$B$3,Investors!$I:$I,"&lt;="&amp;'NSST Print'!$B$3,Investors!$A:$A,'Investor Exit List'!$A127,Investors!$E:$E,'Investor Exit List'!$C127,Investors!$L:$L,'Investor Exit List'!$B127)-(SUMIFS(Investors!$M:$M,Investors!$I:$I,"&lt;="&amp;'NSST Print'!$B$3,Investors!$J:$J,"&gt;"&amp;'NSST Print'!$B$3,Investors!$A:$A,'Investor Exit List'!$A127,Investors!$E:$E,'Investor Exit List'!$C127,Investors!$L:$L,'Investor Exit List'!$B127)+SUMIFS(Investors!$M:$M,Investors!$I:$I,"&lt;="&amp;'NSST Print'!$B$3,Investors!$J:$J,"",Investors!$A:$A,'Investor Exit List'!$A127,Investors!$E:$E,'Investor Exit List'!$C127,Investors!$L:$L,'Investor Exit List'!$B127))+SUMIFS(Investors!$S:$S,Investors!$O:$O,FALSE,Investors!$P:$P,FALSE,Investors!$K:$K,"&gt;"&amp;'NSST Print'!$B$3,Investors!$I:$I,"&lt;="&amp;'NSST Print'!$B$3,Investors!$A:$A,'Investor Exit List'!$A127,Investors!$E:$E,'Investor Exit List'!$C127,Investors!$L:$L,'Investor Exit List'!$B127)-(SUMIFS(Investors!$S:$S,Investors!$I:$I,"&lt;="&amp;'NSST Print'!$B$3,Investors!$J:$J,"&gt;"&amp;'NSST Print'!$B$3,Investors!$A:$A,'Investor Exit List'!$A127,Investors!$E:$E,'Investor Exit List'!$C127,Investors!$L:$L,'Investor Exit List'!$B127)+SUMIFS(Investors!$S:$S,Investors!$I:$I,"&lt;="&amp;'NSST Print'!$B$3,Investors!$J:$J,"",Investors!$A:$A,'Investor Exit List'!$A127,Investors!$E:$E,'Investor Exit List'!$C127,Investors!$L:$L,'Investor Exit List'!$B127))</f>
        <v/>
      </c>
      <c r="R127" s="94">
        <f>IF(AND(H127=TRUE,I127=FALSE),Q127,0)</f>
        <v/>
      </c>
      <c r="S127" s="94">
        <f>SUMIFS(Investors!$M:$M,Investors!$O:$O,TRUE,Investors!$A:$A,'Investor Exit List'!$A127,Investors!$E:$E,'Investor Exit List'!$C127,Investors!$L:$L,'Investor Exit List'!$B127)+SUMIFS(Investors!$S:$S,Investors!$O:$O,TRUE,Investors!$A:$A,'Investor Exit List'!$A127,Investors!$E:$E,'Investor Exit List'!$C127,Investors!$L:$L,'Investor Exit List'!$B127)</f>
        <v/>
      </c>
      <c r="T127" s="95">
        <f>IF(U127=TRUE,$J127,"")</f>
        <v/>
      </c>
      <c r="U127" s="93" t="b">
        <v>1</v>
      </c>
      <c r="V127" s="94">
        <f>IF(AND(H127=TRUE,OR(K127="",K127&gt;M127)),S127,0)</f>
        <v/>
      </c>
      <c r="W127" s="93" t="n">
        <v>0</v>
      </c>
      <c r="X127" s="93" t="b">
        <v>0</v>
      </c>
    </row>
    <row r="128">
      <c r="A128" s="93" t="inlineStr">
        <is>
          <t>ZAFR01</t>
        </is>
      </c>
      <c r="B128" s="93" t="n">
        <v>1</v>
      </c>
      <c r="C128" s="93" t="inlineStr">
        <is>
          <t>HFB211</t>
        </is>
      </c>
      <c r="D128" s="93" t="inlineStr">
        <is>
          <t>B</t>
        </is>
      </c>
      <c r="E128" s="93" t="inlineStr">
        <is>
          <t>Zylstra John Robert</t>
        </is>
      </c>
      <c r="F128" s="94">
        <f>SUMIFS(Investors!$M:$M,Investors!$O:$O,FALSE,Investors!$P:$P,FALSE,Investors!$K:$K,"&gt;"&amp;'NSST Print'!$B$3,Investors!$I:$I,"&lt;="&amp;'NSST Print'!$B$3,Investors!$A:$A,'Investor Exit List'!$A128,Investors!$E:$E,'Investor Exit List'!$C128,Investors!$L:$L,'Investor Exit List'!$B128)-(SUMIFS(Investors!$M:$M,Investors!$I:$I,"&lt;="&amp;'NSST Print'!$B$3,Investors!$J:$J,"&gt;"&amp;'NSST Print'!$B$3,Investors!$A:$A,'Investor Exit List'!$A128,Investors!$E:$E,'Investor Exit List'!$C128,Investors!$L:$L,'Investor Exit List'!$B128)+SUMIFS(Investors!$M:$M,Investors!$I:$I,"&lt;="&amp;'NSST Print'!$B$3,Investors!$J:$J,"",Investors!$A:$A,'Investor Exit List'!$A128,Investors!$E:$E,'Investor Exit List'!$C128,Investors!$L:$L,'Investor Exit List'!$B128))</f>
        <v/>
      </c>
      <c r="G128" s="95" t="n">
        <v>44352</v>
      </c>
      <c r="H128" s="93" t="b">
        <v>0</v>
      </c>
      <c r="I128" s="93" t="b">
        <v>0</v>
      </c>
      <c r="J128" s="95" t="n">
        <v>45035</v>
      </c>
      <c r="K128" s="95">
        <f>IF(I128=TRUE,J128,"")</f>
        <v/>
      </c>
      <c r="L128" s="95">
        <f>G128+730</f>
        <v/>
      </c>
      <c r="M128" s="95" t="n">
        <v>45382</v>
      </c>
      <c r="N128" s="96">
        <f>IFERROR(IF(G128&lt;&gt;"",IF(I128=TRUE,0,IF(U128=TRUE,0,L128-M128)),0),0)</f>
        <v/>
      </c>
      <c r="O128" s="96">
        <f>IF(N128&gt;0,IF(N128&lt;=180,N128,0),0)</f>
        <v/>
      </c>
      <c r="P128" s="94">
        <f>IF(AND(N128&lt;90,N128&gt;0),Q128,0)</f>
        <v/>
      </c>
      <c r="Q128" s="94">
        <f>SUMIFS(Investors!$M:$M,Investors!$O:$O,FALSE,Investors!$P:$P,FALSE,Investors!$K:$K,"&gt;"&amp;'NSST Print'!$B$3,Investors!$I:$I,"&lt;="&amp;'NSST Print'!$B$3,Investors!$A:$A,'Investor Exit List'!$A128,Investors!$E:$E,'Investor Exit List'!$C128,Investors!$L:$L,'Investor Exit List'!$B128)-(SUMIFS(Investors!$M:$M,Investors!$I:$I,"&lt;="&amp;'NSST Print'!$B$3,Investors!$J:$J,"&gt;"&amp;'NSST Print'!$B$3,Investors!$A:$A,'Investor Exit List'!$A128,Investors!$E:$E,'Investor Exit List'!$C128,Investors!$L:$L,'Investor Exit List'!$B128)+SUMIFS(Investors!$M:$M,Investors!$I:$I,"&lt;="&amp;'NSST Print'!$B$3,Investors!$J:$J,"",Investors!$A:$A,'Investor Exit List'!$A128,Investors!$E:$E,'Investor Exit List'!$C128,Investors!$L:$L,'Investor Exit List'!$B128))+SUMIFS(Investors!$S:$S,Investors!$O:$O,FALSE,Investors!$P:$P,FALSE,Investors!$K:$K,"&gt;"&amp;'NSST Print'!$B$3,Investors!$I:$I,"&lt;="&amp;'NSST Print'!$B$3,Investors!$A:$A,'Investor Exit List'!$A128,Investors!$E:$E,'Investor Exit List'!$C128,Investors!$L:$L,'Investor Exit List'!$B128)-(SUMIFS(Investors!$S:$S,Investors!$I:$I,"&lt;="&amp;'NSST Print'!$B$3,Investors!$J:$J,"&gt;"&amp;'NSST Print'!$B$3,Investors!$A:$A,'Investor Exit List'!$A128,Investors!$E:$E,'Investor Exit List'!$C128,Investors!$L:$L,'Investor Exit List'!$B128)+SUMIFS(Investors!$S:$S,Investors!$I:$I,"&lt;="&amp;'NSST Print'!$B$3,Investors!$J:$J,"",Investors!$A:$A,'Investor Exit List'!$A128,Investors!$E:$E,'Investor Exit List'!$C128,Investors!$L:$L,'Investor Exit List'!$B128))</f>
        <v/>
      </c>
      <c r="R128" s="94">
        <f>IF(AND(H128=TRUE,I128=FALSE),Q128,0)</f>
        <v/>
      </c>
      <c r="S128" s="94">
        <f>SUMIFS(Investors!$M:$M,Investors!$O:$O,TRUE,Investors!$A:$A,'Investor Exit List'!$A128,Investors!$E:$E,'Investor Exit List'!$C128,Investors!$L:$L,'Investor Exit List'!$B128)+SUMIFS(Investors!$S:$S,Investors!$O:$O,TRUE,Investors!$A:$A,'Investor Exit List'!$A128,Investors!$E:$E,'Investor Exit List'!$C128,Investors!$L:$L,'Investor Exit List'!$B128)</f>
        <v/>
      </c>
      <c r="T128" s="95">
        <f>IF(U128=TRUE,$J128,"")</f>
        <v/>
      </c>
      <c r="U128" s="93" t="b">
        <v>1</v>
      </c>
      <c r="V128" s="94">
        <f>IF(AND(H128=TRUE,OR(K128="",K128&gt;M128)),S128,0)</f>
        <v/>
      </c>
      <c r="W128" s="93" t="n">
        <v>0</v>
      </c>
      <c r="X128" s="93" t="b">
        <v>0</v>
      </c>
    </row>
    <row r="129">
      <c r="A129" s="93" t="inlineStr">
        <is>
          <t>ZBEN02</t>
        </is>
      </c>
      <c r="B129" s="93" t="n">
        <v>1</v>
      </c>
      <c r="C129" s="93" t="inlineStr">
        <is>
          <t>HFB211</t>
        </is>
      </c>
      <c r="D129" s="93" t="inlineStr">
        <is>
          <t>B</t>
        </is>
      </c>
      <c r="E129" s="93" t="inlineStr">
        <is>
          <t>Beneke Veronica</t>
        </is>
      </c>
      <c r="F129" s="94">
        <f>SUMIFS(Investors!$M:$M,Investors!$O:$O,FALSE,Investors!$P:$P,FALSE,Investors!$K:$K,"&gt;"&amp;'NSST Print'!$B$3,Investors!$I:$I,"&lt;="&amp;'NSST Print'!$B$3,Investors!$A:$A,'Investor Exit List'!$A129,Investors!$E:$E,'Investor Exit List'!$C129,Investors!$L:$L,'Investor Exit List'!$B129)-(SUMIFS(Investors!$M:$M,Investors!$I:$I,"&lt;="&amp;'NSST Print'!$B$3,Investors!$J:$J,"&gt;"&amp;'NSST Print'!$B$3,Investors!$A:$A,'Investor Exit List'!$A129,Investors!$E:$E,'Investor Exit List'!$C129,Investors!$L:$L,'Investor Exit List'!$B129)+SUMIFS(Investors!$M:$M,Investors!$I:$I,"&lt;="&amp;'NSST Print'!$B$3,Investors!$J:$J,"",Investors!$A:$A,'Investor Exit List'!$A129,Investors!$E:$E,'Investor Exit List'!$C129,Investors!$L:$L,'Investor Exit List'!$B129))</f>
        <v/>
      </c>
      <c r="G129" s="95" t="n">
        <v>44352</v>
      </c>
      <c r="H129" s="93" t="b">
        <v>0</v>
      </c>
      <c r="I129" s="93" t="b">
        <v>0</v>
      </c>
      <c r="J129" s="95" t="n">
        <v>45106</v>
      </c>
      <c r="K129" s="95">
        <f>IF(I129=TRUE,J129,"")</f>
        <v/>
      </c>
      <c r="L129" s="95">
        <f>G129+730</f>
        <v/>
      </c>
      <c r="M129" s="95" t="n">
        <v>45382</v>
      </c>
      <c r="N129" s="96">
        <f>IFERROR(IF(G129&lt;&gt;"",IF(I129=TRUE,0,IF(U129=TRUE,0,L129-M129)),0),0)</f>
        <v/>
      </c>
      <c r="O129" s="96">
        <f>IF(N129&gt;0,IF(N129&lt;=180,N129,0),0)</f>
        <v/>
      </c>
      <c r="P129" s="94">
        <f>IF(AND(N129&lt;90,N129&gt;0),Q129,0)</f>
        <v/>
      </c>
      <c r="Q129" s="94">
        <f>SUMIFS(Investors!$M:$M,Investors!$O:$O,FALSE,Investors!$P:$P,FALSE,Investors!$K:$K,"&gt;"&amp;'NSST Print'!$B$3,Investors!$I:$I,"&lt;="&amp;'NSST Print'!$B$3,Investors!$A:$A,'Investor Exit List'!$A129,Investors!$E:$E,'Investor Exit List'!$C129,Investors!$L:$L,'Investor Exit List'!$B129)-(SUMIFS(Investors!$M:$M,Investors!$I:$I,"&lt;="&amp;'NSST Print'!$B$3,Investors!$J:$J,"&gt;"&amp;'NSST Print'!$B$3,Investors!$A:$A,'Investor Exit List'!$A129,Investors!$E:$E,'Investor Exit List'!$C129,Investors!$L:$L,'Investor Exit List'!$B129)+SUMIFS(Investors!$M:$M,Investors!$I:$I,"&lt;="&amp;'NSST Print'!$B$3,Investors!$J:$J,"",Investors!$A:$A,'Investor Exit List'!$A129,Investors!$E:$E,'Investor Exit List'!$C129,Investors!$L:$L,'Investor Exit List'!$B129))+SUMIFS(Investors!$S:$S,Investors!$O:$O,FALSE,Investors!$P:$P,FALSE,Investors!$K:$K,"&gt;"&amp;'NSST Print'!$B$3,Investors!$I:$I,"&lt;="&amp;'NSST Print'!$B$3,Investors!$A:$A,'Investor Exit List'!$A129,Investors!$E:$E,'Investor Exit List'!$C129,Investors!$L:$L,'Investor Exit List'!$B129)-(SUMIFS(Investors!$S:$S,Investors!$I:$I,"&lt;="&amp;'NSST Print'!$B$3,Investors!$J:$J,"&gt;"&amp;'NSST Print'!$B$3,Investors!$A:$A,'Investor Exit List'!$A129,Investors!$E:$E,'Investor Exit List'!$C129,Investors!$L:$L,'Investor Exit List'!$B129)+SUMIFS(Investors!$S:$S,Investors!$I:$I,"&lt;="&amp;'NSST Print'!$B$3,Investors!$J:$J,"",Investors!$A:$A,'Investor Exit List'!$A129,Investors!$E:$E,'Investor Exit List'!$C129,Investors!$L:$L,'Investor Exit List'!$B129))</f>
        <v/>
      </c>
      <c r="R129" s="94">
        <f>IF(AND(H129=TRUE,I129=FALSE),Q129,0)</f>
        <v/>
      </c>
      <c r="S129" s="94">
        <f>SUMIFS(Investors!$M:$M,Investors!$O:$O,TRUE,Investors!$A:$A,'Investor Exit List'!$A129,Investors!$E:$E,'Investor Exit List'!$C129,Investors!$L:$L,'Investor Exit List'!$B129)+SUMIFS(Investors!$S:$S,Investors!$O:$O,TRUE,Investors!$A:$A,'Investor Exit List'!$A129,Investors!$E:$E,'Investor Exit List'!$C129,Investors!$L:$L,'Investor Exit List'!$B129)</f>
        <v/>
      </c>
      <c r="T129" s="95">
        <f>IF(U129=TRUE,$J129,"")</f>
        <v/>
      </c>
      <c r="U129" s="93" t="b">
        <v>1</v>
      </c>
      <c r="V129" s="94">
        <f>IF(AND(H129=TRUE,OR(K129="",K129&gt;M129)),S129,0)</f>
        <v/>
      </c>
      <c r="W129" s="93" t="n">
        <v>0</v>
      </c>
      <c r="X129" s="93" t="b">
        <v>0</v>
      </c>
    </row>
    <row r="130">
      <c r="A130" s="93" t="inlineStr">
        <is>
          <t>ZDIC01</t>
        </is>
      </c>
      <c r="B130" s="93" t="n">
        <v>5</v>
      </c>
      <c r="C130" s="93" t="inlineStr">
        <is>
          <t>HFB212</t>
        </is>
      </c>
      <c r="D130" s="93" t="inlineStr">
        <is>
          <t>B</t>
        </is>
      </c>
      <c r="E130" s="93" t="inlineStr">
        <is>
          <t>Dickinson Grant Allan</t>
        </is>
      </c>
      <c r="F130" s="94">
        <f>SUMIFS(Investors!$M:$M,Investors!$O:$O,FALSE,Investors!$P:$P,FALSE,Investors!$K:$K,"&gt;"&amp;'NSST Print'!$B$3,Investors!$I:$I,"&lt;="&amp;'NSST Print'!$B$3,Investors!$A:$A,'Investor Exit List'!$A130,Investors!$E:$E,'Investor Exit List'!$C130,Investors!$L:$L,'Investor Exit List'!$B130)-(SUMIFS(Investors!$M:$M,Investors!$I:$I,"&lt;="&amp;'NSST Print'!$B$3,Investors!$J:$J,"&gt;"&amp;'NSST Print'!$B$3,Investors!$A:$A,'Investor Exit List'!$A130,Investors!$E:$E,'Investor Exit List'!$C130,Investors!$L:$L,'Investor Exit List'!$B130)+SUMIFS(Investors!$M:$M,Investors!$I:$I,"&lt;="&amp;'NSST Print'!$B$3,Investors!$J:$J,"",Investors!$A:$A,'Investor Exit List'!$A130,Investors!$E:$E,'Investor Exit List'!$C130,Investors!$L:$L,'Investor Exit List'!$B130))</f>
        <v/>
      </c>
      <c r="G130" s="95" t="n">
        <v>44352</v>
      </c>
      <c r="H130" s="93" t="b">
        <v>0</v>
      </c>
      <c r="I130" s="93" t="b">
        <v>0</v>
      </c>
      <c r="J130" s="95" t="n">
        <v>45056</v>
      </c>
      <c r="K130" s="95">
        <f>IF(I130=TRUE,J130,"")</f>
        <v/>
      </c>
      <c r="L130" s="95">
        <f>G130+730</f>
        <v/>
      </c>
      <c r="M130" s="95" t="n">
        <v>45382</v>
      </c>
      <c r="N130" s="96">
        <f>IFERROR(IF(G130&lt;&gt;"",IF(I130=TRUE,0,IF(U130=TRUE,0,L130-M130)),0),0)</f>
        <v/>
      </c>
      <c r="O130" s="96">
        <f>IF(N130&gt;0,IF(N130&lt;=180,N130,0),0)</f>
        <v/>
      </c>
      <c r="P130" s="94">
        <f>IF(AND(N130&lt;90,N130&gt;0),Q130,0)</f>
        <v/>
      </c>
      <c r="Q130" s="94">
        <f>SUMIFS(Investors!$M:$M,Investors!$O:$O,FALSE,Investors!$P:$P,FALSE,Investors!$K:$K,"&gt;"&amp;'NSST Print'!$B$3,Investors!$I:$I,"&lt;="&amp;'NSST Print'!$B$3,Investors!$A:$A,'Investor Exit List'!$A130,Investors!$E:$E,'Investor Exit List'!$C130,Investors!$L:$L,'Investor Exit List'!$B130)-(SUMIFS(Investors!$M:$M,Investors!$I:$I,"&lt;="&amp;'NSST Print'!$B$3,Investors!$J:$J,"&gt;"&amp;'NSST Print'!$B$3,Investors!$A:$A,'Investor Exit List'!$A130,Investors!$E:$E,'Investor Exit List'!$C130,Investors!$L:$L,'Investor Exit List'!$B130)+SUMIFS(Investors!$M:$M,Investors!$I:$I,"&lt;="&amp;'NSST Print'!$B$3,Investors!$J:$J,"",Investors!$A:$A,'Investor Exit List'!$A130,Investors!$E:$E,'Investor Exit List'!$C130,Investors!$L:$L,'Investor Exit List'!$B130))+SUMIFS(Investors!$S:$S,Investors!$O:$O,FALSE,Investors!$P:$P,FALSE,Investors!$K:$K,"&gt;"&amp;'NSST Print'!$B$3,Investors!$I:$I,"&lt;="&amp;'NSST Print'!$B$3,Investors!$A:$A,'Investor Exit List'!$A130,Investors!$E:$E,'Investor Exit List'!$C130,Investors!$L:$L,'Investor Exit List'!$B130)-(SUMIFS(Investors!$S:$S,Investors!$I:$I,"&lt;="&amp;'NSST Print'!$B$3,Investors!$J:$J,"&gt;"&amp;'NSST Print'!$B$3,Investors!$A:$A,'Investor Exit List'!$A130,Investors!$E:$E,'Investor Exit List'!$C130,Investors!$L:$L,'Investor Exit List'!$B130)+SUMIFS(Investors!$S:$S,Investors!$I:$I,"&lt;="&amp;'NSST Print'!$B$3,Investors!$J:$J,"",Investors!$A:$A,'Investor Exit List'!$A130,Investors!$E:$E,'Investor Exit List'!$C130,Investors!$L:$L,'Investor Exit List'!$B130))</f>
        <v/>
      </c>
      <c r="R130" s="94">
        <f>IF(AND(H130=TRUE,I130=FALSE),Q130,0)</f>
        <v/>
      </c>
      <c r="S130" s="94">
        <f>SUMIFS(Investors!$M:$M,Investors!$O:$O,TRUE,Investors!$A:$A,'Investor Exit List'!$A130,Investors!$E:$E,'Investor Exit List'!$C130,Investors!$L:$L,'Investor Exit List'!$B130)+SUMIFS(Investors!$S:$S,Investors!$O:$O,TRUE,Investors!$A:$A,'Investor Exit List'!$A130,Investors!$E:$E,'Investor Exit List'!$C130,Investors!$L:$L,'Investor Exit List'!$B130)</f>
        <v/>
      </c>
      <c r="T130" s="95">
        <f>IF(U130=TRUE,$J130,"")</f>
        <v/>
      </c>
      <c r="U130" s="93" t="b">
        <v>1</v>
      </c>
      <c r="V130" s="94">
        <f>IF(AND(H130=TRUE,OR(K130="",K130&gt;M130)),S130,0)</f>
        <v/>
      </c>
      <c r="W130" s="93" t="n">
        <v>0</v>
      </c>
      <c r="X130" s="93" t="b">
        <v>0</v>
      </c>
    </row>
    <row r="131">
      <c r="A131" s="93" t="inlineStr">
        <is>
          <t>ZREN01</t>
        </is>
      </c>
      <c r="B131" s="93" t="n">
        <v>1</v>
      </c>
      <c r="C131" s="93" t="inlineStr">
        <is>
          <t>HFB213</t>
        </is>
      </c>
      <c r="D131" s="93" t="inlineStr">
        <is>
          <t>B</t>
        </is>
      </c>
      <c r="E131" s="93" t="inlineStr">
        <is>
          <t>van Rensburg Marlene Ann</t>
        </is>
      </c>
      <c r="F131" s="94">
        <f>SUMIFS(Investors!$M:$M,Investors!$O:$O,FALSE,Investors!$P:$P,FALSE,Investors!$K:$K,"&gt;"&amp;'NSST Print'!$B$3,Investors!$I:$I,"&lt;="&amp;'NSST Print'!$B$3,Investors!$A:$A,'Investor Exit List'!$A131,Investors!$E:$E,'Investor Exit List'!$C131,Investors!$L:$L,'Investor Exit List'!$B131)-(SUMIFS(Investors!$M:$M,Investors!$I:$I,"&lt;="&amp;'NSST Print'!$B$3,Investors!$J:$J,"&gt;"&amp;'NSST Print'!$B$3,Investors!$A:$A,'Investor Exit List'!$A131,Investors!$E:$E,'Investor Exit List'!$C131,Investors!$L:$L,'Investor Exit List'!$B131)+SUMIFS(Investors!$M:$M,Investors!$I:$I,"&lt;="&amp;'NSST Print'!$B$3,Investors!$J:$J,"",Investors!$A:$A,'Investor Exit List'!$A131,Investors!$E:$E,'Investor Exit List'!$C131,Investors!$L:$L,'Investor Exit List'!$B131))</f>
        <v/>
      </c>
      <c r="G131" s="95" t="n">
        <v>44550</v>
      </c>
      <c r="H131" s="93" t="b">
        <v>0</v>
      </c>
      <c r="I131" s="93" t="b">
        <v>0</v>
      </c>
      <c r="J131" s="95" t="n">
        <v>45267</v>
      </c>
      <c r="K131" s="95">
        <f>IF(I131=TRUE,J131,"")</f>
        <v/>
      </c>
      <c r="L131" s="95">
        <f>G131+730</f>
        <v/>
      </c>
      <c r="M131" s="95" t="n">
        <v>45382</v>
      </c>
      <c r="N131" s="96">
        <f>IFERROR(IF(G131&lt;&gt;"",IF(I131=TRUE,0,IF(U131=TRUE,0,L131-M131)),0),0)</f>
        <v/>
      </c>
      <c r="O131" s="96">
        <f>IF(N131&gt;0,IF(N131&lt;=180,N131,0),0)</f>
        <v/>
      </c>
      <c r="P131" s="94">
        <f>IF(AND(N131&lt;90,N131&gt;0),Q131,0)</f>
        <v/>
      </c>
      <c r="Q131" s="94">
        <f>SUMIFS(Investors!$M:$M,Investors!$O:$O,FALSE,Investors!$P:$P,FALSE,Investors!$K:$K,"&gt;"&amp;'NSST Print'!$B$3,Investors!$I:$I,"&lt;="&amp;'NSST Print'!$B$3,Investors!$A:$A,'Investor Exit List'!$A131,Investors!$E:$E,'Investor Exit List'!$C131,Investors!$L:$L,'Investor Exit List'!$B131)-(SUMIFS(Investors!$M:$M,Investors!$I:$I,"&lt;="&amp;'NSST Print'!$B$3,Investors!$J:$J,"&gt;"&amp;'NSST Print'!$B$3,Investors!$A:$A,'Investor Exit List'!$A131,Investors!$E:$E,'Investor Exit List'!$C131,Investors!$L:$L,'Investor Exit List'!$B131)+SUMIFS(Investors!$M:$M,Investors!$I:$I,"&lt;="&amp;'NSST Print'!$B$3,Investors!$J:$J,"",Investors!$A:$A,'Investor Exit List'!$A131,Investors!$E:$E,'Investor Exit List'!$C131,Investors!$L:$L,'Investor Exit List'!$B131))+SUMIFS(Investors!$S:$S,Investors!$O:$O,FALSE,Investors!$P:$P,FALSE,Investors!$K:$K,"&gt;"&amp;'NSST Print'!$B$3,Investors!$I:$I,"&lt;="&amp;'NSST Print'!$B$3,Investors!$A:$A,'Investor Exit List'!$A131,Investors!$E:$E,'Investor Exit List'!$C131,Investors!$L:$L,'Investor Exit List'!$B131)-(SUMIFS(Investors!$S:$S,Investors!$I:$I,"&lt;="&amp;'NSST Print'!$B$3,Investors!$J:$J,"&gt;"&amp;'NSST Print'!$B$3,Investors!$A:$A,'Investor Exit List'!$A131,Investors!$E:$E,'Investor Exit List'!$C131,Investors!$L:$L,'Investor Exit List'!$B131)+SUMIFS(Investors!$S:$S,Investors!$I:$I,"&lt;="&amp;'NSST Print'!$B$3,Investors!$J:$J,"",Investors!$A:$A,'Investor Exit List'!$A131,Investors!$E:$E,'Investor Exit List'!$C131,Investors!$L:$L,'Investor Exit List'!$B131))</f>
        <v/>
      </c>
      <c r="R131" s="94">
        <f>IF(AND(H131=TRUE,I131=FALSE),Q131,0)</f>
        <v/>
      </c>
      <c r="S131" s="94">
        <f>SUMIFS(Investors!$M:$M,Investors!$O:$O,TRUE,Investors!$A:$A,'Investor Exit List'!$A131,Investors!$E:$E,'Investor Exit List'!$C131,Investors!$L:$L,'Investor Exit List'!$B131)+SUMIFS(Investors!$S:$S,Investors!$O:$O,TRUE,Investors!$A:$A,'Investor Exit List'!$A131,Investors!$E:$E,'Investor Exit List'!$C131,Investors!$L:$L,'Investor Exit List'!$B131)</f>
        <v/>
      </c>
      <c r="T131" s="95">
        <f>IF(U131=TRUE,$J131,"")</f>
        <v/>
      </c>
      <c r="U131" s="93" t="b">
        <v>1</v>
      </c>
      <c r="V131" s="94">
        <f>IF(AND(H131=TRUE,OR(K131="",K131&gt;M131)),S131,0)</f>
        <v/>
      </c>
      <c r="W131" s="93" t="n">
        <v>0</v>
      </c>
      <c r="X131" s="93" t="b">
        <v>0</v>
      </c>
    </row>
    <row r="132" hidden="1">
      <c r="A132" s="89" t="inlineStr">
        <is>
          <t>ZDEL01</t>
        </is>
      </c>
      <c r="B132" s="89" t="n">
        <v>2</v>
      </c>
      <c r="C132" s="89" t="inlineStr">
        <is>
          <t>HFB214</t>
        </is>
      </c>
      <c r="D132" s="89" t="inlineStr">
        <is>
          <t>B</t>
        </is>
      </c>
      <c r="E132" s="89" t="inlineStr">
        <is>
          <t>Jansen van Vuuren Pieter</t>
        </is>
      </c>
      <c r="F132" s="90">
        <f>SUMIFS(Investors!$M:$M,Investors!$O:$O,FALSE,Investors!$P:$P,FALSE,Investors!$K:$K,"&gt;"&amp;'NSST Print'!$B$3,Investors!$I:$I,"&lt;="&amp;'NSST Print'!$B$3,Investors!$A:$A,'Investor Exit List'!$A132,Investors!$E:$E,'Investor Exit List'!$C132,Investors!$L:$L,'Investor Exit List'!$B132)-(SUMIFS(Investors!$M:$M,Investors!$I:$I,"&lt;="&amp;'NSST Print'!$B$3,Investors!$J:$J,"&gt;"&amp;'NSST Print'!$B$3,Investors!$A:$A,'Investor Exit List'!$A132,Investors!$E:$E,'Investor Exit List'!$C132,Investors!$L:$L,'Investor Exit List'!$B132)+SUMIFS(Investors!$M:$M,Investors!$I:$I,"&lt;="&amp;'NSST Print'!$B$3,Investors!$J:$J,"",Investors!$A:$A,'Investor Exit List'!$A132,Investors!$E:$E,'Investor Exit List'!$C132,Investors!$L:$L,'Investor Exit List'!$B132))</f>
        <v/>
      </c>
      <c r="G132" s="91" t="n">
        <v>44618</v>
      </c>
      <c r="H132" s="89" t="b">
        <v>1</v>
      </c>
      <c r="I132" s="89" t="b">
        <v>1</v>
      </c>
      <c r="J132" s="91" t="n">
        <v>45128</v>
      </c>
      <c r="K132" s="91">
        <f>IF(I132=TRUE,J132,"")</f>
        <v/>
      </c>
      <c r="L132" s="91">
        <f>G132+730</f>
        <v/>
      </c>
      <c r="M132" s="91" t="n">
        <v>45382</v>
      </c>
      <c r="N132" s="92">
        <f>IFERROR(IF(G132&lt;&gt;"",IF(I132=TRUE,0,IF(U132=TRUE,0,L132-M132)),0),0)</f>
        <v/>
      </c>
      <c r="O132" s="92">
        <f>IF(N132&gt;0,IF(N132&lt;=180,N132,0),0)</f>
        <v/>
      </c>
      <c r="P132" s="90">
        <f>IF(AND(N132&lt;90,N132&gt;0),Q132,0)</f>
        <v/>
      </c>
      <c r="Q132" s="90">
        <f>SUMIFS(Investors!$M:$M,Investors!$O:$O,FALSE,Investors!$P:$P,FALSE,Investors!$K:$K,"&gt;"&amp;'NSST Print'!$B$3,Investors!$I:$I,"&lt;="&amp;'NSST Print'!$B$3,Investors!$A:$A,'Investor Exit List'!$A132,Investors!$E:$E,'Investor Exit List'!$C132,Investors!$L:$L,'Investor Exit List'!$B132)-(SUMIFS(Investors!$M:$M,Investors!$I:$I,"&lt;="&amp;'NSST Print'!$B$3,Investors!$J:$J,"&gt;"&amp;'NSST Print'!$B$3,Investors!$A:$A,'Investor Exit List'!$A132,Investors!$E:$E,'Investor Exit List'!$C132,Investors!$L:$L,'Investor Exit List'!$B132)+SUMIFS(Investors!$M:$M,Investors!$I:$I,"&lt;="&amp;'NSST Print'!$B$3,Investors!$J:$J,"",Investors!$A:$A,'Investor Exit List'!$A132,Investors!$E:$E,'Investor Exit List'!$C132,Investors!$L:$L,'Investor Exit List'!$B132))+SUMIFS(Investors!$S:$S,Investors!$O:$O,FALSE,Investors!$P:$P,FALSE,Investors!$K:$K,"&gt;"&amp;'NSST Print'!$B$3,Investors!$I:$I,"&lt;="&amp;'NSST Print'!$B$3,Investors!$A:$A,'Investor Exit List'!$A132,Investors!$E:$E,'Investor Exit List'!$C132,Investors!$L:$L,'Investor Exit List'!$B132)-(SUMIFS(Investors!$S:$S,Investors!$I:$I,"&lt;="&amp;'NSST Print'!$B$3,Investors!$J:$J,"&gt;"&amp;'NSST Print'!$B$3,Investors!$A:$A,'Investor Exit List'!$A132,Investors!$E:$E,'Investor Exit List'!$C132,Investors!$L:$L,'Investor Exit List'!$B132)+SUMIFS(Investors!$S:$S,Investors!$I:$I,"&lt;="&amp;'NSST Print'!$B$3,Investors!$J:$J,"",Investors!$A:$A,'Investor Exit List'!$A132,Investors!$E:$E,'Investor Exit List'!$C132,Investors!$L:$L,'Investor Exit List'!$B132))</f>
        <v/>
      </c>
      <c r="R132" s="90">
        <f>IF(AND(H132=TRUE,I132=FALSE),Q132,0)</f>
        <v/>
      </c>
      <c r="S132" s="90">
        <f>SUMIFS(Investors!$M:$M,Investors!$O:$O,TRUE,Investors!$A:$A,'Investor Exit List'!$A132,Investors!$E:$E,'Investor Exit List'!$C132,Investors!$L:$L,'Investor Exit List'!$B132)+SUMIFS(Investors!$S:$S,Investors!$O:$O,TRUE,Investors!$A:$A,'Investor Exit List'!$A132,Investors!$E:$E,'Investor Exit List'!$C132,Investors!$L:$L,'Investor Exit List'!$B132)</f>
        <v/>
      </c>
      <c r="T132" s="91">
        <f>IF(U132=TRUE,$J132,"")</f>
        <v/>
      </c>
      <c r="U132" s="89" t="b">
        <v>0</v>
      </c>
      <c r="V132" s="90">
        <f>IF(AND(H132=TRUE,OR(K132="",K132&gt;M132)),S132,0)</f>
        <v/>
      </c>
      <c r="W132" s="89" t="n">
        <v>0</v>
      </c>
      <c r="X132" s="89" t="b">
        <v>0</v>
      </c>
    </row>
    <row r="133" hidden="1">
      <c r="A133" s="89" t="inlineStr">
        <is>
          <t>ZKUS04</t>
        </is>
      </c>
      <c r="B133" s="89" t="n">
        <v>1</v>
      </c>
      <c r="C133" s="89" t="inlineStr">
        <is>
          <t>HFB301</t>
        </is>
      </c>
      <c r="D133" s="89" t="inlineStr">
        <is>
          <t>B</t>
        </is>
      </c>
      <c r="E133" s="89" t="inlineStr">
        <is>
          <t>Kusel Willie</t>
        </is>
      </c>
      <c r="F133" s="90">
        <f>SUMIFS(Investors!$M:$M,Investors!$O:$O,FALSE,Investors!$P:$P,FALSE,Investors!$K:$K,"&gt;"&amp;'NSST Print'!$B$3,Investors!$I:$I,"&lt;="&amp;'NSST Print'!$B$3,Investors!$A:$A,'Investor Exit List'!$A133,Investors!$E:$E,'Investor Exit List'!$C133,Investors!$L:$L,'Investor Exit List'!$B133)-(SUMIFS(Investors!$M:$M,Investors!$I:$I,"&lt;="&amp;'NSST Print'!$B$3,Investors!$J:$J,"&gt;"&amp;'NSST Print'!$B$3,Investors!$A:$A,'Investor Exit List'!$A133,Investors!$E:$E,'Investor Exit List'!$C133,Investors!$L:$L,'Investor Exit List'!$B133)+SUMIFS(Investors!$M:$M,Investors!$I:$I,"&lt;="&amp;'NSST Print'!$B$3,Investors!$J:$J,"",Investors!$A:$A,'Investor Exit List'!$A133,Investors!$E:$E,'Investor Exit List'!$C133,Investors!$L:$L,'Investor Exit List'!$B133))</f>
        <v/>
      </c>
      <c r="G133" s="91" t="n">
        <v>44664</v>
      </c>
      <c r="H133" s="89" t="b">
        <v>1</v>
      </c>
      <c r="I133" s="89" t="b">
        <v>1</v>
      </c>
      <c r="J133" s="91" t="n">
        <v>44956</v>
      </c>
      <c r="K133" s="91">
        <f>IF(I133=TRUE,J133,"")</f>
        <v/>
      </c>
      <c r="L133" s="91">
        <f>G133+730</f>
        <v/>
      </c>
      <c r="M133" s="91" t="n">
        <v>45382</v>
      </c>
      <c r="N133" s="92">
        <f>IFERROR(IF(G133&lt;&gt;"",IF(I133=TRUE,0,IF(U133=TRUE,0,L133-M133)),0),0)</f>
        <v/>
      </c>
      <c r="O133" s="92">
        <f>IF(N133&gt;0,IF(N133&lt;=180,N133,0),0)</f>
        <v/>
      </c>
      <c r="P133" s="90">
        <f>IF(AND(N133&lt;90,N133&gt;0),Q133,0)</f>
        <v/>
      </c>
      <c r="Q133" s="90">
        <f>SUMIFS(Investors!$M:$M,Investors!$O:$O,FALSE,Investors!$P:$P,FALSE,Investors!$K:$K,"&gt;"&amp;'NSST Print'!$B$3,Investors!$I:$I,"&lt;="&amp;'NSST Print'!$B$3,Investors!$A:$A,'Investor Exit List'!$A133,Investors!$E:$E,'Investor Exit List'!$C133,Investors!$L:$L,'Investor Exit List'!$B133)-(SUMIFS(Investors!$M:$M,Investors!$I:$I,"&lt;="&amp;'NSST Print'!$B$3,Investors!$J:$J,"&gt;"&amp;'NSST Print'!$B$3,Investors!$A:$A,'Investor Exit List'!$A133,Investors!$E:$E,'Investor Exit List'!$C133,Investors!$L:$L,'Investor Exit List'!$B133)+SUMIFS(Investors!$M:$M,Investors!$I:$I,"&lt;="&amp;'NSST Print'!$B$3,Investors!$J:$J,"",Investors!$A:$A,'Investor Exit List'!$A133,Investors!$E:$E,'Investor Exit List'!$C133,Investors!$L:$L,'Investor Exit List'!$B133))+SUMIFS(Investors!$S:$S,Investors!$O:$O,FALSE,Investors!$P:$P,FALSE,Investors!$K:$K,"&gt;"&amp;'NSST Print'!$B$3,Investors!$I:$I,"&lt;="&amp;'NSST Print'!$B$3,Investors!$A:$A,'Investor Exit List'!$A133,Investors!$E:$E,'Investor Exit List'!$C133,Investors!$L:$L,'Investor Exit List'!$B133)-(SUMIFS(Investors!$S:$S,Investors!$I:$I,"&lt;="&amp;'NSST Print'!$B$3,Investors!$J:$J,"&gt;"&amp;'NSST Print'!$B$3,Investors!$A:$A,'Investor Exit List'!$A133,Investors!$E:$E,'Investor Exit List'!$C133,Investors!$L:$L,'Investor Exit List'!$B133)+SUMIFS(Investors!$S:$S,Investors!$I:$I,"&lt;="&amp;'NSST Print'!$B$3,Investors!$J:$J,"",Investors!$A:$A,'Investor Exit List'!$A133,Investors!$E:$E,'Investor Exit List'!$C133,Investors!$L:$L,'Investor Exit List'!$B133))</f>
        <v/>
      </c>
      <c r="R133" s="90">
        <f>IF(AND(H133=TRUE,I133=FALSE),Q133,0)</f>
        <v/>
      </c>
      <c r="S133" s="90">
        <f>SUMIFS(Investors!$M:$M,Investors!$O:$O,TRUE,Investors!$A:$A,'Investor Exit List'!$A133,Investors!$E:$E,'Investor Exit List'!$C133,Investors!$L:$L,'Investor Exit List'!$B133)+SUMIFS(Investors!$S:$S,Investors!$O:$O,TRUE,Investors!$A:$A,'Investor Exit List'!$A133,Investors!$E:$E,'Investor Exit List'!$C133,Investors!$L:$L,'Investor Exit List'!$B133)</f>
        <v/>
      </c>
      <c r="T133" s="91">
        <f>IF(U133=TRUE,$J133,"")</f>
        <v/>
      </c>
      <c r="U133" s="89" t="b">
        <v>0</v>
      </c>
      <c r="V133" s="90">
        <f>IF(AND(H133=TRUE,OR(K133="",K133&gt;M133)),S133,0)</f>
        <v/>
      </c>
      <c r="W133" s="89" t="n">
        <v>0</v>
      </c>
      <c r="X133" s="89" t="b">
        <v>0</v>
      </c>
    </row>
    <row r="134" hidden="1">
      <c r="A134" s="89" t="inlineStr">
        <is>
          <t>ZLAB01</t>
        </is>
      </c>
      <c r="B134" s="89" t="n">
        <v>1</v>
      </c>
      <c r="C134" s="89" t="inlineStr">
        <is>
          <t>HFB301</t>
        </is>
      </c>
      <c r="D134" s="89" t="inlineStr">
        <is>
          <t>B</t>
        </is>
      </c>
      <c r="E134" s="89" t="inlineStr">
        <is>
          <t>Labuschagne Andre Jan</t>
        </is>
      </c>
      <c r="F134" s="90">
        <f>SUMIFS(Investors!$M:$M,Investors!$O:$O,FALSE,Investors!$P:$P,FALSE,Investors!$K:$K,"&gt;"&amp;'NSST Print'!$B$3,Investors!$I:$I,"&lt;="&amp;'NSST Print'!$B$3,Investors!$A:$A,'Investor Exit List'!$A134,Investors!$E:$E,'Investor Exit List'!$C134,Investors!$L:$L,'Investor Exit List'!$B134)-(SUMIFS(Investors!$M:$M,Investors!$I:$I,"&lt;="&amp;'NSST Print'!$B$3,Investors!$J:$J,"&gt;"&amp;'NSST Print'!$B$3,Investors!$A:$A,'Investor Exit List'!$A134,Investors!$E:$E,'Investor Exit List'!$C134,Investors!$L:$L,'Investor Exit List'!$B134)+SUMIFS(Investors!$M:$M,Investors!$I:$I,"&lt;="&amp;'NSST Print'!$B$3,Investors!$J:$J,"",Investors!$A:$A,'Investor Exit List'!$A134,Investors!$E:$E,'Investor Exit List'!$C134,Investors!$L:$L,'Investor Exit List'!$B134))</f>
        <v/>
      </c>
      <c r="G134" s="91" t="n">
        <v>44618</v>
      </c>
      <c r="H134" s="89" t="b">
        <v>1</v>
      </c>
      <c r="I134" s="89" t="b">
        <v>1</v>
      </c>
      <c r="J134" s="91" t="n">
        <v>44956</v>
      </c>
      <c r="K134" s="91">
        <f>IF(I134=TRUE,J134,"")</f>
        <v/>
      </c>
      <c r="L134" s="91">
        <f>G134+730</f>
        <v/>
      </c>
      <c r="M134" s="91" t="n">
        <v>45382</v>
      </c>
      <c r="N134" s="92">
        <f>IFERROR(IF(G134&lt;&gt;"",IF(I134=TRUE,0,IF(U134=TRUE,0,L134-M134)),0),0)</f>
        <v/>
      </c>
      <c r="O134" s="92">
        <f>IF(N134&gt;0,IF(N134&lt;=180,N134,0),0)</f>
        <v/>
      </c>
      <c r="P134" s="90">
        <f>IF(AND(N134&lt;90,N134&gt;0),Q134,0)</f>
        <v/>
      </c>
      <c r="Q134" s="90">
        <f>SUMIFS(Investors!$M:$M,Investors!$O:$O,FALSE,Investors!$P:$P,FALSE,Investors!$K:$K,"&gt;"&amp;'NSST Print'!$B$3,Investors!$I:$I,"&lt;="&amp;'NSST Print'!$B$3,Investors!$A:$A,'Investor Exit List'!$A134,Investors!$E:$E,'Investor Exit List'!$C134,Investors!$L:$L,'Investor Exit List'!$B134)-(SUMIFS(Investors!$M:$M,Investors!$I:$I,"&lt;="&amp;'NSST Print'!$B$3,Investors!$J:$J,"&gt;"&amp;'NSST Print'!$B$3,Investors!$A:$A,'Investor Exit List'!$A134,Investors!$E:$E,'Investor Exit List'!$C134,Investors!$L:$L,'Investor Exit List'!$B134)+SUMIFS(Investors!$M:$M,Investors!$I:$I,"&lt;="&amp;'NSST Print'!$B$3,Investors!$J:$J,"",Investors!$A:$A,'Investor Exit List'!$A134,Investors!$E:$E,'Investor Exit List'!$C134,Investors!$L:$L,'Investor Exit List'!$B134))+SUMIFS(Investors!$S:$S,Investors!$O:$O,FALSE,Investors!$P:$P,FALSE,Investors!$K:$K,"&gt;"&amp;'NSST Print'!$B$3,Investors!$I:$I,"&lt;="&amp;'NSST Print'!$B$3,Investors!$A:$A,'Investor Exit List'!$A134,Investors!$E:$E,'Investor Exit List'!$C134,Investors!$L:$L,'Investor Exit List'!$B134)-(SUMIFS(Investors!$S:$S,Investors!$I:$I,"&lt;="&amp;'NSST Print'!$B$3,Investors!$J:$J,"&gt;"&amp;'NSST Print'!$B$3,Investors!$A:$A,'Investor Exit List'!$A134,Investors!$E:$E,'Investor Exit List'!$C134,Investors!$L:$L,'Investor Exit List'!$B134)+SUMIFS(Investors!$S:$S,Investors!$I:$I,"&lt;="&amp;'NSST Print'!$B$3,Investors!$J:$J,"",Investors!$A:$A,'Investor Exit List'!$A134,Investors!$E:$E,'Investor Exit List'!$C134,Investors!$L:$L,'Investor Exit List'!$B134))</f>
        <v/>
      </c>
      <c r="R134" s="90">
        <f>IF(AND(H134=TRUE,I134=FALSE),Q134,0)</f>
        <v/>
      </c>
      <c r="S134" s="90">
        <f>SUMIFS(Investors!$M:$M,Investors!$O:$O,TRUE,Investors!$A:$A,'Investor Exit List'!$A134,Investors!$E:$E,'Investor Exit List'!$C134,Investors!$L:$L,'Investor Exit List'!$B134)+SUMIFS(Investors!$S:$S,Investors!$O:$O,TRUE,Investors!$A:$A,'Investor Exit List'!$A134,Investors!$E:$E,'Investor Exit List'!$C134,Investors!$L:$L,'Investor Exit List'!$B134)</f>
        <v/>
      </c>
      <c r="T134" s="91">
        <f>IF(U134=TRUE,$J134,"")</f>
        <v/>
      </c>
      <c r="U134" s="89" t="b">
        <v>0</v>
      </c>
      <c r="V134" s="90">
        <f>IF(AND(H134=TRUE,OR(K134="",K134&gt;M134)),S134,0)</f>
        <v/>
      </c>
      <c r="W134" s="89" t="n">
        <v>0</v>
      </c>
      <c r="X134" s="89" t="b">
        <v>0</v>
      </c>
    </row>
    <row r="135" hidden="1">
      <c r="A135" s="89" t="inlineStr">
        <is>
          <t>ZPRO01</t>
        </is>
      </c>
      <c r="B135" s="89" t="n">
        <v>3</v>
      </c>
      <c r="C135" s="89" t="inlineStr">
        <is>
          <t>HFB302</t>
        </is>
      </c>
      <c r="D135" s="89" t="inlineStr">
        <is>
          <t>B</t>
        </is>
      </c>
      <c r="E135" s="89" t="inlineStr">
        <is>
          <t>du Toit Adrian</t>
        </is>
      </c>
      <c r="F135" s="90">
        <f>SUMIFS(Investors!$M:$M,Investors!$O:$O,FALSE,Investors!$P:$P,FALSE,Investors!$K:$K,"&gt;"&amp;'NSST Print'!$B$3,Investors!$I:$I,"&lt;="&amp;'NSST Print'!$B$3,Investors!$A:$A,'Investor Exit List'!$A135,Investors!$E:$E,'Investor Exit List'!$C135,Investors!$L:$L,'Investor Exit List'!$B135)-(SUMIFS(Investors!$M:$M,Investors!$I:$I,"&lt;="&amp;'NSST Print'!$B$3,Investors!$J:$J,"&gt;"&amp;'NSST Print'!$B$3,Investors!$A:$A,'Investor Exit List'!$A135,Investors!$E:$E,'Investor Exit List'!$C135,Investors!$L:$L,'Investor Exit List'!$B135)+SUMIFS(Investors!$M:$M,Investors!$I:$I,"&lt;="&amp;'NSST Print'!$B$3,Investors!$J:$J,"",Investors!$A:$A,'Investor Exit List'!$A135,Investors!$E:$E,'Investor Exit List'!$C135,Investors!$L:$L,'Investor Exit List'!$B135))</f>
        <v/>
      </c>
      <c r="G135" s="91" t="n">
        <v>44550</v>
      </c>
      <c r="H135" s="89" t="b">
        <v>1</v>
      </c>
      <c r="I135" s="89" t="b">
        <v>1</v>
      </c>
      <c r="J135" s="91" t="n">
        <v>44952</v>
      </c>
      <c r="K135" s="91">
        <f>IF(I135=TRUE,J135,"")</f>
        <v/>
      </c>
      <c r="L135" s="91">
        <f>G135+730</f>
        <v/>
      </c>
      <c r="M135" s="91" t="n">
        <v>45382</v>
      </c>
      <c r="N135" s="92">
        <f>IFERROR(IF(G135&lt;&gt;"",IF(I135=TRUE,0,IF(U135=TRUE,0,L135-M135)),0),0)</f>
        <v/>
      </c>
      <c r="O135" s="92">
        <f>IF(N135&gt;0,IF(N135&lt;=180,N135,0),0)</f>
        <v/>
      </c>
      <c r="P135" s="90">
        <f>IF(AND(N135&lt;90,N135&gt;0),Q135,0)</f>
        <v/>
      </c>
      <c r="Q135" s="90">
        <f>SUMIFS(Investors!$M:$M,Investors!$O:$O,FALSE,Investors!$P:$P,FALSE,Investors!$K:$K,"&gt;"&amp;'NSST Print'!$B$3,Investors!$I:$I,"&lt;="&amp;'NSST Print'!$B$3,Investors!$A:$A,'Investor Exit List'!$A135,Investors!$E:$E,'Investor Exit List'!$C135,Investors!$L:$L,'Investor Exit List'!$B135)-(SUMIFS(Investors!$M:$M,Investors!$I:$I,"&lt;="&amp;'NSST Print'!$B$3,Investors!$J:$J,"&gt;"&amp;'NSST Print'!$B$3,Investors!$A:$A,'Investor Exit List'!$A135,Investors!$E:$E,'Investor Exit List'!$C135,Investors!$L:$L,'Investor Exit List'!$B135)+SUMIFS(Investors!$M:$M,Investors!$I:$I,"&lt;="&amp;'NSST Print'!$B$3,Investors!$J:$J,"",Investors!$A:$A,'Investor Exit List'!$A135,Investors!$E:$E,'Investor Exit List'!$C135,Investors!$L:$L,'Investor Exit List'!$B135))+SUMIFS(Investors!$S:$S,Investors!$O:$O,FALSE,Investors!$P:$P,FALSE,Investors!$K:$K,"&gt;"&amp;'NSST Print'!$B$3,Investors!$I:$I,"&lt;="&amp;'NSST Print'!$B$3,Investors!$A:$A,'Investor Exit List'!$A135,Investors!$E:$E,'Investor Exit List'!$C135,Investors!$L:$L,'Investor Exit List'!$B135)-(SUMIFS(Investors!$S:$S,Investors!$I:$I,"&lt;="&amp;'NSST Print'!$B$3,Investors!$J:$J,"&gt;"&amp;'NSST Print'!$B$3,Investors!$A:$A,'Investor Exit List'!$A135,Investors!$E:$E,'Investor Exit List'!$C135,Investors!$L:$L,'Investor Exit List'!$B135)+SUMIFS(Investors!$S:$S,Investors!$I:$I,"&lt;="&amp;'NSST Print'!$B$3,Investors!$J:$J,"",Investors!$A:$A,'Investor Exit List'!$A135,Investors!$E:$E,'Investor Exit List'!$C135,Investors!$L:$L,'Investor Exit List'!$B135))</f>
        <v/>
      </c>
      <c r="R135" s="90">
        <f>IF(AND(H135=TRUE,I135=FALSE),Q135,0)</f>
        <v/>
      </c>
      <c r="S135" s="90">
        <f>SUMIFS(Investors!$M:$M,Investors!$O:$O,TRUE,Investors!$A:$A,'Investor Exit List'!$A135,Investors!$E:$E,'Investor Exit List'!$C135,Investors!$L:$L,'Investor Exit List'!$B135)+SUMIFS(Investors!$S:$S,Investors!$O:$O,TRUE,Investors!$A:$A,'Investor Exit List'!$A135,Investors!$E:$E,'Investor Exit List'!$C135,Investors!$L:$L,'Investor Exit List'!$B135)</f>
        <v/>
      </c>
      <c r="T135" s="91">
        <f>IF(U135=TRUE,$J135,"")</f>
        <v/>
      </c>
      <c r="U135" s="89" t="b">
        <v>0</v>
      </c>
      <c r="V135" s="90">
        <f>IF(AND(H135=TRUE,OR(K135="",K135&gt;M135)),S135,0)</f>
        <v/>
      </c>
      <c r="W135" s="89" t="n">
        <v>0</v>
      </c>
      <c r="X135" s="89" t="b">
        <v>0</v>
      </c>
    </row>
    <row r="136" hidden="1">
      <c r="A136" s="89" t="inlineStr">
        <is>
          <t>ZLOU03</t>
        </is>
      </c>
      <c r="B136" s="89" t="n">
        <v>1</v>
      </c>
      <c r="C136" s="89" t="inlineStr">
        <is>
          <t>HFB303</t>
        </is>
      </c>
      <c r="D136" s="89" t="inlineStr">
        <is>
          <t>B</t>
        </is>
      </c>
      <c r="E136" s="89" t="inlineStr">
        <is>
          <t>Louwrens Peter Arnold</t>
        </is>
      </c>
      <c r="F136" s="90">
        <f>SUMIFS(Investors!$M:$M,Investors!$O:$O,FALSE,Investors!$P:$P,FALSE,Investors!$K:$K,"&gt;"&amp;'NSST Print'!$B$3,Investors!$I:$I,"&lt;="&amp;'NSST Print'!$B$3,Investors!$A:$A,'Investor Exit List'!$A136,Investors!$E:$E,'Investor Exit List'!$C136,Investors!$L:$L,'Investor Exit List'!$B136)-(SUMIFS(Investors!$M:$M,Investors!$I:$I,"&lt;="&amp;'NSST Print'!$B$3,Investors!$J:$J,"&gt;"&amp;'NSST Print'!$B$3,Investors!$A:$A,'Investor Exit List'!$A136,Investors!$E:$E,'Investor Exit List'!$C136,Investors!$L:$L,'Investor Exit List'!$B136)+SUMIFS(Investors!$M:$M,Investors!$I:$I,"&lt;="&amp;'NSST Print'!$B$3,Investors!$J:$J,"",Investors!$A:$A,'Investor Exit List'!$A136,Investors!$E:$E,'Investor Exit List'!$C136,Investors!$L:$L,'Investor Exit List'!$B136))</f>
        <v/>
      </c>
      <c r="G136" s="91" t="n">
        <v>44664</v>
      </c>
      <c r="H136" s="89" t="b">
        <v>1</v>
      </c>
      <c r="I136" s="89" t="b">
        <v>1</v>
      </c>
      <c r="J136" s="91" t="n">
        <v>44942</v>
      </c>
      <c r="K136" s="91">
        <f>IF(I136=TRUE,J136,"")</f>
        <v/>
      </c>
      <c r="L136" s="91">
        <f>G136+730</f>
        <v/>
      </c>
      <c r="M136" s="91" t="n">
        <v>45382</v>
      </c>
      <c r="N136" s="92">
        <f>IFERROR(IF(G136&lt;&gt;"",IF(I136=TRUE,0,IF(U136=TRUE,0,L136-M136)),0),0)</f>
        <v/>
      </c>
      <c r="O136" s="92">
        <f>IF(N136&gt;0,IF(N136&lt;=180,N136,0),0)</f>
        <v/>
      </c>
      <c r="P136" s="90">
        <f>IF(AND(N136&lt;90,N136&gt;0),Q136,0)</f>
        <v/>
      </c>
      <c r="Q136" s="90">
        <f>SUMIFS(Investors!$M:$M,Investors!$O:$O,FALSE,Investors!$P:$P,FALSE,Investors!$K:$K,"&gt;"&amp;'NSST Print'!$B$3,Investors!$I:$I,"&lt;="&amp;'NSST Print'!$B$3,Investors!$A:$A,'Investor Exit List'!$A136,Investors!$E:$E,'Investor Exit List'!$C136,Investors!$L:$L,'Investor Exit List'!$B136)-(SUMIFS(Investors!$M:$M,Investors!$I:$I,"&lt;="&amp;'NSST Print'!$B$3,Investors!$J:$J,"&gt;"&amp;'NSST Print'!$B$3,Investors!$A:$A,'Investor Exit List'!$A136,Investors!$E:$E,'Investor Exit List'!$C136,Investors!$L:$L,'Investor Exit List'!$B136)+SUMIFS(Investors!$M:$M,Investors!$I:$I,"&lt;="&amp;'NSST Print'!$B$3,Investors!$J:$J,"",Investors!$A:$A,'Investor Exit List'!$A136,Investors!$E:$E,'Investor Exit List'!$C136,Investors!$L:$L,'Investor Exit List'!$B136))+SUMIFS(Investors!$S:$S,Investors!$O:$O,FALSE,Investors!$P:$P,FALSE,Investors!$K:$K,"&gt;"&amp;'NSST Print'!$B$3,Investors!$I:$I,"&lt;="&amp;'NSST Print'!$B$3,Investors!$A:$A,'Investor Exit List'!$A136,Investors!$E:$E,'Investor Exit List'!$C136,Investors!$L:$L,'Investor Exit List'!$B136)-(SUMIFS(Investors!$S:$S,Investors!$I:$I,"&lt;="&amp;'NSST Print'!$B$3,Investors!$J:$J,"&gt;"&amp;'NSST Print'!$B$3,Investors!$A:$A,'Investor Exit List'!$A136,Investors!$E:$E,'Investor Exit List'!$C136,Investors!$L:$L,'Investor Exit List'!$B136)+SUMIFS(Investors!$S:$S,Investors!$I:$I,"&lt;="&amp;'NSST Print'!$B$3,Investors!$J:$J,"",Investors!$A:$A,'Investor Exit List'!$A136,Investors!$E:$E,'Investor Exit List'!$C136,Investors!$L:$L,'Investor Exit List'!$B136))</f>
        <v/>
      </c>
      <c r="R136" s="90">
        <f>IF(AND(H136=TRUE,I136=FALSE),Q136,0)</f>
        <v/>
      </c>
      <c r="S136" s="90">
        <f>SUMIFS(Investors!$M:$M,Investors!$O:$O,TRUE,Investors!$A:$A,'Investor Exit List'!$A136,Investors!$E:$E,'Investor Exit List'!$C136,Investors!$L:$L,'Investor Exit List'!$B136)+SUMIFS(Investors!$S:$S,Investors!$O:$O,TRUE,Investors!$A:$A,'Investor Exit List'!$A136,Investors!$E:$E,'Investor Exit List'!$C136,Investors!$L:$L,'Investor Exit List'!$B136)</f>
        <v/>
      </c>
      <c r="T136" s="91">
        <f>IF(U136=TRUE,$J136,"")</f>
        <v/>
      </c>
      <c r="U136" s="89" t="b">
        <v>0</v>
      </c>
      <c r="V136" s="90">
        <f>IF(AND(H136=TRUE,OR(K136="",K136&gt;M136)),S136,0)</f>
        <v/>
      </c>
      <c r="W136" s="89" t="n">
        <v>0</v>
      </c>
      <c r="X136" s="89" t="b">
        <v>0</v>
      </c>
    </row>
    <row r="137" hidden="1">
      <c r="A137" s="89" t="inlineStr">
        <is>
          <t>ZRUD01</t>
        </is>
      </c>
      <c r="B137" s="89" t="n">
        <v>1</v>
      </c>
      <c r="C137" s="89" t="inlineStr">
        <is>
          <t>HFB303</t>
        </is>
      </c>
      <c r="D137" s="89" t="inlineStr">
        <is>
          <t>B</t>
        </is>
      </c>
      <c r="E137" s="89" t="inlineStr">
        <is>
          <t>Jansen van Vuuren Pieter</t>
        </is>
      </c>
      <c r="F137" s="90">
        <f>SUMIFS(Investors!$M:$M,Investors!$O:$O,FALSE,Investors!$P:$P,FALSE,Investors!$K:$K,"&gt;"&amp;'NSST Print'!$B$3,Investors!$I:$I,"&lt;="&amp;'NSST Print'!$B$3,Investors!$A:$A,'Investor Exit List'!$A137,Investors!$E:$E,'Investor Exit List'!$C137,Investors!$L:$L,'Investor Exit List'!$B137)-(SUMIFS(Investors!$M:$M,Investors!$I:$I,"&lt;="&amp;'NSST Print'!$B$3,Investors!$J:$J,"&gt;"&amp;'NSST Print'!$B$3,Investors!$A:$A,'Investor Exit List'!$A137,Investors!$E:$E,'Investor Exit List'!$C137,Investors!$L:$L,'Investor Exit List'!$B137)+SUMIFS(Investors!$M:$M,Investors!$I:$I,"&lt;="&amp;'NSST Print'!$B$3,Investors!$J:$J,"",Investors!$A:$A,'Investor Exit List'!$A137,Investors!$E:$E,'Investor Exit List'!$C137,Investors!$L:$L,'Investor Exit List'!$B137))</f>
        <v/>
      </c>
      <c r="G137" s="91" t="n">
        <v>44664</v>
      </c>
      <c r="H137" s="89" t="b">
        <v>1</v>
      </c>
      <c r="I137" s="89" t="b">
        <v>1</v>
      </c>
      <c r="J137" s="91" t="n">
        <v>44942</v>
      </c>
      <c r="K137" s="91">
        <f>IF(I137=TRUE,J137,"")</f>
        <v/>
      </c>
      <c r="L137" s="91">
        <f>G137+730</f>
        <v/>
      </c>
      <c r="M137" s="91" t="n">
        <v>45382</v>
      </c>
      <c r="N137" s="92">
        <f>IFERROR(IF(G137&lt;&gt;"",IF(I137=TRUE,0,IF(U137=TRUE,0,L137-M137)),0),0)</f>
        <v/>
      </c>
      <c r="O137" s="92">
        <f>IF(N137&gt;0,IF(N137&lt;=180,N137,0),0)</f>
        <v/>
      </c>
      <c r="P137" s="90">
        <f>IF(AND(N137&lt;90,N137&gt;0),Q137,0)</f>
        <v/>
      </c>
      <c r="Q137" s="90">
        <f>SUMIFS(Investors!$M:$M,Investors!$O:$O,FALSE,Investors!$P:$P,FALSE,Investors!$K:$K,"&gt;"&amp;'NSST Print'!$B$3,Investors!$I:$I,"&lt;="&amp;'NSST Print'!$B$3,Investors!$A:$A,'Investor Exit List'!$A137,Investors!$E:$E,'Investor Exit List'!$C137,Investors!$L:$L,'Investor Exit List'!$B137)-(SUMIFS(Investors!$M:$M,Investors!$I:$I,"&lt;="&amp;'NSST Print'!$B$3,Investors!$J:$J,"&gt;"&amp;'NSST Print'!$B$3,Investors!$A:$A,'Investor Exit List'!$A137,Investors!$E:$E,'Investor Exit List'!$C137,Investors!$L:$L,'Investor Exit List'!$B137)+SUMIFS(Investors!$M:$M,Investors!$I:$I,"&lt;="&amp;'NSST Print'!$B$3,Investors!$J:$J,"",Investors!$A:$A,'Investor Exit List'!$A137,Investors!$E:$E,'Investor Exit List'!$C137,Investors!$L:$L,'Investor Exit List'!$B137))+SUMIFS(Investors!$S:$S,Investors!$O:$O,FALSE,Investors!$P:$P,FALSE,Investors!$K:$K,"&gt;"&amp;'NSST Print'!$B$3,Investors!$I:$I,"&lt;="&amp;'NSST Print'!$B$3,Investors!$A:$A,'Investor Exit List'!$A137,Investors!$E:$E,'Investor Exit List'!$C137,Investors!$L:$L,'Investor Exit List'!$B137)-(SUMIFS(Investors!$S:$S,Investors!$I:$I,"&lt;="&amp;'NSST Print'!$B$3,Investors!$J:$J,"&gt;"&amp;'NSST Print'!$B$3,Investors!$A:$A,'Investor Exit List'!$A137,Investors!$E:$E,'Investor Exit List'!$C137,Investors!$L:$L,'Investor Exit List'!$B137)+SUMIFS(Investors!$S:$S,Investors!$I:$I,"&lt;="&amp;'NSST Print'!$B$3,Investors!$J:$J,"",Investors!$A:$A,'Investor Exit List'!$A137,Investors!$E:$E,'Investor Exit List'!$C137,Investors!$L:$L,'Investor Exit List'!$B137))</f>
        <v/>
      </c>
      <c r="R137" s="90">
        <f>IF(AND(H137=TRUE,I137=FALSE),Q137,0)</f>
        <v/>
      </c>
      <c r="S137" s="90">
        <f>SUMIFS(Investors!$M:$M,Investors!$O:$O,TRUE,Investors!$A:$A,'Investor Exit List'!$A137,Investors!$E:$E,'Investor Exit List'!$C137,Investors!$L:$L,'Investor Exit List'!$B137)+SUMIFS(Investors!$S:$S,Investors!$O:$O,TRUE,Investors!$A:$A,'Investor Exit List'!$A137,Investors!$E:$E,'Investor Exit List'!$C137,Investors!$L:$L,'Investor Exit List'!$B137)</f>
        <v/>
      </c>
      <c r="T137" s="91">
        <f>IF(U137=TRUE,$J137,"")</f>
        <v/>
      </c>
      <c r="U137" s="89" t="b">
        <v>0</v>
      </c>
      <c r="V137" s="90">
        <f>IF(AND(H137=TRUE,OR(K137="",K137&gt;M137)),S137,0)</f>
        <v/>
      </c>
      <c r="W137" s="89" t="n">
        <v>0</v>
      </c>
      <c r="X137" s="89" t="b">
        <v>0</v>
      </c>
    </row>
    <row r="138" hidden="1">
      <c r="A138" s="89" t="inlineStr">
        <is>
          <t>ZDOT01</t>
        </is>
      </c>
      <c r="B138" s="89" t="n">
        <v>1</v>
      </c>
      <c r="C138" s="89" t="inlineStr">
        <is>
          <t>HFB304</t>
        </is>
      </c>
      <c r="D138" s="89" t="inlineStr">
        <is>
          <t>B</t>
        </is>
      </c>
      <c r="E138" s="89" t="inlineStr">
        <is>
          <t>Pope Mark Charles</t>
        </is>
      </c>
      <c r="F138" s="90">
        <f>SUMIFS(Investors!$M:$M,Investors!$O:$O,FALSE,Investors!$P:$P,FALSE,Investors!$K:$K,"&gt;"&amp;'NSST Print'!$B$3,Investors!$I:$I,"&lt;="&amp;'NSST Print'!$B$3,Investors!$A:$A,'Investor Exit List'!$A138,Investors!$E:$E,'Investor Exit List'!$C138,Investors!$L:$L,'Investor Exit List'!$B138)-(SUMIFS(Investors!$M:$M,Investors!$I:$I,"&lt;="&amp;'NSST Print'!$B$3,Investors!$J:$J,"&gt;"&amp;'NSST Print'!$B$3,Investors!$A:$A,'Investor Exit List'!$A138,Investors!$E:$E,'Investor Exit List'!$C138,Investors!$L:$L,'Investor Exit List'!$B138)+SUMIFS(Investors!$M:$M,Investors!$I:$I,"&lt;="&amp;'NSST Print'!$B$3,Investors!$J:$J,"",Investors!$A:$A,'Investor Exit List'!$A138,Investors!$E:$E,'Investor Exit List'!$C138,Investors!$L:$L,'Investor Exit List'!$B138))</f>
        <v/>
      </c>
      <c r="G138" s="91" t="n">
        <v>44690</v>
      </c>
      <c r="H138" s="89" t="b">
        <v>1</v>
      </c>
      <c r="I138" s="89" t="b">
        <v>1</v>
      </c>
      <c r="J138" s="91" t="n">
        <v>45027</v>
      </c>
      <c r="K138" s="91">
        <f>IF(I138=TRUE,J138,"")</f>
        <v/>
      </c>
      <c r="L138" s="91">
        <f>G138+730</f>
        <v/>
      </c>
      <c r="M138" s="91" t="n">
        <v>45382</v>
      </c>
      <c r="N138" s="92">
        <f>IFERROR(IF(G138&lt;&gt;"",IF(I138=TRUE,0,IF(U138=TRUE,0,L138-M138)),0),0)</f>
        <v/>
      </c>
      <c r="O138" s="92">
        <f>IF(N138&gt;0,IF(N138&lt;=180,N138,0),0)</f>
        <v/>
      </c>
      <c r="P138" s="90">
        <f>IF(AND(N138&lt;90,N138&gt;0),Q138,0)</f>
        <v/>
      </c>
      <c r="Q138" s="90">
        <f>SUMIFS(Investors!$M:$M,Investors!$O:$O,FALSE,Investors!$P:$P,FALSE,Investors!$K:$K,"&gt;"&amp;'NSST Print'!$B$3,Investors!$I:$I,"&lt;="&amp;'NSST Print'!$B$3,Investors!$A:$A,'Investor Exit List'!$A138,Investors!$E:$E,'Investor Exit List'!$C138,Investors!$L:$L,'Investor Exit List'!$B138)-(SUMIFS(Investors!$M:$M,Investors!$I:$I,"&lt;="&amp;'NSST Print'!$B$3,Investors!$J:$J,"&gt;"&amp;'NSST Print'!$B$3,Investors!$A:$A,'Investor Exit List'!$A138,Investors!$E:$E,'Investor Exit List'!$C138,Investors!$L:$L,'Investor Exit List'!$B138)+SUMIFS(Investors!$M:$M,Investors!$I:$I,"&lt;="&amp;'NSST Print'!$B$3,Investors!$J:$J,"",Investors!$A:$A,'Investor Exit List'!$A138,Investors!$E:$E,'Investor Exit List'!$C138,Investors!$L:$L,'Investor Exit List'!$B138))+SUMIFS(Investors!$S:$S,Investors!$O:$O,FALSE,Investors!$P:$P,FALSE,Investors!$K:$K,"&gt;"&amp;'NSST Print'!$B$3,Investors!$I:$I,"&lt;="&amp;'NSST Print'!$B$3,Investors!$A:$A,'Investor Exit List'!$A138,Investors!$E:$E,'Investor Exit List'!$C138,Investors!$L:$L,'Investor Exit List'!$B138)-(SUMIFS(Investors!$S:$S,Investors!$I:$I,"&lt;="&amp;'NSST Print'!$B$3,Investors!$J:$J,"&gt;"&amp;'NSST Print'!$B$3,Investors!$A:$A,'Investor Exit List'!$A138,Investors!$E:$E,'Investor Exit List'!$C138,Investors!$L:$L,'Investor Exit List'!$B138)+SUMIFS(Investors!$S:$S,Investors!$I:$I,"&lt;="&amp;'NSST Print'!$B$3,Investors!$J:$J,"",Investors!$A:$A,'Investor Exit List'!$A138,Investors!$E:$E,'Investor Exit List'!$C138,Investors!$L:$L,'Investor Exit List'!$B138))</f>
        <v/>
      </c>
      <c r="R138" s="90">
        <f>IF(AND(H138=TRUE,I138=FALSE),Q138,0)</f>
        <v/>
      </c>
      <c r="S138" s="90">
        <f>SUMIFS(Investors!$M:$M,Investors!$O:$O,TRUE,Investors!$A:$A,'Investor Exit List'!$A138,Investors!$E:$E,'Investor Exit List'!$C138,Investors!$L:$L,'Investor Exit List'!$B138)+SUMIFS(Investors!$S:$S,Investors!$O:$O,TRUE,Investors!$A:$A,'Investor Exit List'!$A138,Investors!$E:$E,'Investor Exit List'!$C138,Investors!$L:$L,'Investor Exit List'!$B138)</f>
        <v/>
      </c>
      <c r="T138" s="91">
        <f>IF(U138=TRUE,$J138,"")</f>
        <v/>
      </c>
      <c r="U138" s="89" t="b">
        <v>0</v>
      </c>
      <c r="V138" s="90">
        <f>IF(AND(H138=TRUE,OR(K138="",K138&gt;M138)),S138,0)</f>
        <v/>
      </c>
      <c r="W138" s="89" t="n">
        <v>0</v>
      </c>
      <c r="X138" s="89" t="b">
        <v>0</v>
      </c>
    </row>
    <row r="139" hidden="1">
      <c r="A139" s="89" t="inlineStr">
        <is>
          <t>ZSCH04</t>
        </is>
      </c>
      <c r="B139" s="89" t="n">
        <v>1</v>
      </c>
      <c r="C139" s="89" t="inlineStr">
        <is>
          <t>HFB306</t>
        </is>
      </c>
      <c r="D139" s="89" t="inlineStr">
        <is>
          <t>B</t>
        </is>
      </c>
      <c r="E139" s="89" t="inlineStr">
        <is>
          <t>Schroder Christiaan</t>
        </is>
      </c>
      <c r="F139" s="90">
        <f>SUMIFS(Investors!$M:$M,Investors!$O:$O,FALSE,Investors!$P:$P,FALSE,Investors!$K:$K,"&gt;"&amp;'NSST Print'!$B$3,Investors!$I:$I,"&lt;="&amp;'NSST Print'!$B$3,Investors!$A:$A,'Investor Exit List'!$A139,Investors!$E:$E,'Investor Exit List'!$C139,Investors!$L:$L,'Investor Exit List'!$B139)-(SUMIFS(Investors!$M:$M,Investors!$I:$I,"&lt;="&amp;'NSST Print'!$B$3,Investors!$J:$J,"&gt;"&amp;'NSST Print'!$B$3,Investors!$A:$A,'Investor Exit List'!$A139,Investors!$E:$E,'Investor Exit List'!$C139,Investors!$L:$L,'Investor Exit List'!$B139)+SUMIFS(Investors!$M:$M,Investors!$I:$I,"&lt;="&amp;'NSST Print'!$B$3,Investors!$J:$J,"",Investors!$A:$A,'Investor Exit List'!$A139,Investors!$E:$E,'Investor Exit List'!$C139,Investors!$L:$L,'Investor Exit List'!$B139))</f>
        <v/>
      </c>
      <c r="G139" s="91" t="n">
        <v>44644</v>
      </c>
      <c r="H139" s="89" t="b">
        <v>1</v>
      </c>
      <c r="I139" s="89" t="b">
        <v>1</v>
      </c>
      <c r="J139" s="91" t="n">
        <v>45020</v>
      </c>
      <c r="K139" s="91">
        <f>IF(I139=TRUE,J139,"")</f>
        <v/>
      </c>
      <c r="L139" s="91">
        <f>G139+730</f>
        <v/>
      </c>
      <c r="M139" s="91" t="n">
        <v>45382</v>
      </c>
      <c r="N139" s="92">
        <f>IFERROR(IF(G139&lt;&gt;"",IF(I139=TRUE,0,IF(U139=TRUE,0,L139-M139)),0),0)</f>
        <v/>
      </c>
      <c r="O139" s="92">
        <f>IF(N139&gt;0,IF(N139&lt;=180,N139,0),0)</f>
        <v/>
      </c>
      <c r="P139" s="90">
        <f>IF(AND(N139&lt;90,N139&gt;0),Q139,0)</f>
        <v/>
      </c>
      <c r="Q139" s="90">
        <f>SUMIFS(Investors!$M:$M,Investors!$O:$O,FALSE,Investors!$P:$P,FALSE,Investors!$K:$K,"&gt;"&amp;'NSST Print'!$B$3,Investors!$I:$I,"&lt;="&amp;'NSST Print'!$B$3,Investors!$A:$A,'Investor Exit List'!$A139,Investors!$E:$E,'Investor Exit List'!$C139,Investors!$L:$L,'Investor Exit List'!$B139)-(SUMIFS(Investors!$M:$M,Investors!$I:$I,"&lt;="&amp;'NSST Print'!$B$3,Investors!$J:$J,"&gt;"&amp;'NSST Print'!$B$3,Investors!$A:$A,'Investor Exit List'!$A139,Investors!$E:$E,'Investor Exit List'!$C139,Investors!$L:$L,'Investor Exit List'!$B139)+SUMIFS(Investors!$M:$M,Investors!$I:$I,"&lt;="&amp;'NSST Print'!$B$3,Investors!$J:$J,"",Investors!$A:$A,'Investor Exit List'!$A139,Investors!$E:$E,'Investor Exit List'!$C139,Investors!$L:$L,'Investor Exit List'!$B139))+SUMIFS(Investors!$S:$S,Investors!$O:$O,FALSE,Investors!$P:$P,FALSE,Investors!$K:$K,"&gt;"&amp;'NSST Print'!$B$3,Investors!$I:$I,"&lt;="&amp;'NSST Print'!$B$3,Investors!$A:$A,'Investor Exit List'!$A139,Investors!$E:$E,'Investor Exit List'!$C139,Investors!$L:$L,'Investor Exit List'!$B139)-(SUMIFS(Investors!$S:$S,Investors!$I:$I,"&lt;="&amp;'NSST Print'!$B$3,Investors!$J:$J,"&gt;"&amp;'NSST Print'!$B$3,Investors!$A:$A,'Investor Exit List'!$A139,Investors!$E:$E,'Investor Exit List'!$C139,Investors!$L:$L,'Investor Exit List'!$B139)+SUMIFS(Investors!$S:$S,Investors!$I:$I,"&lt;="&amp;'NSST Print'!$B$3,Investors!$J:$J,"",Investors!$A:$A,'Investor Exit List'!$A139,Investors!$E:$E,'Investor Exit List'!$C139,Investors!$L:$L,'Investor Exit List'!$B139))</f>
        <v/>
      </c>
      <c r="R139" s="90">
        <f>IF(AND(H139=TRUE,I139=FALSE),Q139,0)</f>
        <v/>
      </c>
      <c r="S139" s="90">
        <f>SUMIFS(Investors!$M:$M,Investors!$O:$O,TRUE,Investors!$A:$A,'Investor Exit List'!$A139,Investors!$E:$E,'Investor Exit List'!$C139,Investors!$L:$L,'Investor Exit List'!$B139)+SUMIFS(Investors!$S:$S,Investors!$O:$O,TRUE,Investors!$A:$A,'Investor Exit List'!$A139,Investors!$E:$E,'Investor Exit List'!$C139,Investors!$L:$L,'Investor Exit List'!$B139)</f>
        <v/>
      </c>
      <c r="T139" s="91">
        <f>IF(U139=TRUE,$J139,"")</f>
        <v/>
      </c>
      <c r="U139" s="89" t="b">
        <v>1</v>
      </c>
      <c r="V139" s="90">
        <f>IF(AND(H139=TRUE,OR(K139="",K139&gt;M139)),S139,0)</f>
        <v/>
      </c>
      <c r="W139" s="89" t="n">
        <v>0</v>
      </c>
      <c r="X139" s="89" t="b">
        <v>0</v>
      </c>
    </row>
    <row r="140" hidden="1">
      <c r="A140" s="89" t="inlineStr">
        <is>
          <t>ZROU01</t>
        </is>
      </c>
      <c r="B140" s="89" t="n">
        <v>1</v>
      </c>
      <c r="C140" s="89" t="inlineStr">
        <is>
          <t>HFB307</t>
        </is>
      </c>
      <c r="D140" s="89" t="inlineStr">
        <is>
          <t>B</t>
        </is>
      </c>
      <c r="E140" s="89" t="inlineStr">
        <is>
          <t>Roux Laura</t>
        </is>
      </c>
      <c r="F140" s="90">
        <f>SUMIFS(Investors!$M:$M,Investors!$O:$O,FALSE,Investors!$P:$P,FALSE,Investors!$K:$K,"&gt;"&amp;'NSST Print'!$B$3,Investors!$I:$I,"&lt;="&amp;'NSST Print'!$B$3,Investors!$A:$A,'Investor Exit List'!$A140,Investors!$E:$E,'Investor Exit List'!$C140,Investors!$L:$L,'Investor Exit List'!$B140)-(SUMIFS(Investors!$M:$M,Investors!$I:$I,"&lt;="&amp;'NSST Print'!$B$3,Investors!$J:$J,"&gt;"&amp;'NSST Print'!$B$3,Investors!$A:$A,'Investor Exit List'!$A140,Investors!$E:$E,'Investor Exit List'!$C140,Investors!$L:$L,'Investor Exit List'!$B140)+SUMIFS(Investors!$M:$M,Investors!$I:$I,"&lt;="&amp;'NSST Print'!$B$3,Investors!$J:$J,"",Investors!$A:$A,'Investor Exit List'!$A140,Investors!$E:$E,'Investor Exit List'!$C140,Investors!$L:$L,'Investor Exit List'!$B140))</f>
        <v/>
      </c>
      <c r="G140" s="91" t="n">
        <v>44643</v>
      </c>
      <c r="H140" s="89" t="b">
        <v>1</v>
      </c>
      <c r="I140" s="89" t="b">
        <v>1</v>
      </c>
      <c r="J140" s="91" t="n">
        <v>45020</v>
      </c>
      <c r="K140" s="91">
        <f>IF(I140=TRUE,J140,"")</f>
        <v/>
      </c>
      <c r="L140" s="91">
        <f>G140+730</f>
        <v/>
      </c>
      <c r="M140" s="91" t="n">
        <v>45382</v>
      </c>
      <c r="N140" s="92">
        <f>IFERROR(IF(G140&lt;&gt;"",IF(I140=TRUE,0,IF(U140=TRUE,0,L140-M140)),0),0)</f>
        <v/>
      </c>
      <c r="O140" s="92">
        <f>IF(N140&gt;0,IF(N140&lt;=180,N140,0),0)</f>
        <v/>
      </c>
      <c r="P140" s="90">
        <f>IF(AND(N140&lt;90,N140&gt;0),Q140,0)</f>
        <v/>
      </c>
      <c r="Q140" s="90">
        <f>SUMIFS(Investors!$M:$M,Investors!$O:$O,FALSE,Investors!$P:$P,FALSE,Investors!$K:$K,"&gt;"&amp;'NSST Print'!$B$3,Investors!$I:$I,"&lt;="&amp;'NSST Print'!$B$3,Investors!$A:$A,'Investor Exit List'!$A140,Investors!$E:$E,'Investor Exit List'!$C140,Investors!$L:$L,'Investor Exit List'!$B140)-(SUMIFS(Investors!$M:$M,Investors!$I:$I,"&lt;="&amp;'NSST Print'!$B$3,Investors!$J:$J,"&gt;"&amp;'NSST Print'!$B$3,Investors!$A:$A,'Investor Exit List'!$A140,Investors!$E:$E,'Investor Exit List'!$C140,Investors!$L:$L,'Investor Exit List'!$B140)+SUMIFS(Investors!$M:$M,Investors!$I:$I,"&lt;="&amp;'NSST Print'!$B$3,Investors!$J:$J,"",Investors!$A:$A,'Investor Exit List'!$A140,Investors!$E:$E,'Investor Exit List'!$C140,Investors!$L:$L,'Investor Exit List'!$B140))+SUMIFS(Investors!$S:$S,Investors!$O:$O,FALSE,Investors!$P:$P,FALSE,Investors!$K:$K,"&gt;"&amp;'NSST Print'!$B$3,Investors!$I:$I,"&lt;="&amp;'NSST Print'!$B$3,Investors!$A:$A,'Investor Exit List'!$A140,Investors!$E:$E,'Investor Exit List'!$C140,Investors!$L:$L,'Investor Exit List'!$B140)-(SUMIFS(Investors!$S:$S,Investors!$I:$I,"&lt;="&amp;'NSST Print'!$B$3,Investors!$J:$J,"&gt;"&amp;'NSST Print'!$B$3,Investors!$A:$A,'Investor Exit List'!$A140,Investors!$E:$E,'Investor Exit List'!$C140,Investors!$L:$L,'Investor Exit List'!$B140)+SUMIFS(Investors!$S:$S,Investors!$I:$I,"&lt;="&amp;'NSST Print'!$B$3,Investors!$J:$J,"",Investors!$A:$A,'Investor Exit List'!$A140,Investors!$E:$E,'Investor Exit List'!$C140,Investors!$L:$L,'Investor Exit List'!$B140))</f>
        <v/>
      </c>
      <c r="R140" s="90">
        <f>IF(AND(H140=TRUE,I140=FALSE),Q140,0)</f>
        <v/>
      </c>
      <c r="S140" s="90">
        <f>SUMIFS(Investors!$M:$M,Investors!$O:$O,TRUE,Investors!$A:$A,'Investor Exit List'!$A140,Investors!$E:$E,'Investor Exit List'!$C140,Investors!$L:$L,'Investor Exit List'!$B140)+SUMIFS(Investors!$S:$S,Investors!$O:$O,TRUE,Investors!$A:$A,'Investor Exit List'!$A140,Investors!$E:$E,'Investor Exit List'!$C140,Investors!$L:$L,'Investor Exit List'!$B140)</f>
        <v/>
      </c>
      <c r="T140" s="91">
        <f>IF(U140=TRUE,$J140,"")</f>
        <v/>
      </c>
      <c r="U140" s="89" t="b">
        <v>1</v>
      </c>
      <c r="V140" s="90">
        <f>IF(AND(H140=TRUE,OR(K140="",K140&gt;M140)),S140,0)</f>
        <v/>
      </c>
      <c r="W140" s="89" t="n">
        <v>0</v>
      </c>
      <c r="X140" s="89" t="b">
        <v>0</v>
      </c>
    </row>
    <row r="141" hidden="1">
      <c r="A141" s="89" t="inlineStr">
        <is>
          <t>ZVOR01</t>
        </is>
      </c>
      <c r="B141" s="89" t="n">
        <v>3</v>
      </c>
      <c r="C141" s="89" t="inlineStr">
        <is>
          <t>HFB307</t>
        </is>
      </c>
      <c r="D141" s="89" t="inlineStr">
        <is>
          <t>B</t>
        </is>
      </c>
      <c r="E141" s="89" t="inlineStr">
        <is>
          <t xml:space="preserve">Vorster Sophia Maria Catharina </t>
        </is>
      </c>
      <c r="F141" s="90">
        <f>SUMIFS(Investors!$M:$M,Investors!$O:$O,FALSE,Investors!$P:$P,FALSE,Investors!$K:$K,"&gt;"&amp;'NSST Print'!$B$3,Investors!$I:$I,"&lt;="&amp;'NSST Print'!$B$3,Investors!$A:$A,'Investor Exit List'!$A141,Investors!$E:$E,'Investor Exit List'!$C141,Investors!$L:$L,'Investor Exit List'!$B141)-(SUMIFS(Investors!$M:$M,Investors!$I:$I,"&lt;="&amp;'NSST Print'!$B$3,Investors!$J:$J,"&gt;"&amp;'NSST Print'!$B$3,Investors!$A:$A,'Investor Exit List'!$A141,Investors!$E:$E,'Investor Exit List'!$C141,Investors!$L:$L,'Investor Exit List'!$B141)+SUMIFS(Investors!$M:$M,Investors!$I:$I,"&lt;="&amp;'NSST Print'!$B$3,Investors!$J:$J,"",Investors!$A:$A,'Investor Exit List'!$A141,Investors!$E:$E,'Investor Exit List'!$C141,Investors!$L:$L,'Investor Exit List'!$B141))</f>
        <v/>
      </c>
      <c r="G141" s="91" t="n">
        <v>44643</v>
      </c>
      <c r="H141" s="89" t="b">
        <v>1</v>
      </c>
      <c r="I141" s="89" t="b">
        <v>1</v>
      </c>
      <c r="J141" s="91" t="n">
        <v>45020</v>
      </c>
      <c r="K141" s="91">
        <f>IF(I141=TRUE,J141,"")</f>
        <v/>
      </c>
      <c r="L141" s="91">
        <f>G141+730</f>
        <v/>
      </c>
      <c r="M141" s="91" t="n">
        <v>45382</v>
      </c>
      <c r="N141" s="92">
        <f>IFERROR(IF(G141&lt;&gt;"",IF(I141=TRUE,0,IF(U141=TRUE,0,L141-M141)),0),0)</f>
        <v/>
      </c>
      <c r="O141" s="92">
        <f>IF(N141&gt;0,IF(N141&lt;=180,N141,0),0)</f>
        <v/>
      </c>
      <c r="P141" s="90">
        <f>IF(AND(N141&lt;90,N141&gt;0),Q141,0)</f>
        <v/>
      </c>
      <c r="Q141" s="90">
        <f>SUMIFS(Investors!$M:$M,Investors!$O:$O,FALSE,Investors!$P:$P,FALSE,Investors!$K:$K,"&gt;"&amp;'NSST Print'!$B$3,Investors!$I:$I,"&lt;="&amp;'NSST Print'!$B$3,Investors!$A:$A,'Investor Exit List'!$A141,Investors!$E:$E,'Investor Exit List'!$C141,Investors!$L:$L,'Investor Exit List'!$B141)-(SUMIFS(Investors!$M:$M,Investors!$I:$I,"&lt;="&amp;'NSST Print'!$B$3,Investors!$J:$J,"&gt;"&amp;'NSST Print'!$B$3,Investors!$A:$A,'Investor Exit List'!$A141,Investors!$E:$E,'Investor Exit List'!$C141,Investors!$L:$L,'Investor Exit List'!$B141)+SUMIFS(Investors!$M:$M,Investors!$I:$I,"&lt;="&amp;'NSST Print'!$B$3,Investors!$J:$J,"",Investors!$A:$A,'Investor Exit List'!$A141,Investors!$E:$E,'Investor Exit List'!$C141,Investors!$L:$L,'Investor Exit List'!$B141))+SUMIFS(Investors!$S:$S,Investors!$O:$O,FALSE,Investors!$P:$P,FALSE,Investors!$K:$K,"&gt;"&amp;'NSST Print'!$B$3,Investors!$I:$I,"&lt;="&amp;'NSST Print'!$B$3,Investors!$A:$A,'Investor Exit List'!$A141,Investors!$E:$E,'Investor Exit List'!$C141,Investors!$L:$L,'Investor Exit List'!$B141)-(SUMIFS(Investors!$S:$S,Investors!$I:$I,"&lt;="&amp;'NSST Print'!$B$3,Investors!$J:$J,"&gt;"&amp;'NSST Print'!$B$3,Investors!$A:$A,'Investor Exit List'!$A141,Investors!$E:$E,'Investor Exit List'!$C141,Investors!$L:$L,'Investor Exit List'!$B141)+SUMIFS(Investors!$S:$S,Investors!$I:$I,"&lt;="&amp;'NSST Print'!$B$3,Investors!$J:$J,"",Investors!$A:$A,'Investor Exit List'!$A141,Investors!$E:$E,'Investor Exit List'!$C141,Investors!$L:$L,'Investor Exit List'!$B141))</f>
        <v/>
      </c>
      <c r="R141" s="90">
        <f>IF(AND(H141=TRUE,I141=FALSE),Q141,0)</f>
        <v/>
      </c>
      <c r="S141" s="90">
        <f>SUMIFS(Investors!$M:$M,Investors!$O:$O,TRUE,Investors!$A:$A,'Investor Exit List'!$A141,Investors!$E:$E,'Investor Exit List'!$C141,Investors!$L:$L,'Investor Exit List'!$B141)+SUMIFS(Investors!$S:$S,Investors!$O:$O,TRUE,Investors!$A:$A,'Investor Exit List'!$A141,Investors!$E:$E,'Investor Exit List'!$C141,Investors!$L:$L,'Investor Exit List'!$B141)</f>
        <v/>
      </c>
      <c r="T141" s="91">
        <f>IF(U141=TRUE,$J141,"")</f>
        <v/>
      </c>
      <c r="U141" s="89" t="b">
        <v>1</v>
      </c>
      <c r="V141" s="90">
        <f>IF(AND(H141=TRUE,OR(K141="",K141&gt;M141)),S141,0)</f>
        <v/>
      </c>
      <c r="W141" s="89" t="n">
        <v>0</v>
      </c>
      <c r="X141" s="89" t="b">
        <v>0</v>
      </c>
    </row>
    <row r="142" hidden="1">
      <c r="A142" s="89" t="inlineStr">
        <is>
          <t>ZGOF01</t>
        </is>
      </c>
      <c r="B142" s="89" t="n">
        <v>1</v>
      </c>
      <c r="C142" s="89" t="inlineStr">
        <is>
          <t>HFB308</t>
        </is>
      </c>
      <c r="D142" s="89" t="inlineStr">
        <is>
          <t>B</t>
        </is>
      </c>
      <c r="E142" s="89" t="inlineStr">
        <is>
          <t>Goff Angela</t>
        </is>
      </c>
      <c r="F142" s="90">
        <f>SUMIFS(Investors!$M:$M,Investors!$O:$O,FALSE,Investors!$P:$P,FALSE,Investors!$K:$K,"&gt;"&amp;'NSST Print'!$B$3,Investors!$I:$I,"&lt;="&amp;'NSST Print'!$B$3,Investors!$A:$A,'Investor Exit List'!$A142,Investors!$E:$E,'Investor Exit List'!$C142,Investors!$L:$L,'Investor Exit List'!$B142)-(SUMIFS(Investors!$M:$M,Investors!$I:$I,"&lt;="&amp;'NSST Print'!$B$3,Investors!$J:$J,"&gt;"&amp;'NSST Print'!$B$3,Investors!$A:$A,'Investor Exit List'!$A142,Investors!$E:$E,'Investor Exit List'!$C142,Investors!$L:$L,'Investor Exit List'!$B142)+SUMIFS(Investors!$M:$M,Investors!$I:$I,"&lt;="&amp;'NSST Print'!$B$3,Investors!$J:$J,"",Investors!$A:$A,'Investor Exit List'!$A142,Investors!$E:$E,'Investor Exit List'!$C142,Investors!$L:$L,'Investor Exit List'!$B142))</f>
        <v/>
      </c>
      <c r="G142" s="91" t="n">
        <v>44664</v>
      </c>
      <c r="H142" s="89" t="b">
        <v>1</v>
      </c>
      <c r="I142" s="89" t="b">
        <v>1</v>
      </c>
      <c r="J142" s="91" t="n">
        <v>45009</v>
      </c>
      <c r="K142" s="91">
        <f>IF(I142=TRUE,J142,"")</f>
        <v/>
      </c>
      <c r="L142" s="91">
        <f>G142+730</f>
        <v/>
      </c>
      <c r="M142" s="91" t="n">
        <v>45382</v>
      </c>
      <c r="N142" s="92">
        <f>IFERROR(IF(G142&lt;&gt;"",IF(I142=TRUE,0,IF(U142=TRUE,0,L142-M142)),0),0)</f>
        <v/>
      </c>
      <c r="O142" s="92">
        <f>IF(N142&gt;0,IF(N142&lt;=180,N142,0),0)</f>
        <v/>
      </c>
      <c r="P142" s="90">
        <f>IF(AND(N142&lt;90,N142&gt;0),Q142,0)</f>
        <v/>
      </c>
      <c r="Q142" s="90">
        <f>SUMIFS(Investors!$M:$M,Investors!$O:$O,FALSE,Investors!$P:$P,FALSE,Investors!$K:$K,"&gt;"&amp;'NSST Print'!$B$3,Investors!$I:$I,"&lt;="&amp;'NSST Print'!$B$3,Investors!$A:$A,'Investor Exit List'!$A142,Investors!$E:$E,'Investor Exit List'!$C142,Investors!$L:$L,'Investor Exit List'!$B142)-(SUMIFS(Investors!$M:$M,Investors!$I:$I,"&lt;="&amp;'NSST Print'!$B$3,Investors!$J:$J,"&gt;"&amp;'NSST Print'!$B$3,Investors!$A:$A,'Investor Exit List'!$A142,Investors!$E:$E,'Investor Exit List'!$C142,Investors!$L:$L,'Investor Exit List'!$B142)+SUMIFS(Investors!$M:$M,Investors!$I:$I,"&lt;="&amp;'NSST Print'!$B$3,Investors!$J:$J,"",Investors!$A:$A,'Investor Exit List'!$A142,Investors!$E:$E,'Investor Exit List'!$C142,Investors!$L:$L,'Investor Exit List'!$B142))+SUMIFS(Investors!$S:$S,Investors!$O:$O,FALSE,Investors!$P:$P,FALSE,Investors!$K:$K,"&gt;"&amp;'NSST Print'!$B$3,Investors!$I:$I,"&lt;="&amp;'NSST Print'!$B$3,Investors!$A:$A,'Investor Exit List'!$A142,Investors!$E:$E,'Investor Exit List'!$C142,Investors!$L:$L,'Investor Exit List'!$B142)-(SUMIFS(Investors!$S:$S,Investors!$I:$I,"&lt;="&amp;'NSST Print'!$B$3,Investors!$J:$J,"&gt;"&amp;'NSST Print'!$B$3,Investors!$A:$A,'Investor Exit List'!$A142,Investors!$E:$E,'Investor Exit List'!$C142,Investors!$L:$L,'Investor Exit List'!$B142)+SUMIFS(Investors!$S:$S,Investors!$I:$I,"&lt;="&amp;'NSST Print'!$B$3,Investors!$J:$J,"",Investors!$A:$A,'Investor Exit List'!$A142,Investors!$E:$E,'Investor Exit List'!$C142,Investors!$L:$L,'Investor Exit List'!$B142))</f>
        <v/>
      </c>
      <c r="R142" s="90">
        <f>IF(AND(H142=TRUE,I142=FALSE),Q142,0)</f>
        <v/>
      </c>
      <c r="S142" s="90">
        <f>SUMIFS(Investors!$M:$M,Investors!$O:$O,TRUE,Investors!$A:$A,'Investor Exit List'!$A142,Investors!$E:$E,'Investor Exit List'!$C142,Investors!$L:$L,'Investor Exit List'!$B142)+SUMIFS(Investors!$S:$S,Investors!$O:$O,TRUE,Investors!$A:$A,'Investor Exit List'!$A142,Investors!$E:$E,'Investor Exit List'!$C142,Investors!$L:$L,'Investor Exit List'!$B142)</f>
        <v/>
      </c>
      <c r="T142" s="91">
        <f>IF(U142=TRUE,$J142,"")</f>
        <v/>
      </c>
      <c r="U142" s="89" t="b">
        <v>1</v>
      </c>
      <c r="V142" s="90">
        <f>IF(AND(H142=TRUE,OR(K142="",K142&gt;M142)),S142,0)</f>
        <v/>
      </c>
      <c r="W142" s="89" t="n">
        <v>0</v>
      </c>
      <c r="X142" s="89" t="b">
        <v>0</v>
      </c>
    </row>
    <row r="143" hidden="1">
      <c r="A143" s="89" t="inlineStr">
        <is>
          <t>ZBLU01</t>
        </is>
      </c>
      <c r="B143" s="89" t="n">
        <v>1</v>
      </c>
      <c r="C143" s="89" t="inlineStr">
        <is>
          <t>HFB309</t>
        </is>
      </c>
      <c r="D143" s="89" t="inlineStr">
        <is>
          <t>B</t>
        </is>
      </c>
      <c r="E143" s="89" t="inlineStr">
        <is>
          <t>Blues Samantha Jessica</t>
        </is>
      </c>
      <c r="F143" s="90">
        <f>SUMIFS(Investors!$M:$M,Investors!$O:$O,FALSE,Investors!$P:$P,FALSE,Investors!$K:$K,"&gt;"&amp;'NSST Print'!$B$3,Investors!$I:$I,"&lt;="&amp;'NSST Print'!$B$3,Investors!$A:$A,'Investor Exit List'!$A143,Investors!$E:$E,'Investor Exit List'!$C143,Investors!$L:$L,'Investor Exit List'!$B143)-(SUMIFS(Investors!$M:$M,Investors!$I:$I,"&lt;="&amp;'NSST Print'!$B$3,Investors!$J:$J,"&gt;"&amp;'NSST Print'!$B$3,Investors!$A:$A,'Investor Exit List'!$A143,Investors!$E:$E,'Investor Exit List'!$C143,Investors!$L:$L,'Investor Exit List'!$B143)+SUMIFS(Investors!$M:$M,Investors!$I:$I,"&lt;="&amp;'NSST Print'!$B$3,Investors!$J:$J,"",Investors!$A:$A,'Investor Exit List'!$A143,Investors!$E:$E,'Investor Exit List'!$C143,Investors!$L:$L,'Investor Exit List'!$B143))</f>
        <v/>
      </c>
      <c r="G143" s="91" t="n">
        <v>44618</v>
      </c>
      <c r="H143" s="89" t="b">
        <v>1</v>
      </c>
      <c r="I143" s="89" t="b">
        <v>1</v>
      </c>
      <c r="J143" s="91" t="n">
        <v>45086</v>
      </c>
      <c r="K143" s="91">
        <f>IF(I143=TRUE,J143,"")</f>
        <v/>
      </c>
      <c r="L143" s="91">
        <f>G143+730</f>
        <v/>
      </c>
      <c r="M143" s="91" t="n">
        <v>45382</v>
      </c>
      <c r="N143" s="92">
        <f>IFERROR(IF(G143&lt;&gt;"",IF(I143=TRUE,0,IF(U143=TRUE,0,L143-M143)),0),0)</f>
        <v/>
      </c>
      <c r="O143" s="92">
        <f>IF(N143&gt;0,IF(N143&lt;=180,N143,0),0)</f>
        <v/>
      </c>
      <c r="P143" s="90">
        <f>IF(AND(N143&lt;90,N143&gt;0),Q143,0)</f>
        <v/>
      </c>
      <c r="Q143" s="90">
        <f>SUMIFS(Investors!$M:$M,Investors!$O:$O,FALSE,Investors!$P:$P,FALSE,Investors!$K:$K,"&gt;"&amp;'NSST Print'!$B$3,Investors!$I:$I,"&lt;="&amp;'NSST Print'!$B$3,Investors!$A:$A,'Investor Exit List'!$A143,Investors!$E:$E,'Investor Exit List'!$C143,Investors!$L:$L,'Investor Exit List'!$B143)-(SUMIFS(Investors!$M:$M,Investors!$I:$I,"&lt;="&amp;'NSST Print'!$B$3,Investors!$J:$J,"&gt;"&amp;'NSST Print'!$B$3,Investors!$A:$A,'Investor Exit List'!$A143,Investors!$E:$E,'Investor Exit List'!$C143,Investors!$L:$L,'Investor Exit List'!$B143)+SUMIFS(Investors!$M:$M,Investors!$I:$I,"&lt;="&amp;'NSST Print'!$B$3,Investors!$J:$J,"",Investors!$A:$A,'Investor Exit List'!$A143,Investors!$E:$E,'Investor Exit List'!$C143,Investors!$L:$L,'Investor Exit List'!$B143))+SUMIFS(Investors!$S:$S,Investors!$O:$O,FALSE,Investors!$P:$P,FALSE,Investors!$K:$K,"&gt;"&amp;'NSST Print'!$B$3,Investors!$I:$I,"&lt;="&amp;'NSST Print'!$B$3,Investors!$A:$A,'Investor Exit List'!$A143,Investors!$E:$E,'Investor Exit List'!$C143,Investors!$L:$L,'Investor Exit List'!$B143)-(SUMIFS(Investors!$S:$S,Investors!$I:$I,"&lt;="&amp;'NSST Print'!$B$3,Investors!$J:$J,"&gt;"&amp;'NSST Print'!$B$3,Investors!$A:$A,'Investor Exit List'!$A143,Investors!$E:$E,'Investor Exit List'!$C143,Investors!$L:$L,'Investor Exit List'!$B143)+SUMIFS(Investors!$S:$S,Investors!$I:$I,"&lt;="&amp;'NSST Print'!$B$3,Investors!$J:$J,"",Investors!$A:$A,'Investor Exit List'!$A143,Investors!$E:$E,'Investor Exit List'!$C143,Investors!$L:$L,'Investor Exit List'!$B143))</f>
        <v/>
      </c>
      <c r="R143" s="90">
        <f>IF(AND(H143=TRUE,I143=FALSE),Q143,0)</f>
        <v/>
      </c>
      <c r="S143" s="90">
        <f>SUMIFS(Investors!$M:$M,Investors!$O:$O,TRUE,Investors!$A:$A,'Investor Exit List'!$A143,Investors!$E:$E,'Investor Exit List'!$C143,Investors!$L:$L,'Investor Exit List'!$B143)+SUMIFS(Investors!$S:$S,Investors!$O:$O,TRUE,Investors!$A:$A,'Investor Exit List'!$A143,Investors!$E:$E,'Investor Exit List'!$C143,Investors!$L:$L,'Investor Exit List'!$B143)</f>
        <v/>
      </c>
      <c r="T143" s="91">
        <f>IF(U143=TRUE,$J143,"")</f>
        <v/>
      </c>
      <c r="U143" s="89" t="b">
        <v>0</v>
      </c>
      <c r="V143" s="90">
        <f>IF(AND(H143=TRUE,OR(K143="",K143&gt;M143)),S143,0)</f>
        <v/>
      </c>
      <c r="W143" s="89" t="n">
        <v>0</v>
      </c>
      <c r="X143" s="89" t="b">
        <v>0</v>
      </c>
    </row>
    <row r="144" hidden="1">
      <c r="A144" s="89" t="inlineStr">
        <is>
          <t>ZJAN03</t>
        </is>
      </c>
      <c r="B144" s="89" t="n">
        <v>1</v>
      </c>
      <c r="C144" s="89" t="inlineStr">
        <is>
          <t>HFB309</t>
        </is>
      </c>
      <c r="D144" s="89" t="inlineStr">
        <is>
          <t>B</t>
        </is>
      </c>
      <c r="E144" s="89" t="inlineStr">
        <is>
          <t>Jansen van Vuuren Rudolph Johannes</t>
        </is>
      </c>
      <c r="F144" s="90">
        <f>SUMIFS(Investors!$M:$M,Investors!$O:$O,FALSE,Investors!$P:$P,FALSE,Investors!$K:$K,"&gt;"&amp;'NSST Print'!$B$3,Investors!$I:$I,"&lt;="&amp;'NSST Print'!$B$3,Investors!$A:$A,'Investor Exit List'!$A144,Investors!$E:$E,'Investor Exit List'!$C144,Investors!$L:$L,'Investor Exit List'!$B144)-(SUMIFS(Investors!$M:$M,Investors!$I:$I,"&lt;="&amp;'NSST Print'!$B$3,Investors!$J:$J,"&gt;"&amp;'NSST Print'!$B$3,Investors!$A:$A,'Investor Exit List'!$A144,Investors!$E:$E,'Investor Exit List'!$C144,Investors!$L:$L,'Investor Exit List'!$B144)+SUMIFS(Investors!$M:$M,Investors!$I:$I,"&lt;="&amp;'NSST Print'!$B$3,Investors!$J:$J,"",Investors!$A:$A,'Investor Exit List'!$A144,Investors!$E:$E,'Investor Exit List'!$C144,Investors!$L:$L,'Investor Exit List'!$B144))</f>
        <v/>
      </c>
      <c r="G144" s="91" t="n">
        <v>44664</v>
      </c>
      <c r="H144" s="89" t="b">
        <v>1</v>
      </c>
      <c r="I144" s="89" t="b">
        <v>1</v>
      </c>
      <c r="J144" s="91" t="n">
        <v>45086</v>
      </c>
      <c r="K144" s="91">
        <f>IF(I144=TRUE,J144,"")</f>
        <v/>
      </c>
      <c r="L144" s="91">
        <f>G144+730</f>
        <v/>
      </c>
      <c r="M144" s="91" t="n">
        <v>45382</v>
      </c>
      <c r="N144" s="92">
        <f>IFERROR(IF(G144&lt;&gt;"",IF(I144=TRUE,0,IF(U144=TRUE,0,L144-M144)),0),0)</f>
        <v/>
      </c>
      <c r="O144" s="92">
        <f>IF(N144&gt;0,IF(N144&lt;=180,N144,0),0)</f>
        <v/>
      </c>
      <c r="P144" s="90">
        <f>IF(AND(N144&lt;90,N144&gt;0),Q144,0)</f>
        <v/>
      </c>
      <c r="Q144" s="90">
        <f>SUMIFS(Investors!$M:$M,Investors!$O:$O,FALSE,Investors!$P:$P,FALSE,Investors!$K:$K,"&gt;"&amp;'NSST Print'!$B$3,Investors!$I:$I,"&lt;="&amp;'NSST Print'!$B$3,Investors!$A:$A,'Investor Exit List'!$A144,Investors!$E:$E,'Investor Exit List'!$C144,Investors!$L:$L,'Investor Exit List'!$B144)-(SUMIFS(Investors!$M:$M,Investors!$I:$I,"&lt;="&amp;'NSST Print'!$B$3,Investors!$J:$J,"&gt;"&amp;'NSST Print'!$B$3,Investors!$A:$A,'Investor Exit List'!$A144,Investors!$E:$E,'Investor Exit List'!$C144,Investors!$L:$L,'Investor Exit List'!$B144)+SUMIFS(Investors!$M:$M,Investors!$I:$I,"&lt;="&amp;'NSST Print'!$B$3,Investors!$J:$J,"",Investors!$A:$A,'Investor Exit List'!$A144,Investors!$E:$E,'Investor Exit List'!$C144,Investors!$L:$L,'Investor Exit List'!$B144))+SUMIFS(Investors!$S:$S,Investors!$O:$O,FALSE,Investors!$P:$P,FALSE,Investors!$K:$K,"&gt;"&amp;'NSST Print'!$B$3,Investors!$I:$I,"&lt;="&amp;'NSST Print'!$B$3,Investors!$A:$A,'Investor Exit List'!$A144,Investors!$E:$E,'Investor Exit List'!$C144,Investors!$L:$L,'Investor Exit List'!$B144)-(SUMIFS(Investors!$S:$S,Investors!$I:$I,"&lt;="&amp;'NSST Print'!$B$3,Investors!$J:$J,"&gt;"&amp;'NSST Print'!$B$3,Investors!$A:$A,'Investor Exit List'!$A144,Investors!$E:$E,'Investor Exit List'!$C144,Investors!$L:$L,'Investor Exit List'!$B144)+SUMIFS(Investors!$S:$S,Investors!$I:$I,"&lt;="&amp;'NSST Print'!$B$3,Investors!$J:$J,"",Investors!$A:$A,'Investor Exit List'!$A144,Investors!$E:$E,'Investor Exit List'!$C144,Investors!$L:$L,'Investor Exit List'!$B144))</f>
        <v/>
      </c>
      <c r="R144" s="90">
        <f>IF(AND(H144=TRUE,I144=FALSE),Q144,0)</f>
        <v/>
      </c>
      <c r="S144" s="90">
        <f>SUMIFS(Investors!$M:$M,Investors!$O:$O,TRUE,Investors!$A:$A,'Investor Exit List'!$A144,Investors!$E:$E,'Investor Exit List'!$C144,Investors!$L:$L,'Investor Exit List'!$B144)+SUMIFS(Investors!$S:$S,Investors!$O:$O,TRUE,Investors!$A:$A,'Investor Exit List'!$A144,Investors!$E:$E,'Investor Exit List'!$C144,Investors!$L:$L,'Investor Exit List'!$B144)</f>
        <v/>
      </c>
      <c r="T144" s="91">
        <f>IF(U144=TRUE,$J144,"")</f>
        <v/>
      </c>
      <c r="U144" s="89" t="b">
        <v>0</v>
      </c>
      <c r="V144" s="90">
        <f>IF(AND(H144=TRUE,OR(K144="",K144&gt;M144)),S144,0)</f>
        <v/>
      </c>
      <c r="W144" s="89" t="n">
        <v>0</v>
      </c>
      <c r="X144" s="89" t="b">
        <v>0</v>
      </c>
    </row>
    <row r="145" hidden="1">
      <c r="A145" s="89" t="inlineStr">
        <is>
          <t>ZVED01</t>
        </is>
      </c>
      <c r="B145" s="89" t="n">
        <v>4</v>
      </c>
      <c r="C145" s="89" t="inlineStr">
        <is>
          <t>HFB309</t>
        </is>
      </c>
      <c r="D145" s="89" t="inlineStr">
        <is>
          <t>B</t>
        </is>
      </c>
      <c r="E145" s="89" t="inlineStr">
        <is>
          <t>Vedders Craig</t>
        </is>
      </c>
      <c r="F145" s="90">
        <f>SUMIFS(Investors!$M:$M,Investors!$O:$O,FALSE,Investors!$P:$P,FALSE,Investors!$K:$K,"&gt;"&amp;'NSST Print'!$B$3,Investors!$I:$I,"&lt;="&amp;'NSST Print'!$B$3,Investors!$A:$A,'Investor Exit List'!$A145,Investors!$E:$E,'Investor Exit List'!$C145,Investors!$L:$L,'Investor Exit List'!$B145)-(SUMIFS(Investors!$M:$M,Investors!$I:$I,"&lt;="&amp;'NSST Print'!$B$3,Investors!$J:$J,"&gt;"&amp;'NSST Print'!$B$3,Investors!$A:$A,'Investor Exit List'!$A145,Investors!$E:$E,'Investor Exit List'!$C145,Investors!$L:$L,'Investor Exit List'!$B145)+SUMIFS(Investors!$M:$M,Investors!$I:$I,"&lt;="&amp;'NSST Print'!$B$3,Investors!$J:$J,"",Investors!$A:$A,'Investor Exit List'!$A145,Investors!$E:$E,'Investor Exit List'!$C145,Investors!$L:$L,'Investor Exit List'!$B145))</f>
        <v/>
      </c>
      <c r="G145" s="91" t="n">
        <v>44719</v>
      </c>
      <c r="H145" s="89" t="b">
        <v>1</v>
      </c>
      <c r="I145" s="89" t="b">
        <v>1</v>
      </c>
      <c r="J145" s="91" t="n">
        <v>45086</v>
      </c>
      <c r="K145" s="91">
        <f>IF(I145=TRUE,J145,"")</f>
        <v/>
      </c>
      <c r="L145" s="91">
        <f>G145+730</f>
        <v/>
      </c>
      <c r="M145" s="91" t="n">
        <v>45382</v>
      </c>
      <c r="N145" s="92">
        <f>IFERROR(IF(G145&lt;&gt;"",IF(I145=TRUE,0,IF(U145=TRUE,0,L145-M145)),0),0)</f>
        <v/>
      </c>
      <c r="O145" s="92">
        <f>IF(N145&gt;0,IF(N145&lt;=180,N145,0),0)</f>
        <v/>
      </c>
      <c r="P145" s="90">
        <f>IF(AND(N145&lt;90,N145&gt;0),Q145,0)</f>
        <v/>
      </c>
      <c r="Q145" s="90">
        <f>SUMIFS(Investors!$M:$M,Investors!$O:$O,FALSE,Investors!$P:$P,FALSE,Investors!$K:$K,"&gt;"&amp;'NSST Print'!$B$3,Investors!$I:$I,"&lt;="&amp;'NSST Print'!$B$3,Investors!$A:$A,'Investor Exit List'!$A145,Investors!$E:$E,'Investor Exit List'!$C145,Investors!$L:$L,'Investor Exit List'!$B145)-(SUMIFS(Investors!$M:$M,Investors!$I:$I,"&lt;="&amp;'NSST Print'!$B$3,Investors!$J:$J,"&gt;"&amp;'NSST Print'!$B$3,Investors!$A:$A,'Investor Exit List'!$A145,Investors!$E:$E,'Investor Exit List'!$C145,Investors!$L:$L,'Investor Exit List'!$B145)+SUMIFS(Investors!$M:$M,Investors!$I:$I,"&lt;="&amp;'NSST Print'!$B$3,Investors!$J:$J,"",Investors!$A:$A,'Investor Exit List'!$A145,Investors!$E:$E,'Investor Exit List'!$C145,Investors!$L:$L,'Investor Exit List'!$B145))+SUMIFS(Investors!$S:$S,Investors!$O:$O,FALSE,Investors!$P:$P,FALSE,Investors!$K:$K,"&gt;"&amp;'NSST Print'!$B$3,Investors!$I:$I,"&lt;="&amp;'NSST Print'!$B$3,Investors!$A:$A,'Investor Exit List'!$A145,Investors!$E:$E,'Investor Exit List'!$C145,Investors!$L:$L,'Investor Exit List'!$B145)-(SUMIFS(Investors!$S:$S,Investors!$I:$I,"&lt;="&amp;'NSST Print'!$B$3,Investors!$J:$J,"&gt;"&amp;'NSST Print'!$B$3,Investors!$A:$A,'Investor Exit List'!$A145,Investors!$E:$E,'Investor Exit List'!$C145,Investors!$L:$L,'Investor Exit List'!$B145)+SUMIFS(Investors!$S:$S,Investors!$I:$I,"&lt;="&amp;'NSST Print'!$B$3,Investors!$J:$J,"",Investors!$A:$A,'Investor Exit List'!$A145,Investors!$E:$E,'Investor Exit List'!$C145,Investors!$L:$L,'Investor Exit List'!$B145))</f>
        <v/>
      </c>
      <c r="R145" s="90">
        <f>IF(AND(H145=TRUE,I145=FALSE),Q145,0)</f>
        <v/>
      </c>
      <c r="S145" s="90">
        <f>SUMIFS(Investors!$M:$M,Investors!$O:$O,TRUE,Investors!$A:$A,'Investor Exit List'!$A145,Investors!$E:$E,'Investor Exit List'!$C145,Investors!$L:$L,'Investor Exit List'!$B145)+SUMIFS(Investors!$S:$S,Investors!$O:$O,TRUE,Investors!$A:$A,'Investor Exit List'!$A145,Investors!$E:$E,'Investor Exit List'!$C145,Investors!$L:$L,'Investor Exit List'!$B145)</f>
        <v/>
      </c>
      <c r="T145" s="91">
        <f>IF(U145=TRUE,$J145,"")</f>
        <v/>
      </c>
      <c r="U145" s="89" t="b">
        <v>0</v>
      </c>
      <c r="V145" s="90">
        <f>IF(AND(H145=TRUE,OR(K145="",K145&gt;M145)),S145,0)</f>
        <v/>
      </c>
      <c r="W145" s="89" t="n">
        <v>0</v>
      </c>
      <c r="X145" s="89" t="b">
        <v>0</v>
      </c>
    </row>
    <row r="146" hidden="1">
      <c r="A146" s="89" t="inlineStr">
        <is>
          <t>ZPRO01</t>
        </is>
      </c>
      <c r="B146" s="89" t="n">
        <v>4</v>
      </c>
      <c r="C146" s="89" t="inlineStr">
        <is>
          <t>HFB310</t>
        </is>
      </c>
      <c r="D146" s="89" t="inlineStr">
        <is>
          <t>B</t>
        </is>
      </c>
      <c r="E146" s="89" t="inlineStr">
        <is>
          <t>du Toit Adrian</t>
        </is>
      </c>
      <c r="F146" s="90">
        <f>SUMIFS(Investors!$M:$M,Investors!$O:$O,FALSE,Investors!$P:$P,FALSE,Investors!$K:$K,"&gt;"&amp;'NSST Print'!$B$3,Investors!$I:$I,"&lt;="&amp;'NSST Print'!$B$3,Investors!$A:$A,'Investor Exit List'!$A146,Investors!$E:$E,'Investor Exit List'!$C146,Investors!$L:$L,'Investor Exit List'!$B146)-(SUMIFS(Investors!$M:$M,Investors!$I:$I,"&lt;="&amp;'NSST Print'!$B$3,Investors!$J:$J,"&gt;"&amp;'NSST Print'!$B$3,Investors!$A:$A,'Investor Exit List'!$A146,Investors!$E:$E,'Investor Exit List'!$C146,Investors!$L:$L,'Investor Exit List'!$B146)+SUMIFS(Investors!$M:$M,Investors!$I:$I,"&lt;="&amp;'NSST Print'!$B$3,Investors!$J:$J,"",Investors!$A:$A,'Investor Exit List'!$A146,Investors!$E:$E,'Investor Exit List'!$C146,Investors!$L:$L,'Investor Exit List'!$B146))</f>
        <v/>
      </c>
      <c r="G146" s="91" t="n">
        <v>44550</v>
      </c>
      <c r="H146" s="89" t="b">
        <v>1</v>
      </c>
      <c r="I146" s="89" t="b">
        <v>1</v>
      </c>
      <c r="J146" s="91" t="n">
        <v>45014</v>
      </c>
      <c r="K146" s="91">
        <f>IF(I146=TRUE,J146,"")</f>
        <v/>
      </c>
      <c r="L146" s="91">
        <f>G146+730</f>
        <v/>
      </c>
      <c r="M146" s="91" t="n">
        <v>45382</v>
      </c>
      <c r="N146" s="92">
        <f>IFERROR(IF(G146&lt;&gt;"",IF(I146=TRUE,0,IF(U146=TRUE,0,L146-M146)),0),0)</f>
        <v/>
      </c>
      <c r="O146" s="92">
        <f>IF(N146&gt;0,IF(N146&lt;=180,N146,0),0)</f>
        <v/>
      </c>
      <c r="P146" s="90">
        <f>IF(AND(N146&lt;90,N146&gt;0),Q146,0)</f>
        <v/>
      </c>
      <c r="Q146" s="90">
        <f>SUMIFS(Investors!$M:$M,Investors!$O:$O,FALSE,Investors!$P:$P,FALSE,Investors!$K:$K,"&gt;"&amp;'NSST Print'!$B$3,Investors!$I:$I,"&lt;="&amp;'NSST Print'!$B$3,Investors!$A:$A,'Investor Exit List'!$A146,Investors!$E:$E,'Investor Exit List'!$C146,Investors!$L:$L,'Investor Exit List'!$B146)-(SUMIFS(Investors!$M:$M,Investors!$I:$I,"&lt;="&amp;'NSST Print'!$B$3,Investors!$J:$J,"&gt;"&amp;'NSST Print'!$B$3,Investors!$A:$A,'Investor Exit List'!$A146,Investors!$E:$E,'Investor Exit List'!$C146,Investors!$L:$L,'Investor Exit List'!$B146)+SUMIFS(Investors!$M:$M,Investors!$I:$I,"&lt;="&amp;'NSST Print'!$B$3,Investors!$J:$J,"",Investors!$A:$A,'Investor Exit List'!$A146,Investors!$E:$E,'Investor Exit List'!$C146,Investors!$L:$L,'Investor Exit List'!$B146))+SUMIFS(Investors!$S:$S,Investors!$O:$O,FALSE,Investors!$P:$P,FALSE,Investors!$K:$K,"&gt;"&amp;'NSST Print'!$B$3,Investors!$I:$I,"&lt;="&amp;'NSST Print'!$B$3,Investors!$A:$A,'Investor Exit List'!$A146,Investors!$E:$E,'Investor Exit List'!$C146,Investors!$L:$L,'Investor Exit List'!$B146)-(SUMIFS(Investors!$S:$S,Investors!$I:$I,"&lt;="&amp;'NSST Print'!$B$3,Investors!$J:$J,"&gt;"&amp;'NSST Print'!$B$3,Investors!$A:$A,'Investor Exit List'!$A146,Investors!$E:$E,'Investor Exit List'!$C146,Investors!$L:$L,'Investor Exit List'!$B146)+SUMIFS(Investors!$S:$S,Investors!$I:$I,"&lt;="&amp;'NSST Print'!$B$3,Investors!$J:$J,"",Investors!$A:$A,'Investor Exit List'!$A146,Investors!$E:$E,'Investor Exit List'!$C146,Investors!$L:$L,'Investor Exit List'!$B146))</f>
        <v/>
      </c>
      <c r="R146" s="90">
        <f>IF(AND(H146=TRUE,I146=FALSE),Q146,0)</f>
        <v/>
      </c>
      <c r="S146" s="90">
        <f>SUMIFS(Investors!$M:$M,Investors!$O:$O,TRUE,Investors!$A:$A,'Investor Exit List'!$A146,Investors!$E:$E,'Investor Exit List'!$C146,Investors!$L:$L,'Investor Exit List'!$B146)+SUMIFS(Investors!$S:$S,Investors!$O:$O,TRUE,Investors!$A:$A,'Investor Exit List'!$A146,Investors!$E:$E,'Investor Exit List'!$C146,Investors!$L:$L,'Investor Exit List'!$B146)</f>
        <v/>
      </c>
      <c r="T146" s="91">
        <f>IF(U146=TRUE,$J146,"")</f>
        <v/>
      </c>
      <c r="U146" s="89" t="b">
        <v>0</v>
      </c>
      <c r="V146" s="90">
        <f>IF(AND(H146=TRUE,OR(K146="",K146&gt;M146)),S146,0)</f>
        <v/>
      </c>
      <c r="W146" s="89" t="n">
        <v>0</v>
      </c>
      <c r="X146" s="89" t="b">
        <v>0</v>
      </c>
    </row>
    <row r="147" hidden="1">
      <c r="A147" s="89" t="inlineStr">
        <is>
          <t>ZREN01</t>
        </is>
      </c>
      <c r="B147" s="89" t="n">
        <v>2</v>
      </c>
      <c r="C147" s="89" t="inlineStr">
        <is>
          <t>HFB311</t>
        </is>
      </c>
      <c r="D147" s="89" t="inlineStr">
        <is>
          <t>B</t>
        </is>
      </c>
      <c r="E147" s="89" t="inlineStr">
        <is>
          <t>van Rensburg Marlene Ann</t>
        </is>
      </c>
      <c r="F147" s="90">
        <f>SUMIFS(Investors!$M:$M,Investors!$O:$O,FALSE,Investors!$P:$P,FALSE,Investors!$K:$K,"&gt;"&amp;'NSST Print'!$B$3,Investors!$I:$I,"&lt;="&amp;'NSST Print'!$B$3,Investors!$A:$A,'Investor Exit List'!$A147,Investors!$E:$E,'Investor Exit List'!$C147,Investors!$L:$L,'Investor Exit List'!$B147)-(SUMIFS(Investors!$M:$M,Investors!$I:$I,"&lt;="&amp;'NSST Print'!$B$3,Investors!$J:$J,"&gt;"&amp;'NSST Print'!$B$3,Investors!$A:$A,'Investor Exit List'!$A147,Investors!$E:$E,'Investor Exit List'!$C147,Investors!$L:$L,'Investor Exit List'!$B147)+SUMIFS(Investors!$M:$M,Investors!$I:$I,"&lt;="&amp;'NSST Print'!$B$3,Investors!$J:$J,"",Investors!$A:$A,'Investor Exit List'!$A147,Investors!$E:$E,'Investor Exit List'!$C147,Investors!$L:$L,'Investor Exit List'!$B147))</f>
        <v/>
      </c>
      <c r="G147" s="91" t="n">
        <v>44590</v>
      </c>
      <c r="H147" s="89" t="b">
        <v>1</v>
      </c>
      <c r="I147" s="89" t="b">
        <v>1</v>
      </c>
      <c r="J147" s="91" t="n">
        <v>45035</v>
      </c>
      <c r="K147" s="91">
        <f>IF(I147=TRUE,J147,"")</f>
        <v/>
      </c>
      <c r="L147" s="91">
        <f>G147+730</f>
        <v/>
      </c>
      <c r="M147" s="91" t="n">
        <v>45382</v>
      </c>
      <c r="N147" s="92">
        <f>IFERROR(IF(G147&lt;&gt;"",IF(I147=TRUE,0,IF(U147=TRUE,0,L147-M147)),0),0)</f>
        <v/>
      </c>
      <c r="O147" s="92">
        <f>IF(N147&gt;0,IF(N147&lt;=180,N147,0),0)</f>
        <v/>
      </c>
      <c r="P147" s="90">
        <f>IF(AND(N147&lt;90,N147&gt;0),Q147,0)</f>
        <v/>
      </c>
      <c r="Q147" s="90">
        <f>SUMIFS(Investors!$M:$M,Investors!$O:$O,FALSE,Investors!$P:$P,FALSE,Investors!$K:$K,"&gt;"&amp;'NSST Print'!$B$3,Investors!$I:$I,"&lt;="&amp;'NSST Print'!$B$3,Investors!$A:$A,'Investor Exit List'!$A147,Investors!$E:$E,'Investor Exit List'!$C147,Investors!$L:$L,'Investor Exit List'!$B147)-(SUMIFS(Investors!$M:$M,Investors!$I:$I,"&lt;="&amp;'NSST Print'!$B$3,Investors!$J:$J,"&gt;"&amp;'NSST Print'!$B$3,Investors!$A:$A,'Investor Exit List'!$A147,Investors!$E:$E,'Investor Exit List'!$C147,Investors!$L:$L,'Investor Exit List'!$B147)+SUMIFS(Investors!$M:$M,Investors!$I:$I,"&lt;="&amp;'NSST Print'!$B$3,Investors!$J:$J,"",Investors!$A:$A,'Investor Exit List'!$A147,Investors!$E:$E,'Investor Exit List'!$C147,Investors!$L:$L,'Investor Exit List'!$B147))+SUMIFS(Investors!$S:$S,Investors!$O:$O,FALSE,Investors!$P:$P,FALSE,Investors!$K:$K,"&gt;"&amp;'NSST Print'!$B$3,Investors!$I:$I,"&lt;="&amp;'NSST Print'!$B$3,Investors!$A:$A,'Investor Exit List'!$A147,Investors!$E:$E,'Investor Exit List'!$C147,Investors!$L:$L,'Investor Exit List'!$B147)-(SUMIFS(Investors!$S:$S,Investors!$I:$I,"&lt;="&amp;'NSST Print'!$B$3,Investors!$J:$J,"&gt;"&amp;'NSST Print'!$B$3,Investors!$A:$A,'Investor Exit List'!$A147,Investors!$E:$E,'Investor Exit List'!$C147,Investors!$L:$L,'Investor Exit List'!$B147)+SUMIFS(Investors!$S:$S,Investors!$I:$I,"&lt;="&amp;'NSST Print'!$B$3,Investors!$J:$J,"",Investors!$A:$A,'Investor Exit List'!$A147,Investors!$E:$E,'Investor Exit List'!$C147,Investors!$L:$L,'Investor Exit List'!$B147))</f>
        <v/>
      </c>
      <c r="R147" s="90">
        <f>IF(AND(H147=TRUE,I147=FALSE),Q147,0)</f>
        <v/>
      </c>
      <c r="S147" s="90">
        <f>SUMIFS(Investors!$M:$M,Investors!$O:$O,TRUE,Investors!$A:$A,'Investor Exit List'!$A147,Investors!$E:$E,'Investor Exit List'!$C147,Investors!$L:$L,'Investor Exit List'!$B147)+SUMIFS(Investors!$S:$S,Investors!$O:$O,TRUE,Investors!$A:$A,'Investor Exit List'!$A147,Investors!$E:$E,'Investor Exit List'!$C147,Investors!$L:$L,'Investor Exit List'!$B147)</f>
        <v/>
      </c>
      <c r="T147" s="91">
        <f>IF(U147=TRUE,$J147,"")</f>
        <v/>
      </c>
      <c r="U147" s="89" t="b">
        <v>0</v>
      </c>
      <c r="V147" s="90">
        <f>IF(AND(H147=TRUE,OR(K147="",K147&gt;M147)),S147,0)</f>
        <v/>
      </c>
      <c r="W147" s="89" t="n">
        <v>0</v>
      </c>
      <c r="X147" s="89" t="b">
        <v>0</v>
      </c>
    </row>
    <row r="148" hidden="1">
      <c r="A148" s="89" t="inlineStr">
        <is>
          <t>ZVOR01</t>
        </is>
      </c>
      <c r="B148" s="89" t="n">
        <v>4</v>
      </c>
      <c r="C148" s="89" t="inlineStr">
        <is>
          <t>HFB311</t>
        </is>
      </c>
      <c r="D148" s="89" t="inlineStr">
        <is>
          <t>B</t>
        </is>
      </c>
      <c r="E148" s="89" t="inlineStr">
        <is>
          <t xml:space="preserve">Vorster Sophia Maria Catharina </t>
        </is>
      </c>
      <c r="F148" s="90">
        <f>SUMIFS(Investors!$M:$M,Investors!$O:$O,FALSE,Investors!$P:$P,FALSE,Investors!$K:$K,"&gt;"&amp;'NSST Print'!$B$3,Investors!$I:$I,"&lt;="&amp;'NSST Print'!$B$3,Investors!$A:$A,'Investor Exit List'!$A148,Investors!$E:$E,'Investor Exit List'!$C148,Investors!$L:$L,'Investor Exit List'!$B148)-(SUMIFS(Investors!$M:$M,Investors!$I:$I,"&lt;="&amp;'NSST Print'!$B$3,Investors!$J:$J,"&gt;"&amp;'NSST Print'!$B$3,Investors!$A:$A,'Investor Exit List'!$A148,Investors!$E:$E,'Investor Exit List'!$C148,Investors!$L:$L,'Investor Exit List'!$B148)+SUMIFS(Investors!$M:$M,Investors!$I:$I,"&lt;="&amp;'NSST Print'!$B$3,Investors!$J:$J,"",Investors!$A:$A,'Investor Exit List'!$A148,Investors!$E:$E,'Investor Exit List'!$C148,Investors!$L:$L,'Investor Exit List'!$B148))</f>
        <v/>
      </c>
      <c r="G148" s="91" t="n">
        <v>44706</v>
      </c>
      <c r="H148" s="89" t="b">
        <v>1</v>
      </c>
      <c r="I148" s="89" t="b">
        <v>1</v>
      </c>
      <c r="J148" s="91" t="n">
        <v>45035</v>
      </c>
      <c r="K148" s="91">
        <f>IF(I148=TRUE,J148,"")</f>
        <v/>
      </c>
      <c r="L148" s="91">
        <f>G148+730</f>
        <v/>
      </c>
      <c r="M148" s="91" t="n">
        <v>45382</v>
      </c>
      <c r="N148" s="92">
        <f>IFERROR(IF(G148&lt;&gt;"",IF(I148=TRUE,0,IF(U148=TRUE,0,L148-M148)),0),0)</f>
        <v/>
      </c>
      <c r="O148" s="92">
        <f>IF(N148&gt;0,IF(N148&lt;=180,N148,0),0)</f>
        <v/>
      </c>
      <c r="P148" s="90">
        <f>IF(AND(N148&lt;90,N148&gt;0),Q148,0)</f>
        <v/>
      </c>
      <c r="Q148" s="90">
        <f>SUMIFS(Investors!$M:$M,Investors!$O:$O,FALSE,Investors!$P:$P,FALSE,Investors!$K:$K,"&gt;"&amp;'NSST Print'!$B$3,Investors!$I:$I,"&lt;="&amp;'NSST Print'!$B$3,Investors!$A:$A,'Investor Exit List'!$A148,Investors!$E:$E,'Investor Exit List'!$C148,Investors!$L:$L,'Investor Exit List'!$B148)-(SUMIFS(Investors!$M:$M,Investors!$I:$I,"&lt;="&amp;'NSST Print'!$B$3,Investors!$J:$J,"&gt;"&amp;'NSST Print'!$B$3,Investors!$A:$A,'Investor Exit List'!$A148,Investors!$E:$E,'Investor Exit List'!$C148,Investors!$L:$L,'Investor Exit List'!$B148)+SUMIFS(Investors!$M:$M,Investors!$I:$I,"&lt;="&amp;'NSST Print'!$B$3,Investors!$J:$J,"",Investors!$A:$A,'Investor Exit List'!$A148,Investors!$E:$E,'Investor Exit List'!$C148,Investors!$L:$L,'Investor Exit List'!$B148))+SUMIFS(Investors!$S:$S,Investors!$O:$O,FALSE,Investors!$P:$P,FALSE,Investors!$K:$K,"&gt;"&amp;'NSST Print'!$B$3,Investors!$I:$I,"&lt;="&amp;'NSST Print'!$B$3,Investors!$A:$A,'Investor Exit List'!$A148,Investors!$E:$E,'Investor Exit List'!$C148,Investors!$L:$L,'Investor Exit List'!$B148)-(SUMIFS(Investors!$S:$S,Investors!$I:$I,"&lt;="&amp;'NSST Print'!$B$3,Investors!$J:$J,"&gt;"&amp;'NSST Print'!$B$3,Investors!$A:$A,'Investor Exit List'!$A148,Investors!$E:$E,'Investor Exit List'!$C148,Investors!$L:$L,'Investor Exit List'!$B148)+SUMIFS(Investors!$S:$S,Investors!$I:$I,"&lt;="&amp;'NSST Print'!$B$3,Investors!$J:$J,"",Investors!$A:$A,'Investor Exit List'!$A148,Investors!$E:$E,'Investor Exit List'!$C148,Investors!$L:$L,'Investor Exit List'!$B148))</f>
        <v/>
      </c>
      <c r="R148" s="90">
        <f>IF(AND(H148=TRUE,I148=FALSE),Q148,0)</f>
        <v/>
      </c>
      <c r="S148" s="90">
        <f>SUMIFS(Investors!$M:$M,Investors!$O:$O,TRUE,Investors!$A:$A,'Investor Exit List'!$A148,Investors!$E:$E,'Investor Exit List'!$C148,Investors!$L:$L,'Investor Exit List'!$B148)+SUMIFS(Investors!$S:$S,Investors!$O:$O,TRUE,Investors!$A:$A,'Investor Exit List'!$A148,Investors!$E:$E,'Investor Exit List'!$C148,Investors!$L:$L,'Investor Exit List'!$B148)</f>
        <v/>
      </c>
      <c r="T148" s="91">
        <f>IF(U148=TRUE,$J148,"")</f>
        <v/>
      </c>
      <c r="U148" s="89" t="b">
        <v>0</v>
      </c>
      <c r="V148" s="90">
        <f>IF(AND(H148=TRUE,OR(K148="",K148&gt;M148)),S148,0)</f>
        <v/>
      </c>
      <c r="W148" s="89" t="n">
        <v>0</v>
      </c>
      <c r="X148" s="89" t="b">
        <v>0</v>
      </c>
    </row>
    <row r="149" hidden="1">
      <c r="A149" s="89" t="inlineStr">
        <is>
          <t>ZREN01</t>
        </is>
      </c>
      <c r="B149" s="89" t="n">
        <v>3</v>
      </c>
      <c r="C149" s="89" t="inlineStr">
        <is>
          <t>HFB312</t>
        </is>
      </c>
      <c r="D149" s="89" t="inlineStr">
        <is>
          <t>B</t>
        </is>
      </c>
      <c r="E149" s="89" t="inlineStr">
        <is>
          <t>van Rensburg Marlene Ann</t>
        </is>
      </c>
      <c r="F149" s="90">
        <f>SUMIFS(Investors!$M:$M,Investors!$O:$O,FALSE,Investors!$P:$P,FALSE,Investors!$K:$K,"&gt;"&amp;'NSST Print'!$B$3,Investors!$I:$I,"&lt;="&amp;'NSST Print'!$B$3,Investors!$A:$A,'Investor Exit List'!$A149,Investors!$E:$E,'Investor Exit List'!$C149,Investors!$L:$L,'Investor Exit List'!$B149)-(SUMIFS(Investors!$M:$M,Investors!$I:$I,"&lt;="&amp;'NSST Print'!$B$3,Investors!$J:$J,"&gt;"&amp;'NSST Print'!$B$3,Investors!$A:$A,'Investor Exit List'!$A149,Investors!$E:$E,'Investor Exit List'!$C149,Investors!$L:$L,'Investor Exit List'!$B149)+SUMIFS(Investors!$M:$M,Investors!$I:$I,"&lt;="&amp;'NSST Print'!$B$3,Investors!$J:$J,"",Investors!$A:$A,'Investor Exit List'!$A149,Investors!$E:$E,'Investor Exit List'!$C149,Investors!$L:$L,'Investor Exit List'!$B149))</f>
        <v/>
      </c>
      <c r="G149" s="91" t="n">
        <v>44581</v>
      </c>
      <c r="H149" s="89" t="b">
        <v>1</v>
      </c>
      <c r="I149" s="89" t="b">
        <v>1</v>
      </c>
      <c r="J149" s="91" t="n">
        <v>45027</v>
      </c>
      <c r="K149" s="91">
        <f>IF(I149=TRUE,J149,"")</f>
        <v/>
      </c>
      <c r="L149" s="91">
        <f>G149+730</f>
        <v/>
      </c>
      <c r="M149" s="91" t="n">
        <v>45382</v>
      </c>
      <c r="N149" s="92">
        <f>IFERROR(IF(G149&lt;&gt;"",IF(I149=TRUE,0,IF(U149=TRUE,0,L149-M149)),0),0)</f>
        <v/>
      </c>
      <c r="O149" s="92">
        <f>IF(N149&gt;0,IF(N149&lt;=180,N149,0),0)</f>
        <v/>
      </c>
      <c r="P149" s="90">
        <f>IF(AND(N149&lt;90,N149&gt;0),Q149,0)</f>
        <v/>
      </c>
      <c r="Q149" s="90">
        <f>SUMIFS(Investors!$M:$M,Investors!$O:$O,FALSE,Investors!$P:$P,FALSE,Investors!$K:$K,"&gt;"&amp;'NSST Print'!$B$3,Investors!$I:$I,"&lt;="&amp;'NSST Print'!$B$3,Investors!$A:$A,'Investor Exit List'!$A149,Investors!$E:$E,'Investor Exit List'!$C149,Investors!$L:$L,'Investor Exit List'!$B149)-(SUMIFS(Investors!$M:$M,Investors!$I:$I,"&lt;="&amp;'NSST Print'!$B$3,Investors!$J:$J,"&gt;"&amp;'NSST Print'!$B$3,Investors!$A:$A,'Investor Exit List'!$A149,Investors!$E:$E,'Investor Exit List'!$C149,Investors!$L:$L,'Investor Exit List'!$B149)+SUMIFS(Investors!$M:$M,Investors!$I:$I,"&lt;="&amp;'NSST Print'!$B$3,Investors!$J:$J,"",Investors!$A:$A,'Investor Exit List'!$A149,Investors!$E:$E,'Investor Exit List'!$C149,Investors!$L:$L,'Investor Exit List'!$B149))+SUMIFS(Investors!$S:$S,Investors!$O:$O,FALSE,Investors!$P:$P,FALSE,Investors!$K:$K,"&gt;"&amp;'NSST Print'!$B$3,Investors!$I:$I,"&lt;="&amp;'NSST Print'!$B$3,Investors!$A:$A,'Investor Exit List'!$A149,Investors!$E:$E,'Investor Exit List'!$C149,Investors!$L:$L,'Investor Exit List'!$B149)-(SUMIFS(Investors!$S:$S,Investors!$I:$I,"&lt;="&amp;'NSST Print'!$B$3,Investors!$J:$J,"&gt;"&amp;'NSST Print'!$B$3,Investors!$A:$A,'Investor Exit List'!$A149,Investors!$E:$E,'Investor Exit List'!$C149,Investors!$L:$L,'Investor Exit List'!$B149)+SUMIFS(Investors!$S:$S,Investors!$I:$I,"&lt;="&amp;'NSST Print'!$B$3,Investors!$J:$J,"",Investors!$A:$A,'Investor Exit List'!$A149,Investors!$E:$E,'Investor Exit List'!$C149,Investors!$L:$L,'Investor Exit List'!$B149))</f>
        <v/>
      </c>
      <c r="R149" s="90">
        <f>IF(AND(H149=TRUE,I149=FALSE),Q149,0)</f>
        <v/>
      </c>
      <c r="S149" s="90">
        <f>SUMIFS(Investors!$M:$M,Investors!$O:$O,TRUE,Investors!$A:$A,'Investor Exit List'!$A149,Investors!$E:$E,'Investor Exit List'!$C149,Investors!$L:$L,'Investor Exit List'!$B149)+SUMIFS(Investors!$S:$S,Investors!$O:$O,TRUE,Investors!$A:$A,'Investor Exit List'!$A149,Investors!$E:$E,'Investor Exit List'!$C149,Investors!$L:$L,'Investor Exit List'!$B149)</f>
        <v/>
      </c>
      <c r="T149" s="91">
        <f>IF(U149=TRUE,$J149,"")</f>
        <v/>
      </c>
      <c r="U149" s="89" t="b">
        <v>0</v>
      </c>
      <c r="V149" s="90">
        <f>IF(AND(H149=TRUE,OR(K149="",K149&gt;M149)),S149,0)</f>
        <v/>
      </c>
      <c r="W149" s="89" t="n">
        <v>0</v>
      </c>
      <c r="X149" s="89" t="b">
        <v>0</v>
      </c>
    </row>
    <row r="150" hidden="1">
      <c r="A150" s="89" t="inlineStr">
        <is>
          <t>ZCON01</t>
        </is>
      </c>
      <c r="B150" s="89" t="n">
        <v>1</v>
      </c>
      <c r="C150" s="89" t="inlineStr">
        <is>
          <t>HFB313</t>
        </is>
      </c>
      <c r="D150" s="89" t="inlineStr">
        <is>
          <t>B</t>
        </is>
      </c>
      <c r="E150" s="89" t="inlineStr">
        <is>
          <t>Conradie Gerhard Lotter</t>
        </is>
      </c>
      <c r="F150" s="90">
        <f>SUMIFS(Investors!$M:$M,Investors!$O:$O,FALSE,Investors!$P:$P,FALSE,Investors!$K:$K,"&gt;"&amp;'NSST Print'!$B$3,Investors!$I:$I,"&lt;="&amp;'NSST Print'!$B$3,Investors!$A:$A,'Investor Exit List'!$A150,Investors!$E:$E,'Investor Exit List'!$C150,Investors!$L:$L,'Investor Exit List'!$B150)-(SUMIFS(Investors!$M:$M,Investors!$I:$I,"&lt;="&amp;'NSST Print'!$B$3,Investors!$J:$J,"&gt;"&amp;'NSST Print'!$B$3,Investors!$A:$A,'Investor Exit List'!$A150,Investors!$E:$E,'Investor Exit List'!$C150,Investors!$L:$L,'Investor Exit List'!$B150)+SUMIFS(Investors!$M:$M,Investors!$I:$I,"&lt;="&amp;'NSST Print'!$B$3,Investors!$J:$J,"",Investors!$A:$A,'Investor Exit List'!$A150,Investors!$E:$E,'Investor Exit List'!$C150,Investors!$L:$L,'Investor Exit List'!$B150))</f>
        <v/>
      </c>
      <c r="G150" s="91" t="n">
        <v>44650</v>
      </c>
      <c r="H150" s="89" t="b">
        <v>1</v>
      </c>
      <c r="I150" s="89" t="b">
        <v>1</v>
      </c>
      <c r="J150" s="91" t="n">
        <v>45051</v>
      </c>
      <c r="K150" s="91">
        <f>IF(I150=TRUE,J150,"")</f>
        <v/>
      </c>
      <c r="L150" s="91">
        <f>G150+730</f>
        <v/>
      </c>
      <c r="M150" s="91" t="n">
        <v>45382</v>
      </c>
      <c r="N150" s="92">
        <f>IFERROR(IF(G150&lt;&gt;"",IF(I150=TRUE,0,IF(U150=TRUE,0,L150-M150)),0),0)</f>
        <v/>
      </c>
      <c r="O150" s="92">
        <f>IF(N150&gt;0,IF(N150&lt;=180,N150,0),0)</f>
        <v/>
      </c>
      <c r="P150" s="90">
        <f>IF(AND(N150&lt;90,N150&gt;0),Q150,0)</f>
        <v/>
      </c>
      <c r="Q150" s="90">
        <f>SUMIFS(Investors!$M:$M,Investors!$O:$O,FALSE,Investors!$P:$P,FALSE,Investors!$K:$K,"&gt;"&amp;'NSST Print'!$B$3,Investors!$I:$I,"&lt;="&amp;'NSST Print'!$B$3,Investors!$A:$A,'Investor Exit List'!$A150,Investors!$E:$E,'Investor Exit List'!$C150,Investors!$L:$L,'Investor Exit List'!$B150)-(SUMIFS(Investors!$M:$M,Investors!$I:$I,"&lt;="&amp;'NSST Print'!$B$3,Investors!$J:$J,"&gt;"&amp;'NSST Print'!$B$3,Investors!$A:$A,'Investor Exit List'!$A150,Investors!$E:$E,'Investor Exit List'!$C150,Investors!$L:$L,'Investor Exit List'!$B150)+SUMIFS(Investors!$M:$M,Investors!$I:$I,"&lt;="&amp;'NSST Print'!$B$3,Investors!$J:$J,"",Investors!$A:$A,'Investor Exit List'!$A150,Investors!$E:$E,'Investor Exit List'!$C150,Investors!$L:$L,'Investor Exit List'!$B150))+SUMIFS(Investors!$S:$S,Investors!$O:$O,FALSE,Investors!$P:$P,FALSE,Investors!$K:$K,"&gt;"&amp;'NSST Print'!$B$3,Investors!$I:$I,"&lt;="&amp;'NSST Print'!$B$3,Investors!$A:$A,'Investor Exit List'!$A150,Investors!$E:$E,'Investor Exit List'!$C150,Investors!$L:$L,'Investor Exit List'!$B150)-(SUMIFS(Investors!$S:$S,Investors!$I:$I,"&lt;="&amp;'NSST Print'!$B$3,Investors!$J:$J,"&gt;"&amp;'NSST Print'!$B$3,Investors!$A:$A,'Investor Exit List'!$A150,Investors!$E:$E,'Investor Exit List'!$C150,Investors!$L:$L,'Investor Exit List'!$B150)+SUMIFS(Investors!$S:$S,Investors!$I:$I,"&lt;="&amp;'NSST Print'!$B$3,Investors!$J:$J,"",Investors!$A:$A,'Investor Exit List'!$A150,Investors!$E:$E,'Investor Exit List'!$C150,Investors!$L:$L,'Investor Exit List'!$B150))</f>
        <v/>
      </c>
      <c r="R150" s="90">
        <f>IF(AND(H150=TRUE,I150=FALSE),Q150,0)</f>
        <v/>
      </c>
      <c r="S150" s="90">
        <f>SUMIFS(Investors!$M:$M,Investors!$O:$O,TRUE,Investors!$A:$A,'Investor Exit List'!$A150,Investors!$E:$E,'Investor Exit List'!$C150,Investors!$L:$L,'Investor Exit List'!$B150)+SUMIFS(Investors!$S:$S,Investors!$O:$O,TRUE,Investors!$A:$A,'Investor Exit List'!$A150,Investors!$E:$E,'Investor Exit List'!$C150,Investors!$L:$L,'Investor Exit List'!$B150)</f>
        <v/>
      </c>
      <c r="T150" s="91">
        <f>IF(U150=TRUE,$J150,"")</f>
        <v/>
      </c>
      <c r="U150" s="89" t="b">
        <v>0</v>
      </c>
      <c r="V150" s="90">
        <f>IF(AND(H150=TRUE,OR(K150="",K150&gt;M150)),S150,0)</f>
        <v/>
      </c>
      <c r="W150" s="89" t="n">
        <v>0</v>
      </c>
      <c r="X150" s="89" t="b">
        <v>0</v>
      </c>
    </row>
    <row r="151" hidden="1">
      <c r="A151" s="89" t="inlineStr">
        <is>
          <t>ZCON01</t>
        </is>
      </c>
      <c r="B151" s="89" t="n">
        <v>2</v>
      </c>
      <c r="C151" s="89" t="inlineStr">
        <is>
          <t>HVC101</t>
        </is>
      </c>
      <c r="D151" s="89" t="inlineStr">
        <is>
          <t>C</t>
        </is>
      </c>
      <c r="E151" s="89" t="inlineStr">
        <is>
          <t>Conradie Gerhard Lotter</t>
        </is>
      </c>
      <c r="F151" s="90">
        <f>SUMIFS(Investors!$M:$M,Investors!$O:$O,FALSE,Investors!$P:$P,FALSE,Investors!$K:$K,"&gt;"&amp;'NSST Print'!$B$3,Investors!$I:$I,"&lt;="&amp;'NSST Print'!$B$3,Investors!$A:$A,'Investor Exit List'!$A151,Investors!$E:$E,'Investor Exit List'!$C151,Investors!$L:$L,'Investor Exit List'!$B151)-(SUMIFS(Investors!$M:$M,Investors!$I:$I,"&lt;="&amp;'NSST Print'!$B$3,Investors!$J:$J,"&gt;"&amp;'NSST Print'!$B$3,Investors!$A:$A,'Investor Exit List'!$A151,Investors!$E:$E,'Investor Exit List'!$C151,Investors!$L:$L,'Investor Exit List'!$B151)+SUMIFS(Investors!$M:$M,Investors!$I:$I,"&lt;="&amp;'NSST Print'!$B$3,Investors!$J:$J,"",Investors!$A:$A,'Investor Exit List'!$A151,Investors!$E:$E,'Investor Exit List'!$C151,Investors!$L:$L,'Investor Exit List'!$B151))</f>
        <v/>
      </c>
      <c r="G151" s="91" t="n">
        <v>44681</v>
      </c>
      <c r="H151" s="89" t="b">
        <v>1</v>
      </c>
      <c r="I151" s="89" t="b">
        <v>1</v>
      </c>
      <c r="J151" s="91" t="n">
        <v>45154</v>
      </c>
      <c r="K151" s="91">
        <f>IF(I151=TRUE,J151,"")</f>
        <v/>
      </c>
      <c r="L151" s="91">
        <f>G151+730</f>
        <v/>
      </c>
      <c r="M151" s="91" t="n">
        <v>45382</v>
      </c>
      <c r="N151" s="92">
        <f>IFERROR(IF(G151&lt;&gt;"",IF(I151=TRUE,0,IF(U151=TRUE,0,L151-M151)),0),0)</f>
        <v/>
      </c>
      <c r="O151" s="92">
        <f>IF(N151&gt;0,IF(N151&lt;=180,N151,0),0)</f>
        <v/>
      </c>
      <c r="P151" s="90">
        <f>IF(AND(N151&lt;90,N151&gt;0),Q151,0)</f>
        <v/>
      </c>
      <c r="Q151" s="90">
        <f>SUMIFS(Investors!$M:$M,Investors!$O:$O,FALSE,Investors!$P:$P,FALSE,Investors!$K:$K,"&gt;"&amp;'NSST Print'!$B$3,Investors!$I:$I,"&lt;="&amp;'NSST Print'!$B$3,Investors!$A:$A,'Investor Exit List'!$A151,Investors!$E:$E,'Investor Exit List'!$C151,Investors!$L:$L,'Investor Exit List'!$B151)-(SUMIFS(Investors!$M:$M,Investors!$I:$I,"&lt;="&amp;'NSST Print'!$B$3,Investors!$J:$J,"&gt;"&amp;'NSST Print'!$B$3,Investors!$A:$A,'Investor Exit List'!$A151,Investors!$E:$E,'Investor Exit List'!$C151,Investors!$L:$L,'Investor Exit List'!$B151)+SUMIFS(Investors!$M:$M,Investors!$I:$I,"&lt;="&amp;'NSST Print'!$B$3,Investors!$J:$J,"",Investors!$A:$A,'Investor Exit List'!$A151,Investors!$E:$E,'Investor Exit List'!$C151,Investors!$L:$L,'Investor Exit List'!$B151))+SUMIFS(Investors!$S:$S,Investors!$O:$O,FALSE,Investors!$P:$P,FALSE,Investors!$K:$K,"&gt;"&amp;'NSST Print'!$B$3,Investors!$I:$I,"&lt;="&amp;'NSST Print'!$B$3,Investors!$A:$A,'Investor Exit List'!$A151,Investors!$E:$E,'Investor Exit List'!$C151,Investors!$L:$L,'Investor Exit List'!$B151)-(SUMIFS(Investors!$S:$S,Investors!$I:$I,"&lt;="&amp;'NSST Print'!$B$3,Investors!$J:$J,"&gt;"&amp;'NSST Print'!$B$3,Investors!$A:$A,'Investor Exit List'!$A151,Investors!$E:$E,'Investor Exit List'!$C151,Investors!$L:$L,'Investor Exit List'!$B151)+SUMIFS(Investors!$S:$S,Investors!$I:$I,"&lt;="&amp;'NSST Print'!$B$3,Investors!$J:$J,"",Investors!$A:$A,'Investor Exit List'!$A151,Investors!$E:$E,'Investor Exit List'!$C151,Investors!$L:$L,'Investor Exit List'!$B151))</f>
        <v/>
      </c>
      <c r="R151" s="90">
        <f>IF(AND(H151=TRUE,I151=FALSE),Q151,0)</f>
        <v/>
      </c>
      <c r="S151" s="90">
        <f>SUMIFS(Investors!$M:$M,Investors!$O:$O,TRUE,Investors!$A:$A,'Investor Exit List'!$A151,Investors!$E:$E,'Investor Exit List'!$C151,Investors!$L:$L,'Investor Exit List'!$B151)+SUMIFS(Investors!$S:$S,Investors!$O:$O,TRUE,Investors!$A:$A,'Investor Exit List'!$A151,Investors!$E:$E,'Investor Exit List'!$C151,Investors!$L:$L,'Investor Exit List'!$B151)</f>
        <v/>
      </c>
      <c r="T151" s="91">
        <f>IF(U151=TRUE,$J151,"")</f>
        <v/>
      </c>
      <c r="U151" s="89" t="b">
        <v>0</v>
      </c>
      <c r="V151" s="90">
        <f>IF(AND(H151=TRUE,OR(K151="",K151&gt;M151)),S151,0)</f>
        <v/>
      </c>
      <c r="W151" s="89" t="n">
        <v>0</v>
      </c>
      <c r="X151" s="89" t="b">
        <v>0</v>
      </c>
    </row>
    <row r="152" hidden="1">
      <c r="A152" s="89" t="inlineStr">
        <is>
          <t>ZDEH01</t>
        </is>
      </c>
      <c r="B152" s="89" t="n">
        <v>2</v>
      </c>
      <c r="C152" s="89" t="inlineStr">
        <is>
          <t>HVC101</t>
        </is>
      </c>
      <c r="D152" s="89" t="inlineStr">
        <is>
          <t>C</t>
        </is>
      </c>
      <c r="E152" s="89" t="inlineStr">
        <is>
          <t>Oberholzer Charl</t>
        </is>
      </c>
      <c r="F152" s="90">
        <f>SUMIFS(Investors!$M:$M,Investors!$O:$O,FALSE,Investors!$P:$P,FALSE,Investors!$K:$K,"&gt;"&amp;'NSST Print'!$B$3,Investors!$I:$I,"&lt;="&amp;'NSST Print'!$B$3,Investors!$A:$A,'Investor Exit List'!$A152,Investors!$E:$E,'Investor Exit List'!$C152,Investors!$L:$L,'Investor Exit List'!$B152)-(SUMIFS(Investors!$M:$M,Investors!$I:$I,"&lt;="&amp;'NSST Print'!$B$3,Investors!$J:$J,"&gt;"&amp;'NSST Print'!$B$3,Investors!$A:$A,'Investor Exit List'!$A152,Investors!$E:$E,'Investor Exit List'!$C152,Investors!$L:$L,'Investor Exit List'!$B152)+SUMIFS(Investors!$M:$M,Investors!$I:$I,"&lt;="&amp;'NSST Print'!$B$3,Investors!$J:$J,"",Investors!$A:$A,'Investor Exit List'!$A152,Investors!$E:$E,'Investor Exit List'!$C152,Investors!$L:$L,'Investor Exit List'!$B152))</f>
        <v/>
      </c>
      <c r="G152" s="91" t="n">
        <v>44889</v>
      </c>
      <c r="H152" s="89" t="b">
        <v>1</v>
      </c>
      <c r="I152" s="89" t="b">
        <v>1</v>
      </c>
      <c r="J152" s="91" t="n">
        <v>45154</v>
      </c>
      <c r="K152" s="91">
        <f>IF(I152=TRUE,J152,"")</f>
        <v/>
      </c>
      <c r="L152" s="91">
        <f>G152+730</f>
        <v/>
      </c>
      <c r="M152" s="91" t="n">
        <v>45382</v>
      </c>
      <c r="N152" s="92">
        <f>IFERROR(IF(G152&lt;&gt;"",IF(I152=TRUE,0,IF(U152=TRUE,0,L152-M152)),0),0)</f>
        <v/>
      </c>
      <c r="O152" s="92">
        <f>IF(N152&gt;0,IF(N152&lt;=180,N152,0),0)</f>
        <v/>
      </c>
      <c r="P152" s="90">
        <f>IF(AND(N152&lt;90,N152&gt;0),Q152,0)</f>
        <v/>
      </c>
      <c r="Q152" s="90">
        <f>SUMIFS(Investors!$M:$M,Investors!$O:$O,FALSE,Investors!$P:$P,FALSE,Investors!$K:$K,"&gt;"&amp;'NSST Print'!$B$3,Investors!$I:$I,"&lt;="&amp;'NSST Print'!$B$3,Investors!$A:$A,'Investor Exit List'!$A152,Investors!$E:$E,'Investor Exit List'!$C152,Investors!$L:$L,'Investor Exit List'!$B152)-(SUMIFS(Investors!$M:$M,Investors!$I:$I,"&lt;="&amp;'NSST Print'!$B$3,Investors!$J:$J,"&gt;"&amp;'NSST Print'!$B$3,Investors!$A:$A,'Investor Exit List'!$A152,Investors!$E:$E,'Investor Exit List'!$C152,Investors!$L:$L,'Investor Exit List'!$B152)+SUMIFS(Investors!$M:$M,Investors!$I:$I,"&lt;="&amp;'NSST Print'!$B$3,Investors!$J:$J,"",Investors!$A:$A,'Investor Exit List'!$A152,Investors!$E:$E,'Investor Exit List'!$C152,Investors!$L:$L,'Investor Exit List'!$B152))+SUMIFS(Investors!$S:$S,Investors!$O:$O,FALSE,Investors!$P:$P,FALSE,Investors!$K:$K,"&gt;"&amp;'NSST Print'!$B$3,Investors!$I:$I,"&lt;="&amp;'NSST Print'!$B$3,Investors!$A:$A,'Investor Exit List'!$A152,Investors!$E:$E,'Investor Exit List'!$C152,Investors!$L:$L,'Investor Exit List'!$B152)-(SUMIFS(Investors!$S:$S,Investors!$I:$I,"&lt;="&amp;'NSST Print'!$B$3,Investors!$J:$J,"&gt;"&amp;'NSST Print'!$B$3,Investors!$A:$A,'Investor Exit List'!$A152,Investors!$E:$E,'Investor Exit List'!$C152,Investors!$L:$L,'Investor Exit List'!$B152)+SUMIFS(Investors!$S:$S,Investors!$I:$I,"&lt;="&amp;'NSST Print'!$B$3,Investors!$J:$J,"",Investors!$A:$A,'Investor Exit List'!$A152,Investors!$E:$E,'Investor Exit List'!$C152,Investors!$L:$L,'Investor Exit List'!$B152))</f>
        <v/>
      </c>
      <c r="R152" s="90">
        <f>IF(AND(H152=TRUE,I152=FALSE),Q152,0)</f>
        <v/>
      </c>
      <c r="S152" s="90">
        <f>SUMIFS(Investors!$M:$M,Investors!$O:$O,TRUE,Investors!$A:$A,'Investor Exit List'!$A152,Investors!$E:$E,'Investor Exit List'!$C152,Investors!$L:$L,'Investor Exit List'!$B152)+SUMIFS(Investors!$S:$S,Investors!$O:$O,TRUE,Investors!$A:$A,'Investor Exit List'!$A152,Investors!$E:$E,'Investor Exit List'!$C152,Investors!$L:$L,'Investor Exit List'!$B152)</f>
        <v/>
      </c>
      <c r="T152" s="91">
        <f>IF(U152=TRUE,$J152,"")</f>
        <v/>
      </c>
      <c r="U152" s="89" t="b">
        <v>0</v>
      </c>
      <c r="V152" s="90">
        <f>IF(AND(H152=TRUE,OR(K152="",K152&gt;M152)),S152,0)</f>
        <v/>
      </c>
      <c r="W152" s="89" t="n">
        <v>0</v>
      </c>
      <c r="X152" s="89" t="b">
        <v>0</v>
      </c>
    </row>
    <row r="153" hidden="1">
      <c r="A153" s="89" t="inlineStr">
        <is>
          <t>ZERA02</t>
        </is>
      </c>
      <c r="B153" s="89" t="n">
        <v>2</v>
      </c>
      <c r="C153" s="89" t="inlineStr">
        <is>
          <t>HVC101</t>
        </is>
      </c>
      <c r="D153" s="89" t="inlineStr">
        <is>
          <t>C</t>
        </is>
      </c>
      <c r="E153" s="89" t="inlineStr">
        <is>
          <t>Erasmus Chantal Celeste Jafthaleen</t>
        </is>
      </c>
      <c r="F153" s="90">
        <f>SUMIFS(Investors!$M:$M,Investors!$O:$O,FALSE,Investors!$P:$P,FALSE,Investors!$K:$K,"&gt;"&amp;'NSST Print'!$B$3,Investors!$I:$I,"&lt;="&amp;'NSST Print'!$B$3,Investors!$A:$A,'Investor Exit List'!$A153,Investors!$E:$E,'Investor Exit List'!$C153,Investors!$L:$L,'Investor Exit List'!$B153)-(SUMIFS(Investors!$M:$M,Investors!$I:$I,"&lt;="&amp;'NSST Print'!$B$3,Investors!$J:$J,"&gt;"&amp;'NSST Print'!$B$3,Investors!$A:$A,'Investor Exit List'!$A153,Investors!$E:$E,'Investor Exit List'!$C153,Investors!$L:$L,'Investor Exit List'!$B153)+SUMIFS(Investors!$M:$M,Investors!$I:$I,"&lt;="&amp;'NSST Print'!$B$3,Investors!$J:$J,"",Investors!$A:$A,'Investor Exit List'!$A153,Investors!$E:$E,'Investor Exit List'!$C153,Investors!$L:$L,'Investor Exit List'!$B153))</f>
        <v/>
      </c>
      <c r="G153" s="91" t="n">
        <v>44889</v>
      </c>
      <c r="H153" s="89" t="b">
        <v>1</v>
      </c>
      <c r="I153" s="89" t="b">
        <v>1</v>
      </c>
      <c r="J153" s="91" t="n">
        <v>45154</v>
      </c>
      <c r="K153" s="91">
        <f>IF(I153=TRUE,J153,"")</f>
        <v/>
      </c>
      <c r="L153" s="91">
        <f>G153+730</f>
        <v/>
      </c>
      <c r="M153" s="91" t="n">
        <v>45382</v>
      </c>
      <c r="N153" s="92">
        <f>IFERROR(IF(G153&lt;&gt;"",IF(I153=TRUE,0,IF(U153=TRUE,0,L153-M153)),0),0)</f>
        <v/>
      </c>
      <c r="O153" s="92">
        <f>IF(N153&gt;0,IF(N153&lt;=180,N153,0),0)</f>
        <v/>
      </c>
      <c r="P153" s="90">
        <f>IF(AND(N153&lt;90,N153&gt;0),Q153,0)</f>
        <v/>
      </c>
      <c r="Q153" s="90">
        <f>SUMIFS(Investors!$M:$M,Investors!$O:$O,FALSE,Investors!$P:$P,FALSE,Investors!$K:$K,"&gt;"&amp;'NSST Print'!$B$3,Investors!$I:$I,"&lt;="&amp;'NSST Print'!$B$3,Investors!$A:$A,'Investor Exit List'!$A153,Investors!$E:$E,'Investor Exit List'!$C153,Investors!$L:$L,'Investor Exit List'!$B153)-(SUMIFS(Investors!$M:$M,Investors!$I:$I,"&lt;="&amp;'NSST Print'!$B$3,Investors!$J:$J,"&gt;"&amp;'NSST Print'!$B$3,Investors!$A:$A,'Investor Exit List'!$A153,Investors!$E:$E,'Investor Exit List'!$C153,Investors!$L:$L,'Investor Exit List'!$B153)+SUMIFS(Investors!$M:$M,Investors!$I:$I,"&lt;="&amp;'NSST Print'!$B$3,Investors!$J:$J,"",Investors!$A:$A,'Investor Exit List'!$A153,Investors!$E:$E,'Investor Exit List'!$C153,Investors!$L:$L,'Investor Exit List'!$B153))+SUMIFS(Investors!$S:$S,Investors!$O:$O,FALSE,Investors!$P:$P,FALSE,Investors!$K:$K,"&gt;"&amp;'NSST Print'!$B$3,Investors!$I:$I,"&lt;="&amp;'NSST Print'!$B$3,Investors!$A:$A,'Investor Exit List'!$A153,Investors!$E:$E,'Investor Exit List'!$C153,Investors!$L:$L,'Investor Exit List'!$B153)-(SUMIFS(Investors!$S:$S,Investors!$I:$I,"&lt;="&amp;'NSST Print'!$B$3,Investors!$J:$J,"&gt;"&amp;'NSST Print'!$B$3,Investors!$A:$A,'Investor Exit List'!$A153,Investors!$E:$E,'Investor Exit List'!$C153,Investors!$L:$L,'Investor Exit List'!$B153)+SUMIFS(Investors!$S:$S,Investors!$I:$I,"&lt;="&amp;'NSST Print'!$B$3,Investors!$J:$J,"",Investors!$A:$A,'Investor Exit List'!$A153,Investors!$E:$E,'Investor Exit List'!$C153,Investors!$L:$L,'Investor Exit List'!$B153))</f>
        <v/>
      </c>
      <c r="R153" s="90">
        <f>IF(AND(H153=TRUE,I153=FALSE),Q153,0)</f>
        <v/>
      </c>
      <c r="S153" s="90">
        <f>SUMIFS(Investors!$M:$M,Investors!$O:$O,TRUE,Investors!$A:$A,'Investor Exit List'!$A153,Investors!$E:$E,'Investor Exit List'!$C153,Investors!$L:$L,'Investor Exit List'!$B153)+SUMIFS(Investors!$S:$S,Investors!$O:$O,TRUE,Investors!$A:$A,'Investor Exit List'!$A153,Investors!$E:$E,'Investor Exit List'!$C153,Investors!$L:$L,'Investor Exit List'!$B153)</f>
        <v/>
      </c>
      <c r="T153" s="91">
        <f>IF(U153=TRUE,$J153,"")</f>
        <v/>
      </c>
      <c r="U153" s="89" t="b">
        <v>0</v>
      </c>
      <c r="V153" s="90">
        <f>IF(AND(H153=TRUE,OR(K153="",K153&gt;M153)),S153,0)</f>
        <v/>
      </c>
      <c r="W153" s="89" t="n">
        <v>0</v>
      </c>
      <c r="X153" s="89" t="b">
        <v>0</v>
      </c>
    </row>
    <row r="154" hidden="1">
      <c r="A154" s="89" t="inlineStr">
        <is>
          <t>ZKRI02</t>
        </is>
      </c>
      <c r="B154" s="89" t="n">
        <v>2</v>
      </c>
      <c r="C154" s="89" t="inlineStr">
        <is>
          <t>HVC102</t>
        </is>
      </c>
      <c r="D154" s="89" t="inlineStr">
        <is>
          <t>C</t>
        </is>
      </c>
      <c r="E154" s="89" t="inlineStr">
        <is>
          <t>Kriel Hermanus Johannes</t>
        </is>
      </c>
      <c r="F154" s="90">
        <f>SUMIFS(Investors!$M:$M,Investors!$O:$O,FALSE,Investors!$P:$P,FALSE,Investors!$K:$K,"&gt;"&amp;'NSST Print'!$B$3,Investors!$I:$I,"&lt;="&amp;'NSST Print'!$B$3,Investors!$A:$A,'Investor Exit List'!$A154,Investors!$E:$E,'Investor Exit List'!$C154,Investors!$L:$L,'Investor Exit List'!$B154)-(SUMIFS(Investors!$M:$M,Investors!$I:$I,"&lt;="&amp;'NSST Print'!$B$3,Investors!$J:$J,"&gt;"&amp;'NSST Print'!$B$3,Investors!$A:$A,'Investor Exit List'!$A154,Investors!$E:$E,'Investor Exit List'!$C154,Investors!$L:$L,'Investor Exit List'!$B154)+SUMIFS(Investors!$M:$M,Investors!$I:$I,"&lt;="&amp;'NSST Print'!$B$3,Investors!$J:$J,"",Investors!$A:$A,'Investor Exit List'!$A154,Investors!$E:$E,'Investor Exit List'!$C154,Investors!$L:$L,'Investor Exit List'!$B154))</f>
        <v/>
      </c>
      <c r="G154" s="91" t="n">
        <v>44861</v>
      </c>
      <c r="H154" s="89" t="b">
        <v>1</v>
      </c>
      <c r="I154" s="89" t="b">
        <v>1</v>
      </c>
      <c r="J154" s="91" t="n">
        <v>45154</v>
      </c>
      <c r="K154" s="91">
        <f>IF(I154=TRUE,J154,"")</f>
        <v/>
      </c>
      <c r="L154" s="91">
        <f>G154+730</f>
        <v/>
      </c>
      <c r="M154" s="91" t="n">
        <v>45382</v>
      </c>
      <c r="N154" s="92">
        <f>IFERROR(IF(G154&lt;&gt;"",IF(I154=TRUE,0,IF(U154=TRUE,0,L154-M154)),0),0)</f>
        <v/>
      </c>
      <c r="O154" s="92">
        <f>IF(N154&gt;0,IF(N154&lt;=180,N154,0),0)</f>
        <v/>
      </c>
      <c r="P154" s="90">
        <f>IF(AND(N154&lt;90,N154&gt;0),Q154,0)</f>
        <v/>
      </c>
      <c r="Q154" s="90">
        <f>SUMIFS(Investors!$M:$M,Investors!$O:$O,FALSE,Investors!$P:$P,FALSE,Investors!$K:$K,"&gt;"&amp;'NSST Print'!$B$3,Investors!$I:$I,"&lt;="&amp;'NSST Print'!$B$3,Investors!$A:$A,'Investor Exit List'!$A154,Investors!$E:$E,'Investor Exit List'!$C154,Investors!$L:$L,'Investor Exit List'!$B154)-(SUMIFS(Investors!$M:$M,Investors!$I:$I,"&lt;="&amp;'NSST Print'!$B$3,Investors!$J:$J,"&gt;"&amp;'NSST Print'!$B$3,Investors!$A:$A,'Investor Exit List'!$A154,Investors!$E:$E,'Investor Exit List'!$C154,Investors!$L:$L,'Investor Exit List'!$B154)+SUMIFS(Investors!$M:$M,Investors!$I:$I,"&lt;="&amp;'NSST Print'!$B$3,Investors!$J:$J,"",Investors!$A:$A,'Investor Exit List'!$A154,Investors!$E:$E,'Investor Exit List'!$C154,Investors!$L:$L,'Investor Exit List'!$B154))+SUMIFS(Investors!$S:$S,Investors!$O:$O,FALSE,Investors!$P:$P,FALSE,Investors!$K:$K,"&gt;"&amp;'NSST Print'!$B$3,Investors!$I:$I,"&lt;="&amp;'NSST Print'!$B$3,Investors!$A:$A,'Investor Exit List'!$A154,Investors!$E:$E,'Investor Exit List'!$C154,Investors!$L:$L,'Investor Exit List'!$B154)-(SUMIFS(Investors!$S:$S,Investors!$I:$I,"&lt;="&amp;'NSST Print'!$B$3,Investors!$J:$J,"&gt;"&amp;'NSST Print'!$B$3,Investors!$A:$A,'Investor Exit List'!$A154,Investors!$E:$E,'Investor Exit List'!$C154,Investors!$L:$L,'Investor Exit List'!$B154)+SUMIFS(Investors!$S:$S,Investors!$I:$I,"&lt;="&amp;'NSST Print'!$B$3,Investors!$J:$J,"",Investors!$A:$A,'Investor Exit List'!$A154,Investors!$E:$E,'Investor Exit List'!$C154,Investors!$L:$L,'Investor Exit List'!$B154))</f>
        <v/>
      </c>
      <c r="R154" s="90">
        <f>IF(AND(H154=TRUE,I154=FALSE),Q154,0)</f>
        <v/>
      </c>
      <c r="S154" s="90">
        <f>SUMIFS(Investors!$M:$M,Investors!$O:$O,TRUE,Investors!$A:$A,'Investor Exit List'!$A154,Investors!$E:$E,'Investor Exit List'!$C154,Investors!$L:$L,'Investor Exit List'!$B154)+SUMIFS(Investors!$S:$S,Investors!$O:$O,TRUE,Investors!$A:$A,'Investor Exit List'!$A154,Investors!$E:$E,'Investor Exit List'!$C154,Investors!$L:$L,'Investor Exit List'!$B154)</f>
        <v/>
      </c>
      <c r="T154" s="91">
        <f>IF(U154=TRUE,$J154,"")</f>
        <v/>
      </c>
      <c r="U154" s="89" t="b">
        <v>0</v>
      </c>
      <c r="V154" s="90">
        <f>IF(AND(H154=TRUE,OR(K154="",K154&gt;M154)),S154,0)</f>
        <v/>
      </c>
      <c r="W154" s="89" t="n">
        <v>0</v>
      </c>
      <c r="X154" s="89" t="b">
        <v>0</v>
      </c>
    </row>
    <row r="155" hidden="1">
      <c r="A155" s="89" t="inlineStr">
        <is>
          <t>ZDEV01</t>
        </is>
      </c>
      <c r="B155" s="89" t="n">
        <v>1</v>
      </c>
      <c r="C155" s="89" t="inlineStr">
        <is>
          <t>HVC103</t>
        </is>
      </c>
      <c r="D155" s="89" t="inlineStr">
        <is>
          <t>C</t>
        </is>
      </c>
      <c r="E155" s="89" t="inlineStr">
        <is>
          <t>de Villiers Andre Deric</t>
        </is>
      </c>
      <c r="F155" s="90">
        <f>SUMIFS(Investors!$M:$M,Investors!$O:$O,FALSE,Investors!$P:$P,FALSE,Investors!$K:$K,"&gt;"&amp;'NSST Print'!$B$3,Investors!$I:$I,"&lt;="&amp;'NSST Print'!$B$3,Investors!$A:$A,'Investor Exit List'!$A155,Investors!$E:$E,'Investor Exit List'!$C155,Investors!$L:$L,'Investor Exit List'!$B155)-(SUMIFS(Investors!$M:$M,Investors!$I:$I,"&lt;="&amp;'NSST Print'!$B$3,Investors!$J:$J,"&gt;"&amp;'NSST Print'!$B$3,Investors!$A:$A,'Investor Exit List'!$A155,Investors!$E:$E,'Investor Exit List'!$C155,Investors!$L:$L,'Investor Exit List'!$B155)+SUMIFS(Investors!$M:$M,Investors!$I:$I,"&lt;="&amp;'NSST Print'!$B$3,Investors!$J:$J,"",Investors!$A:$A,'Investor Exit List'!$A155,Investors!$E:$E,'Investor Exit List'!$C155,Investors!$L:$L,'Investor Exit List'!$B155))</f>
        <v/>
      </c>
      <c r="G155" s="91" t="n">
        <v>44861</v>
      </c>
      <c r="H155" s="89" t="b">
        <v>1</v>
      </c>
      <c r="I155" s="89" t="b">
        <v>1</v>
      </c>
      <c r="J155" s="91" t="n">
        <v>45174</v>
      </c>
      <c r="K155" s="91">
        <f>IF(I155=TRUE,J155,"")</f>
        <v/>
      </c>
      <c r="L155" s="91">
        <f>G155+730</f>
        <v/>
      </c>
      <c r="M155" s="91" t="n">
        <v>45382</v>
      </c>
      <c r="N155" s="92">
        <f>IFERROR(IF(G155&lt;&gt;"",IF(I155=TRUE,0,IF(U155=TRUE,0,L155-M155)),0),0)</f>
        <v/>
      </c>
      <c r="O155" s="92">
        <f>IF(N155&gt;0,IF(N155&lt;=180,N155,0),0)</f>
        <v/>
      </c>
      <c r="P155" s="90">
        <f>IF(AND(N155&lt;90,N155&gt;0),Q155,0)</f>
        <v/>
      </c>
      <c r="Q155" s="90">
        <f>SUMIFS(Investors!$M:$M,Investors!$O:$O,FALSE,Investors!$P:$P,FALSE,Investors!$K:$K,"&gt;"&amp;'NSST Print'!$B$3,Investors!$I:$I,"&lt;="&amp;'NSST Print'!$B$3,Investors!$A:$A,'Investor Exit List'!$A155,Investors!$E:$E,'Investor Exit List'!$C155,Investors!$L:$L,'Investor Exit List'!$B155)-(SUMIFS(Investors!$M:$M,Investors!$I:$I,"&lt;="&amp;'NSST Print'!$B$3,Investors!$J:$J,"&gt;"&amp;'NSST Print'!$B$3,Investors!$A:$A,'Investor Exit List'!$A155,Investors!$E:$E,'Investor Exit List'!$C155,Investors!$L:$L,'Investor Exit List'!$B155)+SUMIFS(Investors!$M:$M,Investors!$I:$I,"&lt;="&amp;'NSST Print'!$B$3,Investors!$J:$J,"",Investors!$A:$A,'Investor Exit List'!$A155,Investors!$E:$E,'Investor Exit List'!$C155,Investors!$L:$L,'Investor Exit List'!$B155))+SUMIFS(Investors!$S:$S,Investors!$O:$O,FALSE,Investors!$P:$P,FALSE,Investors!$K:$K,"&gt;"&amp;'NSST Print'!$B$3,Investors!$I:$I,"&lt;="&amp;'NSST Print'!$B$3,Investors!$A:$A,'Investor Exit List'!$A155,Investors!$E:$E,'Investor Exit List'!$C155,Investors!$L:$L,'Investor Exit List'!$B155)-(SUMIFS(Investors!$S:$S,Investors!$I:$I,"&lt;="&amp;'NSST Print'!$B$3,Investors!$J:$J,"&gt;"&amp;'NSST Print'!$B$3,Investors!$A:$A,'Investor Exit List'!$A155,Investors!$E:$E,'Investor Exit List'!$C155,Investors!$L:$L,'Investor Exit List'!$B155)+SUMIFS(Investors!$S:$S,Investors!$I:$I,"&lt;="&amp;'NSST Print'!$B$3,Investors!$J:$J,"",Investors!$A:$A,'Investor Exit List'!$A155,Investors!$E:$E,'Investor Exit List'!$C155,Investors!$L:$L,'Investor Exit List'!$B155))</f>
        <v/>
      </c>
      <c r="R155" s="90">
        <f>IF(AND(H155=TRUE,I155=FALSE),Q155,0)</f>
        <v/>
      </c>
      <c r="S155" s="90">
        <f>SUMIFS(Investors!$M:$M,Investors!$O:$O,TRUE,Investors!$A:$A,'Investor Exit List'!$A155,Investors!$E:$E,'Investor Exit List'!$C155,Investors!$L:$L,'Investor Exit List'!$B155)+SUMIFS(Investors!$S:$S,Investors!$O:$O,TRUE,Investors!$A:$A,'Investor Exit List'!$A155,Investors!$E:$E,'Investor Exit List'!$C155,Investors!$L:$L,'Investor Exit List'!$B155)</f>
        <v/>
      </c>
      <c r="T155" s="91">
        <f>IF(U155=TRUE,$J155,"")</f>
        <v/>
      </c>
      <c r="U155" s="89" t="b">
        <v>0</v>
      </c>
      <c r="V155" s="90">
        <f>IF(AND(H155=TRUE,OR(K155="",K155&gt;M155)),S155,0)</f>
        <v/>
      </c>
      <c r="W155" s="89" t="n">
        <v>0</v>
      </c>
      <c r="X155" s="89" t="b">
        <v>0</v>
      </c>
    </row>
    <row r="156" hidden="1">
      <c r="A156" s="89" t="inlineStr">
        <is>
          <t>ZTHA01</t>
        </is>
      </c>
      <c r="B156" s="89" t="n">
        <v>2</v>
      </c>
      <c r="C156" s="89" t="inlineStr">
        <is>
          <t>HVC103</t>
        </is>
      </c>
      <c r="D156" s="89" t="inlineStr">
        <is>
          <t>C</t>
        </is>
      </c>
      <c r="E156" s="89" t="inlineStr">
        <is>
          <t>Matthee Gerald Adriaan Odendal</t>
        </is>
      </c>
      <c r="F156" s="90">
        <f>SUMIFS(Investors!$M:$M,Investors!$O:$O,FALSE,Investors!$P:$P,FALSE,Investors!$K:$K,"&gt;"&amp;'NSST Print'!$B$3,Investors!$I:$I,"&lt;="&amp;'NSST Print'!$B$3,Investors!$A:$A,'Investor Exit List'!$A156,Investors!$E:$E,'Investor Exit List'!$C156,Investors!$L:$L,'Investor Exit List'!$B156)-(SUMIFS(Investors!$M:$M,Investors!$I:$I,"&lt;="&amp;'NSST Print'!$B$3,Investors!$J:$J,"&gt;"&amp;'NSST Print'!$B$3,Investors!$A:$A,'Investor Exit List'!$A156,Investors!$E:$E,'Investor Exit List'!$C156,Investors!$L:$L,'Investor Exit List'!$B156)+SUMIFS(Investors!$M:$M,Investors!$I:$I,"&lt;="&amp;'NSST Print'!$B$3,Investors!$J:$J,"",Investors!$A:$A,'Investor Exit List'!$A156,Investors!$E:$E,'Investor Exit List'!$C156,Investors!$L:$L,'Investor Exit List'!$B156))</f>
        <v/>
      </c>
      <c r="G156" s="91" t="n">
        <v>44868</v>
      </c>
      <c r="H156" s="89" t="b">
        <v>1</v>
      </c>
      <c r="I156" s="89" t="b">
        <v>1</v>
      </c>
      <c r="J156" s="91" t="n">
        <v>45174</v>
      </c>
      <c r="K156" s="91">
        <f>IF(I156=TRUE,J156,"")</f>
        <v/>
      </c>
      <c r="L156" s="91">
        <f>G156+730</f>
        <v/>
      </c>
      <c r="M156" s="91" t="n">
        <v>45382</v>
      </c>
      <c r="N156" s="92">
        <f>IFERROR(IF(G156&lt;&gt;"",IF(I156=TRUE,0,IF(U156=TRUE,0,L156-M156)),0),0)</f>
        <v/>
      </c>
      <c r="O156" s="92">
        <f>IF(N156&gt;0,IF(N156&lt;=180,N156,0),0)</f>
        <v/>
      </c>
      <c r="P156" s="90">
        <f>IF(AND(N156&lt;90,N156&gt;0),Q156,0)</f>
        <v/>
      </c>
      <c r="Q156" s="90">
        <f>SUMIFS(Investors!$M:$M,Investors!$O:$O,FALSE,Investors!$P:$P,FALSE,Investors!$K:$K,"&gt;"&amp;'NSST Print'!$B$3,Investors!$I:$I,"&lt;="&amp;'NSST Print'!$B$3,Investors!$A:$A,'Investor Exit List'!$A156,Investors!$E:$E,'Investor Exit List'!$C156,Investors!$L:$L,'Investor Exit List'!$B156)-(SUMIFS(Investors!$M:$M,Investors!$I:$I,"&lt;="&amp;'NSST Print'!$B$3,Investors!$J:$J,"&gt;"&amp;'NSST Print'!$B$3,Investors!$A:$A,'Investor Exit List'!$A156,Investors!$E:$E,'Investor Exit List'!$C156,Investors!$L:$L,'Investor Exit List'!$B156)+SUMIFS(Investors!$M:$M,Investors!$I:$I,"&lt;="&amp;'NSST Print'!$B$3,Investors!$J:$J,"",Investors!$A:$A,'Investor Exit List'!$A156,Investors!$E:$E,'Investor Exit List'!$C156,Investors!$L:$L,'Investor Exit List'!$B156))+SUMIFS(Investors!$S:$S,Investors!$O:$O,FALSE,Investors!$P:$P,FALSE,Investors!$K:$K,"&gt;"&amp;'NSST Print'!$B$3,Investors!$I:$I,"&lt;="&amp;'NSST Print'!$B$3,Investors!$A:$A,'Investor Exit List'!$A156,Investors!$E:$E,'Investor Exit List'!$C156,Investors!$L:$L,'Investor Exit List'!$B156)-(SUMIFS(Investors!$S:$S,Investors!$I:$I,"&lt;="&amp;'NSST Print'!$B$3,Investors!$J:$J,"&gt;"&amp;'NSST Print'!$B$3,Investors!$A:$A,'Investor Exit List'!$A156,Investors!$E:$E,'Investor Exit List'!$C156,Investors!$L:$L,'Investor Exit List'!$B156)+SUMIFS(Investors!$S:$S,Investors!$I:$I,"&lt;="&amp;'NSST Print'!$B$3,Investors!$J:$J,"",Investors!$A:$A,'Investor Exit List'!$A156,Investors!$E:$E,'Investor Exit List'!$C156,Investors!$L:$L,'Investor Exit List'!$B156))</f>
        <v/>
      </c>
      <c r="R156" s="90">
        <f>IF(AND(H156=TRUE,I156=FALSE),Q156,0)</f>
        <v/>
      </c>
      <c r="S156" s="90">
        <f>SUMIFS(Investors!$M:$M,Investors!$O:$O,TRUE,Investors!$A:$A,'Investor Exit List'!$A156,Investors!$E:$E,'Investor Exit List'!$C156,Investors!$L:$L,'Investor Exit List'!$B156)+SUMIFS(Investors!$S:$S,Investors!$O:$O,TRUE,Investors!$A:$A,'Investor Exit List'!$A156,Investors!$E:$E,'Investor Exit List'!$C156,Investors!$L:$L,'Investor Exit List'!$B156)</f>
        <v/>
      </c>
      <c r="T156" s="91">
        <f>IF(U156=TRUE,$J156,"")</f>
        <v/>
      </c>
      <c r="U156" s="89" t="b">
        <v>0</v>
      </c>
      <c r="V156" s="90">
        <f>IF(AND(H156=TRUE,OR(K156="",K156&gt;M156)),S156,0)</f>
        <v/>
      </c>
      <c r="W156" s="89" t="n">
        <v>0</v>
      </c>
      <c r="X156" s="89" t="b">
        <v>0</v>
      </c>
    </row>
    <row r="157" hidden="1">
      <c r="A157" s="89" t="inlineStr">
        <is>
          <t>ZBEL01</t>
        </is>
      </c>
      <c r="B157" s="89" t="n">
        <v>4</v>
      </c>
      <c r="C157" s="89" t="inlineStr">
        <is>
          <t>HVC104</t>
        </is>
      </c>
      <c r="D157" s="89" t="inlineStr">
        <is>
          <t>C</t>
        </is>
      </c>
      <c r="E157" s="89" t="inlineStr">
        <is>
          <t>Belford Helen Constance</t>
        </is>
      </c>
      <c r="F157" s="90">
        <f>SUMIFS(Investors!$M:$M,Investors!$O:$O,FALSE,Investors!$P:$P,FALSE,Investors!$K:$K,"&gt;"&amp;'NSST Print'!$B$3,Investors!$I:$I,"&lt;="&amp;'NSST Print'!$B$3,Investors!$A:$A,'Investor Exit List'!$A157,Investors!$E:$E,'Investor Exit List'!$C157,Investors!$L:$L,'Investor Exit List'!$B157)-(SUMIFS(Investors!$M:$M,Investors!$I:$I,"&lt;="&amp;'NSST Print'!$B$3,Investors!$J:$J,"&gt;"&amp;'NSST Print'!$B$3,Investors!$A:$A,'Investor Exit List'!$A157,Investors!$E:$E,'Investor Exit List'!$C157,Investors!$L:$L,'Investor Exit List'!$B157)+SUMIFS(Investors!$M:$M,Investors!$I:$I,"&lt;="&amp;'NSST Print'!$B$3,Investors!$J:$J,"",Investors!$A:$A,'Investor Exit List'!$A157,Investors!$E:$E,'Investor Exit List'!$C157,Investors!$L:$L,'Investor Exit List'!$B157))</f>
        <v/>
      </c>
      <c r="G157" s="91" t="n">
        <v>44868</v>
      </c>
      <c r="H157" s="89" t="b">
        <v>1</v>
      </c>
      <c r="I157" s="89" t="b">
        <v>1</v>
      </c>
      <c r="J157" s="91" t="n">
        <v>45167</v>
      </c>
      <c r="K157" s="91">
        <f>IF(I157=TRUE,J157,"")</f>
        <v/>
      </c>
      <c r="L157" s="91">
        <f>G157+730</f>
        <v/>
      </c>
      <c r="M157" s="91" t="n">
        <v>45382</v>
      </c>
      <c r="N157" s="92">
        <f>IFERROR(IF(G157&lt;&gt;"",IF(I157=TRUE,0,IF(U157=TRUE,0,L157-M157)),0),0)</f>
        <v/>
      </c>
      <c r="O157" s="92">
        <f>IF(N157&gt;0,IF(N157&lt;=180,N157,0),0)</f>
        <v/>
      </c>
      <c r="P157" s="90">
        <f>IF(AND(N157&lt;90,N157&gt;0),Q157,0)</f>
        <v/>
      </c>
      <c r="Q157" s="90">
        <f>SUMIFS(Investors!$M:$M,Investors!$O:$O,FALSE,Investors!$P:$P,FALSE,Investors!$K:$K,"&gt;"&amp;'NSST Print'!$B$3,Investors!$I:$I,"&lt;="&amp;'NSST Print'!$B$3,Investors!$A:$A,'Investor Exit List'!$A157,Investors!$E:$E,'Investor Exit List'!$C157,Investors!$L:$L,'Investor Exit List'!$B157)-(SUMIFS(Investors!$M:$M,Investors!$I:$I,"&lt;="&amp;'NSST Print'!$B$3,Investors!$J:$J,"&gt;"&amp;'NSST Print'!$B$3,Investors!$A:$A,'Investor Exit List'!$A157,Investors!$E:$E,'Investor Exit List'!$C157,Investors!$L:$L,'Investor Exit List'!$B157)+SUMIFS(Investors!$M:$M,Investors!$I:$I,"&lt;="&amp;'NSST Print'!$B$3,Investors!$J:$J,"",Investors!$A:$A,'Investor Exit List'!$A157,Investors!$E:$E,'Investor Exit List'!$C157,Investors!$L:$L,'Investor Exit List'!$B157))+SUMIFS(Investors!$S:$S,Investors!$O:$O,FALSE,Investors!$P:$P,FALSE,Investors!$K:$K,"&gt;"&amp;'NSST Print'!$B$3,Investors!$I:$I,"&lt;="&amp;'NSST Print'!$B$3,Investors!$A:$A,'Investor Exit List'!$A157,Investors!$E:$E,'Investor Exit List'!$C157,Investors!$L:$L,'Investor Exit List'!$B157)-(SUMIFS(Investors!$S:$S,Investors!$I:$I,"&lt;="&amp;'NSST Print'!$B$3,Investors!$J:$J,"&gt;"&amp;'NSST Print'!$B$3,Investors!$A:$A,'Investor Exit List'!$A157,Investors!$E:$E,'Investor Exit List'!$C157,Investors!$L:$L,'Investor Exit List'!$B157)+SUMIFS(Investors!$S:$S,Investors!$I:$I,"&lt;="&amp;'NSST Print'!$B$3,Investors!$J:$J,"",Investors!$A:$A,'Investor Exit List'!$A157,Investors!$E:$E,'Investor Exit List'!$C157,Investors!$L:$L,'Investor Exit List'!$B157))</f>
        <v/>
      </c>
      <c r="R157" s="90">
        <f>IF(AND(H157=TRUE,I157=FALSE),Q157,0)</f>
        <v/>
      </c>
      <c r="S157" s="90">
        <f>SUMIFS(Investors!$M:$M,Investors!$O:$O,TRUE,Investors!$A:$A,'Investor Exit List'!$A157,Investors!$E:$E,'Investor Exit List'!$C157,Investors!$L:$L,'Investor Exit List'!$B157)+SUMIFS(Investors!$S:$S,Investors!$O:$O,TRUE,Investors!$A:$A,'Investor Exit List'!$A157,Investors!$E:$E,'Investor Exit List'!$C157,Investors!$L:$L,'Investor Exit List'!$B157)</f>
        <v/>
      </c>
      <c r="T157" s="91">
        <f>IF(U157=TRUE,$J157,"")</f>
        <v/>
      </c>
      <c r="U157" s="89" t="b">
        <v>0</v>
      </c>
      <c r="V157" s="90">
        <f>IF(AND(H157=TRUE,OR(K157="",K157&gt;M157)),S157,0)</f>
        <v/>
      </c>
      <c r="W157" s="89" t="n">
        <v>0</v>
      </c>
      <c r="X157" s="89" t="b">
        <v>0</v>
      </c>
    </row>
    <row r="158" hidden="1">
      <c r="A158" s="89" t="inlineStr">
        <is>
          <t>ZLEW01</t>
        </is>
      </c>
      <c r="B158" s="89" t="n">
        <v>8</v>
      </c>
      <c r="C158" s="89" t="inlineStr">
        <is>
          <t>HVC104</t>
        </is>
      </c>
      <c r="D158" s="89" t="inlineStr">
        <is>
          <t>C</t>
        </is>
      </c>
      <c r="E158" s="89" t="inlineStr">
        <is>
          <t>Lewis Martina Christina</t>
        </is>
      </c>
      <c r="F158" s="90">
        <f>SUMIFS(Investors!$M:$M,Investors!$O:$O,FALSE,Investors!$P:$P,FALSE,Investors!$K:$K,"&gt;"&amp;'NSST Print'!$B$3,Investors!$I:$I,"&lt;="&amp;'NSST Print'!$B$3,Investors!$A:$A,'Investor Exit List'!$A158,Investors!$E:$E,'Investor Exit List'!$C158,Investors!$L:$L,'Investor Exit List'!$B158)-(SUMIFS(Investors!$M:$M,Investors!$I:$I,"&lt;="&amp;'NSST Print'!$B$3,Investors!$J:$J,"&gt;"&amp;'NSST Print'!$B$3,Investors!$A:$A,'Investor Exit List'!$A158,Investors!$E:$E,'Investor Exit List'!$C158,Investors!$L:$L,'Investor Exit List'!$B158)+SUMIFS(Investors!$M:$M,Investors!$I:$I,"&lt;="&amp;'NSST Print'!$B$3,Investors!$J:$J,"",Investors!$A:$A,'Investor Exit List'!$A158,Investors!$E:$E,'Investor Exit List'!$C158,Investors!$L:$L,'Investor Exit List'!$B158))</f>
        <v/>
      </c>
      <c r="G158" s="91" t="n">
        <v>44889</v>
      </c>
      <c r="H158" s="89" t="b">
        <v>1</v>
      </c>
      <c r="I158" s="89" t="b">
        <v>1</v>
      </c>
      <c r="J158" s="91" t="n">
        <v>45167</v>
      </c>
      <c r="K158" s="91">
        <f>IF(I158=TRUE,J158,"")</f>
        <v/>
      </c>
      <c r="L158" s="91">
        <f>G158+730</f>
        <v/>
      </c>
      <c r="M158" s="91" t="n">
        <v>45382</v>
      </c>
      <c r="N158" s="92">
        <f>IFERROR(IF(G158&lt;&gt;"",IF(I158=TRUE,0,IF(U158=TRUE,0,L158-M158)),0),0)</f>
        <v/>
      </c>
      <c r="O158" s="92">
        <f>IF(N158&gt;0,IF(N158&lt;=180,N158,0),0)</f>
        <v/>
      </c>
      <c r="P158" s="90">
        <f>IF(AND(N158&lt;90,N158&gt;0),Q158,0)</f>
        <v/>
      </c>
      <c r="Q158" s="90">
        <f>SUMIFS(Investors!$M:$M,Investors!$O:$O,FALSE,Investors!$P:$P,FALSE,Investors!$K:$K,"&gt;"&amp;'NSST Print'!$B$3,Investors!$I:$I,"&lt;="&amp;'NSST Print'!$B$3,Investors!$A:$A,'Investor Exit List'!$A158,Investors!$E:$E,'Investor Exit List'!$C158,Investors!$L:$L,'Investor Exit List'!$B158)-(SUMIFS(Investors!$M:$M,Investors!$I:$I,"&lt;="&amp;'NSST Print'!$B$3,Investors!$J:$J,"&gt;"&amp;'NSST Print'!$B$3,Investors!$A:$A,'Investor Exit List'!$A158,Investors!$E:$E,'Investor Exit List'!$C158,Investors!$L:$L,'Investor Exit List'!$B158)+SUMIFS(Investors!$M:$M,Investors!$I:$I,"&lt;="&amp;'NSST Print'!$B$3,Investors!$J:$J,"",Investors!$A:$A,'Investor Exit List'!$A158,Investors!$E:$E,'Investor Exit List'!$C158,Investors!$L:$L,'Investor Exit List'!$B158))+SUMIFS(Investors!$S:$S,Investors!$O:$O,FALSE,Investors!$P:$P,FALSE,Investors!$K:$K,"&gt;"&amp;'NSST Print'!$B$3,Investors!$I:$I,"&lt;="&amp;'NSST Print'!$B$3,Investors!$A:$A,'Investor Exit List'!$A158,Investors!$E:$E,'Investor Exit List'!$C158,Investors!$L:$L,'Investor Exit List'!$B158)-(SUMIFS(Investors!$S:$S,Investors!$I:$I,"&lt;="&amp;'NSST Print'!$B$3,Investors!$J:$J,"&gt;"&amp;'NSST Print'!$B$3,Investors!$A:$A,'Investor Exit List'!$A158,Investors!$E:$E,'Investor Exit List'!$C158,Investors!$L:$L,'Investor Exit List'!$B158)+SUMIFS(Investors!$S:$S,Investors!$I:$I,"&lt;="&amp;'NSST Print'!$B$3,Investors!$J:$J,"",Investors!$A:$A,'Investor Exit List'!$A158,Investors!$E:$E,'Investor Exit List'!$C158,Investors!$L:$L,'Investor Exit List'!$B158))</f>
        <v/>
      </c>
      <c r="R158" s="90">
        <f>IF(AND(H158=TRUE,I158=FALSE),Q158,0)</f>
        <v/>
      </c>
      <c r="S158" s="90">
        <f>SUMIFS(Investors!$M:$M,Investors!$O:$O,TRUE,Investors!$A:$A,'Investor Exit List'!$A158,Investors!$E:$E,'Investor Exit List'!$C158,Investors!$L:$L,'Investor Exit List'!$B158)+SUMIFS(Investors!$S:$S,Investors!$O:$O,TRUE,Investors!$A:$A,'Investor Exit List'!$A158,Investors!$E:$E,'Investor Exit List'!$C158,Investors!$L:$L,'Investor Exit List'!$B158)</f>
        <v/>
      </c>
      <c r="T158" s="91">
        <f>IF(U158=TRUE,$J158,"")</f>
        <v/>
      </c>
      <c r="U158" s="89" t="b">
        <v>0</v>
      </c>
      <c r="V158" s="90">
        <f>IF(AND(H158=TRUE,OR(K158="",K158&gt;M158)),S158,0)</f>
        <v/>
      </c>
      <c r="W158" s="89" t="n">
        <v>0</v>
      </c>
      <c r="X158" s="89" t="b">
        <v>0</v>
      </c>
    </row>
    <row r="159" hidden="1">
      <c r="A159" s="89" t="inlineStr">
        <is>
          <t>ZDEM01</t>
        </is>
      </c>
      <c r="B159" s="89" t="n">
        <v>2</v>
      </c>
      <c r="C159" s="89" t="inlineStr">
        <is>
          <t>HVC105</t>
        </is>
      </c>
      <c r="D159" s="89" t="inlineStr">
        <is>
          <t>C</t>
        </is>
      </c>
      <c r="E159" s="89" t="inlineStr">
        <is>
          <t>De Montille Gillies Nikian Anton</t>
        </is>
      </c>
      <c r="F159" s="90">
        <f>SUMIFS(Investors!$M:$M,Investors!$O:$O,FALSE,Investors!$P:$P,FALSE,Investors!$K:$K,"&gt;"&amp;'NSST Print'!$B$3,Investors!$I:$I,"&lt;="&amp;'NSST Print'!$B$3,Investors!$A:$A,'Investor Exit List'!$A159,Investors!$E:$E,'Investor Exit List'!$C159,Investors!$L:$L,'Investor Exit List'!$B159)-(SUMIFS(Investors!$M:$M,Investors!$I:$I,"&lt;="&amp;'NSST Print'!$B$3,Investors!$J:$J,"&gt;"&amp;'NSST Print'!$B$3,Investors!$A:$A,'Investor Exit List'!$A159,Investors!$E:$E,'Investor Exit List'!$C159,Investors!$L:$L,'Investor Exit List'!$B159)+SUMIFS(Investors!$M:$M,Investors!$I:$I,"&lt;="&amp;'NSST Print'!$B$3,Investors!$J:$J,"",Investors!$A:$A,'Investor Exit List'!$A159,Investors!$E:$E,'Investor Exit List'!$C159,Investors!$L:$L,'Investor Exit List'!$B159))</f>
        <v/>
      </c>
      <c r="G159" s="91" t="n">
        <v>44889</v>
      </c>
      <c r="H159" s="89" t="b">
        <v>1</v>
      </c>
      <c r="I159" s="89" t="b">
        <v>1</v>
      </c>
      <c r="J159" s="91" t="n">
        <v>45175</v>
      </c>
      <c r="K159" s="91">
        <f>IF(I159=TRUE,J159,"")</f>
        <v/>
      </c>
      <c r="L159" s="91">
        <f>G159+730</f>
        <v/>
      </c>
      <c r="M159" s="91" t="n">
        <v>45382</v>
      </c>
      <c r="N159" s="92">
        <f>IFERROR(IF(G159&lt;&gt;"",IF(I159=TRUE,0,IF(U159=TRUE,0,L159-M159)),0),0)</f>
        <v/>
      </c>
      <c r="O159" s="92">
        <f>IF(N159&gt;0,IF(N159&lt;=180,N159,0),0)</f>
        <v/>
      </c>
      <c r="P159" s="90">
        <f>IF(AND(N159&lt;90,N159&gt;0),Q159,0)</f>
        <v/>
      </c>
      <c r="Q159" s="90">
        <f>SUMIFS(Investors!$M:$M,Investors!$O:$O,FALSE,Investors!$P:$P,FALSE,Investors!$K:$K,"&gt;"&amp;'NSST Print'!$B$3,Investors!$I:$I,"&lt;="&amp;'NSST Print'!$B$3,Investors!$A:$A,'Investor Exit List'!$A159,Investors!$E:$E,'Investor Exit List'!$C159,Investors!$L:$L,'Investor Exit List'!$B159)-(SUMIFS(Investors!$M:$M,Investors!$I:$I,"&lt;="&amp;'NSST Print'!$B$3,Investors!$J:$J,"&gt;"&amp;'NSST Print'!$B$3,Investors!$A:$A,'Investor Exit List'!$A159,Investors!$E:$E,'Investor Exit List'!$C159,Investors!$L:$L,'Investor Exit List'!$B159)+SUMIFS(Investors!$M:$M,Investors!$I:$I,"&lt;="&amp;'NSST Print'!$B$3,Investors!$J:$J,"",Investors!$A:$A,'Investor Exit List'!$A159,Investors!$E:$E,'Investor Exit List'!$C159,Investors!$L:$L,'Investor Exit List'!$B159))+SUMIFS(Investors!$S:$S,Investors!$O:$O,FALSE,Investors!$P:$P,FALSE,Investors!$K:$K,"&gt;"&amp;'NSST Print'!$B$3,Investors!$I:$I,"&lt;="&amp;'NSST Print'!$B$3,Investors!$A:$A,'Investor Exit List'!$A159,Investors!$E:$E,'Investor Exit List'!$C159,Investors!$L:$L,'Investor Exit List'!$B159)-(SUMIFS(Investors!$S:$S,Investors!$I:$I,"&lt;="&amp;'NSST Print'!$B$3,Investors!$J:$J,"&gt;"&amp;'NSST Print'!$B$3,Investors!$A:$A,'Investor Exit List'!$A159,Investors!$E:$E,'Investor Exit List'!$C159,Investors!$L:$L,'Investor Exit List'!$B159)+SUMIFS(Investors!$S:$S,Investors!$I:$I,"&lt;="&amp;'NSST Print'!$B$3,Investors!$J:$J,"",Investors!$A:$A,'Investor Exit List'!$A159,Investors!$E:$E,'Investor Exit List'!$C159,Investors!$L:$L,'Investor Exit List'!$B159))</f>
        <v/>
      </c>
      <c r="R159" s="90">
        <f>IF(AND(H159=TRUE,I159=FALSE),Q159,0)</f>
        <v/>
      </c>
      <c r="S159" s="90">
        <f>SUMIFS(Investors!$M:$M,Investors!$O:$O,TRUE,Investors!$A:$A,'Investor Exit List'!$A159,Investors!$E:$E,'Investor Exit List'!$C159,Investors!$L:$L,'Investor Exit List'!$B159)+SUMIFS(Investors!$S:$S,Investors!$O:$O,TRUE,Investors!$A:$A,'Investor Exit List'!$A159,Investors!$E:$E,'Investor Exit List'!$C159,Investors!$L:$L,'Investor Exit List'!$B159)</f>
        <v/>
      </c>
      <c r="T159" s="91">
        <f>IF(U159=TRUE,$J159,"")</f>
        <v/>
      </c>
      <c r="U159" s="89" t="b">
        <v>0</v>
      </c>
      <c r="V159" s="90">
        <f>IF(AND(H159=TRUE,OR(K159="",K159&gt;M159)),S159,0)</f>
        <v/>
      </c>
      <c r="W159" s="89" t="n">
        <v>0</v>
      </c>
      <c r="X159" s="89" t="b">
        <v>0</v>
      </c>
    </row>
    <row r="160" hidden="1">
      <c r="A160" s="89" t="inlineStr">
        <is>
          <t>ZWED01</t>
        </is>
      </c>
      <c r="B160" s="89" t="n">
        <v>6</v>
      </c>
      <c r="C160" s="89" t="inlineStr">
        <is>
          <t>HVC105</t>
        </is>
      </c>
      <c r="D160" s="89" t="inlineStr">
        <is>
          <t>C</t>
        </is>
      </c>
      <c r="E160" s="89" t="inlineStr">
        <is>
          <t>Wedermann Hans Jurgen Peter</t>
        </is>
      </c>
      <c r="F160" s="90">
        <f>SUMIFS(Investors!$M:$M,Investors!$O:$O,FALSE,Investors!$P:$P,FALSE,Investors!$K:$K,"&gt;"&amp;'NSST Print'!$B$3,Investors!$I:$I,"&lt;="&amp;'NSST Print'!$B$3,Investors!$A:$A,'Investor Exit List'!$A160,Investors!$E:$E,'Investor Exit List'!$C160,Investors!$L:$L,'Investor Exit List'!$B160)-(SUMIFS(Investors!$M:$M,Investors!$I:$I,"&lt;="&amp;'NSST Print'!$B$3,Investors!$J:$J,"&gt;"&amp;'NSST Print'!$B$3,Investors!$A:$A,'Investor Exit List'!$A160,Investors!$E:$E,'Investor Exit List'!$C160,Investors!$L:$L,'Investor Exit List'!$B160)+SUMIFS(Investors!$M:$M,Investors!$I:$I,"&lt;="&amp;'NSST Print'!$B$3,Investors!$J:$J,"",Investors!$A:$A,'Investor Exit List'!$A160,Investors!$E:$E,'Investor Exit List'!$C160,Investors!$L:$L,'Investor Exit List'!$B160))</f>
        <v/>
      </c>
      <c r="G160" s="91" t="n">
        <v>44861</v>
      </c>
      <c r="H160" s="89" t="b">
        <v>1</v>
      </c>
      <c r="I160" s="89" t="b">
        <v>1</v>
      </c>
      <c r="J160" s="91" t="n">
        <v>45175</v>
      </c>
      <c r="K160" s="91">
        <f>IF(I160=TRUE,J160,"")</f>
        <v/>
      </c>
      <c r="L160" s="91">
        <f>G160+730</f>
        <v/>
      </c>
      <c r="M160" s="91" t="n">
        <v>45382</v>
      </c>
      <c r="N160" s="92">
        <f>IFERROR(IF(G160&lt;&gt;"",IF(I160=TRUE,0,IF(U160=TRUE,0,L160-M160)),0),0)</f>
        <v/>
      </c>
      <c r="O160" s="92">
        <f>IF(N160&gt;0,IF(N160&lt;=180,N160,0),0)</f>
        <v/>
      </c>
      <c r="P160" s="90">
        <f>IF(AND(N160&lt;90,N160&gt;0),Q160,0)</f>
        <v/>
      </c>
      <c r="Q160" s="90">
        <f>SUMIFS(Investors!$M:$M,Investors!$O:$O,FALSE,Investors!$P:$P,FALSE,Investors!$K:$K,"&gt;"&amp;'NSST Print'!$B$3,Investors!$I:$I,"&lt;="&amp;'NSST Print'!$B$3,Investors!$A:$A,'Investor Exit List'!$A160,Investors!$E:$E,'Investor Exit List'!$C160,Investors!$L:$L,'Investor Exit List'!$B160)-(SUMIFS(Investors!$M:$M,Investors!$I:$I,"&lt;="&amp;'NSST Print'!$B$3,Investors!$J:$J,"&gt;"&amp;'NSST Print'!$B$3,Investors!$A:$A,'Investor Exit List'!$A160,Investors!$E:$E,'Investor Exit List'!$C160,Investors!$L:$L,'Investor Exit List'!$B160)+SUMIFS(Investors!$M:$M,Investors!$I:$I,"&lt;="&amp;'NSST Print'!$B$3,Investors!$J:$J,"",Investors!$A:$A,'Investor Exit List'!$A160,Investors!$E:$E,'Investor Exit List'!$C160,Investors!$L:$L,'Investor Exit List'!$B160))+SUMIFS(Investors!$S:$S,Investors!$O:$O,FALSE,Investors!$P:$P,FALSE,Investors!$K:$K,"&gt;"&amp;'NSST Print'!$B$3,Investors!$I:$I,"&lt;="&amp;'NSST Print'!$B$3,Investors!$A:$A,'Investor Exit List'!$A160,Investors!$E:$E,'Investor Exit List'!$C160,Investors!$L:$L,'Investor Exit List'!$B160)-(SUMIFS(Investors!$S:$S,Investors!$I:$I,"&lt;="&amp;'NSST Print'!$B$3,Investors!$J:$J,"&gt;"&amp;'NSST Print'!$B$3,Investors!$A:$A,'Investor Exit List'!$A160,Investors!$E:$E,'Investor Exit List'!$C160,Investors!$L:$L,'Investor Exit List'!$B160)+SUMIFS(Investors!$S:$S,Investors!$I:$I,"&lt;="&amp;'NSST Print'!$B$3,Investors!$J:$J,"",Investors!$A:$A,'Investor Exit List'!$A160,Investors!$E:$E,'Investor Exit List'!$C160,Investors!$L:$L,'Investor Exit List'!$B160))</f>
        <v/>
      </c>
      <c r="R160" s="90">
        <f>IF(AND(H160=TRUE,I160=FALSE),Q160,0)</f>
        <v/>
      </c>
      <c r="S160" s="90">
        <f>SUMIFS(Investors!$M:$M,Investors!$O:$O,TRUE,Investors!$A:$A,'Investor Exit List'!$A160,Investors!$E:$E,'Investor Exit List'!$C160,Investors!$L:$L,'Investor Exit List'!$B160)+SUMIFS(Investors!$S:$S,Investors!$O:$O,TRUE,Investors!$A:$A,'Investor Exit List'!$A160,Investors!$E:$E,'Investor Exit List'!$C160,Investors!$L:$L,'Investor Exit List'!$B160)</f>
        <v/>
      </c>
      <c r="T160" s="91">
        <f>IF(U160=TRUE,$J160,"")</f>
        <v/>
      </c>
      <c r="U160" s="89" t="b">
        <v>0</v>
      </c>
      <c r="V160" s="90">
        <f>IF(AND(H160=TRUE,OR(K160="",K160&gt;M160)),S160,0)</f>
        <v/>
      </c>
      <c r="W160" s="89" t="n">
        <v>0</v>
      </c>
      <c r="X160" s="89" t="b">
        <v>0</v>
      </c>
    </row>
    <row r="161" hidden="1">
      <c r="A161" s="89" t="inlineStr">
        <is>
          <t>ZNUN01</t>
        </is>
      </c>
      <c r="B161" s="89" t="n">
        <v>7</v>
      </c>
      <c r="C161" s="89" t="inlineStr">
        <is>
          <t>HVC106</t>
        </is>
      </c>
      <c r="D161" s="89" t="inlineStr">
        <is>
          <t>C</t>
        </is>
      </c>
      <c r="E161" s="89" t="inlineStr">
        <is>
          <t>Nunes Francisco Antonio</t>
        </is>
      </c>
      <c r="F161" s="90">
        <f>SUMIFS(Investors!$M:$M,Investors!$O:$O,FALSE,Investors!$P:$P,FALSE,Investors!$K:$K,"&gt;"&amp;'NSST Print'!$B$3,Investors!$I:$I,"&lt;="&amp;'NSST Print'!$B$3,Investors!$A:$A,'Investor Exit List'!$A161,Investors!$E:$E,'Investor Exit List'!$C161,Investors!$L:$L,'Investor Exit List'!$B161)-(SUMIFS(Investors!$M:$M,Investors!$I:$I,"&lt;="&amp;'NSST Print'!$B$3,Investors!$J:$J,"&gt;"&amp;'NSST Print'!$B$3,Investors!$A:$A,'Investor Exit List'!$A161,Investors!$E:$E,'Investor Exit List'!$C161,Investors!$L:$L,'Investor Exit List'!$B161)+SUMIFS(Investors!$M:$M,Investors!$I:$I,"&lt;="&amp;'NSST Print'!$B$3,Investors!$J:$J,"",Investors!$A:$A,'Investor Exit List'!$A161,Investors!$E:$E,'Investor Exit List'!$C161,Investors!$L:$L,'Investor Exit List'!$B161))</f>
        <v/>
      </c>
      <c r="G161" s="91" t="n">
        <v>44876</v>
      </c>
      <c r="H161" s="89" t="b">
        <v>1</v>
      </c>
      <c r="I161" s="89" t="b">
        <v>1</v>
      </c>
      <c r="J161" s="91" t="n">
        <v>45170</v>
      </c>
      <c r="K161" s="91">
        <f>IF(I161=TRUE,J161,"")</f>
        <v/>
      </c>
      <c r="L161" s="91">
        <f>G161+730</f>
        <v/>
      </c>
      <c r="M161" s="91" t="n">
        <v>45382</v>
      </c>
      <c r="N161" s="92">
        <f>IFERROR(IF(G161&lt;&gt;"",IF(I161=TRUE,0,IF(U161=TRUE,0,L161-M161)),0),0)</f>
        <v/>
      </c>
      <c r="O161" s="92">
        <f>IF(N161&gt;0,IF(N161&lt;=180,N161,0),0)</f>
        <v/>
      </c>
      <c r="P161" s="90">
        <f>IF(AND(N161&lt;90,N161&gt;0),Q161,0)</f>
        <v/>
      </c>
      <c r="Q161" s="90">
        <f>SUMIFS(Investors!$M:$M,Investors!$O:$O,FALSE,Investors!$P:$P,FALSE,Investors!$K:$K,"&gt;"&amp;'NSST Print'!$B$3,Investors!$I:$I,"&lt;="&amp;'NSST Print'!$B$3,Investors!$A:$A,'Investor Exit List'!$A161,Investors!$E:$E,'Investor Exit List'!$C161,Investors!$L:$L,'Investor Exit List'!$B161)-(SUMIFS(Investors!$M:$M,Investors!$I:$I,"&lt;="&amp;'NSST Print'!$B$3,Investors!$J:$J,"&gt;"&amp;'NSST Print'!$B$3,Investors!$A:$A,'Investor Exit List'!$A161,Investors!$E:$E,'Investor Exit List'!$C161,Investors!$L:$L,'Investor Exit List'!$B161)+SUMIFS(Investors!$M:$M,Investors!$I:$I,"&lt;="&amp;'NSST Print'!$B$3,Investors!$J:$J,"",Investors!$A:$A,'Investor Exit List'!$A161,Investors!$E:$E,'Investor Exit List'!$C161,Investors!$L:$L,'Investor Exit List'!$B161))+SUMIFS(Investors!$S:$S,Investors!$O:$O,FALSE,Investors!$P:$P,FALSE,Investors!$K:$K,"&gt;"&amp;'NSST Print'!$B$3,Investors!$I:$I,"&lt;="&amp;'NSST Print'!$B$3,Investors!$A:$A,'Investor Exit List'!$A161,Investors!$E:$E,'Investor Exit List'!$C161,Investors!$L:$L,'Investor Exit List'!$B161)-(SUMIFS(Investors!$S:$S,Investors!$I:$I,"&lt;="&amp;'NSST Print'!$B$3,Investors!$J:$J,"&gt;"&amp;'NSST Print'!$B$3,Investors!$A:$A,'Investor Exit List'!$A161,Investors!$E:$E,'Investor Exit List'!$C161,Investors!$L:$L,'Investor Exit List'!$B161)+SUMIFS(Investors!$S:$S,Investors!$I:$I,"&lt;="&amp;'NSST Print'!$B$3,Investors!$J:$J,"",Investors!$A:$A,'Investor Exit List'!$A161,Investors!$E:$E,'Investor Exit List'!$C161,Investors!$L:$L,'Investor Exit List'!$B161))</f>
        <v/>
      </c>
      <c r="R161" s="90">
        <f>IF(AND(H161=TRUE,I161=FALSE),Q161,0)</f>
        <v/>
      </c>
      <c r="S161" s="90">
        <f>SUMIFS(Investors!$M:$M,Investors!$O:$O,TRUE,Investors!$A:$A,'Investor Exit List'!$A161,Investors!$E:$E,'Investor Exit List'!$C161,Investors!$L:$L,'Investor Exit List'!$B161)+SUMIFS(Investors!$S:$S,Investors!$O:$O,TRUE,Investors!$A:$A,'Investor Exit List'!$A161,Investors!$E:$E,'Investor Exit List'!$C161,Investors!$L:$L,'Investor Exit List'!$B161)</f>
        <v/>
      </c>
      <c r="T161" s="91">
        <f>IF(U161=TRUE,$J161,"")</f>
        <v/>
      </c>
      <c r="U161" s="89" t="b">
        <v>0</v>
      </c>
      <c r="V161" s="90">
        <f>IF(AND(H161=TRUE,OR(K161="",K161&gt;M161)),S161,0)</f>
        <v/>
      </c>
      <c r="W161" s="89" t="n">
        <v>0</v>
      </c>
      <c r="X161" s="89" t="b">
        <v>0</v>
      </c>
    </row>
    <row r="162" hidden="1">
      <c r="A162" s="89" t="inlineStr">
        <is>
          <t>ZOLI01</t>
        </is>
      </c>
      <c r="B162" s="89" t="n">
        <v>3</v>
      </c>
      <c r="C162" s="89" t="inlineStr">
        <is>
          <t>HVC106</t>
        </is>
      </c>
      <c r="D162" s="89" t="inlineStr">
        <is>
          <t>C</t>
        </is>
      </c>
      <c r="E162" s="89" t="inlineStr">
        <is>
          <t>Olivier Jan Lukas Cornelus</t>
        </is>
      </c>
      <c r="F162" s="90">
        <f>SUMIFS(Investors!$M:$M,Investors!$O:$O,FALSE,Investors!$P:$P,FALSE,Investors!$K:$K,"&gt;"&amp;'NSST Print'!$B$3,Investors!$I:$I,"&lt;="&amp;'NSST Print'!$B$3,Investors!$A:$A,'Investor Exit List'!$A162,Investors!$E:$E,'Investor Exit List'!$C162,Investors!$L:$L,'Investor Exit List'!$B162)-(SUMIFS(Investors!$M:$M,Investors!$I:$I,"&lt;="&amp;'NSST Print'!$B$3,Investors!$J:$J,"&gt;"&amp;'NSST Print'!$B$3,Investors!$A:$A,'Investor Exit List'!$A162,Investors!$E:$E,'Investor Exit List'!$C162,Investors!$L:$L,'Investor Exit List'!$B162)+SUMIFS(Investors!$M:$M,Investors!$I:$I,"&lt;="&amp;'NSST Print'!$B$3,Investors!$J:$J,"",Investors!$A:$A,'Investor Exit List'!$A162,Investors!$E:$E,'Investor Exit List'!$C162,Investors!$L:$L,'Investor Exit List'!$B162))</f>
        <v/>
      </c>
      <c r="G162" s="91" t="n">
        <v>44889</v>
      </c>
      <c r="H162" s="89" t="b">
        <v>1</v>
      </c>
      <c r="I162" s="89" t="b">
        <v>1</v>
      </c>
      <c r="J162" s="91" t="n">
        <v>45170</v>
      </c>
      <c r="K162" s="91">
        <f>IF(I162=TRUE,J162,"")</f>
        <v/>
      </c>
      <c r="L162" s="91">
        <f>G162+730</f>
        <v/>
      </c>
      <c r="M162" s="91" t="n">
        <v>45382</v>
      </c>
      <c r="N162" s="92">
        <f>IFERROR(IF(G162&lt;&gt;"",IF(I162=TRUE,0,IF(U162=TRUE,0,L162-M162)),0),0)</f>
        <v/>
      </c>
      <c r="O162" s="92">
        <f>IF(N162&gt;0,IF(N162&lt;=180,N162,0),0)</f>
        <v/>
      </c>
      <c r="P162" s="90">
        <f>IF(AND(N162&lt;90,N162&gt;0),Q162,0)</f>
        <v/>
      </c>
      <c r="Q162" s="90">
        <f>SUMIFS(Investors!$M:$M,Investors!$O:$O,FALSE,Investors!$P:$P,FALSE,Investors!$K:$K,"&gt;"&amp;'NSST Print'!$B$3,Investors!$I:$I,"&lt;="&amp;'NSST Print'!$B$3,Investors!$A:$A,'Investor Exit List'!$A162,Investors!$E:$E,'Investor Exit List'!$C162,Investors!$L:$L,'Investor Exit List'!$B162)-(SUMIFS(Investors!$M:$M,Investors!$I:$I,"&lt;="&amp;'NSST Print'!$B$3,Investors!$J:$J,"&gt;"&amp;'NSST Print'!$B$3,Investors!$A:$A,'Investor Exit List'!$A162,Investors!$E:$E,'Investor Exit List'!$C162,Investors!$L:$L,'Investor Exit List'!$B162)+SUMIFS(Investors!$M:$M,Investors!$I:$I,"&lt;="&amp;'NSST Print'!$B$3,Investors!$J:$J,"",Investors!$A:$A,'Investor Exit List'!$A162,Investors!$E:$E,'Investor Exit List'!$C162,Investors!$L:$L,'Investor Exit List'!$B162))+SUMIFS(Investors!$S:$S,Investors!$O:$O,FALSE,Investors!$P:$P,FALSE,Investors!$K:$K,"&gt;"&amp;'NSST Print'!$B$3,Investors!$I:$I,"&lt;="&amp;'NSST Print'!$B$3,Investors!$A:$A,'Investor Exit List'!$A162,Investors!$E:$E,'Investor Exit List'!$C162,Investors!$L:$L,'Investor Exit List'!$B162)-(SUMIFS(Investors!$S:$S,Investors!$I:$I,"&lt;="&amp;'NSST Print'!$B$3,Investors!$J:$J,"&gt;"&amp;'NSST Print'!$B$3,Investors!$A:$A,'Investor Exit List'!$A162,Investors!$E:$E,'Investor Exit List'!$C162,Investors!$L:$L,'Investor Exit List'!$B162)+SUMIFS(Investors!$S:$S,Investors!$I:$I,"&lt;="&amp;'NSST Print'!$B$3,Investors!$J:$J,"",Investors!$A:$A,'Investor Exit List'!$A162,Investors!$E:$E,'Investor Exit List'!$C162,Investors!$L:$L,'Investor Exit List'!$B162))</f>
        <v/>
      </c>
      <c r="R162" s="90">
        <f>IF(AND(H162=TRUE,I162=FALSE),Q162,0)</f>
        <v/>
      </c>
      <c r="S162" s="90">
        <f>SUMIFS(Investors!$M:$M,Investors!$O:$O,TRUE,Investors!$A:$A,'Investor Exit List'!$A162,Investors!$E:$E,'Investor Exit List'!$C162,Investors!$L:$L,'Investor Exit List'!$B162)+SUMIFS(Investors!$S:$S,Investors!$O:$O,TRUE,Investors!$A:$A,'Investor Exit List'!$A162,Investors!$E:$E,'Investor Exit List'!$C162,Investors!$L:$L,'Investor Exit List'!$B162)</f>
        <v/>
      </c>
      <c r="T162" s="91">
        <f>IF(U162=TRUE,$J162,"")</f>
        <v/>
      </c>
      <c r="U162" s="89" t="b">
        <v>0</v>
      </c>
      <c r="V162" s="90">
        <f>IF(AND(H162=TRUE,OR(K162="",K162&gt;M162)),S162,0)</f>
        <v/>
      </c>
      <c r="W162" s="89" t="n">
        <v>0</v>
      </c>
      <c r="X162" s="89" t="b">
        <v>0</v>
      </c>
    </row>
    <row r="163" hidden="1">
      <c r="A163" s="89" t="inlineStr">
        <is>
          <t>ZRIT01</t>
        </is>
      </c>
      <c r="B163" s="89" t="n">
        <v>5</v>
      </c>
      <c r="C163" s="89" t="inlineStr">
        <is>
          <t>HVC106</t>
        </is>
      </c>
      <c r="D163" s="89" t="inlineStr">
        <is>
          <t>C</t>
        </is>
      </c>
      <c r="E163" s="89" t="inlineStr">
        <is>
          <t>Ritter Dennis</t>
        </is>
      </c>
      <c r="F163" s="90">
        <f>SUMIFS(Investors!$M:$M,Investors!$O:$O,FALSE,Investors!$P:$P,FALSE,Investors!$K:$K,"&gt;"&amp;'NSST Print'!$B$3,Investors!$I:$I,"&lt;="&amp;'NSST Print'!$B$3,Investors!$A:$A,'Investor Exit List'!$A163,Investors!$E:$E,'Investor Exit List'!$C163,Investors!$L:$L,'Investor Exit List'!$B163)-(SUMIFS(Investors!$M:$M,Investors!$I:$I,"&lt;="&amp;'NSST Print'!$B$3,Investors!$J:$J,"&gt;"&amp;'NSST Print'!$B$3,Investors!$A:$A,'Investor Exit List'!$A163,Investors!$E:$E,'Investor Exit List'!$C163,Investors!$L:$L,'Investor Exit List'!$B163)+SUMIFS(Investors!$M:$M,Investors!$I:$I,"&lt;="&amp;'NSST Print'!$B$3,Investors!$J:$J,"",Investors!$A:$A,'Investor Exit List'!$A163,Investors!$E:$E,'Investor Exit List'!$C163,Investors!$L:$L,'Investor Exit List'!$B163))</f>
        <v/>
      </c>
      <c r="G163" s="91" t="n">
        <v>44889</v>
      </c>
      <c r="H163" s="89" t="b">
        <v>1</v>
      </c>
      <c r="I163" s="89" t="b">
        <v>1</v>
      </c>
      <c r="J163" s="91" t="n">
        <v>45170</v>
      </c>
      <c r="K163" s="91">
        <f>IF(I163=TRUE,J163,"")</f>
        <v/>
      </c>
      <c r="L163" s="91">
        <f>G163+730</f>
        <v/>
      </c>
      <c r="M163" s="91" t="n">
        <v>45382</v>
      </c>
      <c r="N163" s="92">
        <f>IFERROR(IF(G163&lt;&gt;"",IF(I163=TRUE,0,IF(U163=TRUE,0,L163-M163)),0),0)</f>
        <v/>
      </c>
      <c r="O163" s="92">
        <f>IF(N163&gt;0,IF(N163&lt;=180,N163,0),0)</f>
        <v/>
      </c>
      <c r="P163" s="90">
        <f>IF(AND(N163&lt;90,N163&gt;0),Q163,0)</f>
        <v/>
      </c>
      <c r="Q163" s="90">
        <f>SUMIFS(Investors!$M:$M,Investors!$O:$O,FALSE,Investors!$P:$P,FALSE,Investors!$K:$K,"&gt;"&amp;'NSST Print'!$B$3,Investors!$I:$I,"&lt;="&amp;'NSST Print'!$B$3,Investors!$A:$A,'Investor Exit List'!$A163,Investors!$E:$E,'Investor Exit List'!$C163,Investors!$L:$L,'Investor Exit List'!$B163)-(SUMIFS(Investors!$M:$M,Investors!$I:$I,"&lt;="&amp;'NSST Print'!$B$3,Investors!$J:$J,"&gt;"&amp;'NSST Print'!$B$3,Investors!$A:$A,'Investor Exit List'!$A163,Investors!$E:$E,'Investor Exit List'!$C163,Investors!$L:$L,'Investor Exit List'!$B163)+SUMIFS(Investors!$M:$M,Investors!$I:$I,"&lt;="&amp;'NSST Print'!$B$3,Investors!$J:$J,"",Investors!$A:$A,'Investor Exit List'!$A163,Investors!$E:$E,'Investor Exit List'!$C163,Investors!$L:$L,'Investor Exit List'!$B163))+SUMIFS(Investors!$S:$S,Investors!$O:$O,FALSE,Investors!$P:$P,FALSE,Investors!$K:$K,"&gt;"&amp;'NSST Print'!$B$3,Investors!$I:$I,"&lt;="&amp;'NSST Print'!$B$3,Investors!$A:$A,'Investor Exit List'!$A163,Investors!$E:$E,'Investor Exit List'!$C163,Investors!$L:$L,'Investor Exit List'!$B163)-(SUMIFS(Investors!$S:$S,Investors!$I:$I,"&lt;="&amp;'NSST Print'!$B$3,Investors!$J:$J,"&gt;"&amp;'NSST Print'!$B$3,Investors!$A:$A,'Investor Exit List'!$A163,Investors!$E:$E,'Investor Exit List'!$C163,Investors!$L:$L,'Investor Exit List'!$B163)+SUMIFS(Investors!$S:$S,Investors!$I:$I,"&lt;="&amp;'NSST Print'!$B$3,Investors!$J:$J,"",Investors!$A:$A,'Investor Exit List'!$A163,Investors!$E:$E,'Investor Exit List'!$C163,Investors!$L:$L,'Investor Exit List'!$B163))</f>
        <v/>
      </c>
      <c r="R163" s="90">
        <f>IF(AND(H163=TRUE,I163=FALSE),Q163,0)</f>
        <v/>
      </c>
      <c r="S163" s="90">
        <f>SUMIFS(Investors!$M:$M,Investors!$O:$O,TRUE,Investors!$A:$A,'Investor Exit List'!$A163,Investors!$E:$E,'Investor Exit List'!$C163,Investors!$L:$L,'Investor Exit List'!$B163)+SUMIFS(Investors!$S:$S,Investors!$O:$O,TRUE,Investors!$A:$A,'Investor Exit List'!$A163,Investors!$E:$E,'Investor Exit List'!$C163,Investors!$L:$L,'Investor Exit List'!$B163)</f>
        <v/>
      </c>
      <c r="T163" s="91">
        <f>IF(U163=TRUE,$J163,"")</f>
        <v/>
      </c>
      <c r="U163" s="89" t="b">
        <v>0</v>
      </c>
      <c r="V163" s="90">
        <f>IF(AND(H163=TRUE,OR(K163="",K163&gt;M163)),S163,0)</f>
        <v/>
      </c>
      <c r="W163" s="89" t="n">
        <v>0</v>
      </c>
      <c r="X163" s="89" t="b">
        <v>0</v>
      </c>
    </row>
    <row r="164" hidden="1">
      <c r="A164" s="89" t="inlineStr">
        <is>
          <t>ZCON01</t>
        </is>
      </c>
      <c r="B164" s="89" t="n">
        <v>3</v>
      </c>
      <c r="C164" s="89" t="inlineStr">
        <is>
          <t>HVC201</t>
        </is>
      </c>
      <c r="D164" s="89" t="inlineStr">
        <is>
          <t>C</t>
        </is>
      </c>
      <c r="E164" s="89" t="inlineStr">
        <is>
          <t>Conradie Gerhard Lotter</t>
        </is>
      </c>
      <c r="F164" s="90">
        <f>SUMIFS(Investors!$M:$M,Investors!$O:$O,FALSE,Investors!$P:$P,FALSE,Investors!$K:$K,"&gt;"&amp;'NSST Print'!$B$3,Investors!$I:$I,"&lt;="&amp;'NSST Print'!$B$3,Investors!$A:$A,'Investor Exit List'!$A164,Investors!$E:$E,'Investor Exit List'!$C164,Investors!$L:$L,'Investor Exit List'!$B164)-(SUMIFS(Investors!$M:$M,Investors!$I:$I,"&lt;="&amp;'NSST Print'!$B$3,Investors!$J:$J,"&gt;"&amp;'NSST Print'!$B$3,Investors!$A:$A,'Investor Exit List'!$A164,Investors!$E:$E,'Investor Exit List'!$C164,Investors!$L:$L,'Investor Exit List'!$B164)+SUMIFS(Investors!$M:$M,Investors!$I:$I,"&lt;="&amp;'NSST Print'!$B$3,Investors!$J:$J,"",Investors!$A:$A,'Investor Exit List'!$A164,Investors!$E:$E,'Investor Exit List'!$C164,Investors!$L:$L,'Investor Exit List'!$B164))</f>
        <v/>
      </c>
      <c r="G164" s="91" t="n">
        <v>44711</v>
      </c>
      <c r="H164" s="89" t="b">
        <v>1</v>
      </c>
      <c r="I164" s="89" t="b">
        <v>1</v>
      </c>
      <c r="J164" s="91" t="n">
        <v>45177</v>
      </c>
      <c r="K164" s="91">
        <f>IF(I164=TRUE,J164,"")</f>
        <v/>
      </c>
      <c r="L164" s="91">
        <f>G164+730</f>
        <v/>
      </c>
      <c r="M164" s="91" t="n">
        <v>45382</v>
      </c>
      <c r="N164" s="92">
        <f>IFERROR(IF(G164&lt;&gt;"",IF(I164=TRUE,0,IF(U164=TRUE,0,L164-M164)),0),0)</f>
        <v/>
      </c>
      <c r="O164" s="92">
        <f>IF(N164&gt;0,IF(N164&lt;=180,N164,0),0)</f>
        <v/>
      </c>
      <c r="P164" s="90">
        <f>IF(AND(N164&lt;90,N164&gt;0),Q164,0)</f>
        <v/>
      </c>
      <c r="Q164" s="90">
        <f>SUMIFS(Investors!$M:$M,Investors!$O:$O,FALSE,Investors!$P:$P,FALSE,Investors!$K:$K,"&gt;"&amp;'NSST Print'!$B$3,Investors!$I:$I,"&lt;="&amp;'NSST Print'!$B$3,Investors!$A:$A,'Investor Exit List'!$A164,Investors!$E:$E,'Investor Exit List'!$C164,Investors!$L:$L,'Investor Exit List'!$B164)-(SUMIFS(Investors!$M:$M,Investors!$I:$I,"&lt;="&amp;'NSST Print'!$B$3,Investors!$J:$J,"&gt;"&amp;'NSST Print'!$B$3,Investors!$A:$A,'Investor Exit List'!$A164,Investors!$E:$E,'Investor Exit List'!$C164,Investors!$L:$L,'Investor Exit List'!$B164)+SUMIFS(Investors!$M:$M,Investors!$I:$I,"&lt;="&amp;'NSST Print'!$B$3,Investors!$J:$J,"",Investors!$A:$A,'Investor Exit List'!$A164,Investors!$E:$E,'Investor Exit List'!$C164,Investors!$L:$L,'Investor Exit List'!$B164))+SUMIFS(Investors!$S:$S,Investors!$O:$O,FALSE,Investors!$P:$P,FALSE,Investors!$K:$K,"&gt;"&amp;'NSST Print'!$B$3,Investors!$I:$I,"&lt;="&amp;'NSST Print'!$B$3,Investors!$A:$A,'Investor Exit List'!$A164,Investors!$E:$E,'Investor Exit List'!$C164,Investors!$L:$L,'Investor Exit List'!$B164)-(SUMIFS(Investors!$S:$S,Investors!$I:$I,"&lt;="&amp;'NSST Print'!$B$3,Investors!$J:$J,"&gt;"&amp;'NSST Print'!$B$3,Investors!$A:$A,'Investor Exit List'!$A164,Investors!$E:$E,'Investor Exit List'!$C164,Investors!$L:$L,'Investor Exit List'!$B164)+SUMIFS(Investors!$S:$S,Investors!$I:$I,"&lt;="&amp;'NSST Print'!$B$3,Investors!$J:$J,"",Investors!$A:$A,'Investor Exit List'!$A164,Investors!$E:$E,'Investor Exit List'!$C164,Investors!$L:$L,'Investor Exit List'!$B164))</f>
        <v/>
      </c>
      <c r="R164" s="90">
        <f>IF(AND(H164=TRUE,I164=FALSE),Q164,0)</f>
        <v/>
      </c>
      <c r="S164" s="90">
        <f>SUMIFS(Investors!$M:$M,Investors!$O:$O,TRUE,Investors!$A:$A,'Investor Exit List'!$A164,Investors!$E:$E,'Investor Exit List'!$C164,Investors!$L:$L,'Investor Exit List'!$B164)+SUMIFS(Investors!$S:$S,Investors!$O:$O,TRUE,Investors!$A:$A,'Investor Exit List'!$A164,Investors!$E:$E,'Investor Exit List'!$C164,Investors!$L:$L,'Investor Exit List'!$B164)</f>
        <v/>
      </c>
      <c r="T164" s="91">
        <f>IF(U164=TRUE,$J164,"")</f>
        <v/>
      </c>
      <c r="U164" s="89" t="b">
        <v>0</v>
      </c>
      <c r="V164" s="90">
        <f>IF(AND(H164=TRUE,OR(K164="",K164&gt;M164)),S164,0)</f>
        <v/>
      </c>
      <c r="W164" s="89" t="n">
        <v>0</v>
      </c>
      <c r="X164" s="89" t="b">
        <v>0</v>
      </c>
    </row>
    <row r="165" hidden="1">
      <c r="A165" s="89" t="inlineStr">
        <is>
          <t>ZDAV01</t>
        </is>
      </c>
      <c r="B165" s="89" t="n">
        <v>4</v>
      </c>
      <c r="C165" s="89" t="inlineStr">
        <is>
          <t>HVC201</t>
        </is>
      </c>
      <c r="D165" s="89" t="inlineStr">
        <is>
          <t>C</t>
        </is>
      </c>
      <c r="E165" s="89" t="inlineStr">
        <is>
          <t>Davies Heather Mary Lyn</t>
        </is>
      </c>
      <c r="F165" s="90">
        <f>SUMIFS(Investors!$M:$M,Investors!$O:$O,FALSE,Investors!$P:$P,FALSE,Investors!$K:$K,"&gt;"&amp;'NSST Print'!$B$3,Investors!$I:$I,"&lt;="&amp;'NSST Print'!$B$3,Investors!$A:$A,'Investor Exit List'!$A165,Investors!$E:$E,'Investor Exit List'!$C165,Investors!$L:$L,'Investor Exit List'!$B165)-(SUMIFS(Investors!$M:$M,Investors!$I:$I,"&lt;="&amp;'NSST Print'!$B$3,Investors!$J:$J,"&gt;"&amp;'NSST Print'!$B$3,Investors!$A:$A,'Investor Exit List'!$A165,Investors!$E:$E,'Investor Exit List'!$C165,Investors!$L:$L,'Investor Exit List'!$B165)+SUMIFS(Investors!$M:$M,Investors!$I:$I,"&lt;="&amp;'NSST Print'!$B$3,Investors!$J:$J,"",Investors!$A:$A,'Investor Exit List'!$A165,Investors!$E:$E,'Investor Exit List'!$C165,Investors!$L:$L,'Investor Exit List'!$B165))</f>
        <v/>
      </c>
      <c r="G165" s="91" t="n">
        <v>44889</v>
      </c>
      <c r="H165" s="89" t="b">
        <v>1</v>
      </c>
      <c r="I165" s="89" t="b">
        <v>1</v>
      </c>
      <c r="J165" s="91" t="n">
        <v>45177</v>
      </c>
      <c r="K165" s="91">
        <f>IF(I165=TRUE,J165,"")</f>
        <v/>
      </c>
      <c r="L165" s="91">
        <f>G165+730</f>
        <v/>
      </c>
      <c r="M165" s="91" t="n">
        <v>45382</v>
      </c>
      <c r="N165" s="92">
        <f>IFERROR(IF(G165&lt;&gt;"",IF(I165=TRUE,0,IF(U165=TRUE,0,L165-M165)),0),0)</f>
        <v/>
      </c>
      <c r="O165" s="92">
        <f>IF(N165&gt;0,IF(N165&lt;=180,N165,0),0)</f>
        <v/>
      </c>
      <c r="P165" s="90">
        <f>IF(AND(N165&lt;90,N165&gt;0),Q165,0)</f>
        <v/>
      </c>
      <c r="Q165" s="90">
        <f>SUMIFS(Investors!$M:$M,Investors!$O:$O,FALSE,Investors!$P:$P,FALSE,Investors!$K:$K,"&gt;"&amp;'NSST Print'!$B$3,Investors!$I:$I,"&lt;="&amp;'NSST Print'!$B$3,Investors!$A:$A,'Investor Exit List'!$A165,Investors!$E:$E,'Investor Exit List'!$C165,Investors!$L:$L,'Investor Exit List'!$B165)-(SUMIFS(Investors!$M:$M,Investors!$I:$I,"&lt;="&amp;'NSST Print'!$B$3,Investors!$J:$J,"&gt;"&amp;'NSST Print'!$B$3,Investors!$A:$A,'Investor Exit List'!$A165,Investors!$E:$E,'Investor Exit List'!$C165,Investors!$L:$L,'Investor Exit List'!$B165)+SUMIFS(Investors!$M:$M,Investors!$I:$I,"&lt;="&amp;'NSST Print'!$B$3,Investors!$J:$J,"",Investors!$A:$A,'Investor Exit List'!$A165,Investors!$E:$E,'Investor Exit List'!$C165,Investors!$L:$L,'Investor Exit List'!$B165))+SUMIFS(Investors!$S:$S,Investors!$O:$O,FALSE,Investors!$P:$P,FALSE,Investors!$K:$K,"&gt;"&amp;'NSST Print'!$B$3,Investors!$I:$I,"&lt;="&amp;'NSST Print'!$B$3,Investors!$A:$A,'Investor Exit List'!$A165,Investors!$E:$E,'Investor Exit List'!$C165,Investors!$L:$L,'Investor Exit List'!$B165)-(SUMIFS(Investors!$S:$S,Investors!$I:$I,"&lt;="&amp;'NSST Print'!$B$3,Investors!$J:$J,"&gt;"&amp;'NSST Print'!$B$3,Investors!$A:$A,'Investor Exit List'!$A165,Investors!$E:$E,'Investor Exit List'!$C165,Investors!$L:$L,'Investor Exit List'!$B165)+SUMIFS(Investors!$S:$S,Investors!$I:$I,"&lt;="&amp;'NSST Print'!$B$3,Investors!$J:$J,"",Investors!$A:$A,'Investor Exit List'!$A165,Investors!$E:$E,'Investor Exit List'!$C165,Investors!$L:$L,'Investor Exit List'!$B165))</f>
        <v/>
      </c>
      <c r="R165" s="90">
        <f>IF(AND(H165=TRUE,I165=FALSE),Q165,0)</f>
        <v/>
      </c>
      <c r="S165" s="90">
        <f>SUMIFS(Investors!$M:$M,Investors!$O:$O,TRUE,Investors!$A:$A,'Investor Exit List'!$A165,Investors!$E:$E,'Investor Exit List'!$C165,Investors!$L:$L,'Investor Exit List'!$B165)+SUMIFS(Investors!$S:$S,Investors!$O:$O,TRUE,Investors!$A:$A,'Investor Exit List'!$A165,Investors!$E:$E,'Investor Exit List'!$C165,Investors!$L:$L,'Investor Exit List'!$B165)</f>
        <v/>
      </c>
      <c r="T165" s="91">
        <f>IF(U165=TRUE,$J165,"")</f>
        <v/>
      </c>
      <c r="U165" s="89" t="b">
        <v>0</v>
      </c>
      <c r="V165" s="90">
        <f>IF(AND(H165=TRUE,OR(K165="",K165&gt;M165)),S165,0)</f>
        <v/>
      </c>
      <c r="W165" s="89" t="n">
        <v>0</v>
      </c>
      <c r="X165" s="89" t="b">
        <v>0</v>
      </c>
    </row>
    <row r="166" hidden="1">
      <c r="A166" s="89" t="inlineStr">
        <is>
          <t>ZKUS03</t>
        </is>
      </c>
      <c r="B166" s="89" t="n">
        <v>4</v>
      </c>
      <c r="C166" s="89" t="inlineStr">
        <is>
          <t>HVC201</t>
        </is>
      </c>
      <c r="D166" s="89" t="inlineStr">
        <is>
          <t>C</t>
        </is>
      </c>
      <c r="E166" s="89" t="inlineStr">
        <is>
          <t>Kuster Joanne Tracy</t>
        </is>
      </c>
      <c r="F166" s="90">
        <f>SUMIFS(Investors!$M:$M,Investors!$O:$O,FALSE,Investors!$P:$P,FALSE,Investors!$K:$K,"&gt;"&amp;'NSST Print'!$B$3,Investors!$I:$I,"&lt;="&amp;'NSST Print'!$B$3,Investors!$A:$A,'Investor Exit List'!$A166,Investors!$E:$E,'Investor Exit List'!$C166,Investors!$L:$L,'Investor Exit List'!$B166)-(SUMIFS(Investors!$M:$M,Investors!$I:$I,"&lt;="&amp;'NSST Print'!$B$3,Investors!$J:$J,"&gt;"&amp;'NSST Print'!$B$3,Investors!$A:$A,'Investor Exit List'!$A166,Investors!$E:$E,'Investor Exit List'!$C166,Investors!$L:$L,'Investor Exit List'!$B166)+SUMIFS(Investors!$M:$M,Investors!$I:$I,"&lt;="&amp;'NSST Print'!$B$3,Investors!$J:$J,"",Investors!$A:$A,'Investor Exit List'!$A166,Investors!$E:$E,'Investor Exit List'!$C166,Investors!$L:$L,'Investor Exit List'!$B166))</f>
        <v/>
      </c>
      <c r="G166" s="91" t="n">
        <v>44903</v>
      </c>
      <c r="H166" s="89" t="b">
        <v>1</v>
      </c>
      <c r="I166" s="89" t="b">
        <v>1</v>
      </c>
      <c r="J166" s="91" t="n">
        <v>45177</v>
      </c>
      <c r="K166" s="91">
        <f>IF(I166=TRUE,J166,"")</f>
        <v/>
      </c>
      <c r="L166" s="91">
        <f>G166+730</f>
        <v/>
      </c>
      <c r="M166" s="91" t="n">
        <v>45382</v>
      </c>
      <c r="N166" s="92">
        <f>IFERROR(IF(G166&lt;&gt;"",IF(I166=TRUE,0,IF(U166=TRUE,0,L166-M166)),0),0)</f>
        <v/>
      </c>
      <c r="O166" s="92">
        <f>IF(N166&gt;0,IF(N166&lt;=180,N166,0),0)</f>
        <v/>
      </c>
      <c r="P166" s="90">
        <f>IF(AND(N166&lt;90,N166&gt;0),Q166,0)</f>
        <v/>
      </c>
      <c r="Q166" s="90">
        <f>SUMIFS(Investors!$M:$M,Investors!$O:$O,FALSE,Investors!$P:$P,FALSE,Investors!$K:$K,"&gt;"&amp;'NSST Print'!$B$3,Investors!$I:$I,"&lt;="&amp;'NSST Print'!$B$3,Investors!$A:$A,'Investor Exit List'!$A166,Investors!$E:$E,'Investor Exit List'!$C166,Investors!$L:$L,'Investor Exit List'!$B166)-(SUMIFS(Investors!$M:$M,Investors!$I:$I,"&lt;="&amp;'NSST Print'!$B$3,Investors!$J:$J,"&gt;"&amp;'NSST Print'!$B$3,Investors!$A:$A,'Investor Exit List'!$A166,Investors!$E:$E,'Investor Exit List'!$C166,Investors!$L:$L,'Investor Exit List'!$B166)+SUMIFS(Investors!$M:$M,Investors!$I:$I,"&lt;="&amp;'NSST Print'!$B$3,Investors!$J:$J,"",Investors!$A:$A,'Investor Exit List'!$A166,Investors!$E:$E,'Investor Exit List'!$C166,Investors!$L:$L,'Investor Exit List'!$B166))+SUMIFS(Investors!$S:$S,Investors!$O:$O,FALSE,Investors!$P:$P,FALSE,Investors!$K:$K,"&gt;"&amp;'NSST Print'!$B$3,Investors!$I:$I,"&lt;="&amp;'NSST Print'!$B$3,Investors!$A:$A,'Investor Exit List'!$A166,Investors!$E:$E,'Investor Exit List'!$C166,Investors!$L:$L,'Investor Exit List'!$B166)-(SUMIFS(Investors!$S:$S,Investors!$I:$I,"&lt;="&amp;'NSST Print'!$B$3,Investors!$J:$J,"&gt;"&amp;'NSST Print'!$B$3,Investors!$A:$A,'Investor Exit List'!$A166,Investors!$E:$E,'Investor Exit List'!$C166,Investors!$L:$L,'Investor Exit List'!$B166)+SUMIFS(Investors!$S:$S,Investors!$I:$I,"&lt;="&amp;'NSST Print'!$B$3,Investors!$J:$J,"",Investors!$A:$A,'Investor Exit List'!$A166,Investors!$E:$E,'Investor Exit List'!$C166,Investors!$L:$L,'Investor Exit List'!$B166))</f>
        <v/>
      </c>
      <c r="R166" s="90">
        <f>IF(AND(H166=TRUE,I166=FALSE),Q166,0)</f>
        <v/>
      </c>
      <c r="S166" s="90">
        <f>SUMIFS(Investors!$M:$M,Investors!$O:$O,TRUE,Investors!$A:$A,'Investor Exit List'!$A166,Investors!$E:$E,'Investor Exit List'!$C166,Investors!$L:$L,'Investor Exit List'!$B166)+SUMIFS(Investors!$S:$S,Investors!$O:$O,TRUE,Investors!$A:$A,'Investor Exit List'!$A166,Investors!$E:$E,'Investor Exit List'!$C166,Investors!$L:$L,'Investor Exit List'!$B166)</f>
        <v/>
      </c>
      <c r="T166" s="91">
        <f>IF(U166=TRUE,$J166,"")</f>
        <v/>
      </c>
      <c r="U166" s="89" t="b">
        <v>0</v>
      </c>
      <c r="V166" s="90">
        <f>IF(AND(H166=TRUE,OR(K166="",K166&gt;M166)),S166,0)</f>
        <v/>
      </c>
      <c r="W166" s="89" t="n">
        <v>0</v>
      </c>
      <c r="X166" s="89" t="b">
        <v>0</v>
      </c>
    </row>
    <row r="167">
      <c r="A167" s="93" t="inlineStr">
        <is>
          <t>ZALM01</t>
        </is>
      </c>
      <c r="B167" s="93" t="n">
        <v>6</v>
      </c>
      <c r="C167" s="93" t="inlineStr">
        <is>
          <t>HVC202</t>
        </is>
      </c>
      <c r="D167" s="93" t="inlineStr">
        <is>
          <t>C</t>
        </is>
      </c>
      <c r="E167" s="93" t="inlineStr">
        <is>
          <t>Lunau Marc</t>
        </is>
      </c>
      <c r="F167" s="94">
        <f>SUMIFS(Investors!$M:$M,Investors!$O:$O,FALSE,Investors!$P:$P,FALSE,Investors!$K:$K,"&gt;"&amp;'NSST Print'!$B$3,Investors!$I:$I,"&lt;="&amp;'NSST Print'!$B$3,Investors!$A:$A,'Investor Exit List'!$A167,Investors!$E:$E,'Investor Exit List'!$C167,Investors!$L:$L,'Investor Exit List'!$B167)-(SUMIFS(Investors!$M:$M,Investors!$I:$I,"&lt;="&amp;'NSST Print'!$B$3,Investors!$J:$J,"&gt;"&amp;'NSST Print'!$B$3,Investors!$A:$A,'Investor Exit List'!$A167,Investors!$E:$E,'Investor Exit List'!$C167,Investors!$L:$L,'Investor Exit List'!$B167)+SUMIFS(Investors!$M:$M,Investors!$I:$I,"&lt;="&amp;'NSST Print'!$B$3,Investors!$J:$J,"",Investors!$A:$A,'Investor Exit List'!$A167,Investors!$E:$E,'Investor Exit List'!$C167,Investors!$L:$L,'Investor Exit List'!$B167))</f>
        <v/>
      </c>
      <c r="G167" s="95" t="n">
        <v>44889</v>
      </c>
      <c r="H167" s="93" t="b">
        <v>0</v>
      </c>
      <c r="I167" s="93" t="b">
        <v>0</v>
      </c>
      <c r="J167" s="95" t="n">
        <v>45505</v>
      </c>
      <c r="K167" s="95">
        <f>IF(I167=TRUE,J167,"")</f>
        <v/>
      </c>
      <c r="L167" s="95">
        <f>G167+730</f>
        <v/>
      </c>
      <c r="M167" s="95" t="n">
        <v>45382</v>
      </c>
      <c r="N167" s="96">
        <f>IFERROR(IF(G167&lt;&gt;"",IF(I167=TRUE,0,IF(U167=TRUE,0,L167-M167)),0),0)</f>
        <v/>
      </c>
      <c r="O167" s="96">
        <f>IF(N167&gt;0,IF(N167&lt;=180,N167,0),0)</f>
        <v/>
      </c>
      <c r="P167" s="94">
        <f>IF(AND(N167&lt;90,N167&gt;0),Q167,0)</f>
        <v/>
      </c>
      <c r="Q167" s="94">
        <f>SUMIFS(Investors!$M:$M,Investors!$O:$O,FALSE,Investors!$P:$P,FALSE,Investors!$K:$K,"&gt;"&amp;'NSST Print'!$B$3,Investors!$I:$I,"&lt;="&amp;'NSST Print'!$B$3,Investors!$A:$A,'Investor Exit List'!$A167,Investors!$E:$E,'Investor Exit List'!$C167,Investors!$L:$L,'Investor Exit List'!$B167)-(SUMIFS(Investors!$M:$M,Investors!$I:$I,"&lt;="&amp;'NSST Print'!$B$3,Investors!$J:$J,"&gt;"&amp;'NSST Print'!$B$3,Investors!$A:$A,'Investor Exit List'!$A167,Investors!$E:$E,'Investor Exit List'!$C167,Investors!$L:$L,'Investor Exit List'!$B167)+SUMIFS(Investors!$M:$M,Investors!$I:$I,"&lt;="&amp;'NSST Print'!$B$3,Investors!$J:$J,"",Investors!$A:$A,'Investor Exit List'!$A167,Investors!$E:$E,'Investor Exit List'!$C167,Investors!$L:$L,'Investor Exit List'!$B167))+SUMIFS(Investors!$S:$S,Investors!$O:$O,FALSE,Investors!$P:$P,FALSE,Investors!$K:$K,"&gt;"&amp;'NSST Print'!$B$3,Investors!$I:$I,"&lt;="&amp;'NSST Print'!$B$3,Investors!$A:$A,'Investor Exit List'!$A167,Investors!$E:$E,'Investor Exit List'!$C167,Investors!$L:$L,'Investor Exit List'!$B167)-(SUMIFS(Investors!$S:$S,Investors!$I:$I,"&lt;="&amp;'NSST Print'!$B$3,Investors!$J:$J,"&gt;"&amp;'NSST Print'!$B$3,Investors!$A:$A,'Investor Exit List'!$A167,Investors!$E:$E,'Investor Exit List'!$C167,Investors!$L:$L,'Investor Exit List'!$B167)+SUMIFS(Investors!$S:$S,Investors!$I:$I,"&lt;="&amp;'NSST Print'!$B$3,Investors!$J:$J,"",Investors!$A:$A,'Investor Exit List'!$A167,Investors!$E:$E,'Investor Exit List'!$C167,Investors!$L:$L,'Investor Exit List'!$B167))</f>
        <v/>
      </c>
      <c r="R167" s="94">
        <f>IF(AND(H167=TRUE,I167=FALSE),Q167,0)</f>
        <v/>
      </c>
      <c r="S167" s="94">
        <f>SUMIFS(Investors!$M:$M,Investors!$O:$O,TRUE,Investors!$A:$A,'Investor Exit List'!$A167,Investors!$E:$E,'Investor Exit List'!$C167,Investors!$L:$L,'Investor Exit List'!$B167)+SUMIFS(Investors!$S:$S,Investors!$O:$O,TRUE,Investors!$A:$A,'Investor Exit List'!$A167,Investors!$E:$E,'Investor Exit List'!$C167,Investors!$L:$L,'Investor Exit List'!$B167)</f>
        <v/>
      </c>
      <c r="T167" s="95">
        <f>IF(U167=TRUE,$J167,"")</f>
        <v/>
      </c>
      <c r="U167" s="93" t="b">
        <v>0</v>
      </c>
      <c r="V167" s="94">
        <f>IF(AND(H167=TRUE,OR(K167="",K167&gt;M167)),S167,0)</f>
        <v/>
      </c>
      <c r="W167" s="93" t="n">
        <v>0</v>
      </c>
      <c r="X167" s="93" t="b">
        <v>0</v>
      </c>
    </row>
    <row r="168">
      <c r="A168" s="93" t="inlineStr">
        <is>
          <t>ZINT01</t>
        </is>
      </c>
      <c r="B168" s="93" t="n">
        <v>14</v>
      </c>
      <c r="C168" s="93" t="inlineStr">
        <is>
          <t>HVC202</t>
        </is>
      </c>
      <c r="D168" s="93" t="inlineStr">
        <is>
          <t>C</t>
        </is>
      </c>
      <c r="E168" s="93" t="inlineStr">
        <is>
          <t>Lunau Marc</t>
        </is>
      </c>
      <c r="F168" s="94">
        <f>SUMIFS(Investors!$M:$M,Investors!$O:$O,FALSE,Investors!$P:$P,FALSE,Investors!$K:$K,"&gt;"&amp;'NSST Print'!$B$3,Investors!$I:$I,"&lt;="&amp;'NSST Print'!$B$3,Investors!$A:$A,'Investor Exit List'!$A168,Investors!$E:$E,'Investor Exit List'!$C168,Investors!$L:$L,'Investor Exit List'!$B168)-(SUMIFS(Investors!$M:$M,Investors!$I:$I,"&lt;="&amp;'NSST Print'!$B$3,Investors!$J:$J,"&gt;"&amp;'NSST Print'!$B$3,Investors!$A:$A,'Investor Exit List'!$A168,Investors!$E:$E,'Investor Exit List'!$C168,Investors!$L:$L,'Investor Exit List'!$B168)+SUMIFS(Investors!$M:$M,Investors!$I:$I,"&lt;="&amp;'NSST Print'!$B$3,Investors!$J:$J,"",Investors!$A:$A,'Investor Exit List'!$A168,Investors!$E:$E,'Investor Exit List'!$C168,Investors!$L:$L,'Investor Exit List'!$B168))</f>
        <v/>
      </c>
      <c r="G168" s="95" t="n">
        <v>45072</v>
      </c>
      <c r="H168" s="93" t="b">
        <v>0</v>
      </c>
      <c r="I168" s="93" t="b">
        <v>0</v>
      </c>
      <c r="J168" s="95" t="n">
        <v>45505</v>
      </c>
      <c r="K168" s="95">
        <f>IF(I168=TRUE,J168,"")</f>
        <v/>
      </c>
      <c r="L168" s="95">
        <f>G168+730</f>
        <v/>
      </c>
      <c r="M168" s="95" t="n">
        <v>45382</v>
      </c>
      <c r="N168" s="96">
        <f>IFERROR(IF(G168&lt;&gt;"",IF(I168=TRUE,0,IF(U168=TRUE,0,L168-M168)),0),0)</f>
        <v/>
      </c>
      <c r="O168" s="96">
        <f>IF(N168&gt;0,IF(N168&lt;=180,N168,0),0)</f>
        <v/>
      </c>
      <c r="P168" s="94">
        <f>IF(AND(N168&lt;90,N168&gt;0),Q168,0)</f>
        <v/>
      </c>
      <c r="Q168" s="94">
        <f>SUMIFS(Investors!$M:$M,Investors!$O:$O,FALSE,Investors!$P:$P,FALSE,Investors!$K:$K,"&gt;"&amp;'NSST Print'!$B$3,Investors!$I:$I,"&lt;="&amp;'NSST Print'!$B$3,Investors!$A:$A,'Investor Exit List'!$A168,Investors!$E:$E,'Investor Exit List'!$C168,Investors!$L:$L,'Investor Exit List'!$B168)-(SUMIFS(Investors!$M:$M,Investors!$I:$I,"&lt;="&amp;'NSST Print'!$B$3,Investors!$J:$J,"&gt;"&amp;'NSST Print'!$B$3,Investors!$A:$A,'Investor Exit List'!$A168,Investors!$E:$E,'Investor Exit List'!$C168,Investors!$L:$L,'Investor Exit List'!$B168)+SUMIFS(Investors!$M:$M,Investors!$I:$I,"&lt;="&amp;'NSST Print'!$B$3,Investors!$J:$J,"",Investors!$A:$A,'Investor Exit List'!$A168,Investors!$E:$E,'Investor Exit List'!$C168,Investors!$L:$L,'Investor Exit List'!$B168))+SUMIFS(Investors!$S:$S,Investors!$O:$O,FALSE,Investors!$P:$P,FALSE,Investors!$K:$K,"&gt;"&amp;'NSST Print'!$B$3,Investors!$I:$I,"&lt;="&amp;'NSST Print'!$B$3,Investors!$A:$A,'Investor Exit List'!$A168,Investors!$E:$E,'Investor Exit List'!$C168,Investors!$L:$L,'Investor Exit List'!$B168)-(SUMIFS(Investors!$S:$S,Investors!$I:$I,"&lt;="&amp;'NSST Print'!$B$3,Investors!$J:$J,"&gt;"&amp;'NSST Print'!$B$3,Investors!$A:$A,'Investor Exit List'!$A168,Investors!$E:$E,'Investor Exit List'!$C168,Investors!$L:$L,'Investor Exit List'!$B168)+SUMIFS(Investors!$S:$S,Investors!$I:$I,"&lt;="&amp;'NSST Print'!$B$3,Investors!$J:$J,"",Investors!$A:$A,'Investor Exit List'!$A168,Investors!$E:$E,'Investor Exit List'!$C168,Investors!$L:$L,'Investor Exit List'!$B168))</f>
        <v/>
      </c>
      <c r="R168" s="94">
        <f>IF(AND(H168=TRUE,I168=FALSE),Q168,0)</f>
        <v/>
      </c>
      <c r="S168" s="94">
        <f>SUMIFS(Investors!$M:$M,Investors!$O:$O,TRUE,Investors!$A:$A,'Investor Exit List'!$A168,Investors!$E:$E,'Investor Exit List'!$C168,Investors!$L:$L,'Investor Exit List'!$B168)+SUMIFS(Investors!$S:$S,Investors!$O:$O,TRUE,Investors!$A:$A,'Investor Exit List'!$A168,Investors!$E:$E,'Investor Exit List'!$C168,Investors!$L:$L,'Investor Exit List'!$B168)</f>
        <v/>
      </c>
      <c r="T168" s="95">
        <f>IF(U168=TRUE,$J168,"")</f>
        <v/>
      </c>
      <c r="U168" s="93" t="b">
        <v>0</v>
      </c>
      <c r="V168" s="94">
        <f>IF(AND(H168=TRUE,OR(K168="",K168&gt;M168)),S168,0)</f>
        <v/>
      </c>
      <c r="W168" s="93" t="n">
        <v>0</v>
      </c>
      <c r="X168" s="93" t="b">
        <v>0</v>
      </c>
    </row>
    <row r="169">
      <c r="A169" s="93" t="inlineStr">
        <is>
          <t>ZMON01</t>
        </is>
      </c>
      <c r="B169" s="93" t="n">
        <v>1</v>
      </c>
      <c r="C169" s="93" t="inlineStr">
        <is>
          <t>HVC202</t>
        </is>
      </c>
      <c r="D169" s="93" t="inlineStr">
        <is>
          <t>C</t>
        </is>
      </c>
      <c r="E169" s="93" t="inlineStr">
        <is>
          <t>Moni Zolani</t>
        </is>
      </c>
      <c r="F169" s="94">
        <f>SUMIFS(Investors!$M:$M,Investors!$O:$O,FALSE,Investors!$P:$P,FALSE,Investors!$K:$K,"&gt;"&amp;'NSST Print'!$B$3,Investors!$I:$I,"&lt;="&amp;'NSST Print'!$B$3,Investors!$A:$A,'Investor Exit List'!$A169,Investors!$E:$E,'Investor Exit List'!$C169,Investors!$L:$L,'Investor Exit List'!$B169)-(SUMIFS(Investors!$M:$M,Investors!$I:$I,"&lt;="&amp;'NSST Print'!$B$3,Investors!$J:$J,"&gt;"&amp;'NSST Print'!$B$3,Investors!$A:$A,'Investor Exit List'!$A169,Investors!$E:$E,'Investor Exit List'!$C169,Investors!$L:$L,'Investor Exit List'!$B169)+SUMIFS(Investors!$M:$M,Investors!$I:$I,"&lt;="&amp;'NSST Print'!$B$3,Investors!$J:$J,"",Investors!$A:$A,'Investor Exit List'!$A169,Investors!$E:$E,'Investor Exit List'!$C169,Investors!$L:$L,'Investor Exit List'!$B169))</f>
        <v/>
      </c>
      <c r="G169" s="95" t="n">
        <v>45016</v>
      </c>
      <c r="H169" s="93" t="b">
        <v>0</v>
      </c>
      <c r="I169" s="93" t="b">
        <v>0</v>
      </c>
      <c r="J169" s="95" t="n">
        <v>45505</v>
      </c>
      <c r="K169" s="95">
        <f>IF(I169=TRUE,J169,"")</f>
        <v/>
      </c>
      <c r="L169" s="95">
        <f>G169+730</f>
        <v/>
      </c>
      <c r="M169" s="95" t="n">
        <v>45382</v>
      </c>
      <c r="N169" s="96">
        <f>IFERROR(IF(G169&lt;&gt;"",IF(I169=TRUE,0,IF(U169=TRUE,0,L169-M169)),0),0)</f>
        <v/>
      </c>
      <c r="O169" s="96">
        <f>IF(N169&gt;0,IF(N169&lt;=180,N169,0),0)</f>
        <v/>
      </c>
      <c r="P169" s="94">
        <f>IF(AND(N169&lt;90,N169&gt;0),Q169,0)</f>
        <v/>
      </c>
      <c r="Q169" s="94">
        <f>SUMIFS(Investors!$M:$M,Investors!$O:$O,FALSE,Investors!$P:$P,FALSE,Investors!$K:$K,"&gt;"&amp;'NSST Print'!$B$3,Investors!$I:$I,"&lt;="&amp;'NSST Print'!$B$3,Investors!$A:$A,'Investor Exit List'!$A169,Investors!$E:$E,'Investor Exit List'!$C169,Investors!$L:$L,'Investor Exit List'!$B169)-(SUMIFS(Investors!$M:$M,Investors!$I:$I,"&lt;="&amp;'NSST Print'!$B$3,Investors!$J:$J,"&gt;"&amp;'NSST Print'!$B$3,Investors!$A:$A,'Investor Exit List'!$A169,Investors!$E:$E,'Investor Exit List'!$C169,Investors!$L:$L,'Investor Exit List'!$B169)+SUMIFS(Investors!$M:$M,Investors!$I:$I,"&lt;="&amp;'NSST Print'!$B$3,Investors!$J:$J,"",Investors!$A:$A,'Investor Exit List'!$A169,Investors!$E:$E,'Investor Exit List'!$C169,Investors!$L:$L,'Investor Exit List'!$B169))+SUMIFS(Investors!$S:$S,Investors!$O:$O,FALSE,Investors!$P:$P,FALSE,Investors!$K:$K,"&gt;"&amp;'NSST Print'!$B$3,Investors!$I:$I,"&lt;="&amp;'NSST Print'!$B$3,Investors!$A:$A,'Investor Exit List'!$A169,Investors!$E:$E,'Investor Exit List'!$C169,Investors!$L:$L,'Investor Exit List'!$B169)-(SUMIFS(Investors!$S:$S,Investors!$I:$I,"&lt;="&amp;'NSST Print'!$B$3,Investors!$J:$J,"&gt;"&amp;'NSST Print'!$B$3,Investors!$A:$A,'Investor Exit List'!$A169,Investors!$E:$E,'Investor Exit List'!$C169,Investors!$L:$L,'Investor Exit List'!$B169)+SUMIFS(Investors!$S:$S,Investors!$I:$I,"&lt;="&amp;'NSST Print'!$B$3,Investors!$J:$J,"",Investors!$A:$A,'Investor Exit List'!$A169,Investors!$E:$E,'Investor Exit List'!$C169,Investors!$L:$L,'Investor Exit List'!$B169))</f>
        <v/>
      </c>
      <c r="R169" s="94">
        <f>IF(AND(H169=TRUE,I169=FALSE),Q169,0)</f>
        <v/>
      </c>
      <c r="S169" s="94">
        <f>SUMIFS(Investors!$M:$M,Investors!$O:$O,TRUE,Investors!$A:$A,'Investor Exit List'!$A169,Investors!$E:$E,'Investor Exit List'!$C169,Investors!$L:$L,'Investor Exit List'!$B169)+SUMIFS(Investors!$S:$S,Investors!$O:$O,TRUE,Investors!$A:$A,'Investor Exit List'!$A169,Investors!$E:$E,'Investor Exit List'!$C169,Investors!$L:$L,'Investor Exit List'!$B169)</f>
        <v/>
      </c>
      <c r="T169" s="95">
        <f>IF(U169=TRUE,$J169,"")</f>
        <v/>
      </c>
      <c r="U169" s="93" t="b">
        <v>0</v>
      </c>
      <c r="V169" s="94">
        <f>IF(AND(H169=TRUE,OR(K169="",K169&gt;M169)),S169,0)</f>
        <v/>
      </c>
      <c r="W169" s="93" t="n">
        <v>0</v>
      </c>
      <c r="X169" s="93" t="b">
        <v>0</v>
      </c>
    </row>
    <row r="170">
      <c r="A170" s="93" t="inlineStr">
        <is>
          <t>ZPER01</t>
        </is>
      </c>
      <c r="B170" s="93" t="n">
        <v>1</v>
      </c>
      <c r="C170" s="93" t="inlineStr">
        <is>
          <t>HVC202</t>
        </is>
      </c>
      <c r="D170" s="93" t="inlineStr">
        <is>
          <t>C</t>
        </is>
      </c>
      <c r="E170" s="93" t="inlineStr">
        <is>
          <t>Olivier Abraham Jacobus</t>
        </is>
      </c>
      <c r="F170" s="94">
        <f>SUMIFS(Investors!$M:$M,Investors!$O:$O,FALSE,Investors!$P:$P,FALSE,Investors!$K:$K,"&gt;"&amp;'NSST Print'!$B$3,Investors!$I:$I,"&lt;="&amp;'NSST Print'!$B$3,Investors!$A:$A,'Investor Exit List'!$A170,Investors!$E:$E,'Investor Exit List'!$C170,Investors!$L:$L,'Investor Exit List'!$B170)-(SUMIFS(Investors!$M:$M,Investors!$I:$I,"&lt;="&amp;'NSST Print'!$B$3,Investors!$J:$J,"&gt;"&amp;'NSST Print'!$B$3,Investors!$A:$A,'Investor Exit List'!$A170,Investors!$E:$E,'Investor Exit List'!$C170,Investors!$L:$L,'Investor Exit List'!$B170)+SUMIFS(Investors!$M:$M,Investors!$I:$I,"&lt;="&amp;'NSST Print'!$B$3,Investors!$J:$J,"",Investors!$A:$A,'Investor Exit List'!$A170,Investors!$E:$E,'Investor Exit List'!$C170,Investors!$L:$L,'Investor Exit List'!$B170))</f>
        <v/>
      </c>
      <c r="G170" s="95" t="n">
        <v>44903</v>
      </c>
      <c r="H170" s="93" t="b">
        <v>0</v>
      </c>
      <c r="I170" s="93" t="b">
        <v>0</v>
      </c>
      <c r="J170" s="95" t="n">
        <v>45505</v>
      </c>
      <c r="K170" s="95">
        <f>IF(I170=TRUE,J170,"")</f>
        <v/>
      </c>
      <c r="L170" s="95">
        <f>G170+730</f>
        <v/>
      </c>
      <c r="M170" s="95" t="n">
        <v>45382</v>
      </c>
      <c r="N170" s="96">
        <f>IFERROR(IF(G170&lt;&gt;"",IF(I170=TRUE,0,IF(U170=TRUE,0,L170-M170)),0),0)</f>
        <v/>
      </c>
      <c r="O170" s="96">
        <f>IF(N170&gt;0,IF(N170&lt;=180,N170,0),0)</f>
        <v/>
      </c>
      <c r="P170" s="94">
        <f>IF(AND(N170&lt;90,N170&gt;0),Q170,0)</f>
        <v/>
      </c>
      <c r="Q170" s="94">
        <f>SUMIFS(Investors!$M:$M,Investors!$O:$O,FALSE,Investors!$P:$P,FALSE,Investors!$K:$K,"&gt;"&amp;'NSST Print'!$B$3,Investors!$I:$I,"&lt;="&amp;'NSST Print'!$B$3,Investors!$A:$A,'Investor Exit List'!$A170,Investors!$E:$E,'Investor Exit List'!$C170,Investors!$L:$L,'Investor Exit List'!$B170)-(SUMIFS(Investors!$M:$M,Investors!$I:$I,"&lt;="&amp;'NSST Print'!$B$3,Investors!$J:$J,"&gt;"&amp;'NSST Print'!$B$3,Investors!$A:$A,'Investor Exit List'!$A170,Investors!$E:$E,'Investor Exit List'!$C170,Investors!$L:$L,'Investor Exit List'!$B170)+SUMIFS(Investors!$M:$M,Investors!$I:$I,"&lt;="&amp;'NSST Print'!$B$3,Investors!$J:$J,"",Investors!$A:$A,'Investor Exit List'!$A170,Investors!$E:$E,'Investor Exit List'!$C170,Investors!$L:$L,'Investor Exit List'!$B170))+SUMIFS(Investors!$S:$S,Investors!$O:$O,FALSE,Investors!$P:$P,FALSE,Investors!$K:$K,"&gt;"&amp;'NSST Print'!$B$3,Investors!$I:$I,"&lt;="&amp;'NSST Print'!$B$3,Investors!$A:$A,'Investor Exit List'!$A170,Investors!$E:$E,'Investor Exit List'!$C170,Investors!$L:$L,'Investor Exit List'!$B170)-(SUMIFS(Investors!$S:$S,Investors!$I:$I,"&lt;="&amp;'NSST Print'!$B$3,Investors!$J:$J,"&gt;"&amp;'NSST Print'!$B$3,Investors!$A:$A,'Investor Exit List'!$A170,Investors!$E:$E,'Investor Exit List'!$C170,Investors!$L:$L,'Investor Exit List'!$B170)+SUMIFS(Investors!$S:$S,Investors!$I:$I,"&lt;="&amp;'NSST Print'!$B$3,Investors!$J:$J,"",Investors!$A:$A,'Investor Exit List'!$A170,Investors!$E:$E,'Investor Exit List'!$C170,Investors!$L:$L,'Investor Exit List'!$B170))</f>
        <v/>
      </c>
      <c r="R170" s="94">
        <f>IF(AND(H170=TRUE,I170=FALSE),Q170,0)</f>
        <v/>
      </c>
      <c r="S170" s="94">
        <f>SUMIFS(Investors!$M:$M,Investors!$O:$O,TRUE,Investors!$A:$A,'Investor Exit List'!$A170,Investors!$E:$E,'Investor Exit List'!$C170,Investors!$L:$L,'Investor Exit List'!$B170)+SUMIFS(Investors!$S:$S,Investors!$O:$O,TRUE,Investors!$A:$A,'Investor Exit List'!$A170,Investors!$E:$E,'Investor Exit List'!$C170,Investors!$L:$L,'Investor Exit List'!$B170)</f>
        <v/>
      </c>
      <c r="T170" s="95">
        <f>IF(U170=TRUE,$J170,"")</f>
        <v/>
      </c>
      <c r="U170" s="93" t="b">
        <v>0</v>
      </c>
      <c r="V170" s="94">
        <f>IF(AND(H170=TRUE,OR(K170="",K170&gt;M170)),S170,0)</f>
        <v/>
      </c>
      <c r="W170" s="93" t="n">
        <v>0</v>
      </c>
      <c r="X170" s="93" t="b">
        <v>0</v>
      </c>
    </row>
    <row r="171">
      <c r="A171" s="93" t="inlineStr">
        <is>
          <t>ZRAB02</t>
        </is>
      </c>
      <c r="B171" s="93" t="n">
        <v>2</v>
      </c>
      <c r="C171" s="93" t="inlineStr">
        <is>
          <t>HVC202</t>
        </is>
      </c>
      <c r="D171" s="93" t="inlineStr">
        <is>
          <t>C</t>
        </is>
      </c>
      <c r="E171" s="93" t="inlineStr">
        <is>
          <t>Rabe (Mc Dowell) Roisin Natalie</t>
        </is>
      </c>
      <c r="F171" s="94">
        <f>SUMIFS(Investors!$M:$M,Investors!$O:$O,FALSE,Investors!$P:$P,FALSE,Investors!$K:$K,"&gt;"&amp;'NSST Print'!$B$3,Investors!$I:$I,"&lt;="&amp;'NSST Print'!$B$3,Investors!$A:$A,'Investor Exit List'!$A171,Investors!$E:$E,'Investor Exit List'!$C171,Investors!$L:$L,'Investor Exit List'!$B171)-(SUMIFS(Investors!$M:$M,Investors!$I:$I,"&lt;="&amp;'NSST Print'!$B$3,Investors!$J:$J,"&gt;"&amp;'NSST Print'!$B$3,Investors!$A:$A,'Investor Exit List'!$A171,Investors!$E:$E,'Investor Exit List'!$C171,Investors!$L:$L,'Investor Exit List'!$B171)+SUMIFS(Investors!$M:$M,Investors!$I:$I,"&lt;="&amp;'NSST Print'!$B$3,Investors!$J:$J,"",Investors!$A:$A,'Investor Exit List'!$A171,Investors!$E:$E,'Investor Exit List'!$C171,Investors!$L:$L,'Investor Exit List'!$B171))</f>
        <v/>
      </c>
      <c r="G171" s="95" t="n">
        <v>44903</v>
      </c>
      <c r="H171" s="93" t="b">
        <v>0</v>
      </c>
      <c r="I171" s="93" t="b">
        <v>0</v>
      </c>
      <c r="J171" s="95" t="n">
        <v>45505</v>
      </c>
      <c r="K171" s="95">
        <f>IF(I171=TRUE,J171,"")</f>
        <v/>
      </c>
      <c r="L171" s="95">
        <f>G171+730</f>
        <v/>
      </c>
      <c r="M171" s="95" t="n">
        <v>45382</v>
      </c>
      <c r="N171" s="96">
        <f>IFERROR(IF(G171&lt;&gt;"",IF(I171=TRUE,0,IF(U171=TRUE,0,L171-M171)),0),0)</f>
        <v/>
      </c>
      <c r="O171" s="96">
        <f>IF(N171&gt;0,IF(N171&lt;=180,N171,0),0)</f>
        <v/>
      </c>
      <c r="P171" s="94">
        <f>IF(AND(N171&lt;90,N171&gt;0),Q171,0)</f>
        <v/>
      </c>
      <c r="Q171" s="94">
        <f>SUMIFS(Investors!$M:$M,Investors!$O:$O,FALSE,Investors!$P:$P,FALSE,Investors!$K:$K,"&gt;"&amp;'NSST Print'!$B$3,Investors!$I:$I,"&lt;="&amp;'NSST Print'!$B$3,Investors!$A:$A,'Investor Exit List'!$A171,Investors!$E:$E,'Investor Exit List'!$C171,Investors!$L:$L,'Investor Exit List'!$B171)-(SUMIFS(Investors!$M:$M,Investors!$I:$I,"&lt;="&amp;'NSST Print'!$B$3,Investors!$J:$J,"&gt;"&amp;'NSST Print'!$B$3,Investors!$A:$A,'Investor Exit List'!$A171,Investors!$E:$E,'Investor Exit List'!$C171,Investors!$L:$L,'Investor Exit List'!$B171)+SUMIFS(Investors!$M:$M,Investors!$I:$I,"&lt;="&amp;'NSST Print'!$B$3,Investors!$J:$J,"",Investors!$A:$A,'Investor Exit List'!$A171,Investors!$E:$E,'Investor Exit List'!$C171,Investors!$L:$L,'Investor Exit List'!$B171))+SUMIFS(Investors!$S:$S,Investors!$O:$O,FALSE,Investors!$P:$P,FALSE,Investors!$K:$K,"&gt;"&amp;'NSST Print'!$B$3,Investors!$I:$I,"&lt;="&amp;'NSST Print'!$B$3,Investors!$A:$A,'Investor Exit List'!$A171,Investors!$E:$E,'Investor Exit List'!$C171,Investors!$L:$L,'Investor Exit List'!$B171)-(SUMIFS(Investors!$S:$S,Investors!$I:$I,"&lt;="&amp;'NSST Print'!$B$3,Investors!$J:$J,"&gt;"&amp;'NSST Print'!$B$3,Investors!$A:$A,'Investor Exit List'!$A171,Investors!$E:$E,'Investor Exit List'!$C171,Investors!$L:$L,'Investor Exit List'!$B171)+SUMIFS(Investors!$S:$S,Investors!$I:$I,"&lt;="&amp;'NSST Print'!$B$3,Investors!$J:$J,"",Investors!$A:$A,'Investor Exit List'!$A171,Investors!$E:$E,'Investor Exit List'!$C171,Investors!$L:$L,'Investor Exit List'!$B171))</f>
        <v/>
      </c>
      <c r="R171" s="94">
        <f>IF(AND(H171=TRUE,I171=FALSE),Q171,0)</f>
        <v/>
      </c>
      <c r="S171" s="94">
        <f>SUMIFS(Investors!$M:$M,Investors!$O:$O,TRUE,Investors!$A:$A,'Investor Exit List'!$A171,Investors!$E:$E,'Investor Exit List'!$C171,Investors!$L:$L,'Investor Exit List'!$B171)+SUMIFS(Investors!$S:$S,Investors!$O:$O,TRUE,Investors!$A:$A,'Investor Exit List'!$A171,Investors!$E:$E,'Investor Exit List'!$C171,Investors!$L:$L,'Investor Exit List'!$B171)</f>
        <v/>
      </c>
      <c r="T171" s="95">
        <f>IF(U171=TRUE,$J171,"")</f>
        <v/>
      </c>
      <c r="U171" s="93" t="b">
        <v>0</v>
      </c>
      <c r="V171" s="94">
        <f>IF(AND(H171=TRUE,OR(K171="",K171&gt;M171)),S171,0)</f>
        <v/>
      </c>
      <c r="W171" s="93" t="n">
        <v>0</v>
      </c>
      <c r="X171" s="93" t="b">
        <v>0</v>
      </c>
    </row>
    <row r="172">
      <c r="A172" s="93" t="inlineStr">
        <is>
          <t>ZRIT01</t>
        </is>
      </c>
      <c r="B172" s="93" t="n">
        <v>6</v>
      </c>
      <c r="C172" s="93" t="inlineStr">
        <is>
          <t>HVC202</t>
        </is>
      </c>
      <c r="D172" s="93" t="inlineStr">
        <is>
          <t>C</t>
        </is>
      </c>
      <c r="E172" s="93" t="inlineStr">
        <is>
          <t>Ritter Dennis</t>
        </is>
      </c>
      <c r="F172" s="94">
        <f>SUMIFS(Investors!$M:$M,Investors!$O:$O,FALSE,Investors!$P:$P,FALSE,Investors!$K:$K,"&gt;"&amp;'NSST Print'!$B$3,Investors!$I:$I,"&lt;="&amp;'NSST Print'!$B$3,Investors!$A:$A,'Investor Exit List'!$A172,Investors!$E:$E,'Investor Exit List'!$C172,Investors!$L:$L,'Investor Exit List'!$B172)-(SUMIFS(Investors!$M:$M,Investors!$I:$I,"&lt;="&amp;'NSST Print'!$B$3,Investors!$J:$J,"&gt;"&amp;'NSST Print'!$B$3,Investors!$A:$A,'Investor Exit List'!$A172,Investors!$E:$E,'Investor Exit List'!$C172,Investors!$L:$L,'Investor Exit List'!$B172)+SUMIFS(Investors!$M:$M,Investors!$I:$I,"&lt;="&amp;'NSST Print'!$B$3,Investors!$J:$J,"",Investors!$A:$A,'Investor Exit List'!$A172,Investors!$E:$E,'Investor Exit List'!$C172,Investors!$L:$L,'Investor Exit List'!$B172))</f>
        <v/>
      </c>
      <c r="G172" s="95" t="n">
        <v>44889</v>
      </c>
      <c r="H172" s="93" t="b">
        <v>0</v>
      </c>
      <c r="I172" s="93" t="b">
        <v>0</v>
      </c>
      <c r="J172" s="95" t="n">
        <v>45505</v>
      </c>
      <c r="K172" s="95">
        <f>IF(I172=TRUE,J172,"")</f>
        <v/>
      </c>
      <c r="L172" s="95">
        <f>G172+730</f>
        <v/>
      </c>
      <c r="M172" s="95" t="n">
        <v>45382</v>
      </c>
      <c r="N172" s="96">
        <f>IFERROR(IF(G172&lt;&gt;"",IF(I172=TRUE,0,IF(U172=TRUE,0,L172-M172)),0),0)</f>
        <v/>
      </c>
      <c r="O172" s="96">
        <f>IF(N172&gt;0,IF(N172&lt;=180,N172,0),0)</f>
        <v/>
      </c>
      <c r="P172" s="94">
        <f>IF(AND(N172&lt;90,N172&gt;0),Q172,0)</f>
        <v/>
      </c>
      <c r="Q172" s="94">
        <f>SUMIFS(Investors!$M:$M,Investors!$O:$O,FALSE,Investors!$P:$P,FALSE,Investors!$K:$K,"&gt;"&amp;'NSST Print'!$B$3,Investors!$I:$I,"&lt;="&amp;'NSST Print'!$B$3,Investors!$A:$A,'Investor Exit List'!$A172,Investors!$E:$E,'Investor Exit List'!$C172,Investors!$L:$L,'Investor Exit List'!$B172)-(SUMIFS(Investors!$M:$M,Investors!$I:$I,"&lt;="&amp;'NSST Print'!$B$3,Investors!$J:$J,"&gt;"&amp;'NSST Print'!$B$3,Investors!$A:$A,'Investor Exit List'!$A172,Investors!$E:$E,'Investor Exit List'!$C172,Investors!$L:$L,'Investor Exit List'!$B172)+SUMIFS(Investors!$M:$M,Investors!$I:$I,"&lt;="&amp;'NSST Print'!$B$3,Investors!$J:$J,"",Investors!$A:$A,'Investor Exit List'!$A172,Investors!$E:$E,'Investor Exit List'!$C172,Investors!$L:$L,'Investor Exit List'!$B172))+SUMIFS(Investors!$S:$S,Investors!$O:$O,FALSE,Investors!$P:$P,FALSE,Investors!$K:$K,"&gt;"&amp;'NSST Print'!$B$3,Investors!$I:$I,"&lt;="&amp;'NSST Print'!$B$3,Investors!$A:$A,'Investor Exit List'!$A172,Investors!$E:$E,'Investor Exit List'!$C172,Investors!$L:$L,'Investor Exit List'!$B172)-(SUMIFS(Investors!$S:$S,Investors!$I:$I,"&lt;="&amp;'NSST Print'!$B$3,Investors!$J:$J,"&gt;"&amp;'NSST Print'!$B$3,Investors!$A:$A,'Investor Exit List'!$A172,Investors!$E:$E,'Investor Exit List'!$C172,Investors!$L:$L,'Investor Exit List'!$B172)+SUMIFS(Investors!$S:$S,Investors!$I:$I,"&lt;="&amp;'NSST Print'!$B$3,Investors!$J:$J,"",Investors!$A:$A,'Investor Exit List'!$A172,Investors!$E:$E,'Investor Exit List'!$C172,Investors!$L:$L,'Investor Exit List'!$B172))</f>
        <v/>
      </c>
      <c r="R172" s="94">
        <f>IF(AND(H172=TRUE,I172=FALSE),Q172,0)</f>
        <v/>
      </c>
      <c r="S172" s="94">
        <f>SUMIFS(Investors!$M:$M,Investors!$O:$O,TRUE,Investors!$A:$A,'Investor Exit List'!$A172,Investors!$E:$E,'Investor Exit List'!$C172,Investors!$L:$L,'Investor Exit List'!$B172)+SUMIFS(Investors!$S:$S,Investors!$O:$O,TRUE,Investors!$A:$A,'Investor Exit List'!$A172,Investors!$E:$E,'Investor Exit List'!$C172,Investors!$L:$L,'Investor Exit List'!$B172)</f>
        <v/>
      </c>
      <c r="T172" s="95">
        <f>IF(U172=TRUE,$J172,"")</f>
        <v/>
      </c>
      <c r="U172" s="93" t="b">
        <v>0</v>
      </c>
      <c r="V172" s="94">
        <f>IF(AND(H172=TRUE,OR(K172="",K172&gt;M172)),S172,0)</f>
        <v/>
      </c>
      <c r="W172" s="93" t="n">
        <v>0</v>
      </c>
      <c r="X172" s="93" t="b">
        <v>0</v>
      </c>
    </row>
    <row r="173">
      <c r="A173" s="93" t="inlineStr">
        <is>
          <t>ZVAN11</t>
        </is>
      </c>
      <c r="B173" s="93" t="n">
        <v>1</v>
      </c>
      <c r="C173" s="93" t="inlineStr">
        <is>
          <t>HVC202</t>
        </is>
      </c>
      <c r="D173" s="93" t="inlineStr">
        <is>
          <t>C</t>
        </is>
      </c>
      <c r="E173" s="93" t="inlineStr">
        <is>
          <t>van Bosch Wilma</t>
        </is>
      </c>
      <c r="F173" s="94">
        <f>SUMIFS(Investors!$M:$M,Investors!$O:$O,FALSE,Investors!$P:$P,FALSE,Investors!$K:$K,"&gt;"&amp;'NSST Print'!$B$3,Investors!$I:$I,"&lt;="&amp;'NSST Print'!$B$3,Investors!$A:$A,'Investor Exit List'!$A173,Investors!$E:$E,'Investor Exit List'!$C173,Investors!$L:$L,'Investor Exit List'!$B173)-(SUMIFS(Investors!$M:$M,Investors!$I:$I,"&lt;="&amp;'NSST Print'!$B$3,Investors!$J:$J,"&gt;"&amp;'NSST Print'!$B$3,Investors!$A:$A,'Investor Exit List'!$A173,Investors!$E:$E,'Investor Exit List'!$C173,Investors!$L:$L,'Investor Exit List'!$B173)+SUMIFS(Investors!$M:$M,Investors!$I:$I,"&lt;="&amp;'NSST Print'!$B$3,Investors!$J:$J,"",Investors!$A:$A,'Investor Exit List'!$A173,Investors!$E:$E,'Investor Exit List'!$C173,Investors!$L:$L,'Investor Exit List'!$B173))</f>
        <v/>
      </c>
      <c r="G173" s="95" t="n">
        <v>44903</v>
      </c>
      <c r="H173" s="93" t="b">
        <v>0</v>
      </c>
      <c r="I173" s="93" t="b">
        <v>0</v>
      </c>
      <c r="J173" s="95" t="n">
        <v>45505</v>
      </c>
      <c r="K173" s="95">
        <f>IF(I173=TRUE,J173,"")</f>
        <v/>
      </c>
      <c r="L173" s="95">
        <f>G173+730</f>
        <v/>
      </c>
      <c r="M173" s="95" t="n">
        <v>45382</v>
      </c>
      <c r="N173" s="96">
        <f>IFERROR(IF(G173&lt;&gt;"",IF(I173=TRUE,0,IF(U173=TRUE,0,L173-M173)),0),0)</f>
        <v/>
      </c>
      <c r="O173" s="96">
        <f>IF(N173&gt;0,IF(N173&lt;=180,N173,0),0)</f>
        <v/>
      </c>
      <c r="P173" s="94">
        <f>IF(AND(N173&lt;90,N173&gt;0),Q173,0)</f>
        <v/>
      </c>
      <c r="Q173" s="94">
        <f>SUMIFS(Investors!$M:$M,Investors!$O:$O,FALSE,Investors!$P:$P,FALSE,Investors!$K:$K,"&gt;"&amp;'NSST Print'!$B$3,Investors!$I:$I,"&lt;="&amp;'NSST Print'!$B$3,Investors!$A:$A,'Investor Exit List'!$A173,Investors!$E:$E,'Investor Exit List'!$C173,Investors!$L:$L,'Investor Exit List'!$B173)-(SUMIFS(Investors!$M:$M,Investors!$I:$I,"&lt;="&amp;'NSST Print'!$B$3,Investors!$J:$J,"&gt;"&amp;'NSST Print'!$B$3,Investors!$A:$A,'Investor Exit List'!$A173,Investors!$E:$E,'Investor Exit List'!$C173,Investors!$L:$L,'Investor Exit List'!$B173)+SUMIFS(Investors!$M:$M,Investors!$I:$I,"&lt;="&amp;'NSST Print'!$B$3,Investors!$J:$J,"",Investors!$A:$A,'Investor Exit List'!$A173,Investors!$E:$E,'Investor Exit List'!$C173,Investors!$L:$L,'Investor Exit List'!$B173))+SUMIFS(Investors!$S:$S,Investors!$O:$O,FALSE,Investors!$P:$P,FALSE,Investors!$K:$K,"&gt;"&amp;'NSST Print'!$B$3,Investors!$I:$I,"&lt;="&amp;'NSST Print'!$B$3,Investors!$A:$A,'Investor Exit List'!$A173,Investors!$E:$E,'Investor Exit List'!$C173,Investors!$L:$L,'Investor Exit List'!$B173)-(SUMIFS(Investors!$S:$S,Investors!$I:$I,"&lt;="&amp;'NSST Print'!$B$3,Investors!$J:$J,"&gt;"&amp;'NSST Print'!$B$3,Investors!$A:$A,'Investor Exit List'!$A173,Investors!$E:$E,'Investor Exit List'!$C173,Investors!$L:$L,'Investor Exit List'!$B173)+SUMIFS(Investors!$S:$S,Investors!$I:$I,"&lt;="&amp;'NSST Print'!$B$3,Investors!$J:$J,"",Investors!$A:$A,'Investor Exit List'!$A173,Investors!$E:$E,'Investor Exit List'!$C173,Investors!$L:$L,'Investor Exit List'!$B173))</f>
        <v/>
      </c>
      <c r="R173" s="94">
        <f>IF(AND(H173=TRUE,I173=FALSE),Q173,0)</f>
        <v/>
      </c>
      <c r="S173" s="94">
        <f>SUMIFS(Investors!$M:$M,Investors!$O:$O,TRUE,Investors!$A:$A,'Investor Exit List'!$A173,Investors!$E:$E,'Investor Exit List'!$C173,Investors!$L:$L,'Investor Exit List'!$B173)+SUMIFS(Investors!$S:$S,Investors!$O:$O,TRUE,Investors!$A:$A,'Investor Exit List'!$A173,Investors!$E:$E,'Investor Exit List'!$C173,Investors!$L:$L,'Investor Exit List'!$B173)</f>
        <v/>
      </c>
      <c r="T173" s="95">
        <f>IF(U173=TRUE,$J173,"")</f>
        <v/>
      </c>
      <c r="U173" s="93" t="b">
        <v>0</v>
      </c>
      <c r="V173" s="94">
        <f>IF(AND(H173=TRUE,OR(K173="",K173&gt;M173)),S173,0)</f>
        <v/>
      </c>
      <c r="W173" s="93" t="n">
        <v>0</v>
      </c>
      <c r="X173" s="93" t="b">
        <v>0</v>
      </c>
    </row>
    <row r="174" hidden="1">
      <c r="A174" s="89" t="inlineStr">
        <is>
          <t>ZDEC01</t>
        </is>
      </c>
      <c r="B174" s="89" t="n">
        <v>2</v>
      </c>
      <c r="C174" s="89" t="inlineStr">
        <is>
          <t>HVC203</t>
        </is>
      </c>
      <c r="D174" s="89" t="inlineStr">
        <is>
          <t>C</t>
        </is>
      </c>
      <c r="E174" s="89" t="inlineStr">
        <is>
          <t>de Clerk Hendrik</t>
        </is>
      </c>
      <c r="F174" s="90">
        <f>SUMIFS(Investors!$M:$M,Investors!$O:$O,FALSE,Investors!$P:$P,FALSE,Investors!$K:$K,"&gt;"&amp;'NSST Print'!$B$3,Investors!$I:$I,"&lt;="&amp;'NSST Print'!$B$3,Investors!$A:$A,'Investor Exit List'!$A174,Investors!$E:$E,'Investor Exit List'!$C174,Investors!$L:$L,'Investor Exit List'!$B174)-(SUMIFS(Investors!$M:$M,Investors!$I:$I,"&lt;="&amp;'NSST Print'!$B$3,Investors!$J:$J,"&gt;"&amp;'NSST Print'!$B$3,Investors!$A:$A,'Investor Exit List'!$A174,Investors!$E:$E,'Investor Exit List'!$C174,Investors!$L:$L,'Investor Exit List'!$B174)+SUMIFS(Investors!$M:$M,Investors!$I:$I,"&lt;="&amp;'NSST Print'!$B$3,Investors!$J:$J,"",Investors!$A:$A,'Investor Exit List'!$A174,Investors!$E:$E,'Investor Exit List'!$C174,Investors!$L:$L,'Investor Exit List'!$B174))</f>
        <v/>
      </c>
      <c r="G174" s="91" t="n">
        <v>44889</v>
      </c>
      <c r="H174" s="89" t="b">
        <v>1</v>
      </c>
      <c r="I174" s="89" t="b">
        <v>1</v>
      </c>
      <c r="J174" s="91" t="n">
        <v>45154</v>
      </c>
      <c r="K174" s="91">
        <f>IF(I174=TRUE,J174,"")</f>
        <v/>
      </c>
      <c r="L174" s="91">
        <f>G174+730</f>
        <v/>
      </c>
      <c r="M174" s="91" t="n">
        <v>45382</v>
      </c>
      <c r="N174" s="92">
        <f>IFERROR(IF(G174&lt;&gt;"",IF(I174=TRUE,0,IF(U174=TRUE,0,L174-M174)),0),0)</f>
        <v/>
      </c>
      <c r="O174" s="92">
        <f>IF(N174&gt;0,IF(N174&lt;=180,N174,0),0)</f>
        <v/>
      </c>
      <c r="P174" s="90">
        <f>IF(AND(N174&lt;90,N174&gt;0),Q174,0)</f>
        <v/>
      </c>
      <c r="Q174" s="90">
        <f>SUMIFS(Investors!$M:$M,Investors!$O:$O,FALSE,Investors!$P:$P,FALSE,Investors!$K:$K,"&gt;"&amp;'NSST Print'!$B$3,Investors!$I:$I,"&lt;="&amp;'NSST Print'!$B$3,Investors!$A:$A,'Investor Exit List'!$A174,Investors!$E:$E,'Investor Exit List'!$C174,Investors!$L:$L,'Investor Exit List'!$B174)-(SUMIFS(Investors!$M:$M,Investors!$I:$I,"&lt;="&amp;'NSST Print'!$B$3,Investors!$J:$J,"&gt;"&amp;'NSST Print'!$B$3,Investors!$A:$A,'Investor Exit List'!$A174,Investors!$E:$E,'Investor Exit List'!$C174,Investors!$L:$L,'Investor Exit List'!$B174)+SUMIFS(Investors!$M:$M,Investors!$I:$I,"&lt;="&amp;'NSST Print'!$B$3,Investors!$J:$J,"",Investors!$A:$A,'Investor Exit List'!$A174,Investors!$E:$E,'Investor Exit List'!$C174,Investors!$L:$L,'Investor Exit List'!$B174))+SUMIFS(Investors!$S:$S,Investors!$O:$O,FALSE,Investors!$P:$P,FALSE,Investors!$K:$K,"&gt;"&amp;'NSST Print'!$B$3,Investors!$I:$I,"&lt;="&amp;'NSST Print'!$B$3,Investors!$A:$A,'Investor Exit List'!$A174,Investors!$E:$E,'Investor Exit List'!$C174,Investors!$L:$L,'Investor Exit List'!$B174)-(SUMIFS(Investors!$S:$S,Investors!$I:$I,"&lt;="&amp;'NSST Print'!$B$3,Investors!$J:$J,"&gt;"&amp;'NSST Print'!$B$3,Investors!$A:$A,'Investor Exit List'!$A174,Investors!$E:$E,'Investor Exit List'!$C174,Investors!$L:$L,'Investor Exit List'!$B174)+SUMIFS(Investors!$S:$S,Investors!$I:$I,"&lt;="&amp;'NSST Print'!$B$3,Investors!$J:$J,"",Investors!$A:$A,'Investor Exit List'!$A174,Investors!$E:$E,'Investor Exit List'!$C174,Investors!$L:$L,'Investor Exit List'!$B174))</f>
        <v/>
      </c>
      <c r="R174" s="90">
        <f>IF(AND(H174=TRUE,I174=FALSE),Q174,0)</f>
        <v/>
      </c>
      <c r="S174" s="90">
        <f>SUMIFS(Investors!$M:$M,Investors!$O:$O,TRUE,Investors!$A:$A,'Investor Exit List'!$A174,Investors!$E:$E,'Investor Exit List'!$C174,Investors!$L:$L,'Investor Exit List'!$B174)+SUMIFS(Investors!$S:$S,Investors!$O:$O,TRUE,Investors!$A:$A,'Investor Exit List'!$A174,Investors!$E:$E,'Investor Exit List'!$C174,Investors!$L:$L,'Investor Exit List'!$B174)</f>
        <v/>
      </c>
      <c r="T174" s="91">
        <f>IF(U174=TRUE,$J174,"")</f>
        <v/>
      </c>
      <c r="U174" s="89" t="b">
        <v>0</v>
      </c>
      <c r="V174" s="90">
        <f>IF(AND(H174=TRUE,OR(K174="",K174&gt;M174)),S174,0)</f>
        <v/>
      </c>
      <c r="W174" s="89" t="n">
        <v>0</v>
      </c>
      <c r="X174" s="89" t="b">
        <v>0</v>
      </c>
    </row>
    <row r="175" hidden="1">
      <c r="A175" s="89" t="inlineStr">
        <is>
          <t>ZNIE02</t>
        </is>
      </c>
      <c r="B175" s="89" t="n">
        <v>2</v>
      </c>
      <c r="C175" s="89" t="inlineStr">
        <is>
          <t>HVC203</t>
        </is>
      </c>
      <c r="D175" s="89" t="inlineStr">
        <is>
          <t>C</t>
        </is>
      </c>
      <c r="E175" s="89" t="inlineStr">
        <is>
          <t>van Niekerk Linda Kathleen</t>
        </is>
      </c>
      <c r="F175" s="90">
        <f>SUMIFS(Investors!$M:$M,Investors!$O:$O,FALSE,Investors!$P:$P,FALSE,Investors!$K:$K,"&gt;"&amp;'NSST Print'!$B$3,Investors!$I:$I,"&lt;="&amp;'NSST Print'!$B$3,Investors!$A:$A,'Investor Exit List'!$A175,Investors!$E:$E,'Investor Exit List'!$C175,Investors!$L:$L,'Investor Exit List'!$B175)-(SUMIFS(Investors!$M:$M,Investors!$I:$I,"&lt;="&amp;'NSST Print'!$B$3,Investors!$J:$J,"&gt;"&amp;'NSST Print'!$B$3,Investors!$A:$A,'Investor Exit List'!$A175,Investors!$E:$E,'Investor Exit List'!$C175,Investors!$L:$L,'Investor Exit List'!$B175)+SUMIFS(Investors!$M:$M,Investors!$I:$I,"&lt;="&amp;'NSST Print'!$B$3,Investors!$J:$J,"",Investors!$A:$A,'Investor Exit List'!$A175,Investors!$E:$E,'Investor Exit List'!$C175,Investors!$L:$L,'Investor Exit List'!$B175))</f>
        <v/>
      </c>
      <c r="G175" s="91" t="n">
        <v>44889</v>
      </c>
      <c r="H175" s="89" t="b">
        <v>1</v>
      </c>
      <c r="I175" s="89" t="b">
        <v>1</v>
      </c>
      <c r="J175" s="91" t="n">
        <v>45154</v>
      </c>
      <c r="K175" s="91">
        <f>IF(I175=TRUE,J175,"")</f>
        <v/>
      </c>
      <c r="L175" s="91">
        <f>G175+730</f>
        <v/>
      </c>
      <c r="M175" s="91" t="n">
        <v>45382</v>
      </c>
      <c r="N175" s="92">
        <f>IFERROR(IF(G175&lt;&gt;"",IF(I175=TRUE,0,IF(U175=TRUE,0,L175-M175)),0),0)</f>
        <v/>
      </c>
      <c r="O175" s="92">
        <f>IF(N175&gt;0,IF(N175&lt;=180,N175,0),0)</f>
        <v/>
      </c>
      <c r="P175" s="90">
        <f>IF(AND(N175&lt;90,N175&gt;0),Q175,0)</f>
        <v/>
      </c>
      <c r="Q175" s="90">
        <f>SUMIFS(Investors!$M:$M,Investors!$O:$O,FALSE,Investors!$P:$P,FALSE,Investors!$K:$K,"&gt;"&amp;'NSST Print'!$B$3,Investors!$I:$I,"&lt;="&amp;'NSST Print'!$B$3,Investors!$A:$A,'Investor Exit List'!$A175,Investors!$E:$E,'Investor Exit List'!$C175,Investors!$L:$L,'Investor Exit List'!$B175)-(SUMIFS(Investors!$M:$M,Investors!$I:$I,"&lt;="&amp;'NSST Print'!$B$3,Investors!$J:$J,"&gt;"&amp;'NSST Print'!$B$3,Investors!$A:$A,'Investor Exit List'!$A175,Investors!$E:$E,'Investor Exit List'!$C175,Investors!$L:$L,'Investor Exit List'!$B175)+SUMIFS(Investors!$M:$M,Investors!$I:$I,"&lt;="&amp;'NSST Print'!$B$3,Investors!$J:$J,"",Investors!$A:$A,'Investor Exit List'!$A175,Investors!$E:$E,'Investor Exit List'!$C175,Investors!$L:$L,'Investor Exit List'!$B175))+SUMIFS(Investors!$S:$S,Investors!$O:$O,FALSE,Investors!$P:$P,FALSE,Investors!$K:$K,"&gt;"&amp;'NSST Print'!$B$3,Investors!$I:$I,"&lt;="&amp;'NSST Print'!$B$3,Investors!$A:$A,'Investor Exit List'!$A175,Investors!$E:$E,'Investor Exit List'!$C175,Investors!$L:$L,'Investor Exit List'!$B175)-(SUMIFS(Investors!$S:$S,Investors!$I:$I,"&lt;="&amp;'NSST Print'!$B$3,Investors!$J:$J,"&gt;"&amp;'NSST Print'!$B$3,Investors!$A:$A,'Investor Exit List'!$A175,Investors!$E:$E,'Investor Exit List'!$C175,Investors!$L:$L,'Investor Exit List'!$B175)+SUMIFS(Investors!$S:$S,Investors!$I:$I,"&lt;="&amp;'NSST Print'!$B$3,Investors!$J:$J,"",Investors!$A:$A,'Investor Exit List'!$A175,Investors!$E:$E,'Investor Exit List'!$C175,Investors!$L:$L,'Investor Exit List'!$B175))</f>
        <v/>
      </c>
      <c r="R175" s="90">
        <f>IF(AND(H175=TRUE,I175=FALSE),Q175,0)</f>
        <v/>
      </c>
      <c r="S175" s="90">
        <f>SUMIFS(Investors!$M:$M,Investors!$O:$O,TRUE,Investors!$A:$A,'Investor Exit List'!$A175,Investors!$E:$E,'Investor Exit List'!$C175,Investors!$L:$L,'Investor Exit List'!$B175)+SUMIFS(Investors!$S:$S,Investors!$O:$O,TRUE,Investors!$A:$A,'Investor Exit List'!$A175,Investors!$E:$E,'Investor Exit List'!$C175,Investors!$L:$L,'Investor Exit List'!$B175)</f>
        <v/>
      </c>
      <c r="T175" s="91">
        <f>IF(U175=TRUE,$J175,"")</f>
        <v/>
      </c>
      <c r="U175" s="89" t="b">
        <v>0</v>
      </c>
      <c r="V175" s="90">
        <f>IF(AND(H175=TRUE,OR(K175="",K175&gt;M175)),S175,0)</f>
        <v/>
      </c>
      <c r="W175" s="89" t="n">
        <v>0</v>
      </c>
      <c r="X175" s="89" t="b">
        <v>0</v>
      </c>
    </row>
    <row r="176">
      <c r="A176" s="93" t="inlineStr">
        <is>
          <t>ZCRO01</t>
        </is>
      </c>
      <c r="B176" s="93" t="n">
        <v>13</v>
      </c>
      <c r="C176" s="93" t="inlineStr">
        <is>
          <t>HVC204</t>
        </is>
      </c>
      <c r="D176" s="93" t="inlineStr">
        <is>
          <t>C</t>
        </is>
      </c>
      <c r="E176" s="93" t="inlineStr">
        <is>
          <t>Lunau Marc</t>
        </is>
      </c>
      <c r="F176" s="94">
        <f>SUMIFS(Investors!$M:$M,Investors!$O:$O,FALSE,Investors!$P:$P,FALSE,Investors!$K:$K,"&gt;"&amp;'NSST Print'!$B$3,Investors!$I:$I,"&lt;="&amp;'NSST Print'!$B$3,Investors!$A:$A,'Investor Exit List'!$A176,Investors!$E:$E,'Investor Exit List'!$C176,Investors!$L:$L,'Investor Exit List'!$B176)-(SUMIFS(Investors!$M:$M,Investors!$I:$I,"&lt;="&amp;'NSST Print'!$B$3,Investors!$J:$J,"&gt;"&amp;'NSST Print'!$B$3,Investors!$A:$A,'Investor Exit List'!$A176,Investors!$E:$E,'Investor Exit List'!$C176,Investors!$L:$L,'Investor Exit List'!$B176)+SUMIFS(Investors!$M:$M,Investors!$I:$I,"&lt;="&amp;'NSST Print'!$B$3,Investors!$J:$J,"",Investors!$A:$A,'Investor Exit List'!$A176,Investors!$E:$E,'Investor Exit List'!$C176,Investors!$L:$L,'Investor Exit List'!$B176))</f>
        <v/>
      </c>
      <c r="G176" s="95" t="n">
        <v>45107</v>
      </c>
      <c r="H176" s="93" t="b">
        <v>0</v>
      </c>
      <c r="I176" s="93" t="b">
        <v>0</v>
      </c>
      <c r="J176" s="95" t="n">
        <v>45530</v>
      </c>
      <c r="K176" s="95">
        <f>IF(I176=TRUE,J176,"")</f>
        <v/>
      </c>
      <c r="L176" s="95">
        <f>G176+730</f>
        <v/>
      </c>
      <c r="M176" s="95" t="n">
        <v>45382</v>
      </c>
      <c r="N176" s="96">
        <f>IFERROR(IF(G176&lt;&gt;"",IF(I176=TRUE,0,IF(U176=TRUE,0,L176-M176)),0),0)</f>
        <v/>
      </c>
      <c r="O176" s="96">
        <f>IF(N176&gt;0,IF(N176&lt;=180,N176,0),0)</f>
        <v/>
      </c>
      <c r="P176" s="94">
        <f>IF(AND(N176&lt;90,N176&gt;0),Q176,0)</f>
        <v/>
      </c>
      <c r="Q176" s="94">
        <f>SUMIFS(Investors!$M:$M,Investors!$O:$O,FALSE,Investors!$P:$P,FALSE,Investors!$K:$K,"&gt;"&amp;'NSST Print'!$B$3,Investors!$I:$I,"&lt;="&amp;'NSST Print'!$B$3,Investors!$A:$A,'Investor Exit List'!$A176,Investors!$E:$E,'Investor Exit List'!$C176,Investors!$L:$L,'Investor Exit List'!$B176)-(SUMIFS(Investors!$M:$M,Investors!$I:$I,"&lt;="&amp;'NSST Print'!$B$3,Investors!$J:$J,"&gt;"&amp;'NSST Print'!$B$3,Investors!$A:$A,'Investor Exit List'!$A176,Investors!$E:$E,'Investor Exit List'!$C176,Investors!$L:$L,'Investor Exit List'!$B176)+SUMIFS(Investors!$M:$M,Investors!$I:$I,"&lt;="&amp;'NSST Print'!$B$3,Investors!$J:$J,"",Investors!$A:$A,'Investor Exit List'!$A176,Investors!$E:$E,'Investor Exit List'!$C176,Investors!$L:$L,'Investor Exit List'!$B176))+SUMIFS(Investors!$S:$S,Investors!$O:$O,FALSE,Investors!$P:$P,FALSE,Investors!$K:$K,"&gt;"&amp;'NSST Print'!$B$3,Investors!$I:$I,"&lt;="&amp;'NSST Print'!$B$3,Investors!$A:$A,'Investor Exit List'!$A176,Investors!$E:$E,'Investor Exit List'!$C176,Investors!$L:$L,'Investor Exit List'!$B176)-(SUMIFS(Investors!$S:$S,Investors!$I:$I,"&lt;="&amp;'NSST Print'!$B$3,Investors!$J:$J,"&gt;"&amp;'NSST Print'!$B$3,Investors!$A:$A,'Investor Exit List'!$A176,Investors!$E:$E,'Investor Exit List'!$C176,Investors!$L:$L,'Investor Exit List'!$B176)+SUMIFS(Investors!$S:$S,Investors!$I:$I,"&lt;="&amp;'NSST Print'!$B$3,Investors!$J:$J,"",Investors!$A:$A,'Investor Exit List'!$A176,Investors!$E:$E,'Investor Exit List'!$C176,Investors!$L:$L,'Investor Exit List'!$B176))</f>
        <v/>
      </c>
      <c r="R176" s="94">
        <f>IF(AND(H176=TRUE,I176=FALSE),Q176,0)</f>
        <v/>
      </c>
      <c r="S176" s="94">
        <f>SUMIFS(Investors!$M:$M,Investors!$O:$O,TRUE,Investors!$A:$A,'Investor Exit List'!$A176,Investors!$E:$E,'Investor Exit List'!$C176,Investors!$L:$L,'Investor Exit List'!$B176)+SUMIFS(Investors!$S:$S,Investors!$O:$O,TRUE,Investors!$A:$A,'Investor Exit List'!$A176,Investors!$E:$E,'Investor Exit List'!$C176,Investors!$L:$L,'Investor Exit List'!$B176)</f>
        <v/>
      </c>
      <c r="T176" s="95">
        <f>IF(U176=TRUE,$J176,"")</f>
        <v/>
      </c>
      <c r="U176" s="93" t="b">
        <v>0</v>
      </c>
      <c r="V176" s="94">
        <f>IF(AND(H176=TRUE,OR(K176="",K176&gt;M176)),S176,0)</f>
        <v/>
      </c>
      <c r="W176" s="93" t="n">
        <v>0</v>
      </c>
      <c r="X176" s="93" t="b">
        <v>0</v>
      </c>
    </row>
    <row r="177">
      <c r="A177" s="93" t="inlineStr">
        <is>
          <t>ZFEM01</t>
        </is>
      </c>
      <c r="B177" s="93" t="n">
        <v>3</v>
      </c>
      <c r="C177" s="93" t="inlineStr">
        <is>
          <t>HVC204</t>
        </is>
      </c>
      <c r="D177" s="93" t="inlineStr">
        <is>
          <t>C</t>
        </is>
      </c>
      <c r="E177" s="93" t="inlineStr">
        <is>
          <t>Morkel Francina Elisabeth</t>
        </is>
      </c>
      <c r="F177" s="94">
        <f>SUMIFS(Investors!$M:$M,Investors!$O:$O,FALSE,Investors!$P:$P,FALSE,Investors!$K:$K,"&gt;"&amp;'NSST Print'!$B$3,Investors!$I:$I,"&lt;="&amp;'NSST Print'!$B$3,Investors!$A:$A,'Investor Exit List'!$A177,Investors!$E:$E,'Investor Exit List'!$C177,Investors!$L:$L,'Investor Exit List'!$B177)-(SUMIFS(Investors!$M:$M,Investors!$I:$I,"&lt;="&amp;'NSST Print'!$B$3,Investors!$J:$J,"&gt;"&amp;'NSST Print'!$B$3,Investors!$A:$A,'Investor Exit List'!$A177,Investors!$E:$E,'Investor Exit List'!$C177,Investors!$L:$L,'Investor Exit List'!$B177)+SUMIFS(Investors!$M:$M,Investors!$I:$I,"&lt;="&amp;'NSST Print'!$B$3,Investors!$J:$J,"",Investors!$A:$A,'Investor Exit List'!$A177,Investors!$E:$E,'Investor Exit List'!$C177,Investors!$L:$L,'Investor Exit List'!$B177))</f>
        <v/>
      </c>
      <c r="G177" s="95" t="n">
        <v>44916</v>
      </c>
      <c r="H177" s="93" t="b">
        <v>0</v>
      </c>
      <c r="I177" s="93" t="b">
        <v>0</v>
      </c>
      <c r="J177" s="95" t="n">
        <v>45530</v>
      </c>
      <c r="K177" s="95">
        <f>IF(I177=TRUE,J177,"")</f>
        <v/>
      </c>
      <c r="L177" s="95">
        <f>G177+730</f>
        <v/>
      </c>
      <c r="M177" s="95" t="n">
        <v>45382</v>
      </c>
      <c r="N177" s="96">
        <f>IFERROR(IF(G177&lt;&gt;"",IF(I177=TRUE,0,IF(U177=TRUE,0,L177-M177)),0),0)</f>
        <v/>
      </c>
      <c r="O177" s="96">
        <f>IF(N177&gt;0,IF(N177&lt;=180,N177,0),0)</f>
        <v/>
      </c>
      <c r="P177" s="94">
        <f>IF(AND(N177&lt;90,N177&gt;0),Q177,0)</f>
        <v/>
      </c>
      <c r="Q177" s="94">
        <f>SUMIFS(Investors!$M:$M,Investors!$O:$O,FALSE,Investors!$P:$P,FALSE,Investors!$K:$K,"&gt;"&amp;'NSST Print'!$B$3,Investors!$I:$I,"&lt;="&amp;'NSST Print'!$B$3,Investors!$A:$A,'Investor Exit List'!$A177,Investors!$E:$E,'Investor Exit List'!$C177,Investors!$L:$L,'Investor Exit List'!$B177)-(SUMIFS(Investors!$M:$M,Investors!$I:$I,"&lt;="&amp;'NSST Print'!$B$3,Investors!$J:$J,"&gt;"&amp;'NSST Print'!$B$3,Investors!$A:$A,'Investor Exit List'!$A177,Investors!$E:$E,'Investor Exit List'!$C177,Investors!$L:$L,'Investor Exit List'!$B177)+SUMIFS(Investors!$M:$M,Investors!$I:$I,"&lt;="&amp;'NSST Print'!$B$3,Investors!$J:$J,"",Investors!$A:$A,'Investor Exit List'!$A177,Investors!$E:$E,'Investor Exit List'!$C177,Investors!$L:$L,'Investor Exit List'!$B177))+SUMIFS(Investors!$S:$S,Investors!$O:$O,FALSE,Investors!$P:$P,FALSE,Investors!$K:$K,"&gt;"&amp;'NSST Print'!$B$3,Investors!$I:$I,"&lt;="&amp;'NSST Print'!$B$3,Investors!$A:$A,'Investor Exit List'!$A177,Investors!$E:$E,'Investor Exit List'!$C177,Investors!$L:$L,'Investor Exit List'!$B177)-(SUMIFS(Investors!$S:$S,Investors!$I:$I,"&lt;="&amp;'NSST Print'!$B$3,Investors!$J:$J,"&gt;"&amp;'NSST Print'!$B$3,Investors!$A:$A,'Investor Exit List'!$A177,Investors!$E:$E,'Investor Exit List'!$C177,Investors!$L:$L,'Investor Exit List'!$B177)+SUMIFS(Investors!$S:$S,Investors!$I:$I,"&lt;="&amp;'NSST Print'!$B$3,Investors!$J:$J,"",Investors!$A:$A,'Investor Exit List'!$A177,Investors!$E:$E,'Investor Exit List'!$C177,Investors!$L:$L,'Investor Exit List'!$B177))</f>
        <v/>
      </c>
      <c r="R177" s="94">
        <f>IF(AND(H177=TRUE,I177=FALSE),Q177,0)</f>
        <v/>
      </c>
      <c r="S177" s="94">
        <f>SUMIFS(Investors!$M:$M,Investors!$O:$O,TRUE,Investors!$A:$A,'Investor Exit List'!$A177,Investors!$E:$E,'Investor Exit List'!$C177,Investors!$L:$L,'Investor Exit List'!$B177)+SUMIFS(Investors!$S:$S,Investors!$O:$O,TRUE,Investors!$A:$A,'Investor Exit List'!$A177,Investors!$E:$E,'Investor Exit List'!$C177,Investors!$L:$L,'Investor Exit List'!$B177)</f>
        <v/>
      </c>
      <c r="T177" s="95">
        <f>IF(U177=TRUE,$J177,"")</f>
        <v/>
      </c>
      <c r="U177" s="93" t="b">
        <v>0</v>
      </c>
      <c r="V177" s="94">
        <f>IF(AND(H177=TRUE,OR(K177="",K177&gt;M177)),S177,0)</f>
        <v/>
      </c>
      <c r="W177" s="93" t="n">
        <v>0</v>
      </c>
      <c r="X177" s="93" t="b">
        <v>0</v>
      </c>
    </row>
    <row r="178">
      <c r="A178" s="93" t="inlineStr">
        <is>
          <t>ZKUS02</t>
        </is>
      </c>
      <c r="B178" s="93" t="n">
        <v>3</v>
      </c>
      <c r="C178" s="93" t="inlineStr">
        <is>
          <t>HVC204</t>
        </is>
      </c>
      <c r="D178" s="93" t="inlineStr">
        <is>
          <t>C</t>
        </is>
      </c>
      <c r="E178" s="93" t="inlineStr">
        <is>
          <t>Kuster Kerry Lisa</t>
        </is>
      </c>
      <c r="F178" s="94">
        <f>SUMIFS(Investors!$M:$M,Investors!$O:$O,FALSE,Investors!$P:$P,FALSE,Investors!$K:$K,"&gt;"&amp;'NSST Print'!$B$3,Investors!$I:$I,"&lt;="&amp;'NSST Print'!$B$3,Investors!$A:$A,'Investor Exit List'!$A178,Investors!$E:$E,'Investor Exit List'!$C178,Investors!$L:$L,'Investor Exit List'!$B178)-(SUMIFS(Investors!$M:$M,Investors!$I:$I,"&lt;="&amp;'NSST Print'!$B$3,Investors!$J:$J,"&gt;"&amp;'NSST Print'!$B$3,Investors!$A:$A,'Investor Exit List'!$A178,Investors!$E:$E,'Investor Exit List'!$C178,Investors!$L:$L,'Investor Exit List'!$B178)+SUMIFS(Investors!$M:$M,Investors!$I:$I,"&lt;="&amp;'NSST Print'!$B$3,Investors!$J:$J,"",Investors!$A:$A,'Investor Exit List'!$A178,Investors!$E:$E,'Investor Exit List'!$C178,Investors!$L:$L,'Investor Exit List'!$B178))</f>
        <v/>
      </c>
      <c r="G178" s="95" t="n">
        <v>44889</v>
      </c>
      <c r="H178" s="93" t="b">
        <v>0</v>
      </c>
      <c r="I178" s="93" t="b">
        <v>0</v>
      </c>
      <c r="J178" s="95" t="n">
        <v>45530</v>
      </c>
      <c r="K178" s="95">
        <f>IF(I178=TRUE,J178,"")</f>
        <v/>
      </c>
      <c r="L178" s="95">
        <f>G178+730</f>
        <v/>
      </c>
      <c r="M178" s="95" t="n">
        <v>45382</v>
      </c>
      <c r="N178" s="96">
        <f>IFERROR(IF(G178&lt;&gt;"",IF(I178=TRUE,0,IF(U178=TRUE,0,L178-M178)),0),0)</f>
        <v/>
      </c>
      <c r="O178" s="96">
        <f>IF(N178&gt;0,IF(N178&lt;=180,N178,0),0)</f>
        <v/>
      </c>
      <c r="P178" s="94">
        <f>IF(AND(N178&lt;90,N178&gt;0),Q178,0)</f>
        <v/>
      </c>
      <c r="Q178" s="94">
        <f>SUMIFS(Investors!$M:$M,Investors!$O:$O,FALSE,Investors!$P:$P,FALSE,Investors!$K:$K,"&gt;"&amp;'NSST Print'!$B$3,Investors!$I:$I,"&lt;="&amp;'NSST Print'!$B$3,Investors!$A:$A,'Investor Exit List'!$A178,Investors!$E:$E,'Investor Exit List'!$C178,Investors!$L:$L,'Investor Exit List'!$B178)-(SUMIFS(Investors!$M:$M,Investors!$I:$I,"&lt;="&amp;'NSST Print'!$B$3,Investors!$J:$J,"&gt;"&amp;'NSST Print'!$B$3,Investors!$A:$A,'Investor Exit List'!$A178,Investors!$E:$E,'Investor Exit List'!$C178,Investors!$L:$L,'Investor Exit List'!$B178)+SUMIFS(Investors!$M:$M,Investors!$I:$I,"&lt;="&amp;'NSST Print'!$B$3,Investors!$J:$J,"",Investors!$A:$A,'Investor Exit List'!$A178,Investors!$E:$E,'Investor Exit List'!$C178,Investors!$L:$L,'Investor Exit List'!$B178))+SUMIFS(Investors!$S:$S,Investors!$O:$O,FALSE,Investors!$P:$P,FALSE,Investors!$K:$K,"&gt;"&amp;'NSST Print'!$B$3,Investors!$I:$I,"&lt;="&amp;'NSST Print'!$B$3,Investors!$A:$A,'Investor Exit List'!$A178,Investors!$E:$E,'Investor Exit List'!$C178,Investors!$L:$L,'Investor Exit List'!$B178)-(SUMIFS(Investors!$S:$S,Investors!$I:$I,"&lt;="&amp;'NSST Print'!$B$3,Investors!$J:$J,"&gt;"&amp;'NSST Print'!$B$3,Investors!$A:$A,'Investor Exit List'!$A178,Investors!$E:$E,'Investor Exit List'!$C178,Investors!$L:$L,'Investor Exit List'!$B178)+SUMIFS(Investors!$S:$S,Investors!$I:$I,"&lt;="&amp;'NSST Print'!$B$3,Investors!$J:$J,"",Investors!$A:$A,'Investor Exit List'!$A178,Investors!$E:$E,'Investor Exit List'!$C178,Investors!$L:$L,'Investor Exit List'!$B178))</f>
        <v/>
      </c>
      <c r="R178" s="94">
        <f>IF(AND(H178=TRUE,I178=FALSE),Q178,0)</f>
        <v/>
      </c>
      <c r="S178" s="94">
        <f>SUMIFS(Investors!$M:$M,Investors!$O:$O,TRUE,Investors!$A:$A,'Investor Exit List'!$A178,Investors!$E:$E,'Investor Exit List'!$C178,Investors!$L:$L,'Investor Exit List'!$B178)+SUMIFS(Investors!$S:$S,Investors!$O:$O,TRUE,Investors!$A:$A,'Investor Exit List'!$A178,Investors!$E:$E,'Investor Exit List'!$C178,Investors!$L:$L,'Investor Exit List'!$B178)</f>
        <v/>
      </c>
      <c r="T178" s="95">
        <f>IF(U178=TRUE,$J178,"")</f>
        <v/>
      </c>
      <c r="U178" s="93" t="b">
        <v>0</v>
      </c>
      <c r="V178" s="94">
        <f>IF(AND(H178=TRUE,OR(K178="",K178&gt;M178)),S178,0)</f>
        <v/>
      </c>
      <c r="W178" s="93" t="n">
        <v>0</v>
      </c>
      <c r="X178" s="93" t="b">
        <v>0</v>
      </c>
    </row>
    <row r="179">
      <c r="A179" s="93" t="inlineStr">
        <is>
          <t>ZSTO01</t>
        </is>
      </c>
      <c r="B179" s="93" t="n">
        <v>3</v>
      </c>
      <c r="C179" s="93" t="inlineStr">
        <is>
          <t>HVC204</t>
        </is>
      </c>
      <c r="D179" s="93" t="inlineStr">
        <is>
          <t>C</t>
        </is>
      </c>
      <c r="E179" s="93" t="inlineStr">
        <is>
          <t>Stols Nicolaas</t>
        </is>
      </c>
      <c r="F179" s="94">
        <f>SUMIFS(Investors!$M:$M,Investors!$O:$O,FALSE,Investors!$P:$P,FALSE,Investors!$K:$K,"&gt;"&amp;'NSST Print'!$B$3,Investors!$I:$I,"&lt;="&amp;'NSST Print'!$B$3,Investors!$A:$A,'Investor Exit List'!$A179,Investors!$E:$E,'Investor Exit List'!$C179,Investors!$L:$L,'Investor Exit List'!$B179)-(SUMIFS(Investors!$M:$M,Investors!$I:$I,"&lt;="&amp;'NSST Print'!$B$3,Investors!$J:$J,"&gt;"&amp;'NSST Print'!$B$3,Investors!$A:$A,'Investor Exit List'!$A179,Investors!$E:$E,'Investor Exit List'!$C179,Investors!$L:$L,'Investor Exit List'!$B179)+SUMIFS(Investors!$M:$M,Investors!$I:$I,"&lt;="&amp;'NSST Print'!$B$3,Investors!$J:$J,"",Investors!$A:$A,'Investor Exit List'!$A179,Investors!$E:$E,'Investor Exit List'!$C179,Investors!$L:$L,'Investor Exit List'!$B179))</f>
        <v/>
      </c>
      <c r="G179" s="95" t="n">
        <v>44889</v>
      </c>
      <c r="H179" s="93" t="b">
        <v>0</v>
      </c>
      <c r="I179" s="93" t="b">
        <v>0</v>
      </c>
      <c r="J179" s="95" t="n">
        <v>45530</v>
      </c>
      <c r="K179" s="95">
        <f>IF(I179=TRUE,J179,"")</f>
        <v/>
      </c>
      <c r="L179" s="95">
        <f>G179+730</f>
        <v/>
      </c>
      <c r="M179" s="95" t="n">
        <v>45382</v>
      </c>
      <c r="N179" s="96">
        <f>IFERROR(IF(G179&lt;&gt;"",IF(I179=TRUE,0,IF(U179=TRUE,0,L179-M179)),0),0)</f>
        <v/>
      </c>
      <c r="O179" s="96">
        <f>IF(N179&gt;0,IF(N179&lt;=180,N179,0),0)</f>
        <v/>
      </c>
      <c r="P179" s="94">
        <f>IF(AND(N179&lt;90,N179&gt;0),Q179,0)</f>
        <v/>
      </c>
      <c r="Q179" s="94">
        <f>SUMIFS(Investors!$M:$M,Investors!$O:$O,FALSE,Investors!$P:$P,FALSE,Investors!$K:$K,"&gt;"&amp;'NSST Print'!$B$3,Investors!$I:$I,"&lt;="&amp;'NSST Print'!$B$3,Investors!$A:$A,'Investor Exit List'!$A179,Investors!$E:$E,'Investor Exit List'!$C179,Investors!$L:$L,'Investor Exit List'!$B179)-(SUMIFS(Investors!$M:$M,Investors!$I:$I,"&lt;="&amp;'NSST Print'!$B$3,Investors!$J:$J,"&gt;"&amp;'NSST Print'!$B$3,Investors!$A:$A,'Investor Exit List'!$A179,Investors!$E:$E,'Investor Exit List'!$C179,Investors!$L:$L,'Investor Exit List'!$B179)+SUMIFS(Investors!$M:$M,Investors!$I:$I,"&lt;="&amp;'NSST Print'!$B$3,Investors!$J:$J,"",Investors!$A:$A,'Investor Exit List'!$A179,Investors!$E:$E,'Investor Exit List'!$C179,Investors!$L:$L,'Investor Exit List'!$B179))+SUMIFS(Investors!$S:$S,Investors!$O:$O,FALSE,Investors!$P:$P,FALSE,Investors!$K:$K,"&gt;"&amp;'NSST Print'!$B$3,Investors!$I:$I,"&lt;="&amp;'NSST Print'!$B$3,Investors!$A:$A,'Investor Exit List'!$A179,Investors!$E:$E,'Investor Exit List'!$C179,Investors!$L:$L,'Investor Exit List'!$B179)-(SUMIFS(Investors!$S:$S,Investors!$I:$I,"&lt;="&amp;'NSST Print'!$B$3,Investors!$J:$J,"&gt;"&amp;'NSST Print'!$B$3,Investors!$A:$A,'Investor Exit List'!$A179,Investors!$E:$E,'Investor Exit List'!$C179,Investors!$L:$L,'Investor Exit List'!$B179)+SUMIFS(Investors!$S:$S,Investors!$I:$I,"&lt;="&amp;'NSST Print'!$B$3,Investors!$J:$J,"",Investors!$A:$A,'Investor Exit List'!$A179,Investors!$E:$E,'Investor Exit List'!$C179,Investors!$L:$L,'Investor Exit List'!$B179))</f>
        <v/>
      </c>
      <c r="R179" s="94">
        <f>IF(AND(H179=TRUE,I179=FALSE),Q179,0)</f>
        <v/>
      </c>
      <c r="S179" s="94">
        <f>SUMIFS(Investors!$M:$M,Investors!$O:$O,TRUE,Investors!$A:$A,'Investor Exit List'!$A179,Investors!$E:$E,'Investor Exit List'!$C179,Investors!$L:$L,'Investor Exit List'!$B179)+SUMIFS(Investors!$S:$S,Investors!$O:$O,TRUE,Investors!$A:$A,'Investor Exit List'!$A179,Investors!$E:$E,'Investor Exit List'!$C179,Investors!$L:$L,'Investor Exit List'!$B179)</f>
        <v/>
      </c>
      <c r="T179" s="95">
        <f>IF(U179=TRUE,$J179,"")</f>
        <v/>
      </c>
      <c r="U179" s="93" t="b">
        <v>0</v>
      </c>
      <c r="V179" s="94">
        <f>IF(AND(H179=TRUE,OR(K179="",K179&gt;M179)),S179,0)</f>
        <v/>
      </c>
      <c r="W179" s="93" t="n">
        <v>0</v>
      </c>
      <c r="X179" s="93" t="b">
        <v>0</v>
      </c>
    </row>
    <row r="180">
      <c r="A180" s="93" t="inlineStr">
        <is>
          <t>ZVAN10</t>
        </is>
      </c>
      <c r="B180" s="93" t="n">
        <v>1</v>
      </c>
      <c r="C180" s="93" t="inlineStr">
        <is>
          <t>HVC204</t>
        </is>
      </c>
      <c r="D180" s="93" t="inlineStr">
        <is>
          <t>C</t>
        </is>
      </c>
      <c r="E180" s="93" t="inlineStr">
        <is>
          <t>van der Merwe Wilhelm Johannes</t>
        </is>
      </c>
      <c r="F180" s="94">
        <f>SUMIFS(Investors!$M:$M,Investors!$O:$O,FALSE,Investors!$P:$P,FALSE,Investors!$K:$K,"&gt;"&amp;'NSST Print'!$B$3,Investors!$I:$I,"&lt;="&amp;'NSST Print'!$B$3,Investors!$A:$A,'Investor Exit List'!$A180,Investors!$E:$E,'Investor Exit List'!$C180,Investors!$L:$L,'Investor Exit List'!$B180)-(SUMIFS(Investors!$M:$M,Investors!$I:$I,"&lt;="&amp;'NSST Print'!$B$3,Investors!$J:$J,"&gt;"&amp;'NSST Print'!$B$3,Investors!$A:$A,'Investor Exit List'!$A180,Investors!$E:$E,'Investor Exit List'!$C180,Investors!$L:$L,'Investor Exit List'!$B180)+SUMIFS(Investors!$M:$M,Investors!$I:$I,"&lt;="&amp;'NSST Print'!$B$3,Investors!$J:$J,"",Investors!$A:$A,'Investor Exit List'!$A180,Investors!$E:$E,'Investor Exit List'!$C180,Investors!$L:$L,'Investor Exit List'!$B180))</f>
        <v/>
      </c>
      <c r="G180" s="95" t="n">
        <v>44889</v>
      </c>
      <c r="H180" s="93" t="b">
        <v>0</v>
      </c>
      <c r="I180" s="93" t="b">
        <v>0</v>
      </c>
      <c r="J180" s="95" t="n">
        <v>45530</v>
      </c>
      <c r="K180" s="95">
        <f>IF(I180=TRUE,J180,"")</f>
        <v/>
      </c>
      <c r="L180" s="95">
        <f>G180+730</f>
        <v/>
      </c>
      <c r="M180" s="95" t="n">
        <v>45382</v>
      </c>
      <c r="N180" s="96">
        <f>IFERROR(IF(G180&lt;&gt;"",IF(I180=TRUE,0,IF(U180=TRUE,0,L180-M180)),0),0)</f>
        <v/>
      </c>
      <c r="O180" s="96">
        <f>IF(N180&gt;0,IF(N180&lt;=180,N180,0),0)</f>
        <v/>
      </c>
      <c r="P180" s="94">
        <f>IF(AND(N180&lt;90,N180&gt;0),Q180,0)</f>
        <v/>
      </c>
      <c r="Q180" s="94">
        <f>SUMIFS(Investors!$M:$M,Investors!$O:$O,FALSE,Investors!$P:$P,FALSE,Investors!$K:$K,"&gt;"&amp;'NSST Print'!$B$3,Investors!$I:$I,"&lt;="&amp;'NSST Print'!$B$3,Investors!$A:$A,'Investor Exit List'!$A180,Investors!$E:$E,'Investor Exit List'!$C180,Investors!$L:$L,'Investor Exit List'!$B180)-(SUMIFS(Investors!$M:$M,Investors!$I:$I,"&lt;="&amp;'NSST Print'!$B$3,Investors!$J:$J,"&gt;"&amp;'NSST Print'!$B$3,Investors!$A:$A,'Investor Exit List'!$A180,Investors!$E:$E,'Investor Exit List'!$C180,Investors!$L:$L,'Investor Exit List'!$B180)+SUMIFS(Investors!$M:$M,Investors!$I:$I,"&lt;="&amp;'NSST Print'!$B$3,Investors!$J:$J,"",Investors!$A:$A,'Investor Exit List'!$A180,Investors!$E:$E,'Investor Exit List'!$C180,Investors!$L:$L,'Investor Exit List'!$B180))+SUMIFS(Investors!$S:$S,Investors!$O:$O,FALSE,Investors!$P:$P,FALSE,Investors!$K:$K,"&gt;"&amp;'NSST Print'!$B$3,Investors!$I:$I,"&lt;="&amp;'NSST Print'!$B$3,Investors!$A:$A,'Investor Exit List'!$A180,Investors!$E:$E,'Investor Exit List'!$C180,Investors!$L:$L,'Investor Exit List'!$B180)-(SUMIFS(Investors!$S:$S,Investors!$I:$I,"&lt;="&amp;'NSST Print'!$B$3,Investors!$J:$J,"&gt;"&amp;'NSST Print'!$B$3,Investors!$A:$A,'Investor Exit List'!$A180,Investors!$E:$E,'Investor Exit List'!$C180,Investors!$L:$L,'Investor Exit List'!$B180)+SUMIFS(Investors!$S:$S,Investors!$I:$I,"&lt;="&amp;'NSST Print'!$B$3,Investors!$J:$J,"",Investors!$A:$A,'Investor Exit List'!$A180,Investors!$E:$E,'Investor Exit List'!$C180,Investors!$L:$L,'Investor Exit List'!$B180))</f>
        <v/>
      </c>
      <c r="R180" s="94">
        <f>IF(AND(H180=TRUE,I180=FALSE),Q180,0)</f>
        <v/>
      </c>
      <c r="S180" s="94">
        <f>SUMIFS(Investors!$M:$M,Investors!$O:$O,TRUE,Investors!$A:$A,'Investor Exit List'!$A180,Investors!$E:$E,'Investor Exit List'!$C180,Investors!$L:$L,'Investor Exit List'!$B180)+SUMIFS(Investors!$S:$S,Investors!$O:$O,TRUE,Investors!$A:$A,'Investor Exit List'!$A180,Investors!$E:$E,'Investor Exit List'!$C180,Investors!$L:$L,'Investor Exit List'!$B180)</f>
        <v/>
      </c>
      <c r="T180" s="95">
        <f>IF(U180=TRUE,$J180,"")</f>
        <v/>
      </c>
      <c r="U180" s="93" t="b">
        <v>0</v>
      </c>
      <c r="V180" s="94">
        <f>IF(AND(H180=TRUE,OR(K180="",K180&gt;M180)),S180,0)</f>
        <v/>
      </c>
      <c r="W180" s="93" t="n">
        <v>0</v>
      </c>
      <c r="X180" s="93" t="b">
        <v>0</v>
      </c>
    </row>
    <row r="181">
      <c r="A181" s="93" t="inlineStr">
        <is>
          <t>ZWIL01</t>
        </is>
      </c>
      <c r="B181" s="93" t="n">
        <v>2</v>
      </c>
      <c r="C181" s="93" t="inlineStr">
        <is>
          <t>HVC204</t>
        </is>
      </c>
      <c r="D181" s="93" t="inlineStr">
        <is>
          <t>C</t>
        </is>
      </c>
      <c r="E181" s="93" t="inlineStr">
        <is>
          <t>Wilson Gail</t>
        </is>
      </c>
      <c r="F181" s="94">
        <f>SUMIFS(Investors!$M:$M,Investors!$O:$O,FALSE,Investors!$P:$P,FALSE,Investors!$K:$K,"&gt;"&amp;'NSST Print'!$B$3,Investors!$I:$I,"&lt;="&amp;'NSST Print'!$B$3,Investors!$A:$A,'Investor Exit List'!$A181,Investors!$E:$E,'Investor Exit List'!$C181,Investors!$L:$L,'Investor Exit List'!$B181)-(SUMIFS(Investors!$M:$M,Investors!$I:$I,"&lt;="&amp;'NSST Print'!$B$3,Investors!$J:$J,"&gt;"&amp;'NSST Print'!$B$3,Investors!$A:$A,'Investor Exit List'!$A181,Investors!$E:$E,'Investor Exit List'!$C181,Investors!$L:$L,'Investor Exit List'!$B181)+SUMIFS(Investors!$M:$M,Investors!$I:$I,"&lt;="&amp;'NSST Print'!$B$3,Investors!$J:$J,"",Investors!$A:$A,'Investor Exit List'!$A181,Investors!$E:$E,'Investor Exit List'!$C181,Investors!$L:$L,'Investor Exit List'!$B181))</f>
        <v/>
      </c>
      <c r="G181" s="95" t="n">
        <v>44903</v>
      </c>
      <c r="H181" s="93" t="b">
        <v>0</v>
      </c>
      <c r="I181" s="93" t="b">
        <v>0</v>
      </c>
      <c r="J181" s="95" t="n">
        <v>45530</v>
      </c>
      <c r="K181" s="95">
        <f>IF(I181=TRUE,J181,"")</f>
        <v/>
      </c>
      <c r="L181" s="95">
        <f>G181+730</f>
        <v/>
      </c>
      <c r="M181" s="95" t="n">
        <v>45382</v>
      </c>
      <c r="N181" s="96">
        <f>IFERROR(IF(G181&lt;&gt;"",IF(I181=TRUE,0,IF(U181=TRUE,0,L181-M181)),0),0)</f>
        <v/>
      </c>
      <c r="O181" s="96">
        <f>IF(N181&gt;0,IF(N181&lt;=180,N181,0),0)</f>
        <v/>
      </c>
      <c r="P181" s="94">
        <f>IF(AND(N181&lt;90,N181&gt;0),Q181,0)</f>
        <v/>
      </c>
      <c r="Q181" s="94">
        <f>SUMIFS(Investors!$M:$M,Investors!$O:$O,FALSE,Investors!$P:$P,FALSE,Investors!$K:$K,"&gt;"&amp;'NSST Print'!$B$3,Investors!$I:$I,"&lt;="&amp;'NSST Print'!$B$3,Investors!$A:$A,'Investor Exit List'!$A181,Investors!$E:$E,'Investor Exit List'!$C181,Investors!$L:$L,'Investor Exit List'!$B181)-(SUMIFS(Investors!$M:$M,Investors!$I:$I,"&lt;="&amp;'NSST Print'!$B$3,Investors!$J:$J,"&gt;"&amp;'NSST Print'!$B$3,Investors!$A:$A,'Investor Exit List'!$A181,Investors!$E:$E,'Investor Exit List'!$C181,Investors!$L:$L,'Investor Exit List'!$B181)+SUMIFS(Investors!$M:$M,Investors!$I:$I,"&lt;="&amp;'NSST Print'!$B$3,Investors!$J:$J,"",Investors!$A:$A,'Investor Exit List'!$A181,Investors!$E:$E,'Investor Exit List'!$C181,Investors!$L:$L,'Investor Exit List'!$B181))+SUMIFS(Investors!$S:$S,Investors!$O:$O,FALSE,Investors!$P:$P,FALSE,Investors!$K:$K,"&gt;"&amp;'NSST Print'!$B$3,Investors!$I:$I,"&lt;="&amp;'NSST Print'!$B$3,Investors!$A:$A,'Investor Exit List'!$A181,Investors!$E:$E,'Investor Exit List'!$C181,Investors!$L:$L,'Investor Exit List'!$B181)-(SUMIFS(Investors!$S:$S,Investors!$I:$I,"&lt;="&amp;'NSST Print'!$B$3,Investors!$J:$J,"&gt;"&amp;'NSST Print'!$B$3,Investors!$A:$A,'Investor Exit List'!$A181,Investors!$E:$E,'Investor Exit List'!$C181,Investors!$L:$L,'Investor Exit List'!$B181)+SUMIFS(Investors!$S:$S,Investors!$I:$I,"&lt;="&amp;'NSST Print'!$B$3,Investors!$J:$J,"",Investors!$A:$A,'Investor Exit List'!$A181,Investors!$E:$E,'Investor Exit List'!$C181,Investors!$L:$L,'Investor Exit List'!$B181))</f>
        <v/>
      </c>
      <c r="R181" s="94">
        <f>IF(AND(H181=TRUE,I181=FALSE),Q181,0)</f>
        <v/>
      </c>
      <c r="S181" s="94">
        <f>SUMIFS(Investors!$M:$M,Investors!$O:$O,TRUE,Investors!$A:$A,'Investor Exit List'!$A181,Investors!$E:$E,'Investor Exit List'!$C181,Investors!$L:$L,'Investor Exit List'!$B181)+SUMIFS(Investors!$S:$S,Investors!$O:$O,TRUE,Investors!$A:$A,'Investor Exit List'!$A181,Investors!$E:$E,'Investor Exit List'!$C181,Investors!$L:$L,'Investor Exit List'!$B181)</f>
        <v/>
      </c>
      <c r="T181" s="95">
        <f>IF(U181=TRUE,$J181,"")</f>
        <v/>
      </c>
      <c r="U181" s="93" t="b">
        <v>0</v>
      </c>
      <c r="V181" s="94">
        <f>IF(AND(H181=TRUE,OR(K181="",K181&gt;M181)),S181,0)</f>
        <v/>
      </c>
      <c r="W181" s="93" t="n">
        <v>0</v>
      </c>
      <c r="X181" s="93" t="b">
        <v>0</v>
      </c>
    </row>
    <row r="182">
      <c r="A182" s="97" t="inlineStr">
        <is>
          <t>ZMIL01</t>
        </is>
      </c>
      <c r="B182" s="97" t="n">
        <v>1</v>
      </c>
      <c r="C182" s="97" t="inlineStr">
        <is>
          <t>HVC205</t>
        </is>
      </c>
      <c r="D182" s="97" t="inlineStr">
        <is>
          <t>C</t>
        </is>
      </c>
      <c r="E182" s="97" t="inlineStr">
        <is>
          <t xml:space="preserve">Milne Arno </t>
        </is>
      </c>
      <c r="F182" s="98">
        <f>SUMIFS(Investors!$M:$M,Investors!$O:$O,FALSE,Investors!$P:$P,FALSE,Investors!$K:$K,"&gt;"&amp;'NSST Print'!$B$3,Investors!$I:$I,"&lt;="&amp;'NSST Print'!$B$3,Investors!$A:$A,'Investor Exit List'!$A182,Investors!$E:$E,'Investor Exit List'!$C182,Investors!$L:$L,'Investor Exit List'!$B182)-(SUMIFS(Investors!$M:$M,Investors!$I:$I,"&lt;="&amp;'NSST Print'!$B$3,Investors!$J:$J,"&gt;"&amp;'NSST Print'!$B$3,Investors!$A:$A,'Investor Exit List'!$A182,Investors!$E:$E,'Investor Exit List'!$C182,Investors!$L:$L,'Investor Exit List'!$B182)+SUMIFS(Investors!$M:$M,Investors!$I:$I,"&lt;="&amp;'NSST Print'!$B$3,Investors!$J:$J,"",Investors!$A:$A,'Investor Exit List'!$A182,Investors!$E:$E,'Investor Exit List'!$C182,Investors!$L:$L,'Investor Exit List'!$B182))</f>
        <v/>
      </c>
      <c r="G182" s="99" t="n">
        <v>44903</v>
      </c>
      <c r="H182" s="97" t="b">
        <v>1</v>
      </c>
      <c r="I182" s="97" t="b">
        <v>0</v>
      </c>
      <c r="J182" s="99" t="n">
        <v>45394</v>
      </c>
      <c r="K182" s="99">
        <f>IF(I182=TRUE,J182,"")</f>
        <v/>
      </c>
      <c r="L182" s="99">
        <f>G182+730</f>
        <v/>
      </c>
      <c r="M182" s="99" t="n">
        <v>45382</v>
      </c>
      <c r="N182" s="100">
        <f>IFERROR(IF(G182&lt;&gt;"",IF(I182=TRUE,0,IF(U182=TRUE,0,L182-M182)),0),0)</f>
        <v/>
      </c>
      <c r="O182" s="100">
        <f>IF(N182&gt;0,IF(N182&lt;=180,N182,0),0)</f>
        <v/>
      </c>
      <c r="P182" s="98">
        <f>IF(AND(N182&lt;90,N182&gt;0),Q182,0)</f>
        <v/>
      </c>
      <c r="Q182" s="98">
        <f>SUMIFS(Investors!$M:$M,Investors!$O:$O,FALSE,Investors!$P:$P,FALSE,Investors!$K:$K,"&gt;"&amp;'NSST Print'!$B$3,Investors!$I:$I,"&lt;="&amp;'NSST Print'!$B$3,Investors!$A:$A,'Investor Exit List'!$A182,Investors!$E:$E,'Investor Exit List'!$C182,Investors!$L:$L,'Investor Exit List'!$B182)-(SUMIFS(Investors!$M:$M,Investors!$I:$I,"&lt;="&amp;'NSST Print'!$B$3,Investors!$J:$J,"&gt;"&amp;'NSST Print'!$B$3,Investors!$A:$A,'Investor Exit List'!$A182,Investors!$E:$E,'Investor Exit List'!$C182,Investors!$L:$L,'Investor Exit List'!$B182)+SUMIFS(Investors!$M:$M,Investors!$I:$I,"&lt;="&amp;'NSST Print'!$B$3,Investors!$J:$J,"",Investors!$A:$A,'Investor Exit List'!$A182,Investors!$E:$E,'Investor Exit List'!$C182,Investors!$L:$L,'Investor Exit List'!$B182))+SUMIFS(Investors!$S:$S,Investors!$O:$O,FALSE,Investors!$P:$P,FALSE,Investors!$K:$K,"&gt;"&amp;'NSST Print'!$B$3,Investors!$I:$I,"&lt;="&amp;'NSST Print'!$B$3,Investors!$A:$A,'Investor Exit List'!$A182,Investors!$E:$E,'Investor Exit List'!$C182,Investors!$L:$L,'Investor Exit List'!$B182)-(SUMIFS(Investors!$S:$S,Investors!$I:$I,"&lt;="&amp;'NSST Print'!$B$3,Investors!$J:$J,"&gt;"&amp;'NSST Print'!$B$3,Investors!$A:$A,'Investor Exit List'!$A182,Investors!$E:$E,'Investor Exit List'!$C182,Investors!$L:$L,'Investor Exit List'!$B182)+SUMIFS(Investors!$S:$S,Investors!$I:$I,"&lt;="&amp;'NSST Print'!$B$3,Investors!$J:$J,"",Investors!$A:$A,'Investor Exit List'!$A182,Investors!$E:$E,'Investor Exit List'!$C182,Investors!$L:$L,'Investor Exit List'!$B182))</f>
        <v/>
      </c>
      <c r="R182" s="98">
        <f>IF(AND(H182=TRUE,I182=FALSE),Q182,0)</f>
        <v/>
      </c>
      <c r="S182" s="98">
        <f>SUMIFS(Investors!$M:$M,Investors!$O:$O,TRUE,Investors!$A:$A,'Investor Exit List'!$A182,Investors!$E:$E,'Investor Exit List'!$C182,Investors!$L:$L,'Investor Exit List'!$B182)+SUMIFS(Investors!$S:$S,Investors!$O:$O,TRUE,Investors!$A:$A,'Investor Exit List'!$A182,Investors!$E:$E,'Investor Exit List'!$C182,Investors!$L:$L,'Investor Exit List'!$B182)</f>
        <v/>
      </c>
      <c r="T182" s="99">
        <f>IF(U182=TRUE,$J182,"")</f>
        <v/>
      </c>
      <c r="U182" s="97" t="b">
        <v>0</v>
      </c>
      <c r="V182" s="98">
        <f>IF(AND(H182=TRUE,OR(K182="",K182&gt;M182)),S182,0)</f>
        <v/>
      </c>
      <c r="W182" s="97" t="n">
        <v>0</v>
      </c>
      <c r="X182" s="97" t="b">
        <v>0</v>
      </c>
    </row>
    <row r="183">
      <c r="A183" s="97" t="inlineStr">
        <is>
          <t>ZSCA03</t>
        </is>
      </c>
      <c r="B183" s="97" t="n">
        <v>2</v>
      </c>
      <c r="C183" s="97" t="inlineStr">
        <is>
          <t>HVC205</t>
        </is>
      </c>
      <c r="D183" s="97" t="inlineStr">
        <is>
          <t>C</t>
        </is>
      </c>
      <c r="E183" s="97" t="inlineStr">
        <is>
          <t>Scalzini Gerda Margaret</t>
        </is>
      </c>
      <c r="F183" s="98">
        <f>SUMIFS(Investors!$M:$M,Investors!$O:$O,FALSE,Investors!$P:$P,FALSE,Investors!$K:$K,"&gt;"&amp;'NSST Print'!$B$3,Investors!$I:$I,"&lt;="&amp;'NSST Print'!$B$3,Investors!$A:$A,'Investor Exit List'!$A183,Investors!$E:$E,'Investor Exit List'!$C183,Investors!$L:$L,'Investor Exit List'!$B183)-(SUMIFS(Investors!$M:$M,Investors!$I:$I,"&lt;="&amp;'NSST Print'!$B$3,Investors!$J:$J,"&gt;"&amp;'NSST Print'!$B$3,Investors!$A:$A,'Investor Exit List'!$A183,Investors!$E:$E,'Investor Exit List'!$C183,Investors!$L:$L,'Investor Exit List'!$B183)+SUMIFS(Investors!$M:$M,Investors!$I:$I,"&lt;="&amp;'NSST Print'!$B$3,Investors!$J:$J,"",Investors!$A:$A,'Investor Exit List'!$A183,Investors!$E:$E,'Investor Exit List'!$C183,Investors!$L:$L,'Investor Exit List'!$B183))</f>
        <v/>
      </c>
      <c r="G183" s="99" t="n">
        <v>44903</v>
      </c>
      <c r="H183" s="97" t="b">
        <v>1</v>
      </c>
      <c r="I183" s="97" t="b">
        <v>0</v>
      </c>
      <c r="J183" s="99" t="n">
        <v>45394</v>
      </c>
      <c r="K183" s="99">
        <f>IF(I183=TRUE,J183,"")</f>
        <v/>
      </c>
      <c r="L183" s="99">
        <f>G183+730</f>
        <v/>
      </c>
      <c r="M183" s="99" t="n">
        <v>45382</v>
      </c>
      <c r="N183" s="100">
        <f>IFERROR(IF(G183&lt;&gt;"",IF(I183=TRUE,0,IF(U183=TRUE,0,L183-M183)),0),0)</f>
        <v/>
      </c>
      <c r="O183" s="100">
        <f>IF(N183&gt;0,IF(N183&lt;=180,N183,0),0)</f>
        <v/>
      </c>
      <c r="P183" s="98">
        <f>IF(AND(N183&lt;90,N183&gt;0),Q183,0)</f>
        <v/>
      </c>
      <c r="Q183" s="98">
        <f>SUMIFS(Investors!$M:$M,Investors!$O:$O,FALSE,Investors!$P:$P,FALSE,Investors!$K:$K,"&gt;"&amp;'NSST Print'!$B$3,Investors!$I:$I,"&lt;="&amp;'NSST Print'!$B$3,Investors!$A:$A,'Investor Exit List'!$A183,Investors!$E:$E,'Investor Exit List'!$C183,Investors!$L:$L,'Investor Exit List'!$B183)-(SUMIFS(Investors!$M:$M,Investors!$I:$I,"&lt;="&amp;'NSST Print'!$B$3,Investors!$J:$J,"&gt;"&amp;'NSST Print'!$B$3,Investors!$A:$A,'Investor Exit List'!$A183,Investors!$E:$E,'Investor Exit List'!$C183,Investors!$L:$L,'Investor Exit List'!$B183)+SUMIFS(Investors!$M:$M,Investors!$I:$I,"&lt;="&amp;'NSST Print'!$B$3,Investors!$J:$J,"",Investors!$A:$A,'Investor Exit List'!$A183,Investors!$E:$E,'Investor Exit List'!$C183,Investors!$L:$L,'Investor Exit List'!$B183))+SUMIFS(Investors!$S:$S,Investors!$O:$O,FALSE,Investors!$P:$P,FALSE,Investors!$K:$K,"&gt;"&amp;'NSST Print'!$B$3,Investors!$I:$I,"&lt;="&amp;'NSST Print'!$B$3,Investors!$A:$A,'Investor Exit List'!$A183,Investors!$E:$E,'Investor Exit List'!$C183,Investors!$L:$L,'Investor Exit List'!$B183)-(SUMIFS(Investors!$S:$S,Investors!$I:$I,"&lt;="&amp;'NSST Print'!$B$3,Investors!$J:$J,"&gt;"&amp;'NSST Print'!$B$3,Investors!$A:$A,'Investor Exit List'!$A183,Investors!$E:$E,'Investor Exit List'!$C183,Investors!$L:$L,'Investor Exit List'!$B183)+SUMIFS(Investors!$S:$S,Investors!$I:$I,"&lt;="&amp;'NSST Print'!$B$3,Investors!$J:$J,"",Investors!$A:$A,'Investor Exit List'!$A183,Investors!$E:$E,'Investor Exit List'!$C183,Investors!$L:$L,'Investor Exit List'!$B183))</f>
        <v/>
      </c>
      <c r="R183" s="98">
        <f>IF(AND(H183=TRUE,I183=FALSE),Q183,0)</f>
        <v/>
      </c>
      <c r="S183" s="98">
        <f>SUMIFS(Investors!$M:$M,Investors!$O:$O,TRUE,Investors!$A:$A,'Investor Exit List'!$A183,Investors!$E:$E,'Investor Exit List'!$C183,Investors!$L:$L,'Investor Exit List'!$B183)+SUMIFS(Investors!$S:$S,Investors!$O:$O,TRUE,Investors!$A:$A,'Investor Exit List'!$A183,Investors!$E:$E,'Investor Exit List'!$C183,Investors!$L:$L,'Investor Exit List'!$B183)</f>
        <v/>
      </c>
      <c r="T183" s="99">
        <f>IF(U183=TRUE,$J183,"")</f>
        <v/>
      </c>
      <c r="U183" s="97" t="b">
        <v>0</v>
      </c>
      <c r="V183" s="98">
        <f>IF(AND(H183=TRUE,OR(K183="",K183&gt;M183)),S183,0)</f>
        <v/>
      </c>
      <c r="W183" s="97" t="n">
        <v>0</v>
      </c>
      <c r="X183" s="97" t="b">
        <v>0</v>
      </c>
    </row>
    <row r="184">
      <c r="A184" s="97" t="inlineStr">
        <is>
          <t>ZVIV01</t>
        </is>
      </c>
      <c r="B184" s="97" t="n">
        <v>1</v>
      </c>
      <c r="C184" s="97" t="inlineStr">
        <is>
          <t>HVC205</t>
        </is>
      </c>
      <c r="D184" s="97" t="inlineStr">
        <is>
          <t>C</t>
        </is>
      </c>
      <c r="E184" s="97" t="inlineStr">
        <is>
          <t>Vivier Philip Gerhard</t>
        </is>
      </c>
      <c r="F184" s="98">
        <f>SUMIFS(Investors!$M:$M,Investors!$O:$O,FALSE,Investors!$P:$P,FALSE,Investors!$K:$K,"&gt;"&amp;'NSST Print'!$B$3,Investors!$I:$I,"&lt;="&amp;'NSST Print'!$B$3,Investors!$A:$A,'Investor Exit List'!$A184,Investors!$E:$E,'Investor Exit List'!$C184,Investors!$L:$L,'Investor Exit List'!$B184)-(SUMIFS(Investors!$M:$M,Investors!$I:$I,"&lt;="&amp;'NSST Print'!$B$3,Investors!$J:$J,"&gt;"&amp;'NSST Print'!$B$3,Investors!$A:$A,'Investor Exit List'!$A184,Investors!$E:$E,'Investor Exit List'!$C184,Investors!$L:$L,'Investor Exit List'!$B184)+SUMIFS(Investors!$M:$M,Investors!$I:$I,"&lt;="&amp;'NSST Print'!$B$3,Investors!$J:$J,"",Investors!$A:$A,'Investor Exit List'!$A184,Investors!$E:$E,'Investor Exit List'!$C184,Investors!$L:$L,'Investor Exit List'!$B184))</f>
        <v/>
      </c>
      <c r="G184" s="99" t="n">
        <v>44903</v>
      </c>
      <c r="H184" s="97" t="b">
        <v>1</v>
      </c>
      <c r="I184" s="97" t="b">
        <v>0</v>
      </c>
      <c r="J184" s="99" t="n">
        <v>45394</v>
      </c>
      <c r="K184" s="99">
        <f>IF(I184=TRUE,J184,"")</f>
        <v/>
      </c>
      <c r="L184" s="99">
        <f>G184+730</f>
        <v/>
      </c>
      <c r="M184" s="99" t="n">
        <v>45382</v>
      </c>
      <c r="N184" s="100">
        <f>IFERROR(IF(G184&lt;&gt;"",IF(I184=TRUE,0,IF(U184=TRUE,0,L184-M184)),0),0)</f>
        <v/>
      </c>
      <c r="O184" s="100">
        <f>IF(N184&gt;0,IF(N184&lt;=180,N184,0),0)</f>
        <v/>
      </c>
      <c r="P184" s="98">
        <f>IF(AND(N184&lt;90,N184&gt;0),Q184,0)</f>
        <v/>
      </c>
      <c r="Q184" s="98">
        <f>SUMIFS(Investors!$M:$M,Investors!$O:$O,FALSE,Investors!$P:$P,FALSE,Investors!$K:$K,"&gt;"&amp;'NSST Print'!$B$3,Investors!$I:$I,"&lt;="&amp;'NSST Print'!$B$3,Investors!$A:$A,'Investor Exit List'!$A184,Investors!$E:$E,'Investor Exit List'!$C184,Investors!$L:$L,'Investor Exit List'!$B184)-(SUMIFS(Investors!$M:$M,Investors!$I:$I,"&lt;="&amp;'NSST Print'!$B$3,Investors!$J:$J,"&gt;"&amp;'NSST Print'!$B$3,Investors!$A:$A,'Investor Exit List'!$A184,Investors!$E:$E,'Investor Exit List'!$C184,Investors!$L:$L,'Investor Exit List'!$B184)+SUMIFS(Investors!$M:$M,Investors!$I:$I,"&lt;="&amp;'NSST Print'!$B$3,Investors!$J:$J,"",Investors!$A:$A,'Investor Exit List'!$A184,Investors!$E:$E,'Investor Exit List'!$C184,Investors!$L:$L,'Investor Exit List'!$B184))+SUMIFS(Investors!$S:$S,Investors!$O:$O,FALSE,Investors!$P:$P,FALSE,Investors!$K:$K,"&gt;"&amp;'NSST Print'!$B$3,Investors!$I:$I,"&lt;="&amp;'NSST Print'!$B$3,Investors!$A:$A,'Investor Exit List'!$A184,Investors!$E:$E,'Investor Exit List'!$C184,Investors!$L:$L,'Investor Exit List'!$B184)-(SUMIFS(Investors!$S:$S,Investors!$I:$I,"&lt;="&amp;'NSST Print'!$B$3,Investors!$J:$J,"&gt;"&amp;'NSST Print'!$B$3,Investors!$A:$A,'Investor Exit List'!$A184,Investors!$E:$E,'Investor Exit List'!$C184,Investors!$L:$L,'Investor Exit List'!$B184)+SUMIFS(Investors!$S:$S,Investors!$I:$I,"&lt;="&amp;'NSST Print'!$B$3,Investors!$J:$J,"",Investors!$A:$A,'Investor Exit List'!$A184,Investors!$E:$E,'Investor Exit List'!$C184,Investors!$L:$L,'Investor Exit List'!$B184))</f>
        <v/>
      </c>
      <c r="R184" s="98">
        <f>IF(AND(H184=TRUE,I184=FALSE),Q184,0)</f>
        <v/>
      </c>
      <c r="S184" s="98">
        <f>SUMIFS(Investors!$M:$M,Investors!$O:$O,TRUE,Investors!$A:$A,'Investor Exit List'!$A184,Investors!$E:$E,'Investor Exit List'!$C184,Investors!$L:$L,'Investor Exit List'!$B184)+SUMIFS(Investors!$S:$S,Investors!$O:$O,TRUE,Investors!$A:$A,'Investor Exit List'!$A184,Investors!$E:$E,'Investor Exit List'!$C184,Investors!$L:$L,'Investor Exit List'!$B184)</f>
        <v/>
      </c>
      <c r="T184" s="99">
        <f>IF(U184=TRUE,$J184,"")</f>
        <v/>
      </c>
      <c r="U184" s="97" t="b">
        <v>0</v>
      </c>
      <c r="V184" s="98">
        <f>IF(AND(H184=TRUE,OR(K184="",K184&gt;M184)),S184,0)</f>
        <v/>
      </c>
      <c r="W184" s="97" t="n">
        <v>0</v>
      </c>
      <c r="X184" s="97" t="b">
        <v>0</v>
      </c>
    </row>
    <row r="185">
      <c r="A185" s="97" t="inlineStr">
        <is>
          <t>ZWAL02</t>
        </is>
      </c>
      <c r="B185" s="97" t="n">
        <v>4</v>
      </c>
      <c r="C185" s="97" t="inlineStr">
        <is>
          <t>HVC205</t>
        </is>
      </c>
      <c r="D185" s="97" t="inlineStr">
        <is>
          <t>C</t>
        </is>
      </c>
      <c r="E185" s="97" t="inlineStr">
        <is>
          <t>Wallander Johann</t>
        </is>
      </c>
      <c r="F185" s="98">
        <f>SUMIFS(Investors!$M:$M,Investors!$O:$O,FALSE,Investors!$P:$P,FALSE,Investors!$K:$K,"&gt;"&amp;'NSST Print'!$B$3,Investors!$I:$I,"&lt;="&amp;'NSST Print'!$B$3,Investors!$A:$A,'Investor Exit List'!$A185,Investors!$E:$E,'Investor Exit List'!$C185,Investors!$L:$L,'Investor Exit List'!$B185)-(SUMIFS(Investors!$M:$M,Investors!$I:$I,"&lt;="&amp;'NSST Print'!$B$3,Investors!$J:$J,"&gt;"&amp;'NSST Print'!$B$3,Investors!$A:$A,'Investor Exit List'!$A185,Investors!$E:$E,'Investor Exit List'!$C185,Investors!$L:$L,'Investor Exit List'!$B185)+SUMIFS(Investors!$M:$M,Investors!$I:$I,"&lt;="&amp;'NSST Print'!$B$3,Investors!$J:$J,"",Investors!$A:$A,'Investor Exit List'!$A185,Investors!$E:$E,'Investor Exit List'!$C185,Investors!$L:$L,'Investor Exit List'!$B185))</f>
        <v/>
      </c>
      <c r="G185" s="99" t="n">
        <v>44903</v>
      </c>
      <c r="H185" s="97" t="b">
        <v>1</v>
      </c>
      <c r="I185" s="97" t="b">
        <v>0</v>
      </c>
      <c r="J185" s="99" t="n">
        <v>45394</v>
      </c>
      <c r="K185" s="99">
        <f>IF(I185=TRUE,J185,"")</f>
        <v/>
      </c>
      <c r="L185" s="99">
        <f>G185+730</f>
        <v/>
      </c>
      <c r="M185" s="99" t="n">
        <v>45382</v>
      </c>
      <c r="N185" s="100">
        <f>IFERROR(IF(G185&lt;&gt;"",IF(I185=TRUE,0,IF(U185=TRUE,0,L185-M185)),0),0)</f>
        <v/>
      </c>
      <c r="O185" s="100">
        <f>IF(N185&gt;0,IF(N185&lt;=180,N185,0),0)</f>
        <v/>
      </c>
      <c r="P185" s="98">
        <f>IF(AND(N185&lt;90,N185&gt;0),Q185,0)</f>
        <v/>
      </c>
      <c r="Q185" s="98">
        <f>SUMIFS(Investors!$M:$M,Investors!$O:$O,FALSE,Investors!$P:$P,FALSE,Investors!$K:$K,"&gt;"&amp;'NSST Print'!$B$3,Investors!$I:$I,"&lt;="&amp;'NSST Print'!$B$3,Investors!$A:$A,'Investor Exit List'!$A185,Investors!$E:$E,'Investor Exit List'!$C185,Investors!$L:$L,'Investor Exit List'!$B185)-(SUMIFS(Investors!$M:$M,Investors!$I:$I,"&lt;="&amp;'NSST Print'!$B$3,Investors!$J:$J,"&gt;"&amp;'NSST Print'!$B$3,Investors!$A:$A,'Investor Exit List'!$A185,Investors!$E:$E,'Investor Exit List'!$C185,Investors!$L:$L,'Investor Exit List'!$B185)+SUMIFS(Investors!$M:$M,Investors!$I:$I,"&lt;="&amp;'NSST Print'!$B$3,Investors!$J:$J,"",Investors!$A:$A,'Investor Exit List'!$A185,Investors!$E:$E,'Investor Exit List'!$C185,Investors!$L:$L,'Investor Exit List'!$B185))+SUMIFS(Investors!$S:$S,Investors!$O:$O,FALSE,Investors!$P:$P,FALSE,Investors!$K:$K,"&gt;"&amp;'NSST Print'!$B$3,Investors!$I:$I,"&lt;="&amp;'NSST Print'!$B$3,Investors!$A:$A,'Investor Exit List'!$A185,Investors!$E:$E,'Investor Exit List'!$C185,Investors!$L:$L,'Investor Exit List'!$B185)-(SUMIFS(Investors!$S:$S,Investors!$I:$I,"&lt;="&amp;'NSST Print'!$B$3,Investors!$J:$J,"&gt;"&amp;'NSST Print'!$B$3,Investors!$A:$A,'Investor Exit List'!$A185,Investors!$E:$E,'Investor Exit List'!$C185,Investors!$L:$L,'Investor Exit List'!$B185)+SUMIFS(Investors!$S:$S,Investors!$I:$I,"&lt;="&amp;'NSST Print'!$B$3,Investors!$J:$J,"",Investors!$A:$A,'Investor Exit List'!$A185,Investors!$E:$E,'Investor Exit List'!$C185,Investors!$L:$L,'Investor Exit List'!$B185))</f>
        <v/>
      </c>
      <c r="R185" s="98">
        <f>IF(AND(H185=TRUE,I185=FALSE),Q185,0)</f>
        <v/>
      </c>
      <c r="S185" s="98">
        <f>SUMIFS(Investors!$M:$M,Investors!$O:$O,TRUE,Investors!$A:$A,'Investor Exit List'!$A185,Investors!$E:$E,'Investor Exit List'!$C185,Investors!$L:$L,'Investor Exit List'!$B185)+SUMIFS(Investors!$S:$S,Investors!$O:$O,TRUE,Investors!$A:$A,'Investor Exit List'!$A185,Investors!$E:$E,'Investor Exit List'!$C185,Investors!$L:$L,'Investor Exit List'!$B185)</f>
        <v/>
      </c>
      <c r="T185" s="99">
        <f>IF(U185=TRUE,$J185,"")</f>
        <v/>
      </c>
      <c r="U185" s="97" t="b">
        <v>0</v>
      </c>
      <c r="V185" s="98">
        <f>IF(AND(H185=TRUE,OR(K185="",K185&gt;M185)),S185,0)</f>
        <v/>
      </c>
      <c r="W185" s="97" t="n">
        <v>0</v>
      </c>
      <c r="X185" s="97" t="b">
        <v>0</v>
      </c>
    </row>
    <row r="186">
      <c r="A186" s="97" t="inlineStr">
        <is>
          <t>ZKRI02</t>
        </is>
      </c>
      <c r="B186" s="97" t="n">
        <v>3</v>
      </c>
      <c r="C186" s="97" t="inlineStr">
        <is>
          <t>HVC206</t>
        </is>
      </c>
      <c r="D186" s="97" t="inlineStr">
        <is>
          <t>C</t>
        </is>
      </c>
      <c r="E186" s="97" t="inlineStr">
        <is>
          <t>Kriel Hermanus Johannes</t>
        </is>
      </c>
      <c r="F186" s="98">
        <f>SUMIFS(Investors!$M:$M,Investors!$O:$O,FALSE,Investors!$P:$P,FALSE,Investors!$K:$K,"&gt;"&amp;'NSST Print'!$B$3,Investors!$I:$I,"&lt;="&amp;'NSST Print'!$B$3,Investors!$A:$A,'Investor Exit List'!$A186,Investors!$E:$E,'Investor Exit List'!$C186,Investors!$L:$L,'Investor Exit List'!$B186)-(SUMIFS(Investors!$M:$M,Investors!$I:$I,"&lt;="&amp;'NSST Print'!$B$3,Investors!$J:$J,"&gt;"&amp;'NSST Print'!$B$3,Investors!$A:$A,'Investor Exit List'!$A186,Investors!$E:$E,'Investor Exit List'!$C186,Investors!$L:$L,'Investor Exit List'!$B186)+SUMIFS(Investors!$M:$M,Investors!$I:$I,"&lt;="&amp;'NSST Print'!$B$3,Investors!$J:$J,"",Investors!$A:$A,'Investor Exit List'!$A186,Investors!$E:$E,'Investor Exit List'!$C186,Investors!$L:$L,'Investor Exit List'!$B186))</f>
        <v/>
      </c>
      <c r="G186" s="99" t="n">
        <v>44861</v>
      </c>
      <c r="H186" s="97" t="b">
        <v>1</v>
      </c>
      <c r="I186" s="97" t="b">
        <v>0</v>
      </c>
      <c r="J186" s="99" t="n">
        <v>45394</v>
      </c>
      <c r="K186" s="99">
        <f>IF(I186=TRUE,J186,"")</f>
        <v/>
      </c>
      <c r="L186" s="99">
        <f>G186+730</f>
        <v/>
      </c>
      <c r="M186" s="99" t="n">
        <v>45382</v>
      </c>
      <c r="N186" s="100">
        <f>IFERROR(IF(G186&lt;&gt;"",IF(I186=TRUE,0,IF(U186=TRUE,0,L186-M186)),0),0)</f>
        <v/>
      </c>
      <c r="O186" s="100">
        <f>IF(N186&gt;0,IF(N186&lt;=180,N186,0),0)</f>
        <v/>
      </c>
      <c r="P186" s="98">
        <f>IF(AND(N186&lt;90,N186&gt;0),Q186,0)</f>
        <v/>
      </c>
      <c r="Q186" s="98">
        <f>SUMIFS(Investors!$M:$M,Investors!$O:$O,FALSE,Investors!$P:$P,FALSE,Investors!$K:$K,"&gt;"&amp;'NSST Print'!$B$3,Investors!$I:$I,"&lt;="&amp;'NSST Print'!$B$3,Investors!$A:$A,'Investor Exit List'!$A186,Investors!$E:$E,'Investor Exit List'!$C186,Investors!$L:$L,'Investor Exit List'!$B186)-(SUMIFS(Investors!$M:$M,Investors!$I:$I,"&lt;="&amp;'NSST Print'!$B$3,Investors!$J:$J,"&gt;"&amp;'NSST Print'!$B$3,Investors!$A:$A,'Investor Exit List'!$A186,Investors!$E:$E,'Investor Exit List'!$C186,Investors!$L:$L,'Investor Exit List'!$B186)+SUMIFS(Investors!$M:$M,Investors!$I:$I,"&lt;="&amp;'NSST Print'!$B$3,Investors!$J:$J,"",Investors!$A:$A,'Investor Exit List'!$A186,Investors!$E:$E,'Investor Exit List'!$C186,Investors!$L:$L,'Investor Exit List'!$B186))+SUMIFS(Investors!$S:$S,Investors!$O:$O,FALSE,Investors!$P:$P,FALSE,Investors!$K:$K,"&gt;"&amp;'NSST Print'!$B$3,Investors!$I:$I,"&lt;="&amp;'NSST Print'!$B$3,Investors!$A:$A,'Investor Exit List'!$A186,Investors!$E:$E,'Investor Exit List'!$C186,Investors!$L:$L,'Investor Exit List'!$B186)-(SUMIFS(Investors!$S:$S,Investors!$I:$I,"&lt;="&amp;'NSST Print'!$B$3,Investors!$J:$J,"&gt;"&amp;'NSST Print'!$B$3,Investors!$A:$A,'Investor Exit List'!$A186,Investors!$E:$E,'Investor Exit List'!$C186,Investors!$L:$L,'Investor Exit List'!$B186)+SUMIFS(Investors!$S:$S,Investors!$I:$I,"&lt;="&amp;'NSST Print'!$B$3,Investors!$J:$J,"",Investors!$A:$A,'Investor Exit List'!$A186,Investors!$E:$E,'Investor Exit List'!$C186,Investors!$L:$L,'Investor Exit List'!$B186))</f>
        <v/>
      </c>
      <c r="R186" s="98">
        <f>IF(AND(H186=TRUE,I186=FALSE),Q186,0)</f>
        <v/>
      </c>
      <c r="S186" s="98">
        <f>SUMIFS(Investors!$M:$M,Investors!$O:$O,TRUE,Investors!$A:$A,'Investor Exit List'!$A186,Investors!$E:$E,'Investor Exit List'!$C186,Investors!$L:$L,'Investor Exit List'!$B186)+SUMIFS(Investors!$S:$S,Investors!$O:$O,TRUE,Investors!$A:$A,'Investor Exit List'!$A186,Investors!$E:$E,'Investor Exit List'!$C186,Investors!$L:$L,'Investor Exit List'!$B186)</f>
        <v/>
      </c>
      <c r="T186" s="99">
        <f>IF(U186=TRUE,$J186,"")</f>
        <v/>
      </c>
      <c r="U186" s="97" t="b">
        <v>0</v>
      </c>
      <c r="V186" s="98">
        <f>IF(AND(H186=TRUE,OR(K186="",K186&gt;M186)),S186,0)</f>
        <v/>
      </c>
      <c r="W186" s="97" t="n">
        <v>0</v>
      </c>
      <c r="X186" s="97" t="b">
        <v>0</v>
      </c>
    </row>
    <row r="187" hidden="1">
      <c r="A187" s="89" t="inlineStr">
        <is>
          <t>ZCON01</t>
        </is>
      </c>
      <c r="B187" s="89" t="n">
        <v>4</v>
      </c>
      <c r="C187" s="89" t="inlineStr">
        <is>
          <t>HVC301</t>
        </is>
      </c>
      <c r="D187" s="89" t="inlineStr">
        <is>
          <t>C</t>
        </is>
      </c>
      <c r="E187" s="89" t="inlineStr">
        <is>
          <t>Conradie Gerhard Lotter</t>
        </is>
      </c>
      <c r="F187" s="90">
        <f>SUMIFS(Investors!$M:$M,Investors!$O:$O,FALSE,Investors!$P:$P,FALSE,Investors!$K:$K,"&gt;"&amp;'NSST Print'!$B$3,Investors!$I:$I,"&lt;="&amp;'NSST Print'!$B$3,Investors!$A:$A,'Investor Exit List'!$A187,Investors!$E:$E,'Investor Exit List'!$C187,Investors!$L:$L,'Investor Exit List'!$B187)-(SUMIFS(Investors!$M:$M,Investors!$I:$I,"&lt;="&amp;'NSST Print'!$B$3,Investors!$J:$J,"&gt;"&amp;'NSST Print'!$B$3,Investors!$A:$A,'Investor Exit List'!$A187,Investors!$E:$E,'Investor Exit List'!$C187,Investors!$L:$L,'Investor Exit List'!$B187)+SUMIFS(Investors!$M:$M,Investors!$I:$I,"&lt;="&amp;'NSST Print'!$B$3,Investors!$J:$J,"",Investors!$A:$A,'Investor Exit List'!$A187,Investors!$E:$E,'Investor Exit List'!$C187,Investors!$L:$L,'Investor Exit List'!$B187))</f>
        <v/>
      </c>
      <c r="G187" s="91" t="n">
        <v>44755</v>
      </c>
      <c r="H187" s="89" t="b">
        <v>1</v>
      </c>
      <c r="I187" s="89" t="b">
        <v>1</v>
      </c>
      <c r="J187" s="91" t="n">
        <v>45154</v>
      </c>
      <c r="K187" s="91">
        <f>IF(I187=TRUE,J187,"")</f>
        <v/>
      </c>
      <c r="L187" s="91">
        <f>G187+730</f>
        <v/>
      </c>
      <c r="M187" s="91" t="n">
        <v>45382</v>
      </c>
      <c r="N187" s="92">
        <f>IFERROR(IF(G187&lt;&gt;"",IF(I187=TRUE,0,IF(U187=TRUE,0,L187-M187)),0),0)</f>
        <v/>
      </c>
      <c r="O187" s="92">
        <f>IF(N187&gt;0,IF(N187&lt;=180,N187,0),0)</f>
        <v/>
      </c>
      <c r="P187" s="90">
        <f>IF(AND(N187&lt;90,N187&gt;0),Q187,0)</f>
        <v/>
      </c>
      <c r="Q187" s="90">
        <f>SUMIFS(Investors!$M:$M,Investors!$O:$O,FALSE,Investors!$P:$P,FALSE,Investors!$K:$K,"&gt;"&amp;'NSST Print'!$B$3,Investors!$I:$I,"&lt;="&amp;'NSST Print'!$B$3,Investors!$A:$A,'Investor Exit List'!$A187,Investors!$E:$E,'Investor Exit List'!$C187,Investors!$L:$L,'Investor Exit List'!$B187)-(SUMIFS(Investors!$M:$M,Investors!$I:$I,"&lt;="&amp;'NSST Print'!$B$3,Investors!$J:$J,"&gt;"&amp;'NSST Print'!$B$3,Investors!$A:$A,'Investor Exit List'!$A187,Investors!$E:$E,'Investor Exit List'!$C187,Investors!$L:$L,'Investor Exit List'!$B187)+SUMIFS(Investors!$M:$M,Investors!$I:$I,"&lt;="&amp;'NSST Print'!$B$3,Investors!$J:$J,"",Investors!$A:$A,'Investor Exit List'!$A187,Investors!$E:$E,'Investor Exit List'!$C187,Investors!$L:$L,'Investor Exit List'!$B187))+SUMIFS(Investors!$S:$S,Investors!$O:$O,FALSE,Investors!$P:$P,FALSE,Investors!$K:$K,"&gt;"&amp;'NSST Print'!$B$3,Investors!$I:$I,"&lt;="&amp;'NSST Print'!$B$3,Investors!$A:$A,'Investor Exit List'!$A187,Investors!$E:$E,'Investor Exit List'!$C187,Investors!$L:$L,'Investor Exit List'!$B187)-(SUMIFS(Investors!$S:$S,Investors!$I:$I,"&lt;="&amp;'NSST Print'!$B$3,Investors!$J:$J,"&gt;"&amp;'NSST Print'!$B$3,Investors!$A:$A,'Investor Exit List'!$A187,Investors!$E:$E,'Investor Exit List'!$C187,Investors!$L:$L,'Investor Exit List'!$B187)+SUMIFS(Investors!$S:$S,Investors!$I:$I,"&lt;="&amp;'NSST Print'!$B$3,Investors!$J:$J,"",Investors!$A:$A,'Investor Exit List'!$A187,Investors!$E:$E,'Investor Exit List'!$C187,Investors!$L:$L,'Investor Exit List'!$B187))</f>
        <v/>
      </c>
      <c r="R187" s="90">
        <f>IF(AND(H187=TRUE,I187=FALSE),Q187,0)</f>
        <v/>
      </c>
      <c r="S187" s="90">
        <f>SUMIFS(Investors!$M:$M,Investors!$O:$O,TRUE,Investors!$A:$A,'Investor Exit List'!$A187,Investors!$E:$E,'Investor Exit List'!$C187,Investors!$L:$L,'Investor Exit List'!$B187)+SUMIFS(Investors!$S:$S,Investors!$O:$O,TRUE,Investors!$A:$A,'Investor Exit List'!$A187,Investors!$E:$E,'Investor Exit List'!$C187,Investors!$L:$L,'Investor Exit List'!$B187)</f>
        <v/>
      </c>
      <c r="T187" s="91">
        <f>IF(U187=TRUE,$J187,"")</f>
        <v/>
      </c>
      <c r="U187" s="89" t="b">
        <v>0</v>
      </c>
      <c r="V187" s="90">
        <f>IF(AND(H187=TRUE,OR(K187="",K187&gt;M187)),S187,0)</f>
        <v/>
      </c>
      <c r="W187" s="89" t="n">
        <v>0</v>
      </c>
      <c r="X187" s="89" t="b">
        <v>0</v>
      </c>
    </row>
    <row r="188" hidden="1">
      <c r="A188" s="89" t="inlineStr">
        <is>
          <t>ZINT01</t>
        </is>
      </c>
      <c r="B188" s="89" t="n">
        <v>15</v>
      </c>
      <c r="C188" s="89" t="inlineStr">
        <is>
          <t>HVC301</t>
        </is>
      </c>
      <c r="D188" s="89" t="inlineStr">
        <is>
          <t>C</t>
        </is>
      </c>
      <c r="E188" s="89" t="inlineStr">
        <is>
          <t>Lunau Marc</t>
        </is>
      </c>
      <c r="F188" s="90">
        <f>SUMIFS(Investors!$M:$M,Investors!$O:$O,FALSE,Investors!$P:$P,FALSE,Investors!$K:$K,"&gt;"&amp;'NSST Print'!$B$3,Investors!$I:$I,"&lt;="&amp;'NSST Print'!$B$3,Investors!$A:$A,'Investor Exit List'!$A188,Investors!$E:$E,'Investor Exit List'!$C188,Investors!$L:$L,'Investor Exit List'!$B188)-(SUMIFS(Investors!$M:$M,Investors!$I:$I,"&lt;="&amp;'NSST Print'!$B$3,Investors!$J:$J,"&gt;"&amp;'NSST Print'!$B$3,Investors!$A:$A,'Investor Exit List'!$A188,Investors!$E:$E,'Investor Exit List'!$C188,Investors!$L:$L,'Investor Exit List'!$B188)+SUMIFS(Investors!$M:$M,Investors!$I:$I,"&lt;="&amp;'NSST Print'!$B$3,Investors!$J:$J,"",Investors!$A:$A,'Investor Exit List'!$A188,Investors!$E:$E,'Investor Exit List'!$C188,Investors!$L:$L,'Investor Exit List'!$B188))</f>
        <v/>
      </c>
      <c r="G188" s="91" t="n">
        <v>45072</v>
      </c>
      <c r="H188" s="89" t="b">
        <v>1</v>
      </c>
      <c r="I188" s="89" t="b">
        <v>1</v>
      </c>
      <c r="J188" s="91" t="n">
        <v>45154</v>
      </c>
      <c r="K188" s="91">
        <f>IF(I188=TRUE,J188,"")</f>
        <v/>
      </c>
      <c r="L188" s="91">
        <f>G188+730</f>
        <v/>
      </c>
      <c r="M188" s="91" t="n">
        <v>45382</v>
      </c>
      <c r="N188" s="92">
        <f>IFERROR(IF(G188&lt;&gt;"",IF(I188=TRUE,0,IF(U188=TRUE,0,L188-M188)),0),0)</f>
        <v/>
      </c>
      <c r="O188" s="92">
        <f>IF(N188&gt;0,IF(N188&lt;=180,N188,0),0)</f>
        <v/>
      </c>
      <c r="P188" s="90">
        <f>IF(AND(N188&lt;90,N188&gt;0),Q188,0)</f>
        <v/>
      </c>
      <c r="Q188" s="90">
        <f>SUMIFS(Investors!$M:$M,Investors!$O:$O,FALSE,Investors!$P:$P,FALSE,Investors!$K:$K,"&gt;"&amp;'NSST Print'!$B$3,Investors!$I:$I,"&lt;="&amp;'NSST Print'!$B$3,Investors!$A:$A,'Investor Exit List'!$A188,Investors!$E:$E,'Investor Exit List'!$C188,Investors!$L:$L,'Investor Exit List'!$B188)-(SUMIFS(Investors!$M:$M,Investors!$I:$I,"&lt;="&amp;'NSST Print'!$B$3,Investors!$J:$J,"&gt;"&amp;'NSST Print'!$B$3,Investors!$A:$A,'Investor Exit List'!$A188,Investors!$E:$E,'Investor Exit List'!$C188,Investors!$L:$L,'Investor Exit List'!$B188)+SUMIFS(Investors!$M:$M,Investors!$I:$I,"&lt;="&amp;'NSST Print'!$B$3,Investors!$J:$J,"",Investors!$A:$A,'Investor Exit List'!$A188,Investors!$E:$E,'Investor Exit List'!$C188,Investors!$L:$L,'Investor Exit List'!$B188))+SUMIFS(Investors!$S:$S,Investors!$O:$O,FALSE,Investors!$P:$P,FALSE,Investors!$K:$K,"&gt;"&amp;'NSST Print'!$B$3,Investors!$I:$I,"&lt;="&amp;'NSST Print'!$B$3,Investors!$A:$A,'Investor Exit List'!$A188,Investors!$E:$E,'Investor Exit List'!$C188,Investors!$L:$L,'Investor Exit List'!$B188)-(SUMIFS(Investors!$S:$S,Investors!$I:$I,"&lt;="&amp;'NSST Print'!$B$3,Investors!$J:$J,"&gt;"&amp;'NSST Print'!$B$3,Investors!$A:$A,'Investor Exit List'!$A188,Investors!$E:$E,'Investor Exit List'!$C188,Investors!$L:$L,'Investor Exit List'!$B188)+SUMIFS(Investors!$S:$S,Investors!$I:$I,"&lt;="&amp;'NSST Print'!$B$3,Investors!$J:$J,"",Investors!$A:$A,'Investor Exit List'!$A188,Investors!$E:$E,'Investor Exit List'!$C188,Investors!$L:$L,'Investor Exit List'!$B188))</f>
        <v/>
      </c>
      <c r="R188" s="90">
        <f>IF(AND(H188=TRUE,I188=FALSE),Q188,0)</f>
        <v/>
      </c>
      <c r="S188" s="90">
        <f>SUMIFS(Investors!$M:$M,Investors!$O:$O,TRUE,Investors!$A:$A,'Investor Exit List'!$A188,Investors!$E:$E,'Investor Exit List'!$C188,Investors!$L:$L,'Investor Exit List'!$B188)+SUMIFS(Investors!$S:$S,Investors!$O:$O,TRUE,Investors!$A:$A,'Investor Exit List'!$A188,Investors!$E:$E,'Investor Exit List'!$C188,Investors!$L:$L,'Investor Exit List'!$B188)</f>
        <v/>
      </c>
      <c r="T188" s="91">
        <f>IF(U188=TRUE,$J188,"")</f>
        <v/>
      </c>
      <c r="U188" s="89" t="b">
        <v>0</v>
      </c>
      <c r="V188" s="90">
        <f>IF(AND(H188=TRUE,OR(K188="",K188&gt;M188)),S188,0)</f>
        <v/>
      </c>
      <c r="W188" s="89" t="n">
        <v>0</v>
      </c>
      <c r="X188" s="89" t="b">
        <v>0</v>
      </c>
    </row>
    <row r="189">
      <c r="A189" s="93" t="inlineStr">
        <is>
          <t>ZCON01</t>
        </is>
      </c>
      <c r="B189" s="93" t="n">
        <v>5</v>
      </c>
      <c r="C189" s="93" t="inlineStr">
        <is>
          <t>HVC302</t>
        </is>
      </c>
      <c r="D189" s="93" t="inlineStr">
        <is>
          <t>C</t>
        </is>
      </c>
      <c r="E189" s="93" t="inlineStr">
        <is>
          <t>Conradie Gerhard Lotter</t>
        </is>
      </c>
      <c r="F189" s="94">
        <f>SUMIFS(Investors!$M:$M,Investors!$O:$O,FALSE,Investors!$P:$P,FALSE,Investors!$K:$K,"&gt;"&amp;'NSST Print'!$B$3,Investors!$I:$I,"&lt;="&amp;'NSST Print'!$B$3,Investors!$A:$A,'Investor Exit List'!$A189,Investors!$E:$E,'Investor Exit List'!$C189,Investors!$L:$L,'Investor Exit List'!$B189)-(SUMIFS(Investors!$M:$M,Investors!$I:$I,"&lt;="&amp;'NSST Print'!$B$3,Investors!$J:$J,"&gt;"&amp;'NSST Print'!$B$3,Investors!$A:$A,'Investor Exit List'!$A189,Investors!$E:$E,'Investor Exit List'!$C189,Investors!$L:$L,'Investor Exit List'!$B189)+SUMIFS(Investors!$M:$M,Investors!$I:$I,"&lt;="&amp;'NSST Print'!$B$3,Investors!$J:$J,"",Investors!$A:$A,'Investor Exit List'!$A189,Investors!$E:$E,'Investor Exit List'!$C189,Investors!$L:$L,'Investor Exit List'!$B189))</f>
        <v/>
      </c>
      <c r="G189" s="95" t="n">
        <v>44755</v>
      </c>
      <c r="H189" s="93" t="b">
        <v>0</v>
      </c>
      <c r="I189" s="93" t="b">
        <v>0</v>
      </c>
      <c r="J189" s="95" t="n">
        <v>45475</v>
      </c>
      <c r="K189" s="95">
        <f>IF(I189=TRUE,J189,"")</f>
        <v/>
      </c>
      <c r="L189" s="95">
        <f>G189+730</f>
        <v/>
      </c>
      <c r="M189" s="95" t="n">
        <v>45382</v>
      </c>
      <c r="N189" s="96">
        <f>IFERROR(IF(G189&lt;&gt;"",IF(I189=TRUE,0,IF(U189=TRUE,0,L189-M189)),0),0)</f>
        <v/>
      </c>
      <c r="O189" s="96">
        <f>IF(N189&gt;0,IF(N189&lt;=180,N189,0),0)</f>
        <v/>
      </c>
      <c r="P189" s="94">
        <f>IF(AND(N189&lt;90,N189&gt;0),Q189,0)</f>
        <v/>
      </c>
      <c r="Q189" s="94">
        <f>SUMIFS(Investors!$M:$M,Investors!$O:$O,FALSE,Investors!$P:$P,FALSE,Investors!$K:$K,"&gt;"&amp;'NSST Print'!$B$3,Investors!$I:$I,"&lt;="&amp;'NSST Print'!$B$3,Investors!$A:$A,'Investor Exit List'!$A189,Investors!$E:$E,'Investor Exit List'!$C189,Investors!$L:$L,'Investor Exit List'!$B189)-(SUMIFS(Investors!$M:$M,Investors!$I:$I,"&lt;="&amp;'NSST Print'!$B$3,Investors!$J:$J,"&gt;"&amp;'NSST Print'!$B$3,Investors!$A:$A,'Investor Exit List'!$A189,Investors!$E:$E,'Investor Exit List'!$C189,Investors!$L:$L,'Investor Exit List'!$B189)+SUMIFS(Investors!$M:$M,Investors!$I:$I,"&lt;="&amp;'NSST Print'!$B$3,Investors!$J:$J,"",Investors!$A:$A,'Investor Exit List'!$A189,Investors!$E:$E,'Investor Exit List'!$C189,Investors!$L:$L,'Investor Exit List'!$B189))+SUMIFS(Investors!$S:$S,Investors!$O:$O,FALSE,Investors!$P:$P,FALSE,Investors!$K:$K,"&gt;"&amp;'NSST Print'!$B$3,Investors!$I:$I,"&lt;="&amp;'NSST Print'!$B$3,Investors!$A:$A,'Investor Exit List'!$A189,Investors!$E:$E,'Investor Exit List'!$C189,Investors!$L:$L,'Investor Exit List'!$B189)-(SUMIFS(Investors!$S:$S,Investors!$I:$I,"&lt;="&amp;'NSST Print'!$B$3,Investors!$J:$J,"&gt;"&amp;'NSST Print'!$B$3,Investors!$A:$A,'Investor Exit List'!$A189,Investors!$E:$E,'Investor Exit List'!$C189,Investors!$L:$L,'Investor Exit List'!$B189)+SUMIFS(Investors!$S:$S,Investors!$I:$I,"&lt;="&amp;'NSST Print'!$B$3,Investors!$J:$J,"",Investors!$A:$A,'Investor Exit List'!$A189,Investors!$E:$E,'Investor Exit List'!$C189,Investors!$L:$L,'Investor Exit List'!$B189))</f>
        <v/>
      </c>
      <c r="R189" s="94">
        <f>IF(AND(H189=TRUE,I189=FALSE),Q189,0)</f>
        <v/>
      </c>
      <c r="S189" s="94">
        <f>SUMIFS(Investors!$M:$M,Investors!$O:$O,TRUE,Investors!$A:$A,'Investor Exit List'!$A189,Investors!$E:$E,'Investor Exit List'!$C189,Investors!$L:$L,'Investor Exit List'!$B189)+SUMIFS(Investors!$S:$S,Investors!$O:$O,TRUE,Investors!$A:$A,'Investor Exit List'!$A189,Investors!$E:$E,'Investor Exit List'!$C189,Investors!$L:$L,'Investor Exit List'!$B189)</f>
        <v/>
      </c>
      <c r="T189" s="95">
        <f>IF(U189=TRUE,$J189,"")</f>
        <v/>
      </c>
      <c r="U189" s="93" t="b">
        <v>0</v>
      </c>
      <c r="V189" s="94">
        <f>IF(AND(H189=TRUE,OR(K189="",K189&gt;M189)),S189,0)</f>
        <v/>
      </c>
      <c r="W189" s="93" t="n">
        <v>0</v>
      </c>
      <c r="X189" s="93" t="b">
        <v>0</v>
      </c>
    </row>
    <row r="190">
      <c r="A190" s="93" t="inlineStr">
        <is>
          <t>ZKEW01</t>
        </is>
      </c>
      <c r="B190" s="93" t="n">
        <v>2</v>
      </c>
      <c r="C190" s="93" t="inlineStr">
        <is>
          <t>HVC302</t>
        </is>
      </c>
      <c r="D190" s="93" t="inlineStr">
        <is>
          <t>C</t>
        </is>
      </c>
      <c r="E190" s="93" t="inlineStr">
        <is>
          <t>Kewley Lisa Maree</t>
        </is>
      </c>
      <c r="F190" s="94">
        <f>SUMIFS(Investors!$M:$M,Investors!$O:$O,FALSE,Investors!$P:$P,FALSE,Investors!$K:$K,"&gt;"&amp;'NSST Print'!$B$3,Investors!$I:$I,"&lt;="&amp;'NSST Print'!$B$3,Investors!$A:$A,'Investor Exit List'!$A190,Investors!$E:$E,'Investor Exit List'!$C190,Investors!$L:$L,'Investor Exit List'!$B190)-(SUMIFS(Investors!$M:$M,Investors!$I:$I,"&lt;="&amp;'NSST Print'!$B$3,Investors!$J:$J,"&gt;"&amp;'NSST Print'!$B$3,Investors!$A:$A,'Investor Exit List'!$A190,Investors!$E:$E,'Investor Exit List'!$C190,Investors!$L:$L,'Investor Exit List'!$B190)+SUMIFS(Investors!$M:$M,Investors!$I:$I,"&lt;="&amp;'NSST Print'!$B$3,Investors!$J:$J,"",Investors!$A:$A,'Investor Exit List'!$A190,Investors!$E:$E,'Investor Exit List'!$C190,Investors!$L:$L,'Investor Exit List'!$B190))</f>
        <v/>
      </c>
      <c r="G190" s="95" t="n">
        <v>44903</v>
      </c>
      <c r="H190" s="93" t="b">
        <v>0</v>
      </c>
      <c r="I190" s="93" t="b">
        <v>0</v>
      </c>
      <c r="J190" s="95" t="n">
        <v>45475</v>
      </c>
      <c r="K190" s="95">
        <f>IF(I190=TRUE,J190,"")</f>
        <v/>
      </c>
      <c r="L190" s="95">
        <f>G190+730</f>
        <v/>
      </c>
      <c r="M190" s="95" t="n">
        <v>45382</v>
      </c>
      <c r="N190" s="96">
        <f>IFERROR(IF(G190&lt;&gt;"",IF(I190=TRUE,0,IF(U190=TRUE,0,L190-M190)),0),0)</f>
        <v/>
      </c>
      <c r="O190" s="96">
        <f>IF(N190&gt;0,IF(N190&lt;=180,N190,0),0)</f>
        <v/>
      </c>
      <c r="P190" s="94">
        <f>IF(AND(N190&lt;90,N190&gt;0),Q190,0)</f>
        <v/>
      </c>
      <c r="Q190" s="94">
        <f>SUMIFS(Investors!$M:$M,Investors!$O:$O,FALSE,Investors!$P:$P,FALSE,Investors!$K:$K,"&gt;"&amp;'NSST Print'!$B$3,Investors!$I:$I,"&lt;="&amp;'NSST Print'!$B$3,Investors!$A:$A,'Investor Exit List'!$A190,Investors!$E:$E,'Investor Exit List'!$C190,Investors!$L:$L,'Investor Exit List'!$B190)-(SUMIFS(Investors!$M:$M,Investors!$I:$I,"&lt;="&amp;'NSST Print'!$B$3,Investors!$J:$J,"&gt;"&amp;'NSST Print'!$B$3,Investors!$A:$A,'Investor Exit List'!$A190,Investors!$E:$E,'Investor Exit List'!$C190,Investors!$L:$L,'Investor Exit List'!$B190)+SUMIFS(Investors!$M:$M,Investors!$I:$I,"&lt;="&amp;'NSST Print'!$B$3,Investors!$J:$J,"",Investors!$A:$A,'Investor Exit List'!$A190,Investors!$E:$E,'Investor Exit List'!$C190,Investors!$L:$L,'Investor Exit List'!$B190))+SUMIFS(Investors!$S:$S,Investors!$O:$O,FALSE,Investors!$P:$P,FALSE,Investors!$K:$K,"&gt;"&amp;'NSST Print'!$B$3,Investors!$I:$I,"&lt;="&amp;'NSST Print'!$B$3,Investors!$A:$A,'Investor Exit List'!$A190,Investors!$E:$E,'Investor Exit List'!$C190,Investors!$L:$L,'Investor Exit List'!$B190)-(SUMIFS(Investors!$S:$S,Investors!$I:$I,"&lt;="&amp;'NSST Print'!$B$3,Investors!$J:$J,"&gt;"&amp;'NSST Print'!$B$3,Investors!$A:$A,'Investor Exit List'!$A190,Investors!$E:$E,'Investor Exit List'!$C190,Investors!$L:$L,'Investor Exit List'!$B190)+SUMIFS(Investors!$S:$S,Investors!$I:$I,"&lt;="&amp;'NSST Print'!$B$3,Investors!$J:$J,"",Investors!$A:$A,'Investor Exit List'!$A190,Investors!$E:$E,'Investor Exit List'!$C190,Investors!$L:$L,'Investor Exit List'!$B190))</f>
        <v/>
      </c>
      <c r="R190" s="94">
        <f>IF(AND(H190=TRUE,I190=FALSE),Q190,0)</f>
        <v/>
      </c>
      <c r="S190" s="94">
        <f>SUMIFS(Investors!$M:$M,Investors!$O:$O,TRUE,Investors!$A:$A,'Investor Exit List'!$A190,Investors!$E:$E,'Investor Exit List'!$C190,Investors!$L:$L,'Investor Exit List'!$B190)+SUMIFS(Investors!$S:$S,Investors!$O:$O,TRUE,Investors!$A:$A,'Investor Exit List'!$A190,Investors!$E:$E,'Investor Exit List'!$C190,Investors!$L:$L,'Investor Exit List'!$B190)</f>
        <v/>
      </c>
      <c r="T190" s="95">
        <f>IF(U190=TRUE,$J190,"")</f>
        <v/>
      </c>
      <c r="U190" s="93" t="b">
        <v>0</v>
      </c>
      <c r="V190" s="94">
        <f>IF(AND(H190=TRUE,OR(K190="",K190&gt;M190)),S190,0)</f>
        <v/>
      </c>
      <c r="W190" s="93" t="n">
        <v>0</v>
      </c>
      <c r="X190" s="93" t="b">
        <v>0</v>
      </c>
    </row>
    <row r="191" hidden="1">
      <c r="A191" s="89" t="inlineStr">
        <is>
          <t>ZJEN01</t>
        </is>
      </c>
      <c r="B191" s="89" t="n">
        <v>2</v>
      </c>
      <c r="C191" s="89" t="inlineStr">
        <is>
          <t>HVC303</t>
        </is>
      </c>
      <c r="D191" s="89" t="inlineStr">
        <is>
          <t>C</t>
        </is>
      </c>
      <c r="E191" s="89" t="inlineStr">
        <is>
          <t>Jennings Daryl Anne</t>
        </is>
      </c>
      <c r="F191" s="90">
        <f>SUMIFS(Investors!$M:$M,Investors!$O:$O,FALSE,Investors!$P:$P,FALSE,Investors!$K:$K,"&gt;"&amp;'NSST Print'!$B$3,Investors!$I:$I,"&lt;="&amp;'NSST Print'!$B$3,Investors!$A:$A,'Investor Exit List'!$A191,Investors!$E:$E,'Investor Exit List'!$C191,Investors!$L:$L,'Investor Exit List'!$B191)-(SUMIFS(Investors!$M:$M,Investors!$I:$I,"&lt;="&amp;'NSST Print'!$B$3,Investors!$J:$J,"&gt;"&amp;'NSST Print'!$B$3,Investors!$A:$A,'Investor Exit List'!$A191,Investors!$E:$E,'Investor Exit List'!$C191,Investors!$L:$L,'Investor Exit List'!$B191)+SUMIFS(Investors!$M:$M,Investors!$I:$I,"&lt;="&amp;'NSST Print'!$B$3,Investors!$J:$J,"",Investors!$A:$A,'Investor Exit List'!$A191,Investors!$E:$E,'Investor Exit List'!$C191,Investors!$L:$L,'Investor Exit List'!$B191))</f>
        <v/>
      </c>
      <c r="G191" s="91" t="n">
        <v>44903</v>
      </c>
      <c r="H191" s="89" t="b">
        <v>1</v>
      </c>
      <c r="I191" s="89" t="b">
        <v>1</v>
      </c>
      <c r="J191" s="91" t="n">
        <v>45177</v>
      </c>
      <c r="K191" s="91">
        <f>IF(I191=TRUE,J191,"")</f>
        <v/>
      </c>
      <c r="L191" s="91">
        <f>G191+730</f>
        <v/>
      </c>
      <c r="M191" s="91" t="n">
        <v>45382</v>
      </c>
      <c r="N191" s="92">
        <f>IFERROR(IF(G191&lt;&gt;"",IF(I191=TRUE,0,IF(U191=TRUE,0,L191-M191)),0),0)</f>
        <v/>
      </c>
      <c r="O191" s="92">
        <f>IF(N191&gt;0,IF(N191&lt;=180,N191,0),0)</f>
        <v/>
      </c>
      <c r="P191" s="90">
        <f>IF(AND(N191&lt;90,N191&gt;0),Q191,0)</f>
        <v/>
      </c>
      <c r="Q191" s="90">
        <f>SUMIFS(Investors!$M:$M,Investors!$O:$O,FALSE,Investors!$P:$P,FALSE,Investors!$K:$K,"&gt;"&amp;'NSST Print'!$B$3,Investors!$I:$I,"&lt;="&amp;'NSST Print'!$B$3,Investors!$A:$A,'Investor Exit List'!$A191,Investors!$E:$E,'Investor Exit List'!$C191,Investors!$L:$L,'Investor Exit List'!$B191)-(SUMIFS(Investors!$M:$M,Investors!$I:$I,"&lt;="&amp;'NSST Print'!$B$3,Investors!$J:$J,"&gt;"&amp;'NSST Print'!$B$3,Investors!$A:$A,'Investor Exit List'!$A191,Investors!$E:$E,'Investor Exit List'!$C191,Investors!$L:$L,'Investor Exit List'!$B191)+SUMIFS(Investors!$M:$M,Investors!$I:$I,"&lt;="&amp;'NSST Print'!$B$3,Investors!$J:$J,"",Investors!$A:$A,'Investor Exit List'!$A191,Investors!$E:$E,'Investor Exit List'!$C191,Investors!$L:$L,'Investor Exit List'!$B191))+SUMIFS(Investors!$S:$S,Investors!$O:$O,FALSE,Investors!$P:$P,FALSE,Investors!$K:$K,"&gt;"&amp;'NSST Print'!$B$3,Investors!$I:$I,"&lt;="&amp;'NSST Print'!$B$3,Investors!$A:$A,'Investor Exit List'!$A191,Investors!$E:$E,'Investor Exit List'!$C191,Investors!$L:$L,'Investor Exit List'!$B191)-(SUMIFS(Investors!$S:$S,Investors!$I:$I,"&lt;="&amp;'NSST Print'!$B$3,Investors!$J:$J,"&gt;"&amp;'NSST Print'!$B$3,Investors!$A:$A,'Investor Exit List'!$A191,Investors!$E:$E,'Investor Exit List'!$C191,Investors!$L:$L,'Investor Exit List'!$B191)+SUMIFS(Investors!$S:$S,Investors!$I:$I,"&lt;="&amp;'NSST Print'!$B$3,Investors!$J:$J,"",Investors!$A:$A,'Investor Exit List'!$A191,Investors!$E:$E,'Investor Exit List'!$C191,Investors!$L:$L,'Investor Exit List'!$B191))</f>
        <v/>
      </c>
      <c r="R191" s="90">
        <f>IF(AND(H191=TRUE,I191=FALSE),Q191,0)</f>
        <v/>
      </c>
      <c r="S191" s="90">
        <f>SUMIFS(Investors!$M:$M,Investors!$O:$O,TRUE,Investors!$A:$A,'Investor Exit List'!$A191,Investors!$E:$E,'Investor Exit List'!$C191,Investors!$L:$L,'Investor Exit List'!$B191)+SUMIFS(Investors!$S:$S,Investors!$O:$O,TRUE,Investors!$A:$A,'Investor Exit List'!$A191,Investors!$E:$E,'Investor Exit List'!$C191,Investors!$L:$L,'Investor Exit List'!$B191)</f>
        <v/>
      </c>
      <c r="T191" s="91">
        <f>IF(U191=TRUE,$J191,"")</f>
        <v/>
      </c>
      <c r="U191" s="89" t="b">
        <v>0</v>
      </c>
      <c r="V191" s="90">
        <f>IF(AND(H191=TRUE,OR(K191="",K191&gt;M191)),S191,0)</f>
        <v/>
      </c>
      <c r="W191" s="89" t="n">
        <v>0</v>
      </c>
      <c r="X191" s="89" t="b">
        <v>0</v>
      </c>
    </row>
    <row r="192" hidden="1">
      <c r="A192" s="89" t="inlineStr">
        <is>
          <t>ZMEY02</t>
        </is>
      </c>
      <c r="B192" s="89" t="n">
        <v>2</v>
      </c>
      <c r="C192" s="89" t="inlineStr">
        <is>
          <t>HVC303</t>
        </is>
      </c>
      <c r="D192" s="89" t="inlineStr">
        <is>
          <t>C</t>
        </is>
      </c>
      <c r="E192" s="89" t="inlineStr">
        <is>
          <t>Meyer Catharina Levina</t>
        </is>
      </c>
      <c r="F192" s="90">
        <f>SUMIFS(Investors!$M:$M,Investors!$O:$O,FALSE,Investors!$P:$P,FALSE,Investors!$K:$K,"&gt;"&amp;'NSST Print'!$B$3,Investors!$I:$I,"&lt;="&amp;'NSST Print'!$B$3,Investors!$A:$A,'Investor Exit List'!$A192,Investors!$E:$E,'Investor Exit List'!$C192,Investors!$L:$L,'Investor Exit List'!$B192)-(SUMIFS(Investors!$M:$M,Investors!$I:$I,"&lt;="&amp;'NSST Print'!$B$3,Investors!$J:$J,"&gt;"&amp;'NSST Print'!$B$3,Investors!$A:$A,'Investor Exit List'!$A192,Investors!$E:$E,'Investor Exit List'!$C192,Investors!$L:$L,'Investor Exit List'!$B192)+SUMIFS(Investors!$M:$M,Investors!$I:$I,"&lt;="&amp;'NSST Print'!$B$3,Investors!$J:$J,"",Investors!$A:$A,'Investor Exit List'!$A192,Investors!$E:$E,'Investor Exit List'!$C192,Investors!$L:$L,'Investor Exit List'!$B192))</f>
        <v/>
      </c>
      <c r="G192" s="91" t="n">
        <v>44903</v>
      </c>
      <c r="H192" s="89" t="b">
        <v>1</v>
      </c>
      <c r="I192" s="89" t="b">
        <v>1</v>
      </c>
      <c r="J192" s="91" t="n">
        <v>45177</v>
      </c>
      <c r="K192" s="91">
        <f>IF(I192=TRUE,J192,"")</f>
        <v/>
      </c>
      <c r="L192" s="91">
        <f>G192+730</f>
        <v/>
      </c>
      <c r="M192" s="91" t="n">
        <v>45382</v>
      </c>
      <c r="N192" s="92">
        <f>IFERROR(IF(G192&lt;&gt;"",IF(I192=TRUE,0,IF(U192=TRUE,0,L192-M192)),0),0)</f>
        <v/>
      </c>
      <c r="O192" s="92">
        <f>IF(N192&gt;0,IF(N192&lt;=180,N192,0),0)</f>
        <v/>
      </c>
      <c r="P192" s="90">
        <f>IF(AND(N192&lt;90,N192&gt;0),Q192,0)</f>
        <v/>
      </c>
      <c r="Q192" s="90">
        <f>SUMIFS(Investors!$M:$M,Investors!$O:$O,FALSE,Investors!$P:$P,FALSE,Investors!$K:$K,"&gt;"&amp;'NSST Print'!$B$3,Investors!$I:$I,"&lt;="&amp;'NSST Print'!$B$3,Investors!$A:$A,'Investor Exit List'!$A192,Investors!$E:$E,'Investor Exit List'!$C192,Investors!$L:$L,'Investor Exit List'!$B192)-(SUMIFS(Investors!$M:$M,Investors!$I:$I,"&lt;="&amp;'NSST Print'!$B$3,Investors!$J:$J,"&gt;"&amp;'NSST Print'!$B$3,Investors!$A:$A,'Investor Exit List'!$A192,Investors!$E:$E,'Investor Exit List'!$C192,Investors!$L:$L,'Investor Exit List'!$B192)+SUMIFS(Investors!$M:$M,Investors!$I:$I,"&lt;="&amp;'NSST Print'!$B$3,Investors!$J:$J,"",Investors!$A:$A,'Investor Exit List'!$A192,Investors!$E:$E,'Investor Exit List'!$C192,Investors!$L:$L,'Investor Exit List'!$B192))+SUMIFS(Investors!$S:$S,Investors!$O:$O,FALSE,Investors!$P:$P,FALSE,Investors!$K:$K,"&gt;"&amp;'NSST Print'!$B$3,Investors!$I:$I,"&lt;="&amp;'NSST Print'!$B$3,Investors!$A:$A,'Investor Exit List'!$A192,Investors!$E:$E,'Investor Exit List'!$C192,Investors!$L:$L,'Investor Exit List'!$B192)-(SUMIFS(Investors!$S:$S,Investors!$I:$I,"&lt;="&amp;'NSST Print'!$B$3,Investors!$J:$J,"&gt;"&amp;'NSST Print'!$B$3,Investors!$A:$A,'Investor Exit List'!$A192,Investors!$E:$E,'Investor Exit List'!$C192,Investors!$L:$L,'Investor Exit List'!$B192)+SUMIFS(Investors!$S:$S,Investors!$I:$I,"&lt;="&amp;'NSST Print'!$B$3,Investors!$J:$J,"",Investors!$A:$A,'Investor Exit List'!$A192,Investors!$E:$E,'Investor Exit List'!$C192,Investors!$L:$L,'Investor Exit List'!$B192))</f>
        <v/>
      </c>
      <c r="R192" s="90">
        <f>IF(AND(H192=TRUE,I192=FALSE),Q192,0)</f>
        <v/>
      </c>
      <c r="S192" s="90">
        <f>SUMIFS(Investors!$M:$M,Investors!$O:$O,TRUE,Investors!$A:$A,'Investor Exit List'!$A192,Investors!$E:$E,'Investor Exit List'!$C192,Investors!$L:$L,'Investor Exit List'!$B192)+SUMIFS(Investors!$S:$S,Investors!$O:$O,TRUE,Investors!$A:$A,'Investor Exit List'!$A192,Investors!$E:$E,'Investor Exit List'!$C192,Investors!$L:$L,'Investor Exit List'!$B192)</f>
        <v/>
      </c>
      <c r="T192" s="91">
        <f>IF(U192=TRUE,$J192,"")</f>
        <v/>
      </c>
      <c r="U192" s="89" t="b">
        <v>0</v>
      </c>
      <c r="V192" s="90">
        <f>IF(AND(H192=TRUE,OR(K192="",K192&gt;M192)),S192,0)</f>
        <v/>
      </c>
      <c r="W192" s="89" t="n">
        <v>0</v>
      </c>
      <c r="X192" s="89" t="b">
        <v>0</v>
      </c>
    </row>
    <row r="193" hidden="1">
      <c r="A193" s="89" t="inlineStr">
        <is>
          <t>ZRIT01</t>
        </is>
      </c>
      <c r="B193" s="89" t="n">
        <v>7</v>
      </c>
      <c r="C193" s="89" t="inlineStr">
        <is>
          <t>HVC303</t>
        </is>
      </c>
      <c r="D193" s="89" t="inlineStr">
        <is>
          <t>C</t>
        </is>
      </c>
      <c r="E193" s="89" t="inlineStr">
        <is>
          <t>Ritter Dennis</t>
        </is>
      </c>
      <c r="F193" s="90">
        <f>SUMIFS(Investors!$M:$M,Investors!$O:$O,FALSE,Investors!$P:$P,FALSE,Investors!$K:$K,"&gt;"&amp;'NSST Print'!$B$3,Investors!$I:$I,"&lt;="&amp;'NSST Print'!$B$3,Investors!$A:$A,'Investor Exit List'!$A193,Investors!$E:$E,'Investor Exit List'!$C193,Investors!$L:$L,'Investor Exit List'!$B193)-(SUMIFS(Investors!$M:$M,Investors!$I:$I,"&lt;="&amp;'NSST Print'!$B$3,Investors!$J:$J,"&gt;"&amp;'NSST Print'!$B$3,Investors!$A:$A,'Investor Exit List'!$A193,Investors!$E:$E,'Investor Exit List'!$C193,Investors!$L:$L,'Investor Exit List'!$B193)+SUMIFS(Investors!$M:$M,Investors!$I:$I,"&lt;="&amp;'NSST Print'!$B$3,Investors!$J:$J,"",Investors!$A:$A,'Investor Exit List'!$A193,Investors!$E:$E,'Investor Exit List'!$C193,Investors!$L:$L,'Investor Exit List'!$B193))</f>
        <v/>
      </c>
      <c r="G193" s="91" t="n">
        <v>44903</v>
      </c>
      <c r="H193" s="89" t="b">
        <v>1</v>
      </c>
      <c r="I193" s="89" t="b">
        <v>1</v>
      </c>
      <c r="J193" s="91" t="n">
        <v>45177</v>
      </c>
      <c r="K193" s="91">
        <f>IF(I193=TRUE,J193,"")</f>
        <v/>
      </c>
      <c r="L193" s="91">
        <f>G193+730</f>
        <v/>
      </c>
      <c r="M193" s="91" t="n">
        <v>45382</v>
      </c>
      <c r="N193" s="92">
        <f>IFERROR(IF(G193&lt;&gt;"",IF(I193=TRUE,0,IF(U193=TRUE,0,L193-M193)),0),0)</f>
        <v/>
      </c>
      <c r="O193" s="92">
        <f>IF(N193&gt;0,IF(N193&lt;=180,N193,0),0)</f>
        <v/>
      </c>
      <c r="P193" s="90">
        <f>IF(AND(N193&lt;90,N193&gt;0),Q193,0)</f>
        <v/>
      </c>
      <c r="Q193" s="90">
        <f>SUMIFS(Investors!$M:$M,Investors!$O:$O,FALSE,Investors!$P:$P,FALSE,Investors!$K:$K,"&gt;"&amp;'NSST Print'!$B$3,Investors!$I:$I,"&lt;="&amp;'NSST Print'!$B$3,Investors!$A:$A,'Investor Exit List'!$A193,Investors!$E:$E,'Investor Exit List'!$C193,Investors!$L:$L,'Investor Exit List'!$B193)-(SUMIFS(Investors!$M:$M,Investors!$I:$I,"&lt;="&amp;'NSST Print'!$B$3,Investors!$J:$J,"&gt;"&amp;'NSST Print'!$B$3,Investors!$A:$A,'Investor Exit List'!$A193,Investors!$E:$E,'Investor Exit List'!$C193,Investors!$L:$L,'Investor Exit List'!$B193)+SUMIFS(Investors!$M:$M,Investors!$I:$I,"&lt;="&amp;'NSST Print'!$B$3,Investors!$J:$J,"",Investors!$A:$A,'Investor Exit List'!$A193,Investors!$E:$E,'Investor Exit List'!$C193,Investors!$L:$L,'Investor Exit List'!$B193))+SUMIFS(Investors!$S:$S,Investors!$O:$O,FALSE,Investors!$P:$P,FALSE,Investors!$K:$K,"&gt;"&amp;'NSST Print'!$B$3,Investors!$I:$I,"&lt;="&amp;'NSST Print'!$B$3,Investors!$A:$A,'Investor Exit List'!$A193,Investors!$E:$E,'Investor Exit List'!$C193,Investors!$L:$L,'Investor Exit List'!$B193)-(SUMIFS(Investors!$S:$S,Investors!$I:$I,"&lt;="&amp;'NSST Print'!$B$3,Investors!$J:$J,"&gt;"&amp;'NSST Print'!$B$3,Investors!$A:$A,'Investor Exit List'!$A193,Investors!$E:$E,'Investor Exit List'!$C193,Investors!$L:$L,'Investor Exit List'!$B193)+SUMIFS(Investors!$S:$S,Investors!$I:$I,"&lt;="&amp;'NSST Print'!$B$3,Investors!$J:$J,"",Investors!$A:$A,'Investor Exit List'!$A193,Investors!$E:$E,'Investor Exit List'!$C193,Investors!$L:$L,'Investor Exit List'!$B193))</f>
        <v/>
      </c>
      <c r="R193" s="90">
        <f>IF(AND(H193=TRUE,I193=FALSE),Q193,0)</f>
        <v/>
      </c>
      <c r="S193" s="90">
        <f>SUMIFS(Investors!$M:$M,Investors!$O:$O,TRUE,Investors!$A:$A,'Investor Exit List'!$A193,Investors!$E:$E,'Investor Exit List'!$C193,Investors!$L:$L,'Investor Exit List'!$B193)+SUMIFS(Investors!$S:$S,Investors!$O:$O,TRUE,Investors!$A:$A,'Investor Exit List'!$A193,Investors!$E:$E,'Investor Exit List'!$C193,Investors!$L:$L,'Investor Exit List'!$B193)</f>
        <v/>
      </c>
      <c r="T193" s="91">
        <f>IF(U193=TRUE,$J193,"")</f>
        <v/>
      </c>
      <c r="U193" s="89" t="b">
        <v>0</v>
      </c>
      <c r="V193" s="90">
        <f>IF(AND(H193=TRUE,OR(K193="",K193&gt;M193)),S193,0)</f>
        <v/>
      </c>
      <c r="W193" s="89" t="n">
        <v>0</v>
      </c>
      <c r="X193" s="89" t="b">
        <v>0</v>
      </c>
    </row>
    <row r="194" hidden="1">
      <c r="A194" s="89" t="inlineStr">
        <is>
          <t>ZWES01</t>
        </is>
      </c>
      <c r="B194" s="89" t="n">
        <v>2</v>
      </c>
      <c r="C194" s="89" t="inlineStr">
        <is>
          <t>HVC303</t>
        </is>
      </c>
      <c r="D194" s="89" t="inlineStr">
        <is>
          <t>C</t>
        </is>
      </c>
      <c r="E194" s="89" t="inlineStr">
        <is>
          <t>Wessels Gerhardus Jacobus</t>
        </is>
      </c>
      <c r="F194" s="90">
        <f>SUMIFS(Investors!$M:$M,Investors!$O:$O,FALSE,Investors!$P:$P,FALSE,Investors!$K:$K,"&gt;"&amp;'NSST Print'!$B$3,Investors!$I:$I,"&lt;="&amp;'NSST Print'!$B$3,Investors!$A:$A,'Investor Exit List'!$A194,Investors!$E:$E,'Investor Exit List'!$C194,Investors!$L:$L,'Investor Exit List'!$B194)-(SUMIFS(Investors!$M:$M,Investors!$I:$I,"&lt;="&amp;'NSST Print'!$B$3,Investors!$J:$J,"&gt;"&amp;'NSST Print'!$B$3,Investors!$A:$A,'Investor Exit List'!$A194,Investors!$E:$E,'Investor Exit List'!$C194,Investors!$L:$L,'Investor Exit List'!$B194)+SUMIFS(Investors!$M:$M,Investors!$I:$I,"&lt;="&amp;'NSST Print'!$B$3,Investors!$J:$J,"",Investors!$A:$A,'Investor Exit List'!$A194,Investors!$E:$E,'Investor Exit List'!$C194,Investors!$L:$L,'Investor Exit List'!$B194))</f>
        <v/>
      </c>
      <c r="G194" s="91" t="n">
        <v>44903</v>
      </c>
      <c r="H194" s="89" t="b">
        <v>1</v>
      </c>
      <c r="I194" s="89" t="b">
        <v>1</v>
      </c>
      <c r="J194" s="91" t="n">
        <v>45177</v>
      </c>
      <c r="K194" s="91">
        <f>IF(I194=TRUE,J194,"")</f>
        <v/>
      </c>
      <c r="L194" s="91">
        <f>G194+730</f>
        <v/>
      </c>
      <c r="M194" s="91" t="n">
        <v>45382</v>
      </c>
      <c r="N194" s="92">
        <f>IFERROR(IF(G194&lt;&gt;"",IF(I194=TRUE,0,IF(U194=TRUE,0,L194-M194)),0),0)</f>
        <v/>
      </c>
      <c r="O194" s="92">
        <f>IF(N194&gt;0,IF(N194&lt;=180,N194,0),0)</f>
        <v/>
      </c>
      <c r="P194" s="90">
        <f>IF(AND(N194&lt;90,N194&gt;0),Q194,0)</f>
        <v/>
      </c>
      <c r="Q194" s="90">
        <f>SUMIFS(Investors!$M:$M,Investors!$O:$O,FALSE,Investors!$P:$P,FALSE,Investors!$K:$K,"&gt;"&amp;'NSST Print'!$B$3,Investors!$I:$I,"&lt;="&amp;'NSST Print'!$B$3,Investors!$A:$A,'Investor Exit List'!$A194,Investors!$E:$E,'Investor Exit List'!$C194,Investors!$L:$L,'Investor Exit List'!$B194)-(SUMIFS(Investors!$M:$M,Investors!$I:$I,"&lt;="&amp;'NSST Print'!$B$3,Investors!$J:$J,"&gt;"&amp;'NSST Print'!$B$3,Investors!$A:$A,'Investor Exit List'!$A194,Investors!$E:$E,'Investor Exit List'!$C194,Investors!$L:$L,'Investor Exit List'!$B194)+SUMIFS(Investors!$M:$M,Investors!$I:$I,"&lt;="&amp;'NSST Print'!$B$3,Investors!$J:$J,"",Investors!$A:$A,'Investor Exit List'!$A194,Investors!$E:$E,'Investor Exit List'!$C194,Investors!$L:$L,'Investor Exit List'!$B194))+SUMIFS(Investors!$S:$S,Investors!$O:$O,FALSE,Investors!$P:$P,FALSE,Investors!$K:$K,"&gt;"&amp;'NSST Print'!$B$3,Investors!$I:$I,"&lt;="&amp;'NSST Print'!$B$3,Investors!$A:$A,'Investor Exit List'!$A194,Investors!$E:$E,'Investor Exit List'!$C194,Investors!$L:$L,'Investor Exit List'!$B194)-(SUMIFS(Investors!$S:$S,Investors!$I:$I,"&lt;="&amp;'NSST Print'!$B$3,Investors!$J:$J,"&gt;"&amp;'NSST Print'!$B$3,Investors!$A:$A,'Investor Exit List'!$A194,Investors!$E:$E,'Investor Exit List'!$C194,Investors!$L:$L,'Investor Exit List'!$B194)+SUMIFS(Investors!$S:$S,Investors!$I:$I,"&lt;="&amp;'NSST Print'!$B$3,Investors!$J:$J,"",Investors!$A:$A,'Investor Exit List'!$A194,Investors!$E:$E,'Investor Exit List'!$C194,Investors!$L:$L,'Investor Exit List'!$B194))</f>
        <v/>
      </c>
      <c r="R194" s="90">
        <f>IF(AND(H194=TRUE,I194=FALSE),Q194,0)</f>
        <v/>
      </c>
      <c r="S194" s="90">
        <f>SUMIFS(Investors!$M:$M,Investors!$O:$O,TRUE,Investors!$A:$A,'Investor Exit List'!$A194,Investors!$E:$E,'Investor Exit List'!$C194,Investors!$L:$L,'Investor Exit List'!$B194)+SUMIFS(Investors!$S:$S,Investors!$O:$O,TRUE,Investors!$A:$A,'Investor Exit List'!$A194,Investors!$E:$E,'Investor Exit List'!$C194,Investors!$L:$L,'Investor Exit List'!$B194)</f>
        <v/>
      </c>
      <c r="T194" s="91">
        <f>IF(U194=TRUE,$J194,"")</f>
        <v/>
      </c>
      <c r="U194" s="89" t="b">
        <v>0</v>
      </c>
      <c r="V194" s="90">
        <f>IF(AND(H194=TRUE,OR(K194="",K194&gt;M194)),S194,0)</f>
        <v/>
      </c>
      <c r="W194" s="89" t="n">
        <v>0</v>
      </c>
      <c r="X194" s="89" t="b">
        <v>0</v>
      </c>
    </row>
    <row r="195">
      <c r="A195" s="93" t="inlineStr">
        <is>
          <t>ZVAN05</t>
        </is>
      </c>
      <c r="B195" s="93" t="n">
        <v>3</v>
      </c>
      <c r="C195" s="93" t="inlineStr">
        <is>
          <t>HVC304</t>
        </is>
      </c>
      <c r="D195" s="93" t="inlineStr">
        <is>
          <t>C</t>
        </is>
      </c>
      <c r="E195" s="93" t="inlineStr">
        <is>
          <t>van der Sandt Hermanus</t>
        </is>
      </c>
      <c r="F195" s="94">
        <f>SUMIFS(Investors!$M:$M,Investors!$O:$O,FALSE,Investors!$P:$P,FALSE,Investors!$K:$K,"&gt;"&amp;'NSST Print'!$B$3,Investors!$I:$I,"&lt;="&amp;'NSST Print'!$B$3,Investors!$A:$A,'Investor Exit List'!$A195,Investors!$E:$E,'Investor Exit List'!$C195,Investors!$L:$L,'Investor Exit List'!$B195)-(SUMIFS(Investors!$M:$M,Investors!$I:$I,"&lt;="&amp;'NSST Print'!$B$3,Investors!$J:$J,"&gt;"&amp;'NSST Print'!$B$3,Investors!$A:$A,'Investor Exit List'!$A195,Investors!$E:$E,'Investor Exit List'!$C195,Investors!$L:$L,'Investor Exit List'!$B195)+SUMIFS(Investors!$M:$M,Investors!$I:$I,"&lt;="&amp;'NSST Print'!$B$3,Investors!$J:$J,"",Investors!$A:$A,'Investor Exit List'!$A195,Investors!$E:$E,'Investor Exit List'!$C195,Investors!$L:$L,'Investor Exit List'!$B195))</f>
        <v/>
      </c>
      <c r="G195" s="95" t="n">
        <v>44903</v>
      </c>
      <c r="H195" s="93" t="b">
        <v>0</v>
      </c>
      <c r="I195" s="93" t="b">
        <v>0</v>
      </c>
      <c r="J195" s="95" t="n">
        <v>45533</v>
      </c>
      <c r="K195" s="95">
        <f>IF(I195=TRUE,J195,"")</f>
        <v/>
      </c>
      <c r="L195" s="95">
        <f>G195+730</f>
        <v/>
      </c>
      <c r="M195" s="95" t="n">
        <v>45382</v>
      </c>
      <c r="N195" s="96">
        <f>IFERROR(IF(G195&lt;&gt;"",IF(I195=TRUE,0,IF(U195=TRUE,0,L195-M195)),0),0)</f>
        <v/>
      </c>
      <c r="O195" s="96">
        <f>IF(N195&gt;0,IF(N195&lt;=180,N195,0),0)</f>
        <v/>
      </c>
      <c r="P195" s="94">
        <f>IF(AND(N195&lt;90,N195&gt;0),Q195,0)</f>
        <v/>
      </c>
      <c r="Q195" s="94">
        <f>SUMIFS(Investors!$M:$M,Investors!$O:$O,FALSE,Investors!$P:$P,FALSE,Investors!$K:$K,"&gt;"&amp;'NSST Print'!$B$3,Investors!$I:$I,"&lt;="&amp;'NSST Print'!$B$3,Investors!$A:$A,'Investor Exit List'!$A195,Investors!$E:$E,'Investor Exit List'!$C195,Investors!$L:$L,'Investor Exit List'!$B195)-(SUMIFS(Investors!$M:$M,Investors!$I:$I,"&lt;="&amp;'NSST Print'!$B$3,Investors!$J:$J,"&gt;"&amp;'NSST Print'!$B$3,Investors!$A:$A,'Investor Exit List'!$A195,Investors!$E:$E,'Investor Exit List'!$C195,Investors!$L:$L,'Investor Exit List'!$B195)+SUMIFS(Investors!$M:$M,Investors!$I:$I,"&lt;="&amp;'NSST Print'!$B$3,Investors!$J:$J,"",Investors!$A:$A,'Investor Exit List'!$A195,Investors!$E:$E,'Investor Exit List'!$C195,Investors!$L:$L,'Investor Exit List'!$B195))+SUMIFS(Investors!$S:$S,Investors!$O:$O,FALSE,Investors!$P:$P,FALSE,Investors!$K:$K,"&gt;"&amp;'NSST Print'!$B$3,Investors!$I:$I,"&lt;="&amp;'NSST Print'!$B$3,Investors!$A:$A,'Investor Exit List'!$A195,Investors!$E:$E,'Investor Exit List'!$C195,Investors!$L:$L,'Investor Exit List'!$B195)-(SUMIFS(Investors!$S:$S,Investors!$I:$I,"&lt;="&amp;'NSST Print'!$B$3,Investors!$J:$J,"&gt;"&amp;'NSST Print'!$B$3,Investors!$A:$A,'Investor Exit List'!$A195,Investors!$E:$E,'Investor Exit List'!$C195,Investors!$L:$L,'Investor Exit List'!$B195)+SUMIFS(Investors!$S:$S,Investors!$I:$I,"&lt;="&amp;'NSST Print'!$B$3,Investors!$J:$J,"",Investors!$A:$A,'Investor Exit List'!$A195,Investors!$E:$E,'Investor Exit List'!$C195,Investors!$L:$L,'Investor Exit List'!$B195))</f>
        <v/>
      </c>
      <c r="R195" s="94">
        <f>IF(AND(H195=TRUE,I195=FALSE),Q195,0)</f>
        <v/>
      </c>
      <c r="S195" s="94">
        <f>SUMIFS(Investors!$M:$M,Investors!$O:$O,TRUE,Investors!$A:$A,'Investor Exit List'!$A195,Investors!$E:$E,'Investor Exit List'!$C195,Investors!$L:$L,'Investor Exit List'!$B195)+SUMIFS(Investors!$S:$S,Investors!$O:$O,TRUE,Investors!$A:$A,'Investor Exit List'!$A195,Investors!$E:$E,'Investor Exit List'!$C195,Investors!$L:$L,'Investor Exit List'!$B195)</f>
        <v/>
      </c>
      <c r="T195" s="95">
        <f>IF(U195=TRUE,$J195,"")</f>
        <v/>
      </c>
      <c r="U195" s="93" t="b">
        <v>0</v>
      </c>
      <c r="V195" s="94">
        <f>IF(AND(H195=TRUE,OR(K195="",K195&gt;M195)),S195,0)</f>
        <v/>
      </c>
      <c r="W195" s="93" t="n">
        <v>0</v>
      </c>
      <c r="X195" s="93" t="b">
        <v>0</v>
      </c>
    </row>
    <row r="196">
      <c r="A196" s="93" t="inlineStr">
        <is>
          <t>ZBER01</t>
        </is>
      </c>
      <c r="B196" s="93" t="n">
        <v>1</v>
      </c>
      <c r="C196" s="93" t="inlineStr">
        <is>
          <t>HVC305</t>
        </is>
      </c>
      <c r="D196" s="93" t="inlineStr">
        <is>
          <t>C</t>
        </is>
      </c>
      <c r="E196" s="93" t="inlineStr">
        <is>
          <t>Berk-Heinze Beverley</t>
        </is>
      </c>
      <c r="F196" s="94">
        <f>SUMIFS(Investors!$M:$M,Investors!$O:$O,FALSE,Investors!$P:$P,FALSE,Investors!$K:$K,"&gt;"&amp;'NSST Print'!$B$3,Investors!$I:$I,"&lt;="&amp;'NSST Print'!$B$3,Investors!$A:$A,'Investor Exit List'!$A196,Investors!$E:$E,'Investor Exit List'!$C196,Investors!$L:$L,'Investor Exit List'!$B196)-(SUMIFS(Investors!$M:$M,Investors!$I:$I,"&lt;="&amp;'NSST Print'!$B$3,Investors!$J:$J,"&gt;"&amp;'NSST Print'!$B$3,Investors!$A:$A,'Investor Exit List'!$A196,Investors!$E:$E,'Investor Exit List'!$C196,Investors!$L:$L,'Investor Exit List'!$B196)+SUMIFS(Investors!$M:$M,Investors!$I:$I,"&lt;="&amp;'NSST Print'!$B$3,Investors!$J:$J,"",Investors!$A:$A,'Investor Exit List'!$A196,Investors!$E:$E,'Investor Exit List'!$C196,Investors!$L:$L,'Investor Exit List'!$B196))</f>
        <v/>
      </c>
      <c r="G196" s="95" t="n">
        <v>44909</v>
      </c>
      <c r="H196" s="93" t="b">
        <v>0</v>
      </c>
      <c r="I196" s="93" t="b">
        <v>0</v>
      </c>
      <c r="J196" s="95" t="n">
        <v>45533</v>
      </c>
      <c r="K196" s="95">
        <f>IF(I196=TRUE,J196,"")</f>
        <v/>
      </c>
      <c r="L196" s="95">
        <f>G196+730</f>
        <v/>
      </c>
      <c r="M196" s="95" t="n">
        <v>45382</v>
      </c>
      <c r="N196" s="96">
        <f>IFERROR(IF(G196&lt;&gt;"",IF(I196=TRUE,0,IF(U196=TRUE,0,L196-M196)),0),0)</f>
        <v/>
      </c>
      <c r="O196" s="96">
        <f>IF(N196&gt;0,IF(N196&lt;=180,N196,0),0)</f>
        <v/>
      </c>
      <c r="P196" s="94">
        <f>IF(AND(N196&lt;90,N196&gt;0),Q196,0)</f>
        <v/>
      </c>
      <c r="Q196" s="94">
        <f>SUMIFS(Investors!$M:$M,Investors!$O:$O,FALSE,Investors!$P:$P,FALSE,Investors!$K:$K,"&gt;"&amp;'NSST Print'!$B$3,Investors!$I:$I,"&lt;="&amp;'NSST Print'!$B$3,Investors!$A:$A,'Investor Exit List'!$A196,Investors!$E:$E,'Investor Exit List'!$C196,Investors!$L:$L,'Investor Exit List'!$B196)-(SUMIFS(Investors!$M:$M,Investors!$I:$I,"&lt;="&amp;'NSST Print'!$B$3,Investors!$J:$J,"&gt;"&amp;'NSST Print'!$B$3,Investors!$A:$A,'Investor Exit List'!$A196,Investors!$E:$E,'Investor Exit List'!$C196,Investors!$L:$L,'Investor Exit List'!$B196)+SUMIFS(Investors!$M:$M,Investors!$I:$I,"&lt;="&amp;'NSST Print'!$B$3,Investors!$J:$J,"",Investors!$A:$A,'Investor Exit List'!$A196,Investors!$E:$E,'Investor Exit List'!$C196,Investors!$L:$L,'Investor Exit List'!$B196))+SUMIFS(Investors!$S:$S,Investors!$O:$O,FALSE,Investors!$P:$P,FALSE,Investors!$K:$K,"&gt;"&amp;'NSST Print'!$B$3,Investors!$I:$I,"&lt;="&amp;'NSST Print'!$B$3,Investors!$A:$A,'Investor Exit List'!$A196,Investors!$E:$E,'Investor Exit List'!$C196,Investors!$L:$L,'Investor Exit List'!$B196)-(SUMIFS(Investors!$S:$S,Investors!$I:$I,"&lt;="&amp;'NSST Print'!$B$3,Investors!$J:$J,"&gt;"&amp;'NSST Print'!$B$3,Investors!$A:$A,'Investor Exit List'!$A196,Investors!$E:$E,'Investor Exit List'!$C196,Investors!$L:$L,'Investor Exit List'!$B196)+SUMIFS(Investors!$S:$S,Investors!$I:$I,"&lt;="&amp;'NSST Print'!$B$3,Investors!$J:$J,"",Investors!$A:$A,'Investor Exit List'!$A196,Investors!$E:$E,'Investor Exit List'!$C196,Investors!$L:$L,'Investor Exit List'!$B196))</f>
        <v/>
      </c>
      <c r="R196" s="94">
        <f>IF(AND(H196=TRUE,I196=FALSE),Q196,0)</f>
        <v/>
      </c>
      <c r="S196" s="94">
        <f>SUMIFS(Investors!$M:$M,Investors!$O:$O,TRUE,Investors!$A:$A,'Investor Exit List'!$A196,Investors!$E:$E,'Investor Exit List'!$C196,Investors!$L:$L,'Investor Exit List'!$B196)+SUMIFS(Investors!$S:$S,Investors!$O:$O,TRUE,Investors!$A:$A,'Investor Exit List'!$A196,Investors!$E:$E,'Investor Exit List'!$C196,Investors!$L:$L,'Investor Exit List'!$B196)</f>
        <v/>
      </c>
      <c r="T196" s="95">
        <f>IF(U196=TRUE,$J196,"")</f>
        <v/>
      </c>
      <c r="U196" s="93" t="b">
        <v>0</v>
      </c>
      <c r="V196" s="94">
        <f>IF(AND(H196=TRUE,OR(K196="",K196&gt;M196)),S196,0)</f>
        <v/>
      </c>
      <c r="W196" s="93" t="n">
        <v>0</v>
      </c>
      <c r="X196" s="93" t="b">
        <v>0</v>
      </c>
    </row>
    <row r="197">
      <c r="A197" s="93" t="inlineStr">
        <is>
          <t>ZDEK01</t>
        </is>
      </c>
      <c r="B197" s="93" t="n">
        <v>3</v>
      </c>
      <c r="C197" s="93" t="inlineStr">
        <is>
          <t>HVC305</t>
        </is>
      </c>
      <c r="D197" s="93" t="inlineStr">
        <is>
          <t>C</t>
        </is>
      </c>
      <c r="E197" s="93" t="inlineStr">
        <is>
          <t>De Klerk (Way) Dawn Margaret</t>
        </is>
      </c>
      <c r="F197" s="94">
        <f>SUMIFS(Investors!$M:$M,Investors!$O:$O,FALSE,Investors!$P:$P,FALSE,Investors!$K:$K,"&gt;"&amp;'NSST Print'!$B$3,Investors!$I:$I,"&lt;="&amp;'NSST Print'!$B$3,Investors!$A:$A,'Investor Exit List'!$A197,Investors!$E:$E,'Investor Exit List'!$C197,Investors!$L:$L,'Investor Exit List'!$B197)-(SUMIFS(Investors!$M:$M,Investors!$I:$I,"&lt;="&amp;'NSST Print'!$B$3,Investors!$J:$J,"&gt;"&amp;'NSST Print'!$B$3,Investors!$A:$A,'Investor Exit List'!$A197,Investors!$E:$E,'Investor Exit List'!$C197,Investors!$L:$L,'Investor Exit List'!$B197)+SUMIFS(Investors!$M:$M,Investors!$I:$I,"&lt;="&amp;'NSST Print'!$B$3,Investors!$J:$J,"",Investors!$A:$A,'Investor Exit List'!$A197,Investors!$E:$E,'Investor Exit List'!$C197,Investors!$L:$L,'Investor Exit List'!$B197))</f>
        <v/>
      </c>
      <c r="G197" s="95" t="n">
        <v>45107</v>
      </c>
      <c r="H197" s="93" t="b">
        <v>0</v>
      </c>
      <c r="I197" s="93" t="b">
        <v>0</v>
      </c>
      <c r="J197" s="95" t="n">
        <v>45533</v>
      </c>
      <c r="K197" s="95">
        <f>IF(I197=TRUE,J197,"")</f>
        <v/>
      </c>
      <c r="L197" s="95">
        <f>G197+730</f>
        <v/>
      </c>
      <c r="M197" s="95" t="n">
        <v>45382</v>
      </c>
      <c r="N197" s="96">
        <f>IFERROR(IF(G197&lt;&gt;"",IF(I197=TRUE,0,IF(U197=TRUE,0,L197-M197)),0),0)</f>
        <v/>
      </c>
      <c r="O197" s="96">
        <f>IF(N197&gt;0,IF(N197&lt;=180,N197,0),0)</f>
        <v/>
      </c>
      <c r="P197" s="94">
        <f>IF(AND(N197&lt;90,N197&gt;0),Q197,0)</f>
        <v/>
      </c>
      <c r="Q197" s="94">
        <f>SUMIFS(Investors!$M:$M,Investors!$O:$O,FALSE,Investors!$P:$P,FALSE,Investors!$K:$K,"&gt;"&amp;'NSST Print'!$B$3,Investors!$I:$I,"&lt;="&amp;'NSST Print'!$B$3,Investors!$A:$A,'Investor Exit List'!$A197,Investors!$E:$E,'Investor Exit List'!$C197,Investors!$L:$L,'Investor Exit List'!$B197)-(SUMIFS(Investors!$M:$M,Investors!$I:$I,"&lt;="&amp;'NSST Print'!$B$3,Investors!$J:$J,"&gt;"&amp;'NSST Print'!$B$3,Investors!$A:$A,'Investor Exit List'!$A197,Investors!$E:$E,'Investor Exit List'!$C197,Investors!$L:$L,'Investor Exit List'!$B197)+SUMIFS(Investors!$M:$M,Investors!$I:$I,"&lt;="&amp;'NSST Print'!$B$3,Investors!$J:$J,"",Investors!$A:$A,'Investor Exit List'!$A197,Investors!$E:$E,'Investor Exit List'!$C197,Investors!$L:$L,'Investor Exit List'!$B197))+SUMIFS(Investors!$S:$S,Investors!$O:$O,FALSE,Investors!$P:$P,FALSE,Investors!$K:$K,"&gt;"&amp;'NSST Print'!$B$3,Investors!$I:$I,"&lt;="&amp;'NSST Print'!$B$3,Investors!$A:$A,'Investor Exit List'!$A197,Investors!$E:$E,'Investor Exit List'!$C197,Investors!$L:$L,'Investor Exit List'!$B197)-(SUMIFS(Investors!$S:$S,Investors!$I:$I,"&lt;="&amp;'NSST Print'!$B$3,Investors!$J:$J,"&gt;"&amp;'NSST Print'!$B$3,Investors!$A:$A,'Investor Exit List'!$A197,Investors!$E:$E,'Investor Exit List'!$C197,Investors!$L:$L,'Investor Exit List'!$B197)+SUMIFS(Investors!$S:$S,Investors!$I:$I,"&lt;="&amp;'NSST Print'!$B$3,Investors!$J:$J,"",Investors!$A:$A,'Investor Exit List'!$A197,Investors!$E:$E,'Investor Exit List'!$C197,Investors!$L:$L,'Investor Exit List'!$B197))</f>
        <v/>
      </c>
      <c r="R197" s="94">
        <f>IF(AND(H197=TRUE,I197=FALSE),Q197,0)</f>
        <v/>
      </c>
      <c r="S197" s="94">
        <f>SUMIFS(Investors!$M:$M,Investors!$O:$O,TRUE,Investors!$A:$A,'Investor Exit List'!$A197,Investors!$E:$E,'Investor Exit List'!$C197,Investors!$L:$L,'Investor Exit List'!$B197)+SUMIFS(Investors!$S:$S,Investors!$O:$O,TRUE,Investors!$A:$A,'Investor Exit List'!$A197,Investors!$E:$E,'Investor Exit List'!$C197,Investors!$L:$L,'Investor Exit List'!$B197)</f>
        <v/>
      </c>
      <c r="T197" s="95">
        <f>IF(U197=TRUE,$J197,"")</f>
        <v/>
      </c>
      <c r="U197" s="93" t="b">
        <v>0</v>
      </c>
      <c r="V197" s="94">
        <f>IF(AND(H197=TRUE,OR(K197="",K197&gt;M197)),S197,0)</f>
        <v/>
      </c>
      <c r="W197" s="93" t="n">
        <v>0</v>
      </c>
      <c r="X197" s="93" t="b">
        <v>0</v>
      </c>
    </row>
    <row r="198">
      <c r="A198" s="93" t="inlineStr">
        <is>
          <t>ZDUT01</t>
        </is>
      </c>
      <c r="B198" s="93" t="n">
        <v>1</v>
      </c>
      <c r="C198" s="93" t="inlineStr">
        <is>
          <t>HVC305</t>
        </is>
      </c>
      <c r="D198" s="93" t="inlineStr">
        <is>
          <t>C</t>
        </is>
      </c>
      <c r="E198" s="93" t="inlineStr">
        <is>
          <t>du Toit Willem Anton</t>
        </is>
      </c>
      <c r="F198" s="94">
        <f>SUMIFS(Investors!$M:$M,Investors!$O:$O,FALSE,Investors!$P:$P,FALSE,Investors!$K:$K,"&gt;"&amp;'NSST Print'!$B$3,Investors!$I:$I,"&lt;="&amp;'NSST Print'!$B$3,Investors!$A:$A,'Investor Exit List'!$A198,Investors!$E:$E,'Investor Exit List'!$C198,Investors!$L:$L,'Investor Exit List'!$B198)-(SUMIFS(Investors!$M:$M,Investors!$I:$I,"&lt;="&amp;'NSST Print'!$B$3,Investors!$J:$J,"&gt;"&amp;'NSST Print'!$B$3,Investors!$A:$A,'Investor Exit List'!$A198,Investors!$E:$E,'Investor Exit List'!$C198,Investors!$L:$L,'Investor Exit List'!$B198)+SUMIFS(Investors!$M:$M,Investors!$I:$I,"&lt;="&amp;'NSST Print'!$B$3,Investors!$J:$J,"",Investors!$A:$A,'Investor Exit List'!$A198,Investors!$E:$E,'Investor Exit List'!$C198,Investors!$L:$L,'Investor Exit List'!$B198))</f>
        <v/>
      </c>
      <c r="G198" s="95" t="n">
        <v>44903</v>
      </c>
      <c r="H198" s="93" t="b">
        <v>0</v>
      </c>
      <c r="I198" s="93" t="b">
        <v>0</v>
      </c>
      <c r="J198" s="95" t="n">
        <v>45533</v>
      </c>
      <c r="K198" s="95">
        <f>IF(I198=TRUE,J198,"")</f>
        <v/>
      </c>
      <c r="L198" s="95">
        <f>G198+730</f>
        <v/>
      </c>
      <c r="M198" s="95" t="n">
        <v>45382</v>
      </c>
      <c r="N198" s="96">
        <f>IFERROR(IF(G198&lt;&gt;"",IF(I198=TRUE,0,IF(U198=TRUE,0,L198-M198)),0),0)</f>
        <v/>
      </c>
      <c r="O198" s="96">
        <f>IF(N198&gt;0,IF(N198&lt;=180,N198,0),0)</f>
        <v/>
      </c>
      <c r="P198" s="94">
        <f>IF(AND(N198&lt;90,N198&gt;0),Q198,0)</f>
        <v/>
      </c>
      <c r="Q198" s="94">
        <f>SUMIFS(Investors!$M:$M,Investors!$O:$O,FALSE,Investors!$P:$P,FALSE,Investors!$K:$K,"&gt;"&amp;'NSST Print'!$B$3,Investors!$I:$I,"&lt;="&amp;'NSST Print'!$B$3,Investors!$A:$A,'Investor Exit List'!$A198,Investors!$E:$E,'Investor Exit List'!$C198,Investors!$L:$L,'Investor Exit List'!$B198)-(SUMIFS(Investors!$M:$M,Investors!$I:$I,"&lt;="&amp;'NSST Print'!$B$3,Investors!$J:$J,"&gt;"&amp;'NSST Print'!$B$3,Investors!$A:$A,'Investor Exit List'!$A198,Investors!$E:$E,'Investor Exit List'!$C198,Investors!$L:$L,'Investor Exit List'!$B198)+SUMIFS(Investors!$M:$M,Investors!$I:$I,"&lt;="&amp;'NSST Print'!$B$3,Investors!$J:$J,"",Investors!$A:$A,'Investor Exit List'!$A198,Investors!$E:$E,'Investor Exit List'!$C198,Investors!$L:$L,'Investor Exit List'!$B198))+SUMIFS(Investors!$S:$S,Investors!$O:$O,FALSE,Investors!$P:$P,FALSE,Investors!$K:$K,"&gt;"&amp;'NSST Print'!$B$3,Investors!$I:$I,"&lt;="&amp;'NSST Print'!$B$3,Investors!$A:$A,'Investor Exit List'!$A198,Investors!$E:$E,'Investor Exit List'!$C198,Investors!$L:$L,'Investor Exit List'!$B198)-(SUMIFS(Investors!$S:$S,Investors!$I:$I,"&lt;="&amp;'NSST Print'!$B$3,Investors!$J:$J,"&gt;"&amp;'NSST Print'!$B$3,Investors!$A:$A,'Investor Exit List'!$A198,Investors!$E:$E,'Investor Exit List'!$C198,Investors!$L:$L,'Investor Exit List'!$B198)+SUMIFS(Investors!$S:$S,Investors!$I:$I,"&lt;="&amp;'NSST Print'!$B$3,Investors!$J:$J,"",Investors!$A:$A,'Investor Exit List'!$A198,Investors!$E:$E,'Investor Exit List'!$C198,Investors!$L:$L,'Investor Exit List'!$B198))</f>
        <v/>
      </c>
      <c r="R198" s="94">
        <f>IF(AND(H198=TRUE,I198=FALSE),Q198,0)</f>
        <v/>
      </c>
      <c r="S198" s="94">
        <f>SUMIFS(Investors!$M:$M,Investors!$O:$O,TRUE,Investors!$A:$A,'Investor Exit List'!$A198,Investors!$E:$E,'Investor Exit List'!$C198,Investors!$L:$L,'Investor Exit List'!$B198)+SUMIFS(Investors!$S:$S,Investors!$O:$O,TRUE,Investors!$A:$A,'Investor Exit List'!$A198,Investors!$E:$E,'Investor Exit List'!$C198,Investors!$L:$L,'Investor Exit List'!$B198)</f>
        <v/>
      </c>
      <c r="T198" s="95">
        <f>IF(U198=TRUE,$J198,"")</f>
        <v/>
      </c>
      <c r="U198" s="93" t="b">
        <v>0</v>
      </c>
      <c r="V198" s="94">
        <f>IF(AND(H198=TRUE,OR(K198="",K198&gt;M198)),S198,0)</f>
        <v/>
      </c>
      <c r="W198" s="93" t="n">
        <v>0</v>
      </c>
      <c r="X198" s="93" t="b">
        <v>0</v>
      </c>
    </row>
    <row r="199">
      <c r="A199" s="93" t="inlineStr">
        <is>
          <t>ZKRO01</t>
        </is>
      </c>
      <c r="B199" s="93" t="n">
        <v>3</v>
      </c>
      <c r="C199" s="93" t="inlineStr">
        <is>
          <t>HVC305</t>
        </is>
      </c>
      <c r="D199" s="93" t="inlineStr">
        <is>
          <t>C</t>
        </is>
      </c>
      <c r="E199" s="93" t="inlineStr">
        <is>
          <t>van der Merwe Frans</t>
        </is>
      </c>
      <c r="F199" s="94">
        <f>SUMIFS(Investors!$M:$M,Investors!$O:$O,FALSE,Investors!$P:$P,FALSE,Investors!$K:$K,"&gt;"&amp;'NSST Print'!$B$3,Investors!$I:$I,"&lt;="&amp;'NSST Print'!$B$3,Investors!$A:$A,'Investor Exit List'!$A199,Investors!$E:$E,'Investor Exit List'!$C199,Investors!$L:$L,'Investor Exit List'!$B199)-(SUMIFS(Investors!$M:$M,Investors!$I:$I,"&lt;="&amp;'NSST Print'!$B$3,Investors!$J:$J,"&gt;"&amp;'NSST Print'!$B$3,Investors!$A:$A,'Investor Exit List'!$A199,Investors!$E:$E,'Investor Exit List'!$C199,Investors!$L:$L,'Investor Exit List'!$B199)+SUMIFS(Investors!$M:$M,Investors!$I:$I,"&lt;="&amp;'NSST Print'!$B$3,Investors!$J:$J,"",Investors!$A:$A,'Investor Exit List'!$A199,Investors!$E:$E,'Investor Exit List'!$C199,Investors!$L:$L,'Investor Exit List'!$B199))</f>
        <v/>
      </c>
      <c r="G199" s="95" t="n">
        <v>44916</v>
      </c>
      <c r="H199" s="93" t="b">
        <v>0</v>
      </c>
      <c r="I199" s="93" t="b">
        <v>0</v>
      </c>
      <c r="J199" s="95" t="n">
        <v>45533</v>
      </c>
      <c r="K199" s="95">
        <f>IF(I199=TRUE,J199,"")</f>
        <v/>
      </c>
      <c r="L199" s="95">
        <f>G199+730</f>
        <v/>
      </c>
      <c r="M199" s="95" t="n">
        <v>45382</v>
      </c>
      <c r="N199" s="96">
        <f>IFERROR(IF(G199&lt;&gt;"",IF(I199=TRUE,0,IF(U199=TRUE,0,L199-M199)),0),0)</f>
        <v/>
      </c>
      <c r="O199" s="96">
        <f>IF(N199&gt;0,IF(N199&lt;=180,N199,0),0)</f>
        <v/>
      </c>
      <c r="P199" s="94">
        <f>IF(AND(N199&lt;90,N199&gt;0),Q199,0)</f>
        <v/>
      </c>
      <c r="Q199" s="94">
        <f>SUMIFS(Investors!$M:$M,Investors!$O:$O,FALSE,Investors!$P:$P,FALSE,Investors!$K:$K,"&gt;"&amp;'NSST Print'!$B$3,Investors!$I:$I,"&lt;="&amp;'NSST Print'!$B$3,Investors!$A:$A,'Investor Exit List'!$A199,Investors!$E:$E,'Investor Exit List'!$C199,Investors!$L:$L,'Investor Exit List'!$B199)-(SUMIFS(Investors!$M:$M,Investors!$I:$I,"&lt;="&amp;'NSST Print'!$B$3,Investors!$J:$J,"&gt;"&amp;'NSST Print'!$B$3,Investors!$A:$A,'Investor Exit List'!$A199,Investors!$E:$E,'Investor Exit List'!$C199,Investors!$L:$L,'Investor Exit List'!$B199)+SUMIFS(Investors!$M:$M,Investors!$I:$I,"&lt;="&amp;'NSST Print'!$B$3,Investors!$J:$J,"",Investors!$A:$A,'Investor Exit List'!$A199,Investors!$E:$E,'Investor Exit List'!$C199,Investors!$L:$L,'Investor Exit List'!$B199))+SUMIFS(Investors!$S:$S,Investors!$O:$O,FALSE,Investors!$P:$P,FALSE,Investors!$K:$K,"&gt;"&amp;'NSST Print'!$B$3,Investors!$I:$I,"&lt;="&amp;'NSST Print'!$B$3,Investors!$A:$A,'Investor Exit List'!$A199,Investors!$E:$E,'Investor Exit List'!$C199,Investors!$L:$L,'Investor Exit List'!$B199)-(SUMIFS(Investors!$S:$S,Investors!$I:$I,"&lt;="&amp;'NSST Print'!$B$3,Investors!$J:$J,"&gt;"&amp;'NSST Print'!$B$3,Investors!$A:$A,'Investor Exit List'!$A199,Investors!$E:$E,'Investor Exit List'!$C199,Investors!$L:$L,'Investor Exit List'!$B199)+SUMIFS(Investors!$S:$S,Investors!$I:$I,"&lt;="&amp;'NSST Print'!$B$3,Investors!$J:$J,"",Investors!$A:$A,'Investor Exit List'!$A199,Investors!$E:$E,'Investor Exit List'!$C199,Investors!$L:$L,'Investor Exit List'!$B199))</f>
        <v/>
      </c>
      <c r="R199" s="94">
        <f>IF(AND(H199=TRUE,I199=FALSE),Q199,0)</f>
        <v/>
      </c>
      <c r="S199" s="94">
        <f>SUMIFS(Investors!$M:$M,Investors!$O:$O,TRUE,Investors!$A:$A,'Investor Exit List'!$A199,Investors!$E:$E,'Investor Exit List'!$C199,Investors!$L:$L,'Investor Exit List'!$B199)+SUMIFS(Investors!$S:$S,Investors!$O:$O,TRUE,Investors!$A:$A,'Investor Exit List'!$A199,Investors!$E:$E,'Investor Exit List'!$C199,Investors!$L:$L,'Investor Exit List'!$B199)</f>
        <v/>
      </c>
      <c r="T199" s="95">
        <f>IF(U199=TRUE,$J199,"")</f>
        <v/>
      </c>
      <c r="U199" s="93" t="b">
        <v>0</v>
      </c>
      <c r="V199" s="94">
        <f>IF(AND(H199=TRUE,OR(K199="",K199&gt;M199)),S199,0)</f>
        <v/>
      </c>
      <c r="W199" s="93" t="n">
        <v>0</v>
      </c>
      <c r="X199" s="93" t="b">
        <v>0</v>
      </c>
    </row>
    <row r="200">
      <c r="A200" s="93" t="inlineStr">
        <is>
          <t>ZVOL01</t>
        </is>
      </c>
      <c r="B200" s="93" t="n">
        <v>4</v>
      </c>
      <c r="C200" s="93" t="inlineStr">
        <is>
          <t>HVC305</t>
        </is>
      </c>
      <c r="D200" s="93" t="inlineStr">
        <is>
          <t>C</t>
        </is>
      </c>
      <c r="E200" s="93" t="inlineStr">
        <is>
          <t>Volschenk Gideon Cornelius</t>
        </is>
      </c>
      <c r="F200" s="94">
        <f>SUMIFS(Investors!$M:$M,Investors!$O:$O,FALSE,Investors!$P:$P,FALSE,Investors!$K:$K,"&gt;"&amp;'NSST Print'!$B$3,Investors!$I:$I,"&lt;="&amp;'NSST Print'!$B$3,Investors!$A:$A,'Investor Exit List'!$A200,Investors!$E:$E,'Investor Exit List'!$C200,Investors!$L:$L,'Investor Exit List'!$B200)-(SUMIFS(Investors!$M:$M,Investors!$I:$I,"&lt;="&amp;'NSST Print'!$B$3,Investors!$J:$J,"&gt;"&amp;'NSST Print'!$B$3,Investors!$A:$A,'Investor Exit List'!$A200,Investors!$E:$E,'Investor Exit List'!$C200,Investors!$L:$L,'Investor Exit List'!$B200)+SUMIFS(Investors!$M:$M,Investors!$I:$I,"&lt;="&amp;'NSST Print'!$B$3,Investors!$J:$J,"",Investors!$A:$A,'Investor Exit List'!$A200,Investors!$E:$E,'Investor Exit List'!$C200,Investors!$L:$L,'Investor Exit List'!$B200))</f>
        <v/>
      </c>
      <c r="G200" s="95" t="n">
        <v>44903</v>
      </c>
      <c r="H200" s="93" t="b">
        <v>0</v>
      </c>
      <c r="I200" s="93" t="b">
        <v>0</v>
      </c>
      <c r="J200" s="95" t="n">
        <v>45533</v>
      </c>
      <c r="K200" s="95">
        <f>IF(I200=TRUE,J200,"")</f>
        <v/>
      </c>
      <c r="L200" s="95">
        <f>G200+730</f>
        <v/>
      </c>
      <c r="M200" s="95" t="n">
        <v>45382</v>
      </c>
      <c r="N200" s="96">
        <f>IFERROR(IF(G200&lt;&gt;"",IF(I200=TRUE,0,IF(U200=TRUE,0,L200-M200)),0),0)</f>
        <v/>
      </c>
      <c r="O200" s="96">
        <f>IF(N200&gt;0,IF(N200&lt;=180,N200,0),0)</f>
        <v/>
      </c>
      <c r="P200" s="94">
        <f>IF(AND(N200&lt;90,N200&gt;0),Q200,0)</f>
        <v/>
      </c>
      <c r="Q200" s="94">
        <f>SUMIFS(Investors!$M:$M,Investors!$O:$O,FALSE,Investors!$P:$P,FALSE,Investors!$K:$K,"&gt;"&amp;'NSST Print'!$B$3,Investors!$I:$I,"&lt;="&amp;'NSST Print'!$B$3,Investors!$A:$A,'Investor Exit List'!$A200,Investors!$E:$E,'Investor Exit List'!$C200,Investors!$L:$L,'Investor Exit List'!$B200)-(SUMIFS(Investors!$M:$M,Investors!$I:$I,"&lt;="&amp;'NSST Print'!$B$3,Investors!$J:$J,"&gt;"&amp;'NSST Print'!$B$3,Investors!$A:$A,'Investor Exit List'!$A200,Investors!$E:$E,'Investor Exit List'!$C200,Investors!$L:$L,'Investor Exit List'!$B200)+SUMIFS(Investors!$M:$M,Investors!$I:$I,"&lt;="&amp;'NSST Print'!$B$3,Investors!$J:$J,"",Investors!$A:$A,'Investor Exit List'!$A200,Investors!$E:$E,'Investor Exit List'!$C200,Investors!$L:$L,'Investor Exit List'!$B200))+SUMIFS(Investors!$S:$S,Investors!$O:$O,FALSE,Investors!$P:$P,FALSE,Investors!$K:$K,"&gt;"&amp;'NSST Print'!$B$3,Investors!$I:$I,"&lt;="&amp;'NSST Print'!$B$3,Investors!$A:$A,'Investor Exit List'!$A200,Investors!$E:$E,'Investor Exit List'!$C200,Investors!$L:$L,'Investor Exit List'!$B200)-(SUMIFS(Investors!$S:$S,Investors!$I:$I,"&lt;="&amp;'NSST Print'!$B$3,Investors!$J:$J,"&gt;"&amp;'NSST Print'!$B$3,Investors!$A:$A,'Investor Exit List'!$A200,Investors!$E:$E,'Investor Exit List'!$C200,Investors!$L:$L,'Investor Exit List'!$B200)+SUMIFS(Investors!$S:$S,Investors!$I:$I,"&lt;="&amp;'NSST Print'!$B$3,Investors!$J:$J,"",Investors!$A:$A,'Investor Exit List'!$A200,Investors!$E:$E,'Investor Exit List'!$C200,Investors!$L:$L,'Investor Exit List'!$B200))</f>
        <v/>
      </c>
      <c r="R200" s="94">
        <f>IF(AND(H200=TRUE,I200=FALSE),Q200,0)</f>
        <v/>
      </c>
      <c r="S200" s="94">
        <f>SUMIFS(Investors!$M:$M,Investors!$O:$O,TRUE,Investors!$A:$A,'Investor Exit List'!$A200,Investors!$E:$E,'Investor Exit List'!$C200,Investors!$L:$L,'Investor Exit List'!$B200)+SUMIFS(Investors!$S:$S,Investors!$O:$O,TRUE,Investors!$A:$A,'Investor Exit List'!$A200,Investors!$E:$E,'Investor Exit List'!$C200,Investors!$L:$L,'Investor Exit List'!$B200)</f>
        <v/>
      </c>
      <c r="T200" s="95">
        <f>IF(U200=TRUE,$J200,"")</f>
        <v/>
      </c>
      <c r="U200" s="93" t="b">
        <v>0</v>
      </c>
      <c r="V200" s="94">
        <f>IF(AND(H200=TRUE,OR(K200="",K200&gt;M200)),S200,0)</f>
        <v/>
      </c>
      <c r="W200" s="93" t="n">
        <v>0</v>
      </c>
      <c r="X200" s="93" t="b">
        <v>0</v>
      </c>
    </row>
    <row r="201">
      <c r="A201" s="97" t="inlineStr">
        <is>
          <t>ZVAN05</t>
        </is>
      </c>
      <c r="B201" s="97" t="n">
        <v>4</v>
      </c>
      <c r="C201" s="97" t="inlineStr">
        <is>
          <t>HVC306</t>
        </is>
      </c>
      <c r="D201" s="97" t="inlineStr">
        <is>
          <t>C</t>
        </is>
      </c>
      <c r="E201" s="97" t="inlineStr">
        <is>
          <t>van der Sandt Hermanus</t>
        </is>
      </c>
      <c r="F201" s="98">
        <f>SUMIFS(Investors!$M:$M,Investors!$O:$O,FALSE,Investors!$P:$P,FALSE,Investors!$K:$K,"&gt;"&amp;'NSST Print'!$B$3,Investors!$I:$I,"&lt;="&amp;'NSST Print'!$B$3,Investors!$A:$A,'Investor Exit List'!$A201,Investors!$E:$E,'Investor Exit List'!$C201,Investors!$L:$L,'Investor Exit List'!$B201)-(SUMIFS(Investors!$M:$M,Investors!$I:$I,"&lt;="&amp;'NSST Print'!$B$3,Investors!$J:$J,"&gt;"&amp;'NSST Print'!$B$3,Investors!$A:$A,'Investor Exit List'!$A201,Investors!$E:$E,'Investor Exit List'!$C201,Investors!$L:$L,'Investor Exit List'!$B201)+SUMIFS(Investors!$M:$M,Investors!$I:$I,"&lt;="&amp;'NSST Print'!$B$3,Investors!$J:$J,"",Investors!$A:$A,'Investor Exit List'!$A201,Investors!$E:$E,'Investor Exit List'!$C201,Investors!$L:$L,'Investor Exit List'!$B201))</f>
        <v/>
      </c>
      <c r="G201" s="99" t="n">
        <v>44903</v>
      </c>
      <c r="H201" s="97" t="b">
        <v>1</v>
      </c>
      <c r="I201" s="97" t="b">
        <v>0</v>
      </c>
      <c r="J201" s="99" t="n">
        <v>45406</v>
      </c>
      <c r="K201" s="99">
        <f>IF(I201=TRUE,J201,"")</f>
        <v/>
      </c>
      <c r="L201" s="99">
        <f>G201+730</f>
        <v/>
      </c>
      <c r="M201" s="99" t="n">
        <v>45382</v>
      </c>
      <c r="N201" s="100">
        <f>IFERROR(IF(G201&lt;&gt;"",IF(I201=TRUE,0,IF(U201=TRUE,0,L201-M201)),0),0)</f>
        <v/>
      </c>
      <c r="O201" s="100">
        <f>IF(N201&gt;0,IF(N201&lt;=180,N201,0),0)</f>
        <v/>
      </c>
      <c r="P201" s="98">
        <f>IF(AND(N201&lt;90,N201&gt;0),Q201,0)</f>
        <v/>
      </c>
      <c r="Q201" s="98">
        <f>SUMIFS(Investors!$M:$M,Investors!$O:$O,FALSE,Investors!$P:$P,FALSE,Investors!$K:$K,"&gt;"&amp;'NSST Print'!$B$3,Investors!$I:$I,"&lt;="&amp;'NSST Print'!$B$3,Investors!$A:$A,'Investor Exit List'!$A201,Investors!$E:$E,'Investor Exit List'!$C201,Investors!$L:$L,'Investor Exit List'!$B201)-(SUMIFS(Investors!$M:$M,Investors!$I:$I,"&lt;="&amp;'NSST Print'!$B$3,Investors!$J:$J,"&gt;"&amp;'NSST Print'!$B$3,Investors!$A:$A,'Investor Exit List'!$A201,Investors!$E:$E,'Investor Exit List'!$C201,Investors!$L:$L,'Investor Exit List'!$B201)+SUMIFS(Investors!$M:$M,Investors!$I:$I,"&lt;="&amp;'NSST Print'!$B$3,Investors!$J:$J,"",Investors!$A:$A,'Investor Exit List'!$A201,Investors!$E:$E,'Investor Exit List'!$C201,Investors!$L:$L,'Investor Exit List'!$B201))+SUMIFS(Investors!$S:$S,Investors!$O:$O,FALSE,Investors!$P:$P,FALSE,Investors!$K:$K,"&gt;"&amp;'NSST Print'!$B$3,Investors!$I:$I,"&lt;="&amp;'NSST Print'!$B$3,Investors!$A:$A,'Investor Exit List'!$A201,Investors!$E:$E,'Investor Exit List'!$C201,Investors!$L:$L,'Investor Exit List'!$B201)-(SUMIFS(Investors!$S:$S,Investors!$I:$I,"&lt;="&amp;'NSST Print'!$B$3,Investors!$J:$J,"&gt;"&amp;'NSST Print'!$B$3,Investors!$A:$A,'Investor Exit List'!$A201,Investors!$E:$E,'Investor Exit List'!$C201,Investors!$L:$L,'Investor Exit List'!$B201)+SUMIFS(Investors!$S:$S,Investors!$I:$I,"&lt;="&amp;'NSST Print'!$B$3,Investors!$J:$J,"",Investors!$A:$A,'Investor Exit List'!$A201,Investors!$E:$E,'Investor Exit List'!$C201,Investors!$L:$L,'Investor Exit List'!$B201))</f>
        <v/>
      </c>
      <c r="R201" s="98">
        <f>IF(AND(H201=TRUE,I201=FALSE),Q201,0)</f>
        <v/>
      </c>
      <c r="S201" s="98">
        <f>SUMIFS(Investors!$M:$M,Investors!$O:$O,TRUE,Investors!$A:$A,'Investor Exit List'!$A201,Investors!$E:$E,'Investor Exit List'!$C201,Investors!$L:$L,'Investor Exit List'!$B201)+SUMIFS(Investors!$S:$S,Investors!$O:$O,TRUE,Investors!$A:$A,'Investor Exit List'!$A201,Investors!$E:$E,'Investor Exit List'!$C201,Investors!$L:$L,'Investor Exit List'!$B201)</f>
        <v/>
      </c>
      <c r="T201" s="99">
        <f>IF(U201=TRUE,$J201,"")</f>
        <v/>
      </c>
      <c r="U201" s="97" t="b">
        <v>0</v>
      </c>
      <c r="V201" s="98">
        <f>IF(AND(H201=TRUE,OR(K201="",K201&gt;M201)),S201,0)</f>
        <v/>
      </c>
      <c r="W201" s="97" t="n">
        <v>0</v>
      </c>
      <c r="X201" s="97" t="b">
        <v>0</v>
      </c>
    </row>
    <row r="202" hidden="1">
      <c r="A202" s="89" t="inlineStr">
        <is>
          <t>ZINT01</t>
        </is>
      </c>
      <c r="B202" s="89" t="n">
        <v>9</v>
      </c>
      <c r="C202" s="89" t="inlineStr">
        <is>
          <t>HVD101</t>
        </is>
      </c>
      <c r="D202" s="89" t="inlineStr">
        <is>
          <t>D</t>
        </is>
      </c>
      <c r="E202" s="89" t="inlineStr">
        <is>
          <t>Lunau Marc</t>
        </is>
      </c>
      <c r="F202" s="90">
        <f>SUMIFS(Investors!$M:$M,Investors!$O:$O,FALSE,Investors!$P:$P,FALSE,Investors!$K:$K,"&gt;"&amp;'NSST Print'!$B$3,Investors!$I:$I,"&lt;="&amp;'NSST Print'!$B$3,Investors!$A:$A,'Investor Exit List'!$A202,Investors!$E:$E,'Investor Exit List'!$C202,Investors!$L:$L,'Investor Exit List'!$B202)-(SUMIFS(Investors!$M:$M,Investors!$I:$I,"&lt;="&amp;'NSST Print'!$B$3,Investors!$J:$J,"&gt;"&amp;'NSST Print'!$B$3,Investors!$A:$A,'Investor Exit List'!$A202,Investors!$E:$E,'Investor Exit List'!$C202,Investors!$L:$L,'Investor Exit List'!$B202)+SUMIFS(Investors!$M:$M,Investors!$I:$I,"&lt;="&amp;'NSST Print'!$B$3,Investors!$J:$J,"",Investors!$A:$A,'Investor Exit List'!$A202,Investors!$E:$E,'Investor Exit List'!$C202,Investors!$L:$L,'Investor Exit List'!$B202))</f>
        <v/>
      </c>
      <c r="G202" s="91" t="n">
        <v>44706</v>
      </c>
      <c r="H202" s="89" t="b">
        <v>1</v>
      </c>
      <c r="I202" s="89" t="b">
        <v>1</v>
      </c>
      <c r="J202" s="91" t="n">
        <v>45272</v>
      </c>
      <c r="K202" s="91">
        <f>IF(I202=TRUE,J202,"")</f>
        <v/>
      </c>
      <c r="L202" s="91">
        <f>G202+730</f>
        <v/>
      </c>
      <c r="M202" s="91" t="n">
        <v>45382</v>
      </c>
      <c r="N202" s="92">
        <f>IFERROR(IF(G202&lt;&gt;"",IF(I202=TRUE,0,IF(U202=TRUE,0,L202-M202)),0),0)</f>
        <v/>
      </c>
      <c r="O202" s="92">
        <f>IF(N202&gt;0,IF(N202&lt;=180,N202,0),0)</f>
        <v/>
      </c>
      <c r="P202" s="90">
        <f>IF(AND(N202&lt;90,N202&gt;0),Q202,0)</f>
        <v/>
      </c>
      <c r="Q202" s="90">
        <f>SUMIFS(Investors!$M:$M,Investors!$O:$O,FALSE,Investors!$P:$P,FALSE,Investors!$K:$K,"&gt;"&amp;'NSST Print'!$B$3,Investors!$I:$I,"&lt;="&amp;'NSST Print'!$B$3,Investors!$A:$A,'Investor Exit List'!$A202,Investors!$E:$E,'Investor Exit List'!$C202,Investors!$L:$L,'Investor Exit List'!$B202)-(SUMIFS(Investors!$M:$M,Investors!$I:$I,"&lt;="&amp;'NSST Print'!$B$3,Investors!$J:$J,"&gt;"&amp;'NSST Print'!$B$3,Investors!$A:$A,'Investor Exit List'!$A202,Investors!$E:$E,'Investor Exit List'!$C202,Investors!$L:$L,'Investor Exit List'!$B202)+SUMIFS(Investors!$M:$M,Investors!$I:$I,"&lt;="&amp;'NSST Print'!$B$3,Investors!$J:$J,"",Investors!$A:$A,'Investor Exit List'!$A202,Investors!$E:$E,'Investor Exit List'!$C202,Investors!$L:$L,'Investor Exit List'!$B202))+SUMIFS(Investors!$S:$S,Investors!$O:$O,FALSE,Investors!$P:$P,FALSE,Investors!$K:$K,"&gt;"&amp;'NSST Print'!$B$3,Investors!$I:$I,"&lt;="&amp;'NSST Print'!$B$3,Investors!$A:$A,'Investor Exit List'!$A202,Investors!$E:$E,'Investor Exit List'!$C202,Investors!$L:$L,'Investor Exit List'!$B202)-(SUMIFS(Investors!$S:$S,Investors!$I:$I,"&lt;="&amp;'NSST Print'!$B$3,Investors!$J:$J,"&gt;"&amp;'NSST Print'!$B$3,Investors!$A:$A,'Investor Exit List'!$A202,Investors!$E:$E,'Investor Exit List'!$C202,Investors!$L:$L,'Investor Exit List'!$B202)+SUMIFS(Investors!$S:$S,Investors!$I:$I,"&lt;="&amp;'NSST Print'!$B$3,Investors!$J:$J,"",Investors!$A:$A,'Investor Exit List'!$A202,Investors!$E:$E,'Investor Exit List'!$C202,Investors!$L:$L,'Investor Exit List'!$B202))</f>
        <v/>
      </c>
      <c r="R202" s="90">
        <f>IF(AND(H202=TRUE,I202=FALSE),Q202,0)</f>
        <v/>
      </c>
      <c r="S202" s="90">
        <f>SUMIFS(Investors!$M:$M,Investors!$O:$O,TRUE,Investors!$A:$A,'Investor Exit List'!$A202,Investors!$E:$E,'Investor Exit List'!$C202,Investors!$L:$L,'Investor Exit List'!$B202)+SUMIFS(Investors!$S:$S,Investors!$O:$O,TRUE,Investors!$A:$A,'Investor Exit List'!$A202,Investors!$E:$E,'Investor Exit List'!$C202,Investors!$L:$L,'Investor Exit List'!$B202)</f>
        <v/>
      </c>
      <c r="T202" s="91">
        <f>IF(U202=TRUE,$J202,"")</f>
        <v/>
      </c>
      <c r="U202" s="89" t="b">
        <v>1</v>
      </c>
      <c r="V202" s="90">
        <f>IF(AND(H202=TRUE,OR(K202="",K202&gt;M202)),S202,0)</f>
        <v/>
      </c>
      <c r="W202" s="89" t="n">
        <v>0</v>
      </c>
      <c r="X202" s="89" t="b">
        <v>0</v>
      </c>
    </row>
    <row r="203" hidden="1">
      <c r="A203" s="89" t="inlineStr">
        <is>
          <t>ZMAT03</t>
        </is>
      </c>
      <c r="B203" s="89" t="n">
        <v>3</v>
      </c>
      <c r="C203" s="89" t="inlineStr">
        <is>
          <t>HVD101</t>
        </is>
      </c>
      <c r="D203" s="89" t="inlineStr">
        <is>
          <t>D</t>
        </is>
      </c>
      <c r="E203" s="89" t="inlineStr">
        <is>
          <t>Matthee Delia</t>
        </is>
      </c>
      <c r="F203" s="90">
        <f>SUMIFS(Investors!$M:$M,Investors!$O:$O,FALSE,Investors!$P:$P,FALSE,Investors!$K:$K,"&gt;"&amp;'NSST Print'!$B$3,Investors!$I:$I,"&lt;="&amp;'NSST Print'!$B$3,Investors!$A:$A,'Investor Exit List'!$A203,Investors!$E:$E,'Investor Exit List'!$C203,Investors!$L:$L,'Investor Exit List'!$B203)-(SUMIFS(Investors!$M:$M,Investors!$I:$I,"&lt;="&amp;'NSST Print'!$B$3,Investors!$J:$J,"&gt;"&amp;'NSST Print'!$B$3,Investors!$A:$A,'Investor Exit List'!$A203,Investors!$E:$E,'Investor Exit List'!$C203,Investors!$L:$L,'Investor Exit List'!$B203)+SUMIFS(Investors!$M:$M,Investors!$I:$I,"&lt;="&amp;'NSST Print'!$B$3,Investors!$J:$J,"",Investors!$A:$A,'Investor Exit List'!$A203,Investors!$E:$E,'Investor Exit List'!$C203,Investors!$L:$L,'Investor Exit List'!$B203))</f>
        <v/>
      </c>
      <c r="G203" s="91" t="n">
        <v>44706</v>
      </c>
      <c r="H203" s="89" t="b">
        <v>1</v>
      </c>
      <c r="I203" s="89" t="b">
        <v>1</v>
      </c>
      <c r="J203" s="91" t="n">
        <v>45308</v>
      </c>
      <c r="K203" s="91">
        <f>IF(I203=TRUE,J203,"")</f>
        <v/>
      </c>
      <c r="L203" s="91">
        <f>G203+730</f>
        <v/>
      </c>
      <c r="M203" s="91" t="n">
        <v>45382</v>
      </c>
      <c r="N203" s="92">
        <f>IFERROR(IF(G203&lt;&gt;"",IF(I203=TRUE,0,IF(U203=TRUE,0,L203-M203)),0),0)</f>
        <v/>
      </c>
      <c r="O203" s="92">
        <f>IF(N203&gt;0,IF(N203&lt;=180,N203,0),0)</f>
        <v/>
      </c>
      <c r="P203" s="90">
        <f>IF(AND(N203&lt;90,N203&gt;0),Q203,0)</f>
        <v/>
      </c>
      <c r="Q203" s="90">
        <f>SUMIFS(Investors!$M:$M,Investors!$O:$O,FALSE,Investors!$P:$P,FALSE,Investors!$K:$K,"&gt;"&amp;'NSST Print'!$B$3,Investors!$I:$I,"&lt;="&amp;'NSST Print'!$B$3,Investors!$A:$A,'Investor Exit List'!$A203,Investors!$E:$E,'Investor Exit List'!$C203,Investors!$L:$L,'Investor Exit List'!$B203)-(SUMIFS(Investors!$M:$M,Investors!$I:$I,"&lt;="&amp;'NSST Print'!$B$3,Investors!$J:$J,"&gt;"&amp;'NSST Print'!$B$3,Investors!$A:$A,'Investor Exit List'!$A203,Investors!$E:$E,'Investor Exit List'!$C203,Investors!$L:$L,'Investor Exit List'!$B203)+SUMIFS(Investors!$M:$M,Investors!$I:$I,"&lt;="&amp;'NSST Print'!$B$3,Investors!$J:$J,"",Investors!$A:$A,'Investor Exit List'!$A203,Investors!$E:$E,'Investor Exit List'!$C203,Investors!$L:$L,'Investor Exit List'!$B203))+SUMIFS(Investors!$S:$S,Investors!$O:$O,FALSE,Investors!$P:$P,FALSE,Investors!$K:$K,"&gt;"&amp;'NSST Print'!$B$3,Investors!$I:$I,"&lt;="&amp;'NSST Print'!$B$3,Investors!$A:$A,'Investor Exit List'!$A203,Investors!$E:$E,'Investor Exit List'!$C203,Investors!$L:$L,'Investor Exit List'!$B203)-(SUMIFS(Investors!$S:$S,Investors!$I:$I,"&lt;="&amp;'NSST Print'!$B$3,Investors!$J:$J,"&gt;"&amp;'NSST Print'!$B$3,Investors!$A:$A,'Investor Exit List'!$A203,Investors!$E:$E,'Investor Exit List'!$C203,Investors!$L:$L,'Investor Exit List'!$B203)+SUMIFS(Investors!$S:$S,Investors!$I:$I,"&lt;="&amp;'NSST Print'!$B$3,Investors!$J:$J,"",Investors!$A:$A,'Investor Exit List'!$A203,Investors!$E:$E,'Investor Exit List'!$C203,Investors!$L:$L,'Investor Exit List'!$B203))</f>
        <v/>
      </c>
      <c r="R203" s="90">
        <f>IF(AND(H203=TRUE,I203=FALSE),Q203,0)</f>
        <v/>
      </c>
      <c r="S203" s="90">
        <f>SUMIFS(Investors!$M:$M,Investors!$O:$O,TRUE,Investors!$A:$A,'Investor Exit List'!$A203,Investors!$E:$E,'Investor Exit List'!$C203,Investors!$L:$L,'Investor Exit List'!$B203)+SUMIFS(Investors!$S:$S,Investors!$O:$O,TRUE,Investors!$A:$A,'Investor Exit List'!$A203,Investors!$E:$E,'Investor Exit List'!$C203,Investors!$L:$L,'Investor Exit List'!$B203)</f>
        <v/>
      </c>
      <c r="T203" s="91">
        <f>IF(U203=TRUE,$J203,"")</f>
        <v/>
      </c>
      <c r="U203" s="89" t="b">
        <v>0</v>
      </c>
      <c r="V203" s="90">
        <f>IF(AND(H203=TRUE,OR(K203="",K203&gt;M203)),S203,0)</f>
        <v/>
      </c>
      <c r="W203" s="89" t="n">
        <v>0</v>
      </c>
      <c r="X203" s="89" t="b">
        <v>0</v>
      </c>
    </row>
    <row r="204" hidden="1">
      <c r="A204" s="89" t="inlineStr">
        <is>
          <t>ZWAT01</t>
        </is>
      </c>
      <c r="B204" s="89" t="n">
        <v>10</v>
      </c>
      <c r="C204" s="89" t="inlineStr">
        <is>
          <t>HVD101</t>
        </is>
      </c>
      <c r="D204" s="89" t="inlineStr">
        <is>
          <t>D</t>
        </is>
      </c>
      <c r="E204" s="89" t="inlineStr">
        <is>
          <t>Watts Peter Gregory</t>
        </is>
      </c>
      <c r="F204" s="90">
        <f>SUMIFS(Investors!$M:$M,Investors!$O:$O,FALSE,Investors!$P:$P,FALSE,Investors!$K:$K,"&gt;"&amp;'NSST Print'!$B$3,Investors!$I:$I,"&lt;="&amp;'NSST Print'!$B$3,Investors!$A:$A,'Investor Exit List'!$A204,Investors!$E:$E,'Investor Exit List'!$C204,Investors!$L:$L,'Investor Exit List'!$B204)-(SUMIFS(Investors!$M:$M,Investors!$I:$I,"&lt;="&amp;'NSST Print'!$B$3,Investors!$J:$J,"&gt;"&amp;'NSST Print'!$B$3,Investors!$A:$A,'Investor Exit List'!$A204,Investors!$E:$E,'Investor Exit List'!$C204,Investors!$L:$L,'Investor Exit List'!$B204)+SUMIFS(Investors!$M:$M,Investors!$I:$I,"&lt;="&amp;'NSST Print'!$B$3,Investors!$J:$J,"",Investors!$A:$A,'Investor Exit List'!$A204,Investors!$E:$E,'Investor Exit List'!$C204,Investors!$L:$L,'Investor Exit List'!$B204))</f>
        <v/>
      </c>
      <c r="G204" s="91" t="n">
        <v>44713</v>
      </c>
      <c r="H204" s="89" t="b">
        <v>1</v>
      </c>
      <c r="I204" s="89" t="b">
        <v>1</v>
      </c>
      <c r="J204" s="91" t="n">
        <v>45272</v>
      </c>
      <c r="K204" s="91">
        <f>IF(I204=TRUE,J204,"")</f>
        <v/>
      </c>
      <c r="L204" s="91">
        <f>G204+730</f>
        <v/>
      </c>
      <c r="M204" s="91" t="n">
        <v>45382</v>
      </c>
      <c r="N204" s="92">
        <f>IFERROR(IF(G204&lt;&gt;"",IF(I204=TRUE,0,IF(U204=TRUE,0,L204-M204)),0),0)</f>
        <v/>
      </c>
      <c r="O204" s="92">
        <f>IF(N204&gt;0,IF(N204&lt;=180,N204,0),0)</f>
        <v/>
      </c>
      <c r="P204" s="90">
        <f>IF(AND(N204&lt;90,N204&gt;0),Q204,0)</f>
        <v/>
      </c>
      <c r="Q204" s="90">
        <f>SUMIFS(Investors!$M:$M,Investors!$O:$O,FALSE,Investors!$P:$P,FALSE,Investors!$K:$K,"&gt;"&amp;'NSST Print'!$B$3,Investors!$I:$I,"&lt;="&amp;'NSST Print'!$B$3,Investors!$A:$A,'Investor Exit List'!$A204,Investors!$E:$E,'Investor Exit List'!$C204,Investors!$L:$L,'Investor Exit List'!$B204)-(SUMIFS(Investors!$M:$M,Investors!$I:$I,"&lt;="&amp;'NSST Print'!$B$3,Investors!$J:$J,"&gt;"&amp;'NSST Print'!$B$3,Investors!$A:$A,'Investor Exit List'!$A204,Investors!$E:$E,'Investor Exit List'!$C204,Investors!$L:$L,'Investor Exit List'!$B204)+SUMIFS(Investors!$M:$M,Investors!$I:$I,"&lt;="&amp;'NSST Print'!$B$3,Investors!$J:$J,"",Investors!$A:$A,'Investor Exit List'!$A204,Investors!$E:$E,'Investor Exit List'!$C204,Investors!$L:$L,'Investor Exit List'!$B204))+SUMIFS(Investors!$S:$S,Investors!$O:$O,FALSE,Investors!$P:$P,FALSE,Investors!$K:$K,"&gt;"&amp;'NSST Print'!$B$3,Investors!$I:$I,"&lt;="&amp;'NSST Print'!$B$3,Investors!$A:$A,'Investor Exit List'!$A204,Investors!$E:$E,'Investor Exit List'!$C204,Investors!$L:$L,'Investor Exit List'!$B204)-(SUMIFS(Investors!$S:$S,Investors!$I:$I,"&lt;="&amp;'NSST Print'!$B$3,Investors!$J:$J,"&gt;"&amp;'NSST Print'!$B$3,Investors!$A:$A,'Investor Exit List'!$A204,Investors!$E:$E,'Investor Exit List'!$C204,Investors!$L:$L,'Investor Exit List'!$B204)+SUMIFS(Investors!$S:$S,Investors!$I:$I,"&lt;="&amp;'NSST Print'!$B$3,Investors!$J:$J,"",Investors!$A:$A,'Investor Exit List'!$A204,Investors!$E:$E,'Investor Exit List'!$C204,Investors!$L:$L,'Investor Exit List'!$B204))</f>
        <v/>
      </c>
      <c r="R204" s="90">
        <f>IF(AND(H204=TRUE,I204=FALSE),Q204,0)</f>
        <v/>
      </c>
      <c r="S204" s="90">
        <f>SUMIFS(Investors!$M:$M,Investors!$O:$O,TRUE,Investors!$A:$A,'Investor Exit List'!$A204,Investors!$E:$E,'Investor Exit List'!$C204,Investors!$L:$L,'Investor Exit List'!$B204)+SUMIFS(Investors!$S:$S,Investors!$O:$O,TRUE,Investors!$A:$A,'Investor Exit List'!$A204,Investors!$E:$E,'Investor Exit List'!$C204,Investors!$L:$L,'Investor Exit List'!$B204)</f>
        <v/>
      </c>
      <c r="T204" s="91">
        <f>IF(U204=TRUE,$J204,"")</f>
        <v/>
      </c>
      <c r="U204" s="89" t="b">
        <v>1</v>
      </c>
      <c r="V204" s="90">
        <f>IF(AND(H204=TRUE,OR(K204="",K204&gt;M204)),S204,0)</f>
        <v/>
      </c>
      <c r="W204" s="89" t="n">
        <v>0</v>
      </c>
      <c r="X204" s="89" t="b">
        <v>0</v>
      </c>
    </row>
    <row r="205" hidden="1">
      <c r="A205" s="89" t="inlineStr">
        <is>
          <t>ZHAL03</t>
        </is>
      </c>
      <c r="B205" s="89" t="n">
        <v>1</v>
      </c>
      <c r="C205" s="89" t="inlineStr">
        <is>
          <t>HVD102</t>
        </is>
      </c>
      <c r="D205" s="89" t="inlineStr">
        <is>
          <t>D</t>
        </is>
      </c>
      <c r="E205" s="89" t="inlineStr">
        <is>
          <t>Hall Graeme Haffenden</t>
        </is>
      </c>
      <c r="F205" s="90">
        <f>SUMIFS(Investors!$M:$M,Investors!$O:$O,FALSE,Investors!$P:$P,FALSE,Investors!$K:$K,"&gt;"&amp;'NSST Print'!$B$3,Investors!$I:$I,"&lt;="&amp;'NSST Print'!$B$3,Investors!$A:$A,'Investor Exit List'!$A205,Investors!$E:$E,'Investor Exit List'!$C205,Investors!$L:$L,'Investor Exit List'!$B205)-(SUMIFS(Investors!$M:$M,Investors!$I:$I,"&lt;="&amp;'NSST Print'!$B$3,Investors!$J:$J,"&gt;"&amp;'NSST Print'!$B$3,Investors!$A:$A,'Investor Exit List'!$A205,Investors!$E:$E,'Investor Exit List'!$C205,Investors!$L:$L,'Investor Exit List'!$B205)+SUMIFS(Investors!$M:$M,Investors!$I:$I,"&lt;="&amp;'NSST Print'!$B$3,Investors!$J:$J,"",Investors!$A:$A,'Investor Exit List'!$A205,Investors!$E:$E,'Investor Exit List'!$C205,Investors!$L:$L,'Investor Exit List'!$B205))</f>
        <v/>
      </c>
      <c r="G205" s="91" t="n">
        <v>44819</v>
      </c>
      <c r="H205" s="89" t="b">
        <v>1</v>
      </c>
      <c r="I205" s="89" t="b">
        <v>1</v>
      </c>
      <c r="J205" s="91" t="n">
        <v>45272</v>
      </c>
      <c r="K205" s="91">
        <f>IF(I205=TRUE,J205,"")</f>
        <v/>
      </c>
      <c r="L205" s="91">
        <f>G205+730</f>
        <v/>
      </c>
      <c r="M205" s="91" t="n">
        <v>45382</v>
      </c>
      <c r="N205" s="92">
        <f>IFERROR(IF(G205&lt;&gt;"",IF(I205=TRUE,0,IF(U205=TRUE,0,L205-M205)),0),0)</f>
        <v/>
      </c>
      <c r="O205" s="92">
        <f>IF(N205&gt;0,IF(N205&lt;=180,N205,0),0)</f>
        <v/>
      </c>
      <c r="P205" s="90">
        <f>IF(AND(N205&lt;90,N205&gt;0),Q205,0)</f>
        <v/>
      </c>
      <c r="Q205" s="90">
        <f>SUMIFS(Investors!$M:$M,Investors!$O:$O,FALSE,Investors!$P:$P,FALSE,Investors!$K:$K,"&gt;"&amp;'NSST Print'!$B$3,Investors!$I:$I,"&lt;="&amp;'NSST Print'!$B$3,Investors!$A:$A,'Investor Exit List'!$A205,Investors!$E:$E,'Investor Exit List'!$C205,Investors!$L:$L,'Investor Exit List'!$B205)-(SUMIFS(Investors!$M:$M,Investors!$I:$I,"&lt;="&amp;'NSST Print'!$B$3,Investors!$J:$J,"&gt;"&amp;'NSST Print'!$B$3,Investors!$A:$A,'Investor Exit List'!$A205,Investors!$E:$E,'Investor Exit List'!$C205,Investors!$L:$L,'Investor Exit List'!$B205)+SUMIFS(Investors!$M:$M,Investors!$I:$I,"&lt;="&amp;'NSST Print'!$B$3,Investors!$J:$J,"",Investors!$A:$A,'Investor Exit List'!$A205,Investors!$E:$E,'Investor Exit List'!$C205,Investors!$L:$L,'Investor Exit List'!$B205))+SUMIFS(Investors!$S:$S,Investors!$O:$O,FALSE,Investors!$P:$P,FALSE,Investors!$K:$K,"&gt;"&amp;'NSST Print'!$B$3,Investors!$I:$I,"&lt;="&amp;'NSST Print'!$B$3,Investors!$A:$A,'Investor Exit List'!$A205,Investors!$E:$E,'Investor Exit List'!$C205,Investors!$L:$L,'Investor Exit List'!$B205)-(SUMIFS(Investors!$S:$S,Investors!$I:$I,"&lt;="&amp;'NSST Print'!$B$3,Investors!$J:$J,"&gt;"&amp;'NSST Print'!$B$3,Investors!$A:$A,'Investor Exit List'!$A205,Investors!$E:$E,'Investor Exit List'!$C205,Investors!$L:$L,'Investor Exit List'!$B205)+SUMIFS(Investors!$S:$S,Investors!$I:$I,"&lt;="&amp;'NSST Print'!$B$3,Investors!$J:$J,"",Investors!$A:$A,'Investor Exit List'!$A205,Investors!$E:$E,'Investor Exit List'!$C205,Investors!$L:$L,'Investor Exit List'!$B205))</f>
        <v/>
      </c>
      <c r="R205" s="90">
        <f>IF(AND(H205=TRUE,I205=FALSE),Q205,0)</f>
        <v/>
      </c>
      <c r="S205" s="90">
        <f>SUMIFS(Investors!$M:$M,Investors!$O:$O,TRUE,Investors!$A:$A,'Investor Exit List'!$A205,Investors!$E:$E,'Investor Exit List'!$C205,Investors!$L:$L,'Investor Exit List'!$B205)+SUMIFS(Investors!$S:$S,Investors!$O:$O,TRUE,Investors!$A:$A,'Investor Exit List'!$A205,Investors!$E:$E,'Investor Exit List'!$C205,Investors!$L:$L,'Investor Exit List'!$B205)</f>
        <v/>
      </c>
      <c r="T205" s="91">
        <f>IF(U205=TRUE,$J205,"")</f>
        <v/>
      </c>
      <c r="U205" s="89" t="b">
        <v>1</v>
      </c>
      <c r="V205" s="90">
        <f>IF(AND(H205=TRUE,OR(K205="",K205&gt;M205)),S205,0)</f>
        <v/>
      </c>
      <c r="W205" s="89" t="n">
        <v>0</v>
      </c>
      <c r="X205" s="89" t="b">
        <v>0</v>
      </c>
    </row>
    <row r="206" hidden="1">
      <c r="A206" s="89" t="inlineStr">
        <is>
          <t>ZLEB01</t>
        </is>
      </c>
      <c r="B206" s="89" t="n">
        <v>10</v>
      </c>
      <c r="C206" s="89" t="inlineStr">
        <is>
          <t>HVD102</t>
        </is>
      </c>
      <c r="D206" s="89" t="inlineStr">
        <is>
          <t>D</t>
        </is>
      </c>
      <c r="E206" s="89" t="inlineStr">
        <is>
          <t>Lebusa Hopolang</t>
        </is>
      </c>
      <c r="F206" s="90">
        <f>SUMIFS(Investors!$M:$M,Investors!$O:$O,FALSE,Investors!$P:$P,FALSE,Investors!$K:$K,"&gt;"&amp;'NSST Print'!$B$3,Investors!$I:$I,"&lt;="&amp;'NSST Print'!$B$3,Investors!$A:$A,'Investor Exit List'!$A206,Investors!$E:$E,'Investor Exit List'!$C206,Investors!$L:$L,'Investor Exit List'!$B206)-(SUMIFS(Investors!$M:$M,Investors!$I:$I,"&lt;="&amp;'NSST Print'!$B$3,Investors!$J:$J,"&gt;"&amp;'NSST Print'!$B$3,Investors!$A:$A,'Investor Exit List'!$A206,Investors!$E:$E,'Investor Exit List'!$C206,Investors!$L:$L,'Investor Exit List'!$B206)+SUMIFS(Investors!$M:$M,Investors!$I:$I,"&lt;="&amp;'NSST Print'!$B$3,Investors!$J:$J,"",Investors!$A:$A,'Investor Exit List'!$A206,Investors!$E:$E,'Investor Exit List'!$C206,Investors!$L:$L,'Investor Exit List'!$B206))</f>
        <v/>
      </c>
      <c r="G206" s="91" t="n">
        <v>44694</v>
      </c>
      <c r="H206" s="89" t="b">
        <v>1</v>
      </c>
      <c r="I206" s="89" t="b">
        <v>1</v>
      </c>
      <c r="J206" s="91" t="n">
        <v>45323</v>
      </c>
      <c r="K206" s="91">
        <f>IF(I206=TRUE,J206,"")</f>
        <v/>
      </c>
      <c r="L206" s="91">
        <f>G206+730</f>
        <v/>
      </c>
      <c r="M206" s="91" t="n">
        <v>45382</v>
      </c>
      <c r="N206" s="92">
        <f>IFERROR(IF(G206&lt;&gt;"",IF(I206=TRUE,0,IF(U206=TRUE,0,L206-M206)),0),0)</f>
        <v/>
      </c>
      <c r="O206" s="92">
        <f>IF(N206&gt;0,IF(N206&lt;=180,N206,0),0)</f>
        <v/>
      </c>
      <c r="P206" s="90">
        <f>IF(AND(N206&lt;90,N206&gt;0),Q206,0)</f>
        <v/>
      </c>
      <c r="Q206" s="90">
        <f>SUMIFS(Investors!$M:$M,Investors!$O:$O,FALSE,Investors!$P:$P,FALSE,Investors!$K:$K,"&gt;"&amp;'NSST Print'!$B$3,Investors!$I:$I,"&lt;="&amp;'NSST Print'!$B$3,Investors!$A:$A,'Investor Exit List'!$A206,Investors!$E:$E,'Investor Exit List'!$C206,Investors!$L:$L,'Investor Exit List'!$B206)-(SUMIFS(Investors!$M:$M,Investors!$I:$I,"&lt;="&amp;'NSST Print'!$B$3,Investors!$J:$J,"&gt;"&amp;'NSST Print'!$B$3,Investors!$A:$A,'Investor Exit List'!$A206,Investors!$E:$E,'Investor Exit List'!$C206,Investors!$L:$L,'Investor Exit List'!$B206)+SUMIFS(Investors!$M:$M,Investors!$I:$I,"&lt;="&amp;'NSST Print'!$B$3,Investors!$J:$J,"",Investors!$A:$A,'Investor Exit List'!$A206,Investors!$E:$E,'Investor Exit List'!$C206,Investors!$L:$L,'Investor Exit List'!$B206))+SUMIFS(Investors!$S:$S,Investors!$O:$O,FALSE,Investors!$P:$P,FALSE,Investors!$K:$K,"&gt;"&amp;'NSST Print'!$B$3,Investors!$I:$I,"&lt;="&amp;'NSST Print'!$B$3,Investors!$A:$A,'Investor Exit List'!$A206,Investors!$E:$E,'Investor Exit List'!$C206,Investors!$L:$L,'Investor Exit List'!$B206)-(SUMIFS(Investors!$S:$S,Investors!$I:$I,"&lt;="&amp;'NSST Print'!$B$3,Investors!$J:$J,"&gt;"&amp;'NSST Print'!$B$3,Investors!$A:$A,'Investor Exit List'!$A206,Investors!$E:$E,'Investor Exit List'!$C206,Investors!$L:$L,'Investor Exit List'!$B206)+SUMIFS(Investors!$S:$S,Investors!$I:$I,"&lt;="&amp;'NSST Print'!$B$3,Investors!$J:$J,"",Investors!$A:$A,'Investor Exit List'!$A206,Investors!$E:$E,'Investor Exit List'!$C206,Investors!$L:$L,'Investor Exit List'!$B206))</f>
        <v/>
      </c>
      <c r="R206" s="90">
        <f>IF(AND(H206=TRUE,I206=FALSE),Q206,0)</f>
        <v/>
      </c>
      <c r="S206" s="90">
        <f>SUMIFS(Investors!$M:$M,Investors!$O:$O,TRUE,Investors!$A:$A,'Investor Exit List'!$A206,Investors!$E:$E,'Investor Exit List'!$C206,Investors!$L:$L,'Investor Exit List'!$B206)+SUMIFS(Investors!$S:$S,Investors!$O:$O,TRUE,Investors!$A:$A,'Investor Exit List'!$A206,Investors!$E:$E,'Investor Exit List'!$C206,Investors!$L:$L,'Investor Exit List'!$B206)</f>
        <v/>
      </c>
      <c r="T206" s="91">
        <f>IF(U206=TRUE,$J206,"")</f>
        <v/>
      </c>
      <c r="U206" s="89" t="b">
        <v>1</v>
      </c>
      <c r="V206" s="90">
        <f>IF(AND(H206=TRUE,OR(K206="",K206&gt;M206)),S206,0)</f>
        <v/>
      </c>
      <c r="W206" s="89" t="n">
        <v>0</v>
      </c>
      <c r="X206" s="89" t="b">
        <v>0</v>
      </c>
    </row>
    <row r="207" hidden="1">
      <c r="A207" s="89" t="inlineStr">
        <is>
          <t>ZCUP01</t>
        </is>
      </c>
      <c r="B207" s="89" t="n">
        <v>2</v>
      </c>
      <c r="C207" s="89" t="inlineStr">
        <is>
          <t>HVD103</t>
        </is>
      </c>
      <c r="D207" s="89" t="inlineStr">
        <is>
          <t>D</t>
        </is>
      </c>
      <c r="E207" s="89" t="inlineStr">
        <is>
          <t>Cupido Tyrone</t>
        </is>
      </c>
      <c r="F207" s="90">
        <f>SUMIFS(Investors!$M:$M,Investors!$O:$O,FALSE,Investors!$P:$P,FALSE,Investors!$K:$K,"&gt;"&amp;'NSST Print'!$B$3,Investors!$I:$I,"&lt;="&amp;'NSST Print'!$B$3,Investors!$A:$A,'Investor Exit List'!$A207,Investors!$E:$E,'Investor Exit List'!$C207,Investors!$L:$L,'Investor Exit List'!$B207)-(SUMIFS(Investors!$M:$M,Investors!$I:$I,"&lt;="&amp;'NSST Print'!$B$3,Investors!$J:$J,"&gt;"&amp;'NSST Print'!$B$3,Investors!$A:$A,'Investor Exit List'!$A207,Investors!$E:$E,'Investor Exit List'!$C207,Investors!$L:$L,'Investor Exit List'!$B207)+SUMIFS(Investors!$M:$M,Investors!$I:$I,"&lt;="&amp;'NSST Print'!$B$3,Investors!$J:$J,"",Investors!$A:$A,'Investor Exit List'!$A207,Investors!$E:$E,'Investor Exit List'!$C207,Investors!$L:$L,'Investor Exit List'!$B207))</f>
        <v/>
      </c>
      <c r="G207" s="91" t="n">
        <v>45008</v>
      </c>
      <c r="H207" s="89" t="b">
        <v>1</v>
      </c>
      <c r="I207" s="89" t="b">
        <v>1</v>
      </c>
      <c r="J207" s="91" t="n">
        <v>45323</v>
      </c>
      <c r="K207" s="91">
        <f>IF(I207=TRUE,J207,"")</f>
        <v/>
      </c>
      <c r="L207" s="91">
        <f>G207+730</f>
        <v/>
      </c>
      <c r="M207" s="91" t="n">
        <v>45382</v>
      </c>
      <c r="N207" s="92">
        <f>IFERROR(IF(G207&lt;&gt;"",IF(I207=TRUE,0,IF(U207=TRUE,0,L207-M207)),0),0)</f>
        <v/>
      </c>
      <c r="O207" s="92">
        <f>IF(N207&gt;0,IF(N207&lt;=180,N207,0),0)</f>
        <v/>
      </c>
      <c r="P207" s="90">
        <f>IF(AND(N207&lt;90,N207&gt;0),Q207,0)</f>
        <v/>
      </c>
      <c r="Q207" s="90">
        <f>SUMIFS(Investors!$M:$M,Investors!$O:$O,FALSE,Investors!$P:$P,FALSE,Investors!$K:$K,"&gt;"&amp;'NSST Print'!$B$3,Investors!$I:$I,"&lt;="&amp;'NSST Print'!$B$3,Investors!$A:$A,'Investor Exit List'!$A207,Investors!$E:$E,'Investor Exit List'!$C207,Investors!$L:$L,'Investor Exit List'!$B207)-(SUMIFS(Investors!$M:$M,Investors!$I:$I,"&lt;="&amp;'NSST Print'!$B$3,Investors!$J:$J,"&gt;"&amp;'NSST Print'!$B$3,Investors!$A:$A,'Investor Exit List'!$A207,Investors!$E:$E,'Investor Exit List'!$C207,Investors!$L:$L,'Investor Exit List'!$B207)+SUMIFS(Investors!$M:$M,Investors!$I:$I,"&lt;="&amp;'NSST Print'!$B$3,Investors!$J:$J,"",Investors!$A:$A,'Investor Exit List'!$A207,Investors!$E:$E,'Investor Exit List'!$C207,Investors!$L:$L,'Investor Exit List'!$B207))+SUMIFS(Investors!$S:$S,Investors!$O:$O,FALSE,Investors!$P:$P,FALSE,Investors!$K:$K,"&gt;"&amp;'NSST Print'!$B$3,Investors!$I:$I,"&lt;="&amp;'NSST Print'!$B$3,Investors!$A:$A,'Investor Exit List'!$A207,Investors!$E:$E,'Investor Exit List'!$C207,Investors!$L:$L,'Investor Exit List'!$B207)-(SUMIFS(Investors!$S:$S,Investors!$I:$I,"&lt;="&amp;'NSST Print'!$B$3,Investors!$J:$J,"&gt;"&amp;'NSST Print'!$B$3,Investors!$A:$A,'Investor Exit List'!$A207,Investors!$E:$E,'Investor Exit List'!$C207,Investors!$L:$L,'Investor Exit List'!$B207)+SUMIFS(Investors!$S:$S,Investors!$I:$I,"&lt;="&amp;'NSST Print'!$B$3,Investors!$J:$J,"",Investors!$A:$A,'Investor Exit List'!$A207,Investors!$E:$E,'Investor Exit List'!$C207,Investors!$L:$L,'Investor Exit List'!$B207))</f>
        <v/>
      </c>
      <c r="R207" s="90">
        <f>IF(AND(H207=TRUE,I207=FALSE),Q207,0)</f>
        <v/>
      </c>
      <c r="S207" s="90">
        <f>SUMIFS(Investors!$M:$M,Investors!$O:$O,TRUE,Investors!$A:$A,'Investor Exit List'!$A207,Investors!$E:$E,'Investor Exit List'!$C207,Investors!$L:$L,'Investor Exit List'!$B207)+SUMIFS(Investors!$S:$S,Investors!$O:$O,TRUE,Investors!$A:$A,'Investor Exit List'!$A207,Investors!$E:$E,'Investor Exit List'!$C207,Investors!$L:$L,'Investor Exit List'!$B207)</f>
        <v/>
      </c>
      <c r="T207" s="91">
        <f>IF(U207=TRUE,$J207,"")</f>
        <v/>
      </c>
      <c r="U207" s="89" t="b">
        <v>0</v>
      </c>
      <c r="V207" s="90">
        <f>IF(AND(H207=TRUE,OR(K207="",K207&gt;M207)),S207,0)</f>
        <v/>
      </c>
      <c r="W207" s="89" t="n">
        <v>0</v>
      </c>
      <c r="X207" s="89" t="b">
        <v>0</v>
      </c>
    </row>
    <row r="208" hidden="1">
      <c r="A208" s="89" t="inlineStr">
        <is>
          <t>ZHEN01</t>
        </is>
      </c>
      <c r="B208" s="89" t="n">
        <v>3</v>
      </c>
      <c r="C208" s="89" t="inlineStr">
        <is>
          <t>HVD103</t>
        </is>
      </c>
      <c r="D208" s="89" t="inlineStr">
        <is>
          <t>D</t>
        </is>
      </c>
      <c r="E208" s="89" t="inlineStr">
        <is>
          <t>Hendricks Theodore Shane</t>
        </is>
      </c>
      <c r="F208" s="90">
        <f>SUMIFS(Investors!$M:$M,Investors!$O:$O,FALSE,Investors!$P:$P,FALSE,Investors!$K:$K,"&gt;"&amp;'NSST Print'!$B$3,Investors!$I:$I,"&lt;="&amp;'NSST Print'!$B$3,Investors!$A:$A,'Investor Exit List'!$A208,Investors!$E:$E,'Investor Exit List'!$C208,Investors!$L:$L,'Investor Exit List'!$B208)-(SUMIFS(Investors!$M:$M,Investors!$I:$I,"&lt;="&amp;'NSST Print'!$B$3,Investors!$J:$J,"&gt;"&amp;'NSST Print'!$B$3,Investors!$A:$A,'Investor Exit List'!$A208,Investors!$E:$E,'Investor Exit List'!$C208,Investors!$L:$L,'Investor Exit List'!$B208)+SUMIFS(Investors!$M:$M,Investors!$I:$I,"&lt;="&amp;'NSST Print'!$B$3,Investors!$J:$J,"",Investors!$A:$A,'Investor Exit List'!$A208,Investors!$E:$E,'Investor Exit List'!$C208,Investors!$L:$L,'Investor Exit List'!$B208))</f>
        <v/>
      </c>
      <c r="G208" s="91" t="n">
        <v>44719</v>
      </c>
      <c r="H208" s="89" t="b">
        <v>1</v>
      </c>
      <c r="I208" s="89" t="b">
        <v>1</v>
      </c>
      <c r="J208" s="91" t="n">
        <v>45272</v>
      </c>
      <c r="K208" s="91">
        <f>IF(I208=TRUE,J208,"")</f>
        <v/>
      </c>
      <c r="L208" s="91">
        <f>G208+730</f>
        <v/>
      </c>
      <c r="M208" s="91" t="n">
        <v>45382</v>
      </c>
      <c r="N208" s="92">
        <f>IFERROR(IF(G208&lt;&gt;"",IF(I208=TRUE,0,IF(U208=TRUE,0,L208-M208)),0),0)</f>
        <v/>
      </c>
      <c r="O208" s="92">
        <f>IF(N208&gt;0,IF(N208&lt;=180,N208,0),0)</f>
        <v/>
      </c>
      <c r="P208" s="90">
        <f>IF(AND(N208&lt;90,N208&gt;0),Q208,0)</f>
        <v/>
      </c>
      <c r="Q208" s="90">
        <f>SUMIFS(Investors!$M:$M,Investors!$O:$O,FALSE,Investors!$P:$P,FALSE,Investors!$K:$K,"&gt;"&amp;'NSST Print'!$B$3,Investors!$I:$I,"&lt;="&amp;'NSST Print'!$B$3,Investors!$A:$A,'Investor Exit List'!$A208,Investors!$E:$E,'Investor Exit List'!$C208,Investors!$L:$L,'Investor Exit List'!$B208)-(SUMIFS(Investors!$M:$M,Investors!$I:$I,"&lt;="&amp;'NSST Print'!$B$3,Investors!$J:$J,"&gt;"&amp;'NSST Print'!$B$3,Investors!$A:$A,'Investor Exit List'!$A208,Investors!$E:$E,'Investor Exit List'!$C208,Investors!$L:$L,'Investor Exit List'!$B208)+SUMIFS(Investors!$M:$M,Investors!$I:$I,"&lt;="&amp;'NSST Print'!$B$3,Investors!$J:$J,"",Investors!$A:$A,'Investor Exit List'!$A208,Investors!$E:$E,'Investor Exit List'!$C208,Investors!$L:$L,'Investor Exit List'!$B208))+SUMIFS(Investors!$S:$S,Investors!$O:$O,FALSE,Investors!$P:$P,FALSE,Investors!$K:$K,"&gt;"&amp;'NSST Print'!$B$3,Investors!$I:$I,"&lt;="&amp;'NSST Print'!$B$3,Investors!$A:$A,'Investor Exit List'!$A208,Investors!$E:$E,'Investor Exit List'!$C208,Investors!$L:$L,'Investor Exit List'!$B208)-(SUMIFS(Investors!$S:$S,Investors!$I:$I,"&lt;="&amp;'NSST Print'!$B$3,Investors!$J:$J,"&gt;"&amp;'NSST Print'!$B$3,Investors!$A:$A,'Investor Exit List'!$A208,Investors!$E:$E,'Investor Exit List'!$C208,Investors!$L:$L,'Investor Exit List'!$B208)+SUMIFS(Investors!$S:$S,Investors!$I:$I,"&lt;="&amp;'NSST Print'!$B$3,Investors!$J:$J,"",Investors!$A:$A,'Investor Exit List'!$A208,Investors!$E:$E,'Investor Exit List'!$C208,Investors!$L:$L,'Investor Exit List'!$B208))</f>
        <v/>
      </c>
      <c r="R208" s="90">
        <f>IF(AND(H208=TRUE,I208=FALSE),Q208,0)</f>
        <v/>
      </c>
      <c r="S208" s="90">
        <f>SUMIFS(Investors!$M:$M,Investors!$O:$O,TRUE,Investors!$A:$A,'Investor Exit List'!$A208,Investors!$E:$E,'Investor Exit List'!$C208,Investors!$L:$L,'Investor Exit List'!$B208)+SUMIFS(Investors!$S:$S,Investors!$O:$O,TRUE,Investors!$A:$A,'Investor Exit List'!$A208,Investors!$E:$E,'Investor Exit List'!$C208,Investors!$L:$L,'Investor Exit List'!$B208)</f>
        <v/>
      </c>
      <c r="T208" s="91">
        <f>IF(U208=TRUE,$J208,"")</f>
        <v/>
      </c>
      <c r="U208" s="89" t="b">
        <v>1</v>
      </c>
      <c r="V208" s="90">
        <f>IF(AND(H208=TRUE,OR(K208="",K208&gt;M208)),S208,0)</f>
        <v/>
      </c>
      <c r="W208" s="89" t="n">
        <v>0</v>
      </c>
      <c r="X208" s="89" t="b">
        <v>0</v>
      </c>
    </row>
    <row r="209" hidden="1">
      <c r="A209" s="89" t="inlineStr">
        <is>
          <t>ZLEB01</t>
        </is>
      </c>
      <c r="B209" s="89" t="n">
        <v>11</v>
      </c>
      <c r="C209" s="89" t="inlineStr">
        <is>
          <t>HVD103</t>
        </is>
      </c>
      <c r="D209" s="89" t="inlineStr">
        <is>
          <t>D</t>
        </is>
      </c>
      <c r="E209" s="89" t="inlineStr">
        <is>
          <t>Lebusa Hopolang</t>
        </is>
      </c>
      <c r="F209" s="90">
        <f>SUMIFS(Investors!$M:$M,Investors!$O:$O,FALSE,Investors!$P:$P,FALSE,Investors!$K:$K,"&gt;"&amp;'NSST Print'!$B$3,Investors!$I:$I,"&lt;="&amp;'NSST Print'!$B$3,Investors!$A:$A,'Investor Exit List'!$A209,Investors!$E:$E,'Investor Exit List'!$C209,Investors!$L:$L,'Investor Exit List'!$B209)-(SUMIFS(Investors!$M:$M,Investors!$I:$I,"&lt;="&amp;'NSST Print'!$B$3,Investors!$J:$J,"&gt;"&amp;'NSST Print'!$B$3,Investors!$A:$A,'Investor Exit List'!$A209,Investors!$E:$E,'Investor Exit List'!$C209,Investors!$L:$L,'Investor Exit List'!$B209)+SUMIFS(Investors!$M:$M,Investors!$I:$I,"&lt;="&amp;'NSST Print'!$B$3,Investors!$J:$J,"",Investors!$A:$A,'Investor Exit List'!$A209,Investors!$E:$E,'Investor Exit List'!$C209,Investors!$L:$L,'Investor Exit List'!$B209))</f>
        <v/>
      </c>
      <c r="G209" s="91" t="n">
        <v>44694</v>
      </c>
      <c r="H209" s="89" t="b">
        <v>1</v>
      </c>
      <c r="I209" s="89" t="b">
        <v>1</v>
      </c>
      <c r="J209" s="91" t="n">
        <v>45323</v>
      </c>
      <c r="K209" s="91">
        <f>IF(I209=TRUE,J209,"")</f>
        <v/>
      </c>
      <c r="L209" s="91">
        <f>G209+730</f>
        <v/>
      </c>
      <c r="M209" s="91" t="n">
        <v>45382</v>
      </c>
      <c r="N209" s="92">
        <f>IFERROR(IF(G209&lt;&gt;"",IF(I209=TRUE,0,IF(U209=TRUE,0,L209-M209)),0),0)</f>
        <v/>
      </c>
      <c r="O209" s="92">
        <f>IF(N209&gt;0,IF(N209&lt;=180,N209,0),0)</f>
        <v/>
      </c>
      <c r="P209" s="90">
        <f>IF(AND(N209&lt;90,N209&gt;0),Q209,0)</f>
        <v/>
      </c>
      <c r="Q209" s="90">
        <f>SUMIFS(Investors!$M:$M,Investors!$O:$O,FALSE,Investors!$P:$P,FALSE,Investors!$K:$K,"&gt;"&amp;'NSST Print'!$B$3,Investors!$I:$I,"&lt;="&amp;'NSST Print'!$B$3,Investors!$A:$A,'Investor Exit List'!$A209,Investors!$E:$E,'Investor Exit List'!$C209,Investors!$L:$L,'Investor Exit List'!$B209)-(SUMIFS(Investors!$M:$M,Investors!$I:$I,"&lt;="&amp;'NSST Print'!$B$3,Investors!$J:$J,"&gt;"&amp;'NSST Print'!$B$3,Investors!$A:$A,'Investor Exit List'!$A209,Investors!$E:$E,'Investor Exit List'!$C209,Investors!$L:$L,'Investor Exit List'!$B209)+SUMIFS(Investors!$M:$M,Investors!$I:$I,"&lt;="&amp;'NSST Print'!$B$3,Investors!$J:$J,"",Investors!$A:$A,'Investor Exit List'!$A209,Investors!$E:$E,'Investor Exit List'!$C209,Investors!$L:$L,'Investor Exit List'!$B209))+SUMIFS(Investors!$S:$S,Investors!$O:$O,FALSE,Investors!$P:$P,FALSE,Investors!$K:$K,"&gt;"&amp;'NSST Print'!$B$3,Investors!$I:$I,"&lt;="&amp;'NSST Print'!$B$3,Investors!$A:$A,'Investor Exit List'!$A209,Investors!$E:$E,'Investor Exit List'!$C209,Investors!$L:$L,'Investor Exit List'!$B209)-(SUMIFS(Investors!$S:$S,Investors!$I:$I,"&lt;="&amp;'NSST Print'!$B$3,Investors!$J:$J,"&gt;"&amp;'NSST Print'!$B$3,Investors!$A:$A,'Investor Exit List'!$A209,Investors!$E:$E,'Investor Exit List'!$C209,Investors!$L:$L,'Investor Exit List'!$B209)+SUMIFS(Investors!$S:$S,Investors!$I:$I,"&lt;="&amp;'NSST Print'!$B$3,Investors!$J:$J,"",Investors!$A:$A,'Investor Exit List'!$A209,Investors!$E:$E,'Investor Exit List'!$C209,Investors!$L:$L,'Investor Exit List'!$B209))</f>
        <v/>
      </c>
      <c r="R209" s="90">
        <f>IF(AND(H209=TRUE,I209=FALSE),Q209,0)</f>
        <v/>
      </c>
      <c r="S209" s="90">
        <f>SUMIFS(Investors!$M:$M,Investors!$O:$O,TRUE,Investors!$A:$A,'Investor Exit List'!$A209,Investors!$E:$E,'Investor Exit List'!$C209,Investors!$L:$L,'Investor Exit List'!$B209)+SUMIFS(Investors!$S:$S,Investors!$O:$O,TRUE,Investors!$A:$A,'Investor Exit List'!$A209,Investors!$E:$E,'Investor Exit List'!$C209,Investors!$L:$L,'Investor Exit List'!$B209)</f>
        <v/>
      </c>
      <c r="T209" s="91">
        <f>IF(U209=TRUE,$J209,"")</f>
        <v/>
      </c>
      <c r="U209" s="89" t="b">
        <v>0</v>
      </c>
      <c r="V209" s="90">
        <f>IF(AND(H209=TRUE,OR(K209="",K209&gt;M209)),S209,0)</f>
        <v/>
      </c>
      <c r="W209" s="89" t="n">
        <v>0</v>
      </c>
      <c r="X209" s="89" t="b">
        <v>0</v>
      </c>
    </row>
    <row r="210" hidden="1">
      <c r="A210" s="89" t="inlineStr">
        <is>
          <t>ZLES01</t>
        </is>
      </c>
      <c r="B210" s="89" t="n">
        <v>1</v>
      </c>
      <c r="C210" s="89" t="inlineStr">
        <is>
          <t>HVD103</t>
        </is>
      </c>
      <c r="D210" s="89" t="inlineStr">
        <is>
          <t>D</t>
        </is>
      </c>
      <c r="E210" s="89" t="inlineStr">
        <is>
          <t>Leslie Megan Frances</t>
        </is>
      </c>
      <c r="F210" s="90">
        <f>SUMIFS(Investors!$M:$M,Investors!$O:$O,FALSE,Investors!$P:$P,FALSE,Investors!$K:$K,"&gt;"&amp;'NSST Print'!$B$3,Investors!$I:$I,"&lt;="&amp;'NSST Print'!$B$3,Investors!$A:$A,'Investor Exit List'!$A210,Investors!$E:$E,'Investor Exit List'!$C210,Investors!$L:$L,'Investor Exit List'!$B210)-(SUMIFS(Investors!$M:$M,Investors!$I:$I,"&lt;="&amp;'NSST Print'!$B$3,Investors!$J:$J,"&gt;"&amp;'NSST Print'!$B$3,Investors!$A:$A,'Investor Exit List'!$A210,Investors!$E:$E,'Investor Exit List'!$C210,Investors!$L:$L,'Investor Exit List'!$B210)+SUMIFS(Investors!$M:$M,Investors!$I:$I,"&lt;="&amp;'NSST Print'!$B$3,Investors!$J:$J,"",Investors!$A:$A,'Investor Exit List'!$A210,Investors!$E:$E,'Investor Exit List'!$C210,Investors!$L:$L,'Investor Exit List'!$B210))</f>
        <v/>
      </c>
      <c r="G210" s="91" t="n">
        <v>45016</v>
      </c>
      <c r="H210" s="89" t="b">
        <v>1</v>
      </c>
      <c r="I210" s="89" t="b">
        <v>1</v>
      </c>
      <c r="J210" s="91" t="n">
        <v>45272</v>
      </c>
      <c r="K210" s="91">
        <f>IF(I210=TRUE,J210,"")</f>
        <v/>
      </c>
      <c r="L210" s="91">
        <f>G210+730</f>
        <v/>
      </c>
      <c r="M210" s="91" t="n">
        <v>45382</v>
      </c>
      <c r="N210" s="92">
        <f>IFERROR(IF(G210&lt;&gt;"",IF(I210=TRUE,0,IF(U210=TRUE,0,L210-M210)),0),0)</f>
        <v/>
      </c>
      <c r="O210" s="92">
        <f>IF(N210&gt;0,IF(N210&lt;=180,N210,0),0)</f>
        <v/>
      </c>
      <c r="P210" s="90">
        <f>IF(AND(N210&lt;90,N210&gt;0),Q210,0)</f>
        <v/>
      </c>
      <c r="Q210" s="90">
        <f>SUMIFS(Investors!$M:$M,Investors!$O:$O,FALSE,Investors!$P:$P,FALSE,Investors!$K:$K,"&gt;"&amp;'NSST Print'!$B$3,Investors!$I:$I,"&lt;="&amp;'NSST Print'!$B$3,Investors!$A:$A,'Investor Exit List'!$A210,Investors!$E:$E,'Investor Exit List'!$C210,Investors!$L:$L,'Investor Exit List'!$B210)-(SUMIFS(Investors!$M:$M,Investors!$I:$I,"&lt;="&amp;'NSST Print'!$B$3,Investors!$J:$J,"&gt;"&amp;'NSST Print'!$B$3,Investors!$A:$A,'Investor Exit List'!$A210,Investors!$E:$E,'Investor Exit List'!$C210,Investors!$L:$L,'Investor Exit List'!$B210)+SUMIFS(Investors!$M:$M,Investors!$I:$I,"&lt;="&amp;'NSST Print'!$B$3,Investors!$J:$J,"",Investors!$A:$A,'Investor Exit List'!$A210,Investors!$E:$E,'Investor Exit List'!$C210,Investors!$L:$L,'Investor Exit List'!$B210))+SUMIFS(Investors!$S:$S,Investors!$O:$O,FALSE,Investors!$P:$P,FALSE,Investors!$K:$K,"&gt;"&amp;'NSST Print'!$B$3,Investors!$I:$I,"&lt;="&amp;'NSST Print'!$B$3,Investors!$A:$A,'Investor Exit List'!$A210,Investors!$E:$E,'Investor Exit List'!$C210,Investors!$L:$L,'Investor Exit List'!$B210)-(SUMIFS(Investors!$S:$S,Investors!$I:$I,"&lt;="&amp;'NSST Print'!$B$3,Investors!$J:$J,"&gt;"&amp;'NSST Print'!$B$3,Investors!$A:$A,'Investor Exit List'!$A210,Investors!$E:$E,'Investor Exit List'!$C210,Investors!$L:$L,'Investor Exit List'!$B210)+SUMIFS(Investors!$S:$S,Investors!$I:$I,"&lt;="&amp;'NSST Print'!$B$3,Investors!$J:$J,"",Investors!$A:$A,'Investor Exit List'!$A210,Investors!$E:$E,'Investor Exit List'!$C210,Investors!$L:$L,'Investor Exit List'!$B210))</f>
        <v/>
      </c>
      <c r="R210" s="90">
        <f>IF(AND(H210=TRUE,I210=FALSE),Q210,0)</f>
        <v/>
      </c>
      <c r="S210" s="90">
        <f>SUMIFS(Investors!$M:$M,Investors!$O:$O,TRUE,Investors!$A:$A,'Investor Exit List'!$A210,Investors!$E:$E,'Investor Exit List'!$C210,Investors!$L:$L,'Investor Exit List'!$B210)+SUMIFS(Investors!$S:$S,Investors!$O:$O,TRUE,Investors!$A:$A,'Investor Exit List'!$A210,Investors!$E:$E,'Investor Exit List'!$C210,Investors!$L:$L,'Investor Exit List'!$B210)</f>
        <v/>
      </c>
      <c r="T210" s="91">
        <f>IF(U210=TRUE,$J210,"")</f>
        <v/>
      </c>
      <c r="U210" s="89" t="b">
        <v>1</v>
      </c>
      <c r="V210" s="90">
        <f>IF(AND(H210=TRUE,OR(K210="",K210&gt;M210)),S210,0)</f>
        <v/>
      </c>
      <c r="W210" s="89" t="n">
        <v>0</v>
      </c>
      <c r="X210" s="89" t="b">
        <v>0</v>
      </c>
    </row>
    <row r="211" hidden="1">
      <c r="A211" s="89" t="inlineStr">
        <is>
          <t>ZZYL04</t>
        </is>
      </c>
      <c r="B211" s="89" t="n">
        <v>1</v>
      </c>
      <c r="C211" s="89" t="inlineStr">
        <is>
          <t>HVD103</t>
        </is>
      </c>
      <c r="D211" s="89" t="inlineStr">
        <is>
          <t>D</t>
        </is>
      </c>
      <c r="E211" s="89" t="inlineStr">
        <is>
          <t>Zylstra Steven Michael</t>
        </is>
      </c>
      <c r="F211" s="90">
        <f>SUMIFS(Investors!$M:$M,Investors!$O:$O,FALSE,Investors!$P:$P,FALSE,Investors!$K:$K,"&gt;"&amp;'NSST Print'!$B$3,Investors!$I:$I,"&lt;="&amp;'NSST Print'!$B$3,Investors!$A:$A,'Investor Exit List'!$A211,Investors!$E:$E,'Investor Exit List'!$C211,Investors!$L:$L,'Investor Exit List'!$B211)-(SUMIFS(Investors!$M:$M,Investors!$I:$I,"&lt;="&amp;'NSST Print'!$B$3,Investors!$J:$J,"&gt;"&amp;'NSST Print'!$B$3,Investors!$A:$A,'Investor Exit List'!$A211,Investors!$E:$E,'Investor Exit List'!$C211,Investors!$L:$L,'Investor Exit List'!$B211)+SUMIFS(Investors!$M:$M,Investors!$I:$I,"&lt;="&amp;'NSST Print'!$B$3,Investors!$J:$J,"",Investors!$A:$A,'Investor Exit List'!$A211,Investors!$E:$E,'Investor Exit List'!$C211,Investors!$L:$L,'Investor Exit List'!$B211))</f>
        <v/>
      </c>
      <c r="G211" s="91" t="n">
        <v>44706</v>
      </c>
      <c r="H211" s="89" t="b">
        <v>1</v>
      </c>
      <c r="I211" s="89" t="b">
        <v>1</v>
      </c>
      <c r="J211" s="91" t="n">
        <v>45299</v>
      </c>
      <c r="K211" s="91">
        <f>IF(I211=TRUE,J211,"")</f>
        <v/>
      </c>
      <c r="L211" s="91">
        <f>G211+730</f>
        <v/>
      </c>
      <c r="M211" s="91" t="n">
        <v>45382</v>
      </c>
      <c r="N211" s="92">
        <f>IFERROR(IF(G211&lt;&gt;"",IF(I211=TRUE,0,IF(U211=TRUE,0,L211-M211)),0),0)</f>
        <v/>
      </c>
      <c r="O211" s="92">
        <f>IF(N211&gt;0,IF(N211&lt;=180,N211,0),0)</f>
        <v/>
      </c>
      <c r="P211" s="90">
        <f>IF(AND(N211&lt;90,N211&gt;0),Q211,0)</f>
        <v/>
      </c>
      <c r="Q211" s="90">
        <f>SUMIFS(Investors!$M:$M,Investors!$O:$O,FALSE,Investors!$P:$P,FALSE,Investors!$K:$K,"&gt;"&amp;'NSST Print'!$B$3,Investors!$I:$I,"&lt;="&amp;'NSST Print'!$B$3,Investors!$A:$A,'Investor Exit List'!$A211,Investors!$E:$E,'Investor Exit List'!$C211,Investors!$L:$L,'Investor Exit List'!$B211)-(SUMIFS(Investors!$M:$M,Investors!$I:$I,"&lt;="&amp;'NSST Print'!$B$3,Investors!$J:$J,"&gt;"&amp;'NSST Print'!$B$3,Investors!$A:$A,'Investor Exit List'!$A211,Investors!$E:$E,'Investor Exit List'!$C211,Investors!$L:$L,'Investor Exit List'!$B211)+SUMIFS(Investors!$M:$M,Investors!$I:$I,"&lt;="&amp;'NSST Print'!$B$3,Investors!$J:$J,"",Investors!$A:$A,'Investor Exit List'!$A211,Investors!$E:$E,'Investor Exit List'!$C211,Investors!$L:$L,'Investor Exit List'!$B211))+SUMIFS(Investors!$S:$S,Investors!$O:$O,FALSE,Investors!$P:$P,FALSE,Investors!$K:$K,"&gt;"&amp;'NSST Print'!$B$3,Investors!$I:$I,"&lt;="&amp;'NSST Print'!$B$3,Investors!$A:$A,'Investor Exit List'!$A211,Investors!$E:$E,'Investor Exit List'!$C211,Investors!$L:$L,'Investor Exit List'!$B211)-(SUMIFS(Investors!$S:$S,Investors!$I:$I,"&lt;="&amp;'NSST Print'!$B$3,Investors!$J:$J,"&gt;"&amp;'NSST Print'!$B$3,Investors!$A:$A,'Investor Exit List'!$A211,Investors!$E:$E,'Investor Exit List'!$C211,Investors!$L:$L,'Investor Exit List'!$B211)+SUMIFS(Investors!$S:$S,Investors!$I:$I,"&lt;="&amp;'NSST Print'!$B$3,Investors!$J:$J,"",Investors!$A:$A,'Investor Exit List'!$A211,Investors!$E:$E,'Investor Exit List'!$C211,Investors!$L:$L,'Investor Exit List'!$B211))</f>
        <v/>
      </c>
      <c r="R211" s="90">
        <f>IF(AND(H211=TRUE,I211=FALSE),Q211,0)</f>
        <v/>
      </c>
      <c r="S211" s="90">
        <f>SUMIFS(Investors!$M:$M,Investors!$O:$O,TRUE,Investors!$A:$A,'Investor Exit List'!$A211,Investors!$E:$E,'Investor Exit List'!$C211,Investors!$L:$L,'Investor Exit List'!$B211)+SUMIFS(Investors!$S:$S,Investors!$O:$O,TRUE,Investors!$A:$A,'Investor Exit List'!$A211,Investors!$E:$E,'Investor Exit List'!$C211,Investors!$L:$L,'Investor Exit List'!$B211)</f>
        <v/>
      </c>
      <c r="T211" s="91">
        <f>IF(U211=TRUE,$J211,"")</f>
        <v/>
      </c>
      <c r="U211" s="89" t="b">
        <v>1</v>
      </c>
      <c r="V211" s="90">
        <f>IF(AND(H211=TRUE,OR(K211="",K211&gt;M211)),S211,0)</f>
        <v/>
      </c>
      <c r="W211" s="89" t="n">
        <v>0</v>
      </c>
      <c r="X211" s="89" t="b">
        <v>0</v>
      </c>
    </row>
    <row r="212" hidden="1">
      <c r="A212" s="89" t="inlineStr">
        <is>
          <t>ZFON01</t>
        </is>
      </c>
      <c r="B212" s="89" t="n">
        <v>4</v>
      </c>
      <c r="C212" s="89" t="inlineStr">
        <is>
          <t>HVD104</t>
        </is>
      </c>
      <c r="D212" s="89" t="inlineStr">
        <is>
          <t>D</t>
        </is>
      </c>
      <c r="E212" s="89" t="inlineStr">
        <is>
          <t>Aveling-Fountain Lorraine</t>
        </is>
      </c>
      <c r="F212" s="90">
        <f>SUMIFS(Investors!$M:$M,Investors!$O:$O,FALSE,Investors!$P:$P,FALSE,Investors!$K:$K,"&gt;"&amp;'NSST Print'!$B$3,Investors!$I:$I,"&lt;="&amp;'NSST Print'!$B$3,Investors!$A:$A,'Investor Exit List'!$A212,Investors!$E:$E,'Investor Exit List'!$C212,Investors!$L:$L,'Investor Exit List'!$B212)-(SUMIFS(Investors!$M:$M,Investors!$I:$I,"&lt;="&amp;'NSST Print'!$B$3,Investors!$J:$J,"&gt;"&amp;'NSST Print'!$B$3,Investors!$A:$A,'Investor Exit List'!$A212,Investors!$E:$E,'Investor Exit List'!$C212,Investors!$L:$L,'Investor Exit List'!$B212)+SUMIFS(Investors!$M:$M,Investors!$I:$I,"&lt;="&amp;'NSST Print'!$B$3,Investors!$J:$J,"",Investors!$A:$A,'Investor Exit List'!$A212,Investors!$E:$E,'Investor Exit List'!$C212,Investors!$L:$L,'Investor Exit List'!$B212))</f>
        <v/>
      </c>
      <c r="G212" s="91" t="n">
        <v>44706</v>
      </c>
      <c r="H212" s="89" t="b">
        <v>1</v>
      </c>
      <c r="I212" s="89" t="b">
        <v>1</v>
      </c>
      <c r="J212" s="91" t="n">
        <v>45272</v>
      </c>
      <c r="K212" s="91">
        <f>IF(I212=TRUE,J212,"")</f>
        <v/>
      </c>
      <c r="L212" s="91">
        <f>G212+730</f>
        <v/>
      </c>
      <c r="M212" s="91" t="n">
        <v>45382</v>
      </c>
      <c r="N212" s="92">
        <f>IFERROR(IF(G212&lt;&gt;"",IF(I212=TRUE,0,IF(U212=TRUE,0,L212-M212)),0),0)</f>
        <v/>
      </c>
      <c r="O212" s="92">
        <f>IF(N212&gt;0,IF(N212&lt;=180,N212,0),0)</f>
        <v/>
      </c>
      <c r="P212" s="90">
        <f>IF(AND(N212&lt;90,N212&gt;0),Q212,0)</f>
        <v/>
      </c>
      <c r="Q212" s="90">
        <f>SUMIFS(Investors!$M:$M,Investors!$O:$O,FALSE,Investors!$P:$P,FALSE,Investors!$K:$K,"&gt;"&amp;'NSST Print'!$B$3,Investors!$I:$I,"&lt;="&amp;'NSST Print'!$B$3,Investors!$A:$A,'Investor Exit List'!$A212,Investors!$E:$E,'Investor Exit List'!$C212,Investors!$L:$L,'Investor Exit List'!$B212)-(SUMIFS(Investors!$M:$M,Investors!$I:$I,"&lt;="&amp;'NSST Print'!$B$3,Investors!$J:$J,"&gt;"&amp;'NSST Print'!$B$3,Investors!$A:$A,'Investor Exit List'!$A212,Investors!$E:$E,'Investor Exit List'!$C212,Investors!$L:$L,'Investor Exit List'!$B212)+SUMIFS(Investors!$M:$M,Investors!$I:$I,"&lt;="&amp;'NSST Print'!$B$3,Investors!$J:$J,"",Investors!$A:$A,'Investor Exit List'!$A212,Investors!$E:$E,'Investor Exit List'!$C212,Investors!$L:$L,'Investor Exit List'!$B212))+SUMIFS(Investors!$S:$S,Investors!$O:$O,FALSE,Investors!$P:$P,FALSE,Investors!$K:$K,"&gt;"&amp;'NSST Print'!$B$3,Investors!$I:$I,"&lt;="&amp;'NSST Print'!$B$3,Investors!$A:$A,'Investor Exit List'!$A212,Investors!$E:$E,'Investor Exit List'!$C212,Investors!$L:$L,'Investor Exit List'!$B212)-(SUMIFS(Investors!$S:$S,Investors!$I:$I,"&lt;="&amp;'NSST Print'!$B$3,Investors!$J:$J,"&gt;"&amp;'NSST Print'!$B$3,Investors!$A:$A,'Investor Exit List'!$A212,Investors!$E:$E,'Investor Exit List'!$C212,Investors!$L:$L,'Investor Exit List'!$B212)+SUMIFS(Investors!$S:$S,Investors!$I:$I,"&lt;="&amp;'NSST Print'!$B$3,Investors!$J:$J,"",Investors!$A:$A,'Investor Exit List'!$A212,Investors!$E:$E,'Investor Exit List'!$C212,Investors!$L:$L,'Investor Exit List'!$B212))</f>
        <v/>
      </c>
      <c r="R212" s="90">
        <f>IF(AND(H212=TRUE,I212=FALSE),Q212,0)</f>
        <v/>
      </c>
      <c r="S212" s="90">
        <f>SUMIFS(Investors!$M:$M,Investors!$O:$O,TRUE,Investors!$A:$A,'Investor Exit List'!$A212,Investors!$E:$E,'Investor Exit List'!$C212,Investors!$L:$L,'Investor Exit List'!$B212)+SUMIFS(Investors!$S:$S,Investors!$O:$O,TRUE,Investors!$A:$A,'Investor Exit List'!$A212,Investors!$E:$E,'Investor Exit List'!$C212,Investors!$L:$L,'Investor Exit List'!$B212)</f>
        <v/>
      </c>
      <c r="T212" s="91">
        <f>IF(U212=TRUE,$J212,"")</f>
        <v/>
      </c>
      <c r="U212" s="89" t="b">
        <v>1</v>
      </c>
      <c r="V212" s="90">
        <f>IF(AND(H212=TRUE,OR(K212="",K212&gt;M212)),S212,0)</f>
        <v/>
      </c>
      <c r="W212" s="89" t="n">
        <v>0</v>
      </c>
      <c r="X212" s="89" t="b">
        <v>0</v>
      </c>
    </row>
    <row r="213" hidden="1">
      <c r="A213" s="89" t="inlineStr">
        <is>
          <t>ZGMA01</t>
        </is>
      </c>
      <c r="B213" s="89" t="n">
        <v>2</v>
      </c>
      <c r="C213" s="89" t="inlineStr">
        <is>
          <t>HVD104</t>
        </is>
      </c>
      <c r="D213" s="89" t="inlineStr">
        <is>
          <t>D</t>
        </is>
      </c>
      <c r="E213" s="89" t="inlineStr">
        <is>
          <t>Matthee Gerald Adriaan Odendal</t>
        </is>
      </c>
      <c r="F213" s="90">
        <f>SUMIFS(Investors!$M:$M,Investors!$O:$O,FALSE,Investors!$P:$P,FALSE,Investors!$K:$K,"&gt;"&amp;'NSST Print'!$B$3,Investors!$I:$I,"&lt;="&amp;'NSST Print'!$B$3,Investors!$A:$A,'Investor Exit List'!$A213,Investors!$E:$E,'Investor Exit List'!$C213,Investors!$L:$L,'Investor Exit List'!$B213)-(SUMIFS(Investors!$M:$M,Investors!$I:$I,"&lt;="&amp;'NSST Print'!$B$3,Investors!$J:$J,"&gt;"&amp;'NSST Print'!$B$3,Investors!$A:$A,'Investor Exit List'!$A213,Investors!$E:$E,'Investor Exit List'!$C213,Investors!$L:$L,'Investor Exit List'!$B213)+SUMIFS(Investors!$M:$M,Investors!$I:$I,"&lt;="&amp;'NSST Print'!$B$3,Investors!$J:$J,"",Investors!$A:$A,'Investor Exit List'!$A213,Investors!$E:$E,'Investor Exit List'!$C213,Investors!$L:$L,'Investor Exit List'!$B213))</f>
        <v/>
      </c>
      <c r="G213" s="91" t="n">
        <v>44706</v>
      </c>
      <c r="H213" s="89" t="b">
        <v>1</v>
      </c>
      <c r="I213" s="89" t="b">
        <v>1</v>
      </c>
      <c r="J213" s="91" t="n">
        <v>45323</v>
      </c>
      <c r="K213" s="91">
        <f>IF(I213=TRUE,J213,"")</f>
        <v/>
      </c>
      <c r="L213" s="91">
        <f>G213+730</f>
        <v/>
      </c>
      <c r="M213" s="91" t="n">
        <v>45382</v>
      </c>
      <c r="N213" s="92">
        <f>IFERROR(IF(G213&lt;&gt;"",IF(I213=TRUE,0,IF(U213=TRUE,0,L213-M213)),0),0)</f>
        <v/>
      </c>
      <c r="O213" s="92">
        <f>IF(N213&gt;0,IF(N213&lt;=180,N213,0),0)</f>
        <v/>
      </c>
      <c r="P213" s="90">
        <f>IF(AND(N213&lt;90,N213&gt;0),Q213,0)</f>
        <v/>
      </c>
      <c r="Q213" s="90">
        <f>SUMIFS(Investors!$M:$M,Investors!$O:$O,FALSE,Investors!$P:$P,FALSE,Investors!$K:$K,"&gt;"&amp;'NSST Print'!$B$3,Investors!$I:$I,"&lt;="&amp;'NSST Print'!$B$3,Investors!$A:$A,'Investor Exit List'!$A213,Investors!$E:$E,'Investor Exit List'!$C213,Investors!$L:$L,'Investor Exit List'!$B213)-(SUMIFS(Investors!$M:$M,Investors!$I:$I,"&lt;="&amp;'NSST Print'!$B$3,Investors!$J:$J,"&gt;"&amp;'NSST Print'!$B$3,Investors!$A:$A,'Investor Exit List'!$A213,Investors!$E:$E,'Investor Exit List'!$C213,Investors!$L:$L,'Investor Exit List'!$B213)+SUMIFS(Investors!$M:$M,Investors!$I:$I,"&lt;="&amp;'NSST Print'!$B$3,Investors!$J:$J,"",Investors!$A:$A,'Investor Exit List'!$A213,Investors!$E:$E,'Investor Exit List'!$C213,Investors!$L:$L,'Investor Exit List'!$B213))+SUMIFS(Investors!$S:$S,Investors!$O:$O,FALSE,Investors!$P:$P,FALSE,Investors!$K:$K,"&gt;"&amp;'NSST Print'!$B$3,Investors!$I:$I,"&lt;="&amp;'NSST Print'!$B$3,Investors!$A:$A,'Investor Exit List'!$A213,Investors!$E:$E,'Investor Exit List'!$C213,Investors!$L:$L,'Investor Exit List'!$B213)-(SUMIFS(Investors!$S:$S,Investors!$I:$I,"&lt;="&amp;'NSST Print'!$B$3,Investors!$J:$J,"&gt;"&amp;'NSST Print'!$B$3,Investors!$A:$A,'Investor Exit List'!$A213,Investors!$E:$E,'Investor Exit List'!$C213,Investors!$L:$L,'Investor Exit List'!$B213)+SUMIFS(Investors!$S:$S,Investors!$I:$I,"&lt;="&amp;'NSST Print'!$B$3,Investors!$J:$J,"",Investors!$A:$A,'Investor Exit List'!$A213,Investors!$E:$E,'Investor Exit List'!$C213,Investors!$L:$L,'Investor Exit List'!$B213))</f>
        <v/>
      </c>
      <c r="R213" s="90">
        <f>IF(AND(H213=TRUE,I213=FALSE),Q213,0)</f>
        <v/>
      </c>
      <c r="S213" s="90">
        <f>SUMIFS(Investors!$M:$M,Investors!$O:$O,TRUE,Investors!$A:$A,'Investor Exit List'!$A213,Investors!$E:$E,'Investor Exit List'!$C213,Investors!$L:$L,'Investor Exit List'!$B213)+SUMIFS(Investors!$S:$S,Investors!$O:$O,TRUE,Investors!$A:$A,'Investor Exit List'!$A213,Investors!$E:$E,'Investor Exit List'!$C213,Investors!$L:$L,'Investor Exit List'!$B213)</f>
        <v/>
      </c>
      <c r="T213" s="91">
        <f>IF(U213=TRUE,$J213,"")</f>
        <v/>
      </c>
      <c r="U213" s="89" t="b">
        <v>1</v>
      </c>
      <c r="V213" s="90">
        <f>IF(AND(H213=TRUE,OR(K213="",K213&gt;M213)),S213,0)</f>
        <v/>
      </c>
      <c r="W213" s="89" t="n">
        <v>0</v>
      </c>
      <c r="X213" s="89" t="b">
        <v>0</v>
      </c>
    </row>
    <row r="214" hidden="1">
      <c r="A214" s="89" t="inlineStr">
        <is>
          <t>ZVAL02</t>
        </is>
      </c>
      <c r="B214" s="89" t="n">
        <v>1</v>
      </c>
      <c r="C214" s="89" t="inlineStr">
        <is>
          <t>HVD104</t>
        </is>
      </c>
      <c r="D214" s="89" t="inlineStr">
        <is>
          <t>D</t>
        </is>
      </c>
      <c r="E214" s="89" t="inlineStr">
        <is>
          <t>Vallabh Himal Dipak</t>
        </is>
      </c>
      <c r="F214" s="90">
        <f>SUMIFS(Investors!$M:$M,Investors!$O:$O,FALSE,Investors!$P:$P,FALSE,Investors!$K:$K,"&gt;"&amp;'NSST Print'!$B$3,Investors!$I:$I,"&lt;="&amp;'NSST Print'!$B$3,Investors!$A:$A,'Investor Exit List'!$A214,Investors!$E:$E,'Investor Exit List'!$C214,Investors!$L:$L,'Investor Exit List'!$B214)-(SUMIFS(Investors!$M:$M,Investors!$I:$I,"&lt;="&amp;'NSST Print'!$B$3,Investors!$J:$J,"&gt;"&amp;'NSST Print'!$B$3,Investors!$A:$A,'Investor Exit List'!$A214,Investors!$E:$E,'Investor Exit List'!$C214,Investors!$L:$L,'Investor Exit List'!$B214)+SUMIFS(Investors!$M:$M,Investors!$I:$I,"&lt;="&amp;'NSST Print'!$B$3,Investors!$J:$J,"",Investors!$A:$A,'Investor Exit List'!$A214,Investors!$E:$E,'Investor Exit List'!$C214,Investors!$L:$L,'Investor Exit List'!$B214))</f>
        <v/>
      </c>
      <c r="G214" s="91" t="n">
        <v>44706</v>
      </c>
      <c r="H214" s="89" t="b">
        <v>1</v>
      </c>
      <c r="I214" s="89" t="b">
        <v>1</v>
      </c>
      <c r="J214" s="91" t="n">
        <v>45323</v>
      </c>
      <c r="K214" s="91">
        <f>IF(I214=TRUE,J214,"")</f>
        <v/>
      </c>
      <c r="L214" s="91">
        <f>G214+730</f>
        <v/>
      </c>
      <c r="M214" s="91" t="n">
        <v>45382</v>
      </c>
      <c r="N214" s="92">
        <f>IFERROR(IF(G214&lt;&gt;"",IF(I214=TRUE,0,IF(U214=TRUE,0,L214-M214)),0),0)</f>
        <v/>
      </c>
      <c r="O214" s="92">
        <f>IF(N214&gt;0,IF(N214&lt;=180,N214,0),0)</f>
        <v/>
      </c>
      <c r="P214" s="90">
        <f>IF(AND(N214&lt;90,N214&gt;0),Q214,0)</f>
        <v/>
      </c>
      <c r="Q214" s="90">
        <f>SUMIFS(Investors!$M:$M,Investors!$O:$O,FALSE,Investors!$P:$P,FALSE,Investors!$K:$K,"&gt;"&amp;'NSST Print'!$B$3,Investors!$I:$I,"&lt;="&amp;'NSST Print'!$B$3,Investors!$A:$A,'Investor Exit List'!$A214,Investors!$E:$E,'Investor Exit List'!$C214,Investors!$L:$L,'Investor Exit List'!$B214)-(SUMIFS(Investors!$M:$M,Investors!$I:$I,"&lt;="&amp;'NSST Print'!$B$3,Investors!$J:$J,"&gt;"&amp;'NSST Print'!$B$3,Investors!$A:$A,'Investor Exit List'!$A214,Investors!$E:$E,'Investor Exit List'!$C214,Investors!$L:$L,'Investor Exit List'!$B214)+SUMIFS(Investors!$M:$M,Investors!$I:$I,"&lt;="&amp;'NSST Print'!$B$3,Investors!$J:$J,"",Investors!$A:$A,'Investor Exit List'!$A214,Investors!$E:$E,'Investor Exit List'!$C214,Investors!$L:$L,'Investor Exit List'!$B214))+SUMIFS(Investors!$S:$S,Investors!$O:$O,FALSE,Investors!$P:$P,FALSE,Investors!$K:$K,"&gt;"&amp;'NSST Print'!$B$3,Investors!$I:$I,"&lt;="&amp;'NSST Print'!$B$3,Investors!$A:$A,'Investor Exit List'!$A214,Investors!$E:$E,'Investor Exit List'!$C214,Investors!$L:$L,'Investor Exit List'!$B214)-(SUMIFS(Investors!$S:$S,Investors!$I:$I,"&lt;="&amp;'NSST Print'!$B$3,Investors!$J:$J,"&gt;"&amp;'NSST Print'!$B$3,Investors!$A:$A,'Investor Exit List'!$A214,Investors!$E:$E,'Investor Exit List'!$C214,Investors!$L:$L,'Investor Exit List'!$B214)+SUMIFS(Investors!$S:$S,Investors!$I:$I,"&lt;="&amp;'NSST Print'!$B$3,Investors!$J:$J,"",Investors!$A:$A,'Investor Exit List'!$A214,Investors!$E:$E,'Investor Exit List'!$C214,Investors!$L:$L,'Investor Exit List'!$B214))</f>
        <v/>
      </c>
      <c r="R214" s="90">
        <f>IF(AND(H214=TRUE,I214=FALSE),Q214,0)</f>
        <v/>
      </c>
      <c r="S214" s="90">
        <f>SUMIFS(Investors!$M:$M,Investors!$O:$O,TRUE,Investors!$A:$A,'Investor Exit List'!$A214,Investors!$E:$E,'Investor Exit List'!$C214,Investors!$L:$L,'Investor Exit List'!$B214)+SUMIFS(Investors!$S:$S,Investors!$O:$O,TRUE,Investors!$A:$A,'Investor Exit List'!$A214,Investors!$E:$E,'Investor Exit List'!$C214,Investors!$L:$L,'Investor Exit List'!$B214)</f>
        <v/>
      </c>
      <c r="T214" s="91">
        <f>IF(U214=TRUE,$J214,"")</f>
        <v/>
      </c>
      <c r="U214" s="89" t="b">
        <v>1</v>
      </c>
      <c r="V214" s="90">
        <f>IF(AND(H214=TRUE,OR(K214="",K214&gt;M214)),S214,0)</f>
        <v/>
      </c>
      <c r="W214" s="89" t="n">
        <v>0</v>
      </c>
      <c r="X214" s="89" t="b">
        <v>0</v>
      </c>
    </row>
    <row r="215" hidden="1">
      <c r="A215" s="89" t="inlineStr">
        <is>
          <t>ZHEI01</t>
        </is>
      </c>
      <c r="B215" s="89" t="n">
        <v>9</v>
      </c>
      <c r="C215" s="89" t="inlineStr">
        <is>
          <t>HVD201</t>
        </is>
      </c>
      <c r="D215" s="89" t="inlineStr">
        <is>
          <t>D</t>
        </is>
      </c>
      <c r="E215" s="89" t="inlineStr">
        <is>
          <t>Heinze Dieter Raimund</t>
        </is>
      </c>
      <c r="F215" s="90">
        <f>SUMIFS(Investors!$M:$M,Investors!$O:$O,FALSE,Investors!$P:$P,FALSE,Investors!$K:$K,"&gt;"&amp;'NSST Print'!$B$3,Investors!$I:$I,"&lt;="&amp;'NSST Print'!$B$3,Investors!$A:$A,'Investor Exit List'!$A215,Investors!$E:$E,'Investor Exit List'!$C215,Investors!$L:$L,'Investor Exit List'!$B215)-(SUMIFS(Investors!$M:$M,Investors!$I:$I,"&lt;="&amp;'NSST Print'!$B$3,Investors!$J:$J,"&gt;"&amp;'NSST Print'!$B$3,Investors!$A:$A,'Investor Exit List'!$A215,Investors!$E:$E,'Investor Exit List'!$C215,Investors!$L:$L,'Investor Exit List'!$B215)+SUMIFS(Investors!$M:$M,Investors!$I:$I,"&lt;="&amp;'NSST Print'!$B$3,Investors!$J:$J,"",Investors!$A:$A,'Investor Exit List'!$A215,Investors!$E:$E,'Investor Exit List'!$C215,Investors!$L:$L,'Investor Exit List'!$B215))</f>
        <v/>
      </c>
      <c r="G215" s="91" t="n">
        <v>44719</v>
      </c>
      <c r="H215" s="89" t="b">
        <v>1</v>
      </c>
      <c r="I215" s="89" t="b">
        <v>1</v>
      </c>
      <c r="J215" s="91" t="n">
        <v>45272</v>
      </c>
      <c r="K215" s="91">
        <f>IF(I215=TRUE,J215,"")</f>
        <v/>
      </c>
      <c r="L215" s="91">
        <f>G215+730</f>
        <v/>
      </c>
      <c r="M215" s="91" t="n">
        <v>45382</v>
      </c>
      <c r="N215" s="92">
        <f>IFERROR(IF(G215&lt;&gt;"",IF(I215=TRUE,0,IF(U215=TRUE,0,L215-M215)),0),0)</f>
        <v/>
      </c>
      <c r="O215" s="92">
        <f>IF(N215&gt;0,IF(N215&lt;=180,N215,0),0)</f>
        <v/>
      </c>
      <c r="P215" s="90">
        <f>IF(AND(N215&lt;90,N215&gt;0),Q215,0)</f>
        <v/>
      </c>
      <c r="Q215" s="90">
        <f>SUMIFS(Investors!$M:$M,Investors!$O:$O,FALSE,Investors!$P:$P,FALSE,Investors!$K:$K,"&gt;"&amp;'NSST Print'!$B$3,Investors!$I:$I,"&lt;="&amp;'NSST Print'!$B$3,Investors!$A:$A,'Investor Exit List'!$A215,Investors!$E:$E,'Investor Exit List'!$C215,Investors!$L:$L,'Investor Exit List'!$B215)-(SUMIFS(Investors!$M:$M,Investors!$I:$I,"&lt;="&amp;'NSST Print'!$B$3,Investors!$J:$J,"&gt;"&amp;'NSST Print'!$B$3,Investors!$A:$A,'Investor Exit List'!$A215,Investors!$E:$E,'Investor Exit List'!$C215,Investors!$L:$L,'Investor Exit List'!$B215)+SUMIFS(Investors!$M:$M,Investors!$I:$I,"&lt;="&amp;'NSST Print'!$B$3,Investors!$J:$J,"",Investors!$A:$A,'Investor Exit List'!$A215,Investors!$E:$E,'Investor Exit List'!$C215,Investors!$L:$L,'Investor Exit List'!$B215))+SUMIFS(Investors!$S:$S,Investors!$O:$O,FALSE,Investors!$P:$P,FALSE,Investors!$K:$K,"&gt;"&amp;'NSST Print'!$B$3,Investors!$I:$I,"&lt;="&amp;'NSST Print'!$B$3,Investors!$A:$A,'Investor Exit List'!$A215,Investors!$E:$E,'Investor Exit List'!$C215,Investors!$L:$L,'Investor Exit List'!$B215)-(SUMIFS(Investors!$S:$S,Investors!$I:$I,"&lt;="&amp;'NSST Print'!$B$3,Investors!$J:$J,"&gt;"&amp;'NSST Print'!$B$3,Investors!$A:$A,'Investor Exit List'!$A215,Investors!$E:$E,'Investor Exit List'!$C215,Investors!$L:$L,'Investor Exit List'!$B215)+SUMIFS(Investors!$S:$S,Investors!$I:$I,"&lt;="&amp;'NSST Print'!$B$3,Investors!$J:$J,"",Investors!$A:$A,'Investor Exit List'!$A215,Investors!$E:$E,'Investor Exit List'!$C215,Investors!$L:$L,'Investor Exit List'!$B215))</f>
        <v/>
      </c>
      <c r="R215" s="90">
        <f>IF(AND(H215=TRUE,I215=FALSE),Q215,0)</f>
        <v/>
      </c>
      <c r="S215" s="90">
        <f>SUMIFS(Investors!$M:$M,Investors!$O:$O,TRUE,Investors!$A:$A,'Investor Exit List'!$A215,Investors!$E:$E,'Investor Exit List'!$C215,Investors!$L:$L,'Investor Exit List'!$B215)+SUMIFS(Investors!$S:$S,Investors!$O:$O,TRUE,Investors!$A:$A,'Investor Exit List'!$A215,Investors!$E:$E,'Investor Exit List'!$C215,Investors!$L:$L,'Investor Exit List'!$B215)</f>
        <v/>
      </c>
      <c r="T215" s="91">
        <f>IF(U215=TRUE,$J215,"")</f>
        <v/>
      </c>
      <c r="U215" s="89" t="b">
        <v>1</v>
      </c>
      <c r="V215" s="90">
        <f>IF(AND(H215=TRUE,OR(K215="",K215&gt;M215)),S215,0)</f>
        <v/>
      </c>
      <c r="W215" s="89" t="n">
        <v>0</v>
      </c>
      <c r="X215" s="89" t="b">
        <v>0</v>
      </c>
    </row>
    <row r="216" hidden="1">
      <c r="A216" s="89" t="inlineStr">
        <is>
          <t>ZHUT01</t>
        </is>
      </c>
      <c r="B216" s="89" t="n">
        <v>7</v>
      </c>
      <c r="C216" s="89" t="inlineStr">
        <is>
          <t>HVD201</t>
        </is>
      </c>
      <c r="D216" s="89" t="inlineStr">
        <is>
          <t>D</t>
        </is>
      </c>
      <c r="E216" s="89" t="inlineStr">
        <is>
          <t>Hutchings Tracy Jane</t>
        </is>
      </c>
      <c r="F216" s="90">
        <f>SUMIFS(Investors!$M:$M,Investors!$O:$O,FALSE,Investors!$P:$P,FALSE,Investors!$K:$K,"&gt;"&amp;'NSST Print'!$B$3,Investors!$I:$I,"&lt;="&amp;'NSST Print'!$B$3,Investors!$A:$A,'Investor Exit List'!$A216,Investors!$E:$E,'Investor Exit List'!$C216,Investors!$L:$L,'Investor Exit List'!$B216)-(SUMIFS(Investors!$M:$M,Investors!$I:$I,"&lt;="&amp;'NSST Print'!$B$3,Investors!$J:$J,"&gt;"&amp;'NSST Print'!$B$3,Investors!$A:$A,'Investor Exit List'!$A216,Investors!$E:$E,'Investor Exit List'!$C216,Investors!$L:$L,'Investor Exit List'!$B216)+SUMIFS(Investors!$M:$M,Investors!$I:$I,"&lt;="&amp;'NSST Print'!$B$3,Investors!$J:$J,"",Investors!$A:$A,'Investor Exit List'!$A216,Investors!$E:$E,'Investor Exit List'!$C216,Investors!$L:$L,'Investor Exit List'!$B216))</f>
        <v/>
      </c>
      <c r="G216" s="91" t="n">
        <v>44721</v>
      </c>
      <c r="H216" s="89" t="b">
        <v>1</v>
      </c>
      <c r="I216" s="89" t="b">
        <v>1</v>
      </c>
      <c r="J216" s="91" t="n">
        <v>45272</v>
      </c>
      <c r="K216" s="91">
        <f>IF(I216=TRUE,J216,"")</f>
        <v/>
      </c>
      <c r="L216" s="91">
        <f>G216+730</f>
        <v/>
      </c>
      <c r="M216" s="91" t="n">
        <v>45382</v>
      </c>
      <c r="N216" s="92">
        <f>IFERROR(IF(G216&lt;&gt;"",IF(I216=TRUE,0,IF(U216=TRUE,0,L216-M216)),0),0)</f>
        <v/>
      </c>
      <c r="O216" s="92">
        <f>IF(N216&gt;0,IF(N216&lt;=180,N216,0),0)</f>
        <v/>
      </c>
      <c r="P216" s="90">
        <f>IF(AND(N216&lt;90,N216&gt;0),Q216,0)</f>
        <v/>
      </c>
      <c r="Q216" s="90">
        <f>SUMIFS(Investors!$M:$M,Investors!$O:$O,FALSE,Investors!$P:$P,FALSE,Investors!$K:$K,"&gt;"&amp;'NSST Print'!$B$3,Investors!$I:$I,"&lt;="&amp;'NSST Print'!$B$3,Investors!$A:$A,'Investor Exit List'!$A216,Investors!$E:$E,'Investor Exit List'!$C216,Investors!$L:$L,'Investor Exit List'!$B216)-(SUMIFS(Investors!$M:$M,Investors!$I:$I,"&lt;="&amp;'NSST Print'!$B$3,Investors!$J:$J,"&gt;"&amp;'NSST Print'!$B$3,Investors!$A:$A,'Investor Exit List'!$A216,Investors!$E:$E,'Investor Exit List'!$C216,Investors!$L:$L,'Investor Exit List'!$B216)+SUMIFS(Investors!$M:$M,Investors!$I:$I,"&lt;="&amp;'NSST Print'!$B$3,Investors!$J:$J,"",Investors!$A:$A,'Investor Exit List'!$A216,Investors!$E:$E,'Investor Exit List'!$C216,Investors!$L:$L,'Investor Exit List'!$B216))+SUMIFS(Investors!$S:$S,Investors!$O:$O,FALSE,Investors!$P:$P,FALSE,Investors!$K:$K,"&gt;"&amp;'NSST Print'!$B$3,Investors!$I:$I,"&lt;="&amp;'NSST Print'!$B$3,Investors!$A:$A,'Investor Exit List'!$A216,Investors!$E:$E,'Investor Exit List'!$C216,Investors!$L:$L,'Investor Exit List'!$B216)-(SUMIFS(Investors!$S:$S,Investors!$I:$I,"&lt;="&amp;'NSST Print'!$B$3,Investors!$J:$J,"&gt;"&amp;'NSST Print'!$B$3,Investors!$A:$A,'Investor Exit List'!$A216,Investors!$E:$E,'Investor Exit List'!$C216,Investors!$L:$L,'Investor Exit List'!$B216)+SUMIFS(Investors!$S:$S,Investors!$I:$I,"&lt;="&amp;'NSST Print'!$B$3,Investors!$J:$J,"",Investors!$A:$A,'Investor Exit List'!$A216,Investors!$E:$E,'Investor Exit List'!$C216,Investors!$L:$L,'Investor Exit List'!$B216))</f>
        <v/>
      </c>
      <c r="R216" s="90">
        <f>IF(AND(H216=TRUE,I216=FALSE),Q216,0)</f>
        <v/>
      </c>
      <c r="S216" s="90">
        <f>SUMIFS(Investors!$M:$M,Investors!$O:$O,TRUE,Investors!$A:$A,'Investor Exit List'!$A216,Investors!$E:$E,'Investor Exit List'!$C216,Investors!$L:$L,'Investor Exit List'!$B216)+SUMIFS(Investors!$S:$S,Investors!$O:$O,TRUE,Investors!$A:$A,'Investor Exit List'!$A216,Investors!$E:$E,'Investor Exit List'!$C216,Investors!$L:$L,'Investor Exit List'!$B216)</f>
        <v/>
      </c>
      <c r="T216" s="91">
        <f>IF(U216=TRUE,$J216,"")</f>
        <v/>
      </c>
      <c r="U216" s="89" t="b">
        <v>1</v>
      </c>
      <c r="V216" s="90">
        <f>IF(AND(H216=TRUE,OR(K216="",K216&gt;M216)),S216,0)</f>
        <v/>
      </c>
      <c r="W216" s="89" t="n">
        <v>0</v>
      </c>
      <c r="X216" s="89" t="b">
        <v>0</v>
      </c>
    </row>
    <row r="217">
      <c r="A217" s="97" t="inlineStr">
        <is>
          <t>ZFER01</t>
        </is>
      </c>
      <c r="B217" s="97" t="n">
        <v>2</v>
      </c>
      <c r="C217" s="97" t="inlineStr">
        <is>
          <t>HVD202</t>
        </is>
      </c>
      <c r="D217" s="97" t="inlineStr">
        <is>
          <t>D</t>
        </is>
      </c>
      <c r="E217" s="97" t="inlineStr">
        <is>
          <t>Ferreira Leon</t>
        </is>
      </c>
      <c r="F217" s="98">
        <f>SUMIFS(Investors!$M:$M,Investors!$O:$O,FALSE,Investors!$P:$P,FALSE,Investors!$K:$K,"&gt;"&amp;'NSST Print'!$B$3,Investors!$I:$I,"&lt;="&amp;'NSST Print'!$B$3,Investors!$A:$A,'Investor Exit List'!$A217,Investors!$E:$E,'Investor Exit List'!$C217,Investors!$L:$L,'Investor Exit List'!$B217)-(SUMIFS(Investors!$M:$M,Investors!$I:$I,"&lt;="&amp;'NSST Print'!$B$3,Investors!$J:$J,"&gt;"&amp;'NSST Print'!$B$3,Investors!$A:$A,'Investor Exit List'!$A217,Investors!$E:$E,'Investor Exit List'!$C217,Investors!$L:$L,'Investor Exit List'!$B217)+SUMIFS(Investors!$M:$M,Investors!$I:$I,"&lt;="&amp;'NSST Print'!$B$3,Investors!$J:$J,"",Investors!$A:$A,'Investor Exit List'!$A217,Investors!$E:$E,'Investor Exit List'!$C217,Investors!$L:$L,'Investor Exit List'!$B217))</f>
        <v/>
      </c>
      <c r="G217" s="99" t="n">
        <v>44791</v>
      </c>
      <c r="H217" s="97" t="b">
        <v>1</v>
      </c>
      <c r="I217" s="97" t="b">
        <v>0</v>
      </c>
      <c r="J217" s="99" t="n">
        <v>45415</v>
      </c>
      <c r="K217" s="99">
        <f>IF(I217=TRUE,J217,"")</f>
        <v/>
      </c>
      <c r="L217" s="99">
        <f>G217+730</f>
        <v/>
      </c>
      <c r="M217" s="99" t="n">
        <v>45382</v>
      </c>
      <c r="N217" s="100">
        <f>IFERROR(IF(G217&lt;&gt;"",IF(I217=TRUE,0,IF(U217=TRUE,0,L217-M217)),0),0)</f>
        <v/>
      </c>
      <c r="O217" s="100">
        <f>IF(N217&gt;0,IF(N217&lt;=180,N217,0),0)</f>
        <v/>
      </c>
      <c r="P217" s="98">
        <f>IF(AND(N217&lt;90,N217&gt;0),Q217,0)</f>
        <v/>
      </c>
      <c r="Q217" s="98">
        <f>SUMIFS(Investors!$M:$M,Investors!$O:$O,FALSE,Investors!$P:$P,FALSE,Investors!$K:$K,"&gt;"&amp;'NSST Print'!$B$3,Investors!$I:$I,"&lt;="&amp;'NSST Print'!$B$3,Investors!$A:$A,'Investor Exit List'!$A217,Investors!$E:$E,'Investor Exit List'!$C217,Investors!$L:$L,'Investor Exit List'!$B217)-(SUMIFS(Investors!$M:$M,Investors!$I:$I,"&lt;="&amp;'NSST Print'!$B$3,Investors!$J:$J,"&gt;"&amp;'NSST Print'!$B$3,Investors!$A:$A,'Investor Exit List'!$A217,Investors!$E:$E,'Investor Exit List'!$C217,Investors!$L:$L,'Investor Exit List'!$B217)+SUMIFS(Investors!$M:$M,Investors!$I:$I,"&lt;="&amp;'NSST Print'!$B$3,Investors!$J:$J,"",Investors!$A:$A,'Investor Exit List'!$A217,Investors!$E:$E,'Investor Exit List'!$C217,Investors!$L:$L,'Investor Exit List'!$B217))+SUMIFS(Investors!$S:$S,Investors!$O:$O,FALSE,Investors!$P:$P,FALSE,Investors!$K:$K,"&gt;"&amp;'NSST Print'!$B$3,Investors!$I:$I,"&lt;="&amp;'NSST Print'!$B$3,Investors!$A:$A,'Investor Exit List'!$A217,Investors!$E:$E,'Investor Exit List'!$C217,Investors!$L:$L,'Investor Exit List'!$B217)-(SUMIFS(Investors!$S:$S,Investors!$I:$I,"&lt;="&amp;'NSST Print'!$B$3,Investors!$J:$J,"&gt;"&amp;'NSST Print'!$B$3,Investors!$A:$A,'Investor Exit List'!$A217,Investors!$E:$E,'Investor Exit List'!$C217,Investors!$L:$L,'Investor Exit List'!$B217)+SUMIFS(Investors!$S:$S,Investors!$I:$I,"&lt;="&amp;'NSST Print'!$B$3,Investors!$J:$J,"",Investors!$A:$A,'Investor Exit List'!$A217,Investors!$E:$E,'Investor Exit List'!$C217,Investors!$L:$L,'Investor Exit List'!$B217))</f>
        <v/>
      </c>
      <c r="R217" s="98">
        <f>IF(AND(H217=TRUE,I217=FALSE),Q217,0)</f>
        <v/>
      </c>
      <c r="S217" s="98">
        <f>SUMIFS(Investors!$M:$M,Investors!$O:$O,TRUE,Investors!$A:$A,'Investor Exit List'!$A217,Investors!$E:$E,'Investor Exit List'!$C217,Investors!$L:$L,'Investor Exit List'!$B217)+SUMIFS(Investors!$S:$S,Investors!$O:$O,TRUE,Investors!$A:$A,'Investor Exit List'!$A217,Investors!$E:$E,'Investor Exit List'!$C217,Investors!$L:$L,'Investor Exit List'!$B217)</f>
        <v/>
      </c>
      <c r="T217" s="99">
        <f>IF(U217=TRUE,$J217,"")</f>
        <v/>
      </c>
      <c r="U217" s="97" t="b">
        <v>0</v>
      </c>
      <c r="V217" s="98">
        <f>IF(AND(H217=TRUE,OR(K217="",K217&gt;M217)),S217,0)</f>
        <v/>
      </c>
      <c r="W217" s="97" t="n">
        <v>0</v>
      </c>
      <c r="X217" s="97" t="b">
        <v>0</v>
      </c>
    </row>
    <row r="218">
      <c r="A218" s="97" t="inlineStr">
        <is>
          <t>ZHAR01</t>
        </is>
      </c>
      <c r="B218" s="97" t="n">
        <v>2</v>
      </c>
      <c r="C218" s="97" t="inlineStr">
        <is>
          <t>HVD202</t>
        </is>
      </c>
      <c r="D218" s="97" t="inlineStr">
        <is>
          <t>D</t>
        </is>
      </c>
      <c r="E218" s="97" t="inlineStr">
        <is>
          <t>Hart Terry Anne</t>
        </is>
      </c>
      <c r="F218" s="98">
        <f>SUMIFS(Investors!$M:$M,Investors!$O:$O,FALSE,Investors!$P:$P,FALSE,Investors!$K:$K,"&gt;"&amp;'NSST Print'!$B$3,Investors!$I:$I,"&lt;="&amp;'NSST Print'!$B$3,Investors!$A:$A,'Investor Exit List'!$A218,Investors!$E:$E,'Investor Exit List'!$C218,Investors!$L:$L,'Investor Exit List'!$B218)-(SUMIFS(Investors!$M:$M,Investors!$I:$I,"&lt;="&amp;'NSST Print'!$B$3,Investors!$J:$J,"&gt;"&amp;'NSST Print'!$B$3,Investors!$A:$A,'Investor Exit List'!$A218,Investors!$E:$E,'Investor Exit List'!$C218,Investors!$L:$L,'Investor Exit List'!$B218)+SUMIFS(Investors!$M:$M,Investors!$I:$I,"&lt;="&amp;'NSST Print'!$B$3,Investors!$J:$J,"",Investors!$A:$A,'Investor Exit List'!$A218,Investors!$E:$E,'Investor Exit List'!$C218,Investors!$L:$L,'Investor Exit List'!$B218))</f>
        <v/>
      </c>
      <c r="G218" s="99" t="n">
        <v>44735</v>
      </c>
      <c r="H218" s="97" t="b">
        <v>1</v>
      </c>
      <c r="I218" s="97" t="b">
        <v>0</v>
      </c>
      <c r="J218" s="99" t="n">
        <v>45415</v>
      </c>
      <c r="K218" s="99">
        <f>IF(I218=TRUE,J218,"")</f>
        <v/>
      </c>
      <c r="L218" s="99">
        <f>G218+730</f>
        <v/>
      </c>
      <c r="M218" s="99" t="n">
        <v>45382</v>
      </c>
      <c r="N218" s="100">
        <f>IFERROR(IF(G218&lt;&gt;"",IF(I218=TRUE,0,IF(U218=TRUE,0,L218-M218)),0),0)</f>
        <v/>
      </c>
      <c r="O218" s="100">
        <f>IF(N218&gt;0,IF(N218&lt;=180,N218,0),0)</f>
        <v/>
      </c>
      <c r="P218" s="98">
        <f>IF(AND(N218&lt;90,N218&gt;0),Q218,0)</f>
        <v/>
      </c>
      <c r="Q218" s="98">
        <f>SUMIFS(Investors!$M:$M,Investors!$O:$O,FALSE,Investors!$P:$P,FALSE,Investors!$K:$K,"&gt;"&amp;'NSST Print'!$B$3,Investors!$I:$I,"&lt;="&amp;'NSST Print'!$B$3,Investors!$A:$A,'Investor Exit List'!$A218,Investors!$E:$E,'Investor Exit List'!$C218,Investors!$L:$L,'Investor Exit List'!$B218)-(SUMIFS(Investors!$M:$M,Investors!$I:$I,"&lt;="&amp;'NSST Print'!$B$3,Investors!$J:$J,"&gt;"&amp;'NSST Print'!$B$3,Investors!$A:$A,'Investor Exit List'!$A218,Investors!$E:$E,'Investor Exit List'!$C218,Investors!$L:$L,'Investor Exit List'!$B218)+SUMIFS(Investors!$M:$M,Investors!$I:$I,"&lt;="&amp;'NSST Print'!$B$3,Investors!$J:$J,"",Investors!$A:$A,'Investor Exit List'!$A218,Investors!$E:$E,'Investor Exit List'!$C218,Investors!$L:$L,'Investor Exit List'!$B218))+SUMIFS(Investors!$S:$S,Investors!$O:$O,FALSE,Investors!$P:$P,FALSE,Investors!$K:$K,"&gt;"&amp;'NSST Print'!$B$3,Investors!$I:$I,"&lt;="&amp;'NSST Print'!$B$3,Investors!$A:$A,'Investor Exit List'!$A218,Investors!$E:$E,'Investor Exit List'!$C218,Investors!$L:$L,'Investor Exit List'!$B218)-(SUMIFS(Investors!$S:$S,Investors!$I:$I,"&lt;="&amp;'NSST Print'!$B$3,Investors!$J:$J,"&gt;"&amp;'NSST Print'!$B$3,Investors!$A:$A,'Investor Exit List'!$A218,Investors!$E:$E,'Investor Exit List'!$C218,Investors!$L:$L,'Investor Exit List'!$B218)+SUMIFS(Investors!$S:$S,Investors!$I:$I,"&lt;="&amp;'NSST Print'!$B$3,Investors!$J:$J,"",Investors!$A:$A,'Investor Exit List'!$A218,Investors!$E:$E,'Investor Exit List'!$C218,Investors!$L:$L,'Investor Exit List'!$B218))</f>
        <v/>
      </c>
      <c r="R218" s="98">
        <f>IF(AND(H218=TRUE,I218=FALSE),Q218,0)</f>
        <v/>
      </c>
      <c r="S218" s="98">
        <f>SUMIFS(Investors!$M:$M,Investors!$O:$O,TRUE,Investors!$A:$A,'Investor Exit List'!$A218,Investors!$E:$E,'Investor Exit List'!$C218,Investors!$L:$L,'Investor Exit List'!$B218)+SUMIFS(Investors!$S:$S,Investors!$O:$O,TRUE,Investors!$A:$A,'Investor Exit List'!$A218,Investors!$E:$E,'Investor Exit List'!$C218,Investors!$L:$L,'Investor Exit List'!$B218)</f>
        <v/>
      </c>
      <c r="T218" s="99">
        <f>IF(U218=TRUE,$J218,"")</f>
        <v/>
      </c>
      <c r="U218" s="97" t="b">
        <v>0</v>
      </c>
      <c r="V218" s="98">
        <f>IF(AND(H218=TRUE,OR(K218="",K218&gt;M218)),S218,0)</f>
        <v/>
      </c>
      <c r="W218" s="97" t="n">
        <v>0</v>
      </c>
      <c r="X218" s="97" t="b">
        <v>0</v>
      </c>
    </row>
    <row r="219">
      <c r="A219" s="97" t="inlineStr">
        <is>
          <t>ZJAN01</t>
        </is>
      </c>
      <c r="B219" s="97" t="n">
        <v>2</v>
      </c>
      <c r="C219" s="97" t="inlineStr">
        <is>
          <t>HVD202</t>
        </is>
      </c>
      <c r="D219" s="97" t="inlineStr">
        <is>
          <t>D</t>
        </is>
      </c>
      <c r="E219" s="97" t="inlineStr">
        <is>
          <t>Jansen van Rensburg Petrus Johannes</t>
        </is>
      </c>
      <c r="F219" s="98">
        <f>SUMIFS(Investors!$M:$M,Investors!$O:$O,FALSE,Investors!$P:$P,FALSE,Investors!$K:$K,"&gt;"&amp;'NSST Print'!$B$3,Investors!$I:$I,"&lt;="&amp;'NSST Print'!$B$3,Investors!$A:$A,'Investor Exit List'!$A219,Investors!$E:$E,'Investor Exit List'!$C219,Investors!$L:$L,'Investor Exit List'!$B219)-(SUMIFS(Investors!$M:$M,Investors!$I:$I,"&lt;="&amp;'NSST Print'!$B$3,Investors!$J:$J,"&gt;"&amp;'NSST Print'!$B$3,Investors!$A:$A,'Investor Exit List'!$A219,Investors!$E:$E,'Investor Exit List'!$C219,Investors!$L:$L,'Investor Exit List'!$B219)+SUMIFS(Investors!$M:$M,Investors!$I:$I,"&lt;="&amp;'NSST Print'!$B$3,Investors!$J:$J,"",Investors!$A:$A,'Investor Exit List'!$A219,Investors!$E:$E,'Investor Exit List'!$C219,Investors!$L:$L,'Investor Exit List'!$B219))</f>
        <v/>
      </c>
      <c r="G219" s="99" t="n">
        <v>44721</v>
      </c>
      <c r="H219" s="97" t="b">
        <v>1</v>
      </c>
      <c r="I219" s="97" t="b">
        <v>0</v>
      </c>
      <c r="J219" s="99" t="n">
        <v>45415</v>
      </c>
      <c r="K219" s="99">
        <f>IF(I219=TRUE,J219,"")</f>
        <v/>
      </c>
      <c r="L219" s="99">
        <f>G219+730</f>
        <v/>
      </c>
      <c r="M219" s="99" t="n">
        <v>45382</v>
      </c>
      <c r="N219" s="100">
        <f>IFERROR(IF(G219&lt;&gt;"",IF(I219=TRUE,0,IF(U219=TRUE,0,L219-M219)),0),0)</f>
        <v/>
      </c>
      <c r="O219" s="100">
        <f>IF(N219&gt;0,IF(N219&lt;=180,N219,0),0)</f>
        <v/>
      </c>
      <c r="P219" s="98">
        <f>IF(AND(N219&lt;90,N219&gt;0),Q219,0)</f>
        <v/>
      </c>
      <c r="Q219" s="98">
        <f>SUMIFS(Investors!$M:$M,Investors!$O:$O,FALSE,Investors!$P:$P,FALSE,Investors!$K:$K,"&gt;"&amp;'NSST Print'!$B$3,Investors!$I:$I,"&lt;="&amp;'NSST Print'!$B$3,Investors!$A:$A,'Investor Exit List'!$A219,Investors!$E:$E,'Investor Exit List'!$C219,Investors!$L:$L,'Investor Exit List'!$B219)-(SUMIFS(Investors!$M:$M,Investors!$I:$I,"&lt;="&amp;'NSST Print'!$B$3,Investors!$J:$J,"&gt;"&amp;'NSST Print'!$B$3,Investors!$A:$A,'Investor Exit List'!$A219,Investors!$E:$E,'Investor Exit List'!$C219,Investors!$L:$L,'Investor Exit List'!$B219)+SUMIFS(Investors!$M:$M,Investors!$I:$I,"&lt;="&amp;'NSST Print'!$B$3,Investors!$J:$J,"",Investors!$A:$A,'Investor Exit List'!$A219,Investors!$E:$E,'Investor Exit List'!$C219,Investors!$L:$L,'Investor Exit List'!$B219))+SUMIFS(Investors!$S:$S,Investors!$O:$O,FALSE,Investors!$P:$P,FALSE,Investors!$K:$K,"&gt;"&amp;'NSST Print'!$B$3,Investors!$I:$I,"&lt;="&amp;'NSST Print'!$B$3,Investors!$A:$A,'Investor Exit List'!$A219,Investors!$E:$E,'Investor Exit List'!$C219,Investors!$L:$L,'Investor Exit List'!$B219)-(SUMIFS(Investors!$S:$S,Investors!$I:$I,"&lt;="&amp;'NSST Print'!$B$3,Investors!$J:$J,"&gt;"&amp;'NSST Print'!$B$3,Investors!$A:$A,'Investor Exit List'!$A219,Investors!$E:$E,'Investor Exit List'!$C219,Investors!$L:$L,'Investor Exit List'!$B219)+SUMIFS(Investors!$S:$S,Investors!$I:$I,"&lt;="&amp;'NSST Print'!$B$3,Investors!$J:$J,"",Investors!$A:$A,'Investor Exit List'!$A219,Investors!$E:$E,'Investor Exit List'!$C219,Investors!$L:$L,'Investor Exit List'!$B219))</f>
        <v/>
      </c>
      <c r="R219" s="98">
        <f>IF(AND(H219=TRUE,I219=FALSE),Q219,0)</f>
        <v/>
      </c>
      <c r="S219" s="98">
        <f>SUMIFS(Investors!$M:$M,Investors!$O:$O,TRUE,Investors!$A:$A,'Investor Exit List'!$A219,Investors!$E:$E,'Investor Exit List'!$C219,Investors!$L:$L,'Investor Exit List'!$B219)+SUMIFS(Investors!$S:$S,Investors!$O:$O,TRUE,Investors!$A:$A,'Investor Exit List'!$A219,Investors!$E:$E,'Investor Exit List'!$C219,Investors!$L:$L,'Investor Exit List'!$B219)</f>
        <v/>
      </c>
      <c r="T219" s="99">
        <f>IF(U219=TRUE,$J219,"")</f>
        <v/>
      </c>
      <c r="U219" s="97" t="b">
        <v>0</v>
      </c>
      <c r="V219" s="98">
        <f>IF(AND(H219=TRUE,OR(K219="",K219&gt;M219)),S219,0)</f>
        <v/>
      </c>
      <c r="W219" s="97" t="n">
        <v>0</v>
      </c>
      <c r="X219" s="97" t="b">
        <v>0</v>
      </c>
    </row>
    <row r="220">
      <c r="A220" s="97" t="inlineStr">
        <is>
          <t>ZSON01</t>
        </is>
      </c>
      <c r="B220" s="97" t="n">
        <v>12</v>
      </c>
      <c r="C220" s="97" t="inlineStr">
        <is>
          <t>HVD202</t>
        </is>
      </c>
      <c r="D220" s="97" t="inlineStr">
        <is>
          <t>D</t>
        </is>
      </c>
      <c r="E220" s="97" t="inlineStr">
        <is>
          <t>Maduna Charles</t>
        </is>
      </c>
      <c r="F220" s="98">
        <f>SUMIFS(Investors!$M:$M,Investors!$O:$O,FALSE,Investors!$P:$P,FALSE,Investors!$K:$K,"&gt;"&amp;'NSST Print'!$B$3,Investors!$I:$I,"&lt;="&amp;'NSST Print'!$B$3,Investors!$A:$A,'Investor Exit List'!$A220,Investors!$E:$E,'Investor Exit List'!$C220,Investors!$L:$L,'Investor Exit List'!$B220)-(SUMIFS(Investors!$M:$M,Investors!$I:$I,"&lt;="&amp;'NSST Print'!$B$3,Investors!$J:$J,"&gt;"&amp;'NSST Print'!$B$3,Investors!$A:$A,'Investor Exit List'!$A220,Investors!$E:$E,'Investor Exit List'!$C220,Investors!$L:$L,'Investor Exit List'!$B220)+SUMIFS(Investors!$M:$M,Investors!$I:$I,"&lt;="&amp;'NSST Print'!$B$3,Investors!$J:$J,"",Investors!$A:$A,'Investor Exit List'!$A220,Investors!$E:$E,'Investor Exit List'!$C220,Investors!$L:$L,'Investor Exit List'!$B220))</f>
        <v/>
      </c>
      <c r="G220" s="99" t="n">
        <v>44819</v>
      </c>
      <c r="H220" s="97" t="b">
        <v>1</v>
      </c>
      <c r="I220" s="97" t="b">
        <v>0</v>
      </c>
      <c r="J220" s="99" t="n">
        <v>45415</v>
      </c>
      <c r="K220" s="99">
        <f>IF(I220=TRUE,J220,"")</f>
        <v/>
      </c>
      <c r="L220" s="99">
        <f>G220+730</f>
        <v/>
      </c>
      <c r="M220" s="99" t="n">
        <v>45382</v>
      </c>
      <c r="N220" s="100">
        <f>IFERROR(IF(G220&lt;&gt;"",IF(I220=TRUE,0,IF(U220=TRUE,0,L220-M220)),0),0)</f>
        <v/>
      </c>
      <c r="O220" s="100">
        <f>IF(N220&gt;0,IF(N220&lt;=180,N220,0),0)</f>
        <v/>
      </c>
      <c r="P220" s="98">
        <f>IF(AND(N220&lt;90,N220&gt;0),Q220,0)</f>
        <v/>
      </c>
      <c r="Q220" s="98">
        <f>SUMIFS(Investors!$M:$M,Investors!$O:$O,FALSE,Investors!$P:$P,FALSE,Investors!$K:$K,"&gt;"&amp;'NSST Print'!$B$3,Investors!$I:$I,"&lt;="&amp;'NSST Print'!$B$3,Investors!$A:$A,'Investor Exit List'!$A220,Investors!$E:$E,'Investor Exit List'!$C220,Investors!$L:$L,'Investor Exit List'!$B220)-(SUMIFS(Investors!$M:$M,Investors!$I:$I,"&lt;="&amp;'NSST Print'!$B$3,Investors!$J:$J,"&gt;"&amp;'NSST Print'!$B$3,Investors!$A:$A,'Investor Exit List'!$A220,Investors!$E:$E,'Investor Exit List'!$C220,Investors!$L:$L,'Investor Exit List'!$B220)+SUMIFS(Investors!$M:$M,Investors!$I:$I,"&lt;="&amp;'NSST Print'!$B$3,Investors!$J:$J,"",Investors!$A:$A,'Investor Exit List'!$A220,Investors!$E:$E,'Investor Exit List'!$C220,Investors!$L:$L,'Investor Exit List'!$B220))+SUMIFS(Investors!$S:$S,Investors!$O:$O,FALSE,Investors!$P:$P,FALSE,Investors!$K:$K,"&gt;"&amp;'NSST Print'!$B$3,Investors!$I:$I,"&lt;="&amp;'NSST Print'!$B$3,Investors!$A:$A,'Investor Exit List'!$A220,Investors!$E:$E,'Investor Exit List'!$C220,Investors!$L:$L,'Investor Exit List'!$B220)-(SUMIFS(Investors!$S:$S,Investors!$I:$I,"&lt;="&amp;'NSST Print'!$B$3,Investors!$J:$J,"&gt;"&amp;'NSST Print'!$B$3,Investors!$A:$A,'Investor Exit List'!$A220,Investors!$E:$E,'Investor Exit List'!$C220,Investors!$L:$L,'Investor Exit List'!$B220)+SUMIFS(Investors!$S:$S,Investors!$I:$I,"&lt;="&amp;'NSST Print'!$B$3,Investors!$J:$J,"",Investors!$A:$A,'Investor Exit List'!$A220,Investors!$E:$E,'Investor Exit List'!$C220,Investors!$L:$L,'Investor Exit List'!$B220))</f>
        <v/>
      </c>
      <c r="R220" s="98">
        <f>IF(AND(H220=TRUE,I220=FALSE),Q220,0)</f>
        <v/>
      </c>
      <c r="S220" s="98">
        <f>SUMIFS(Investors!$M:$M,Investors!$O:$O,TRUE,Investors!$A:$A,'Investor Exit List'!$A220,Investors!$E:$E,'Investor Exit List'!$C220,Investors!$L:$L,'Investor Exit List'!$B220)+SUMIFS(Investors!$S:$S,Investors!$O:$O,TRUE,Investors!$A:$A,'Investor Exit List'!$A220,Investors!$E:$E,'Investor Exit List'!$C220,Investors!$L:$L,'Investor Exit List'!$B220)</f>
        <v/>
      </c>
      <c r="T220" s="99">
        <f>IF(U220=TRUE,$J220,"")</f>
        <v/>
      </c>
      <c r="U220" s="97" t="b">
        <v>0</v>
      </c>
      <c r="V220" s="98">
        <f>IF(AND(H220=TRUE,OR(K220="",K220&gt;M220)),S220,0)</f>
        <v/>
      </c>
      <c r="W220" s="97" t="n">
        <v>0</v>
      </c>
      <c r="X220" s="97" t="b">
        <v>0</v>
      </c>
    </row>
    <row r="221">
      <c r="A221" s="97" t="inlineStr">
        <is>
          <t>ZWEL01</t>
        </is>
      </c>
      <c r="B221" s="97" t="n">
        <v>3</v>
      </c>
      <c r="C221" s="97" t="inlineStr">
        <is>
          <t>HVD202</t>
        </is>
      </c>
      <c r="D221" s="97" t="inlineStr">
        <is>
          <t>D</t>
        </is>
      </c>
      <c r="E221" s="97" t="inlineStr">
        <is>
          <t>Welham Christopher John</t>
        </is>
      </c>
      <c r="F221" s="98">
        <f>SUMIFS(Investors!$M:$M,Investors!$O:$O,FALSE,Investors!$P:$P,FALSE,Investors!$K:$K,"&gt;"&amp;'NSST Print'!$B$3,Investors!$I:$I,"&lt;="&amp;'NSST Print'!$B$3,Investors!$A:$A,'Investor Exit List'!$A221,Investors!$E:$E,'Investor Exit List'!$C221,Investors!$L:$L,'Investor Exit List'!$B221)-(SUMIFS(Investors!$M:$M,Investors!$I:$I,"&lt;="&amp;'NSST Print'!$B$3,Investors!$J:$J,"&gt;"&amp;'NSST Print'!$B$3,Investors!$A:$A,'Investor Exit List'!$A221,Investors!$E:$E,'Investor Exit List'!$C221,Investors!$L:$L,'Investor Exit List'!$B221)+SUMIFS(Investors!$M:$M,Investors!$I:$I,"&lt;="&amp;'NSST Print'!$B$3,Investors!$J:$J,"",Investors!$A:$A,'Investor Exit List'!$A221,Investors!$E:$E,'Investor Exit List'!$C221,Investors!$L:$L,'Investor Exit List'!$B221))</f>
        <v/>
      </c>
      <c r="G221" s="99" t="n">
        <v>44721</v>
      </c>
      <c r="H221" s="97" t="b">
        <v>1</v>
      </c>
      <c r="I221" s="97" t="b">
        <v>0</v>
      </c>
      <c r="J221" s="99" t="n">
        <v>45415</v>
      </c>
      <c r="K221" s="99">
        <f>IF(I221=TRUE,J221,"")</f>
        <v/>
      </c>
      <c r="L221" s="99">
        <f>G221+730</f>
        <v/>
      </c>
      <c r="M221" s="99" t="n">
        <v>45382</v>
      </c>
      <c r="N221" s="100">
        <f>IFERROR(IF(G221&lt;&gt;"",IF(I221=TRUE,0,IF(U221=TRUE,0,L221-M221)),0),0)</f>
        <v/>
      </c>
      <c r="O221" s="100">
        <f>IF(N221&gt;0,IF(N221&lt;=180,N221,0),0)</f>
        <v/>
      </c>
      <c r="P221" s="98">
        <f>IF(AND(N221&lt;90,N221&gt;0),Q221,0)</f>
        <v/>
      </c>
      <c r="Q221" s="98">
        <f>SUMIFS(Investors!$M:$M,Investors!$O:$O,FALSE,Investors!$P:$P,FALSE,Investors!$K:$K,"&gt;"&amp;'NSST Print'!$B$3,Investors!$I:$I,"&lt;="&amp;'NSST Print'!$B$3,Investors!$A:$A,'Investor Exit List'!$A221,Investors!$E:$E,'Investor Exit List'!$C221,Investors!$L:$L,'Investor Exit List'!$B221)-(SUMIFS(Investors!$M:$M,Investors!$I:$I,"&lt;="&amp;'NSST Print'!$B$3,Investors!$J:$J,"&gt;"&amp;'NSST Print'!$B$3,Investors!$A:$A,'Investor Exit List'!$A221,Investors!$E:$E,'Investor Exit List'!$C221,Investors!$L:$L,'Investor Exit List'!$B221)+SUMIFS(Investors!$M:$M,Investors!$I:$I,"&lt;="&amp;'NSST Print'!$B$3,Investors!$J:$J,"",Investors!$A:$A,'Investor Exit List'!$A221,Investors!$E:$E,'Investor Exit List'!$C221,Investors!$L:$L,'Investor Exit List'!$B221))+SUMIFS(Investors!$S:$S,Investors!$O:$O,FALSE,Investors!$P:$P,FALSE,Investors!$K:$K,"&gt;"&amp;'NSST Print'!$B$3,Investors!$I:$I,"&lt;="&amp;'NSST Print'!$B$3,Investors!$A:$A,'Investor Exit List'!$A221,Investors!$E:$E,'Investor Exit List'!$C221,Investors!$L:$L,'Investor Exit List'!$B221)-(SUMIFS(Investors!$S:$S,Investors!$I:$I,"&lt;="&amp;'NSST Print'!$B$3,Investors!$J:$J,"&gt;"&amp;'NSST Print'!$B$3,Investors!$A:$A,'Investor Exit List'!$A221,Investors!$E:$E,'Investor Exit List'!$C221,Investors!$L:$L,'Investor Exit List'!$B221)+SUMIFS(Investors!$S:$S,Investors!$I:$I,"&lt;="&amp;'NSST Print'!$B$3,Investors!$J:$J,"",Investors!$A:$A,'Investor Exit List'!$A221,Investors!$E:$E,'Investor Exit List'!$C221,Investors!$L:$L,'Investor Exit List'!$B221))</f>
        <v/>
      </c>
      <c r="R221" s="98">
        <f>IF(AND(H221=TRUE,I221=FALSE),Q221,0)</f>
        <v/>
      </c>
      <c r="S221" s="98">
        <f>SUMIFS(Investors!$M:$M,Investors!$O:$O,TRUE,Investors!$A:$A,'Investor Exit List'!$A221,Investors!$E:$E,'Investor Exit List'!$C221,Investors!$L:$L,'Investor Exit List'!$B221)+SUMIFS(Investors!$S:$S,Investors!$O:$O,TRUE,Investors!$A:$A,'Investor Exit List'!$A221,Investors!$E:$E,'Investor Exit List'!$C221,Investors!$L:$L,'Investor Exit List'!$B221)</f>
        <v/>
      </c>
      <c r="T221" s="99">
        <f>IF(U221=TRUE,$J221,"")</f>
        <v/>
      </c>
      <c r="U221" s="97" t="b">
        <v>0</v>
      </c>
      <c r="V221" s="98">
        <f>IF(AND(H221=TRUE,OR(K221="",K221&gt;M221)),S221,0)</f>
        <v/>
      </c>
      <c r="W221" s="97" t="n">
        <v>0</v>
      </c>
      <c r="X221" s="97" t="b">
        <v>0</v>
      </c>
    </row>
    <row r="222" hidden="1">
      <c r="A222" s="89" t="inlineStr">
        <is>
          <t>ZDIC01</t>
        </is>
      </c>
      <c r="B222" s="89" t="n">
        <v>8</v>
      </c>
      <c r="C222" s="89" t="inlineStr">
        <is>
          <t>HVD203</t>
        </is>
      </c>
      <c r="D222" s="89" t="inlineStr">
        <is>
          <t>D</t>
        </is>
      </c>
      <c r="E222" s="89" t="inlineStr">
        <is>
          <t>Dickinson Grant Allan</t>
        </is>
      </c>
      <c r="F222" s="90">
        <f>SUMIFS(Investors!$M:$M,Investors!$O:$O,FALSE,Investors!$P:$P,FALSE,Investors!$K:$K,"&gt;"&amp;'NSST Print'!$B$3,Investors!$I:$I,"&lt;="&amp;'NSST Print'!$B$3,Investors!$A:$A,'Investor Exit List'!$A222,Investors!$E:$E,'Investor Exit List'!$C222,Investors!$L:$L,'Investor Exit List'!$B222)-(SUMIFS(Investors!$M:$M,Investors!$I:$I,"&lt;="&amp;'NSST Print'!$B$3,Investors!$J:$J,"&gt;"&amp;'NSST Print'!$B$3,Investors!$A:$A,'Investor Exit List'!$A222,Investors!$E:$E,'Investor Exit List'!$C222,Investors!$L:$L,'Investor Exit List'!$B222)+SUMIFS(Investors!$M:$M,Investors!$I:$I,"&lt;="&amp;'NSST Print'!$B$3,Investors!$J:$J,"",Investors!$A:$A,'Investor Exit List'!$A222,Investors!$E:$E,'Investor Exit List'!$C222,Investors!$L:$L,'Investor Exit List'!$B222))</f>
        <v/>
      </c>
      <c r="G222" s="91" t="n">
        <v>44721</v>
      </c>
      <c r="H222" s="89" t="b">
        <v>1</v>
      </c>
      <c r="I222" s="89" t="b">
        <v>1</v>
      </c>
      <c r="J222" s="91" t="n">
        <v>45377</v>
      </c>
      <c r="K222" s="91">
        <f>IF(I222=TRUE,J222,"")</f>
        <v/>
      </c>
      <c r="L222" s="91">
        <f>G222+730</f>
        <v/>
      </c>
      <c r="M222" s="91" t="n">
        <v>45382</v>
      </c>
      <c r="N222" s="92">
        <f>IFERROR(IF(G222&lt;&gt;"",IF(I222=TRUE,0,IF(U222=TRUE,0,L222-M222)),0),0)</f>
        <v/>
      </c>
      <c r="O222" s="92">
        <f>IF(N222&gt;0,IF(N222&lt;=180,N222,0),0)</f>
        <v/>
      </c>
      <c r="P222" s="90">
        <f>IF(AND(N222&lt;90,N222&gt;0),Q222,0)</f>
        <v/>
      </c>
      <c r="Q222" s="90">
        <f>SUMIFS(Investors!$M:$M,Investors!$O:$O,FALSE,Investors!$P:$P,FALSE,Investors!$K:$K,"&gt;"&amp;'NSST Print'!$B$3,Investors!$I:$I,"&lt;="&amp;'NSST Print'!$B$3,Investors!$A:$A,'Investor Exit List'!$A222,Investors!$E:$E,'Investor Exit List'!$C222,Investors!$L:$L,'Investor Exit List'!$B222)-(SUMIFS(Investors!$M:$M,Investors!$I:$I,"&lt;="&amp;'NSST Print'!$B$3,Investors!$J:$J,"&gt;"&amp;'NSST Print'!$B$3,Investors!$A:$A,'Investor Exit List'!$A222,Investors!$E:$E,'Investor Exit List'!$C222,Investors!$L:$L,'Investor Exit List'!$B222)+SUMIFS(Investors!$M:$M,Investors!$I:$I,"&lt;="&amp;'NSST Print'!$B$3,Investors!$J:$J,"",Investors!$A:$A,'Investor Exit List'!$A222,Investors!$E:$E,'Investor Exit List'!$C222,Investors!$L:$L,'Investor Exit List'!$B222))+SUMIFS(Investors!$S:$S,Investors!$O:$O,FALSE,Investors!$P:$P,FALSE,Investors!$K:$K,"&gt;"&amp;'NSST Print'!$B$3,Investors!$I:$I,"&lt;="&amp;'NSST Print'!$B$3,Investors!$A:$A,'Investor Exit List'!$A222,Investors!$E:$E,'Investor Exit List'!$C222,Investors!$L:$L,'Investor Exit List'!$B222)-(SUMIFS(Investors!$S:$S,Investors!$I:$I,"&lt;="&amp;'NSST Print'!$B$3,Investors!$J:$J,"&gt;"&amp;'NSST Print'!$B$3,Investors!$A:$A,'Investor Exit List'!$A222,Investors!$E:$E,'Investor Exit List'!$C222,Investors!$L:$L,'Investor Exit List'!$B222)+SUMIFS(Investors!$S:$S,Investors!$I:$I,"&lt;="&amp;'NSST Print'!$B$3,Investors!$J:$J,"",Investors!$A:$A,'Investor Exit List'!$A222,Investors!$E:$E,'Investor Exit List'!$C222,Investors!$L:$L,'Investor Exit List'!$B222))</f>
        <v/>
      </c>
      <c r="R222" s="90">
        <f>IF(AND(H222=TRUE,I222=FALSE),Q222,0)</f>
        <v/>
      </c>
      <c r="S222" s="90">
        <f>SUMIFS(Investors!$M:$M,Investors!$O:$O,TRUE,Investors!$A:$A,'Investor Exit List'!$A222,Investors!$E:$E,'Investor Exit List'!$C222,Investors!$L:$L,'Investor Exit List'!$B222)+SUMIFS(Investors!$S:$S,Investors!$O:$O,TRUE,Investors!$A:$A,'Investor Exit List'!$A222,Investors!$E:$E,'Investor Exit List'!$C222,Investors!$L:$L,'Investor Exit List'!$B222)</f>
        <v/>
      </c>
      <c r="T222" s="91">
        <f>IF(U222=TRUE,$J222,"")</f>
        <v/>
      </c>
      <c r="U222" s="89" t="b">
        <v>0</v>
      </c>
      <c r="V222" s="90">
        <f>IF(AND(H222=TRUE,OR(K222="",K222&gt;M222)),S222,0)</f>
        <v/>
      </c>
      <c r="W222" s="89" t="n">
        <v>0</v>
      </c>
      <c r="X222" s="89" t="b">
        <v>0</v>
      </c>
    </row>
    <row r="223" hidden="1">
      <c r="A223" s="89" t="inlineStr">
        <is>
          <t>ZBOT01</t>
        </is>
      </c>
      <c r="B223" s="89" t="n">
        <v>4</v>
      </c>
      <c r="C223" s="89" t="inlineStr">
        <is>
          <t>HVD204</t>
        </is>
      </c>
      <c r="D223" s="89" t="inlineStr">
        <is>
          <t>D</t>
        </is>
      </c>
      <c r="E223" s="89" t="inlineStr">
        <is>
          <t>Botha Carina</t>
        </is>
      </c>
      <c r="F223" s="90">
        <f>SUMIFS(Investors!$M:$M,Investors!$O:$O,FALSE,Investors!$P:$P,FALSE,Investors!$K:$K,"&gt;"&amp;'NSST Print'!$B$3,Investors!$I:$I,"&lt;="&amp;'NSST Print'!$B$3,Investors!$A:$A,'Investor Exit List'!$A223,Investors!$E:$E,'Investor Exit List'!$C223,Investors!$L:$L,'Investor Exit List'!$B223)-(SUMIFS(Investors!$M:$M,Investors!$I:$I,"&lt;="&amp;'NSST Print'!$B$3,Investors!$J:$J,"&gt;"&amp;'NSST Print'!$B$3,Investors!$A:$A,'Investor Exit List'!$A223,Investors!$E:$E,'Investor Exit List'!$C223,Investors!$L:$L,'Investor Exit List'!$B223)+SUMIFS(Investors!$M:$M,Investors!$I:$I,"&lt;="&amp;'NSST Print'!$B$3,Investors!$J:$J,"",Investors!$A:$A,'Investor Exit List'!$A223,Investors!$E:$E,'Investor Exit List'!$C223,Investors!$L:$L,'Investor Exit List'!$B223))</f>
        <v/>
      </c>
      <c r="G223" s="91" t="n">
        <v>44719</v>
      </c>
      <c r="H223" s="89" t="b">
        <v>1</v>
      </c>
      <c r="I223" s="89" t="b">
        <v>1</v>
      </c>
      <c r="J223" s="91" t="n">
        <v>45330</v>
      </c>
      <c r="K223" s="91">
        <f>IF(I223=TRUE,J223,"")</f>
        <v/>
      </c>
      <c r="L223" s="91">
        <f>G223+730</f>
        <v/>
      </c>
      <c r="M223" s="91" t="n">
        <v>45382</v>
      </c>
      <c r="N223" s="92">
        <f>IFERROR(IF(G223&lt;&gt;"",IF(I223=TRUE,0,IF(U223=TRUE,0,L223-M223)),0),0)</f>
        <v/>
      </c>
      <c r="O223" s="92">
        <f>IF(N223&gt;0,IF(N223&lt;=180,N223,0),0)</f>
        <v/>
      </c>
      <c r="P223" s="90">
        <f>IF(AND(N223&lt;90,N223&gt;0),Q223,0)</f>
        <v/>
      </c>
      <c r="Q223" s="90">
        <f>SUMIFS(Investors!$M:$M,Investors!$O:$O,FALSE,Investors!$P:$P,FALSE,Investors!$K:$K,"&gt;"&amp;'NSST Print'!$B$3,Investors!$I:$I,"&lt;="&amp;'NSST Print'!$B$3,Investors!$A:$A,'Investor Exit List'!$A223,Investors!$E:$E,'Investor Exit List'!$C223,Investors!$L:$L,'Investor Exit List'!$B223)-(SUMIFS(Investors!$M:$M,Investors!$I:$I,"&lt;="&amp;'NSST Print'!$B$3,Investors!$J:$J,"&gt;"&amp;'NSST Print'!$B$3,Investors!$A:$A,'Investor Exit List'!$A223,Investors!$E:$E,'Investor Exit List'!$C223,Investors!$L:$L,'Investor Exit List'!$B223)+SUMIFS(Investors!$M:$M,Investors!$I:$I,"&lt;="&amp;'NSST Print'!$B$3,Investors!$J:$J,"",Investors!$A:$A,'Investor Exit List'!$A223,Investors!$E:$E,'Investor Exit List'!$C223,Investors!$L:$L,'Investor Exit List'!$B223))+SUMIFS(Investors!$S:$S,Investors!$O:$O,FALSE,Investors!$P:$P,FALSE,Investors!$K:$K,"&gt;"&amp;'NSST Print'!$B$3,Investors!$I:$I,"&lt;="&amp;'NSST Print'!$B$3,Investors!$A:$A,'Investor Exit List'!$A223,Investors!$E:$E,'Investor Exit List'!$C223,Investors!$L:$L,'Investor Exit List'!$B223)-(SUMIFS(Investors!$S:$S,Investors!$I:$I,"&lt;="&amp;'NSST Print'!$B$3,Investors!$J:$J,"&gt;"&amp;'NSST Print'!$B$3,Investors!$A:$A,'Investor Exit List'!$A223,Investors!$E:$E,'Investor Exit List'!$C223,Investors!$L:$L,'Investor Exit List'!$B223)+SUMIFS(Investors!$S:$S,Investors!$I:$I,"&lt;="&amp;'NSST Print'!$B$3,Investors!$J:$J,"",Investors!$A:$A,'Investor Exit List'!$A223,Investors!$E:$E,'Investor Exit List'!$C223,Investors!$L:$L,'Investor Exit List'!$B223))</f>
        <v/>
      </c>
      <c r="R223" s="90">
        <f>IF(AND(H223=TRUE,I223=FALSE),Q223,0)</f>
        <v/>
      </c>
      <c r="S223" s="90">
        <f>SUMIFS(Investors!$M:$M,Investors!$O:$O,TRUE,Investors!$A:$A,'Investor Exit List'!$A223,Investors!$E:$E,'Investor Exit List'!$C223,Investors!$L:$L,'Investor Exit List'!$B223)+SUMIFS(Investors!$S:$S,Investors!$O:$O,TRUE,Investors!$A:$A,'Investor Exit List'!$A223,Investors!$E:$E,'Investor Exit List'!$C223,Investors!$L:$L,'Investor Exit List'!$B223)</f>
        <v/>
      </c>
      <c r="T223" s="91">
        <f>IF(U223=TRUE,$J223,"")</f>
        <v/>
      </c>
      <c r="U223" s="89" t="b">
        <v>0</v>
      </c>
      <c r="V223" s="90">
        <f>IF(AND(H223=TRUE,OR(K223="",K223&gt;M223)),S223,0)</f>
        <v/>
      </c>
      <c r="W223" s="89" t="n">
        <v>0</v>
      </c>
      <c r="X223" s="89" t="b">
        <v>0</v>
      </c>
    </row>
    <row r="224" hidden="1">
      <c r="A224" s="89" t="inlineStr">
        <is>
          <t>ZNAT01</t>
        </is>
      </c>
      <c r="B224" s="89" t="n">
        <v>4</v>
      </c>
      <c r="C224" s="89" t="inlineStr">
        <is>
          <t>HVD204</t>
        </is>
      </c>
      <c r="D224" s="89" t="inlineStr">
        <is>
          <t>D</t>
        </is>
      </c>
      <c r="E224" s="89" t="inlineStr">
        <is>
          <t>Hlapolosa Thandekile Evelyn</t>
        </is>
      </c>
      <c r="F224" s="90">
        <f>SUMIFS(Investors!$M:$M,Investors!$O:$O,FALSE,Investors!$P:$P,FALSE,Investors!$K:$K,"&gt;"&amp;'NSST Print'!$B$3,Investors!$I:$I,"&lt;="&amp;'NSST Print'!$B$3,Investors!$A:$A,'Investor Exit List'!$A224,Investors!$E:$E,'Investor Exit List'!$C224,Investors!$L:$L,'Investor Exit List'!$B224)-(SUMIFS(Investors!$M:$M,Investors!$I:$I,"&lt;="&amp;'NSST Print'!$B$3,Investors!$J:$J,"&gt;"&amp;'NSST Print'!$B$3,Investors!$A:$A,'Investor Exit List'!$A224,Investors!$E:$E,'Investor Exit List'!$C224,Investors!$L:$L,'Investor Exit List'!$B224)+SUMIFS(Investors!$M:$M,Investors!$I:$I,"&lt;="&amp;'NSST Print'!$B$3,Investors!$J:$J,"",Investors!$A:$A,'Investor Exit List'!$A224,Investors!$E:$E,'Investor Exit List'!$C224,Investors!$L:$L,'Investor Exit List'!$B224))</f>
        <v/>
      </c>
      <c r="G224" s="91" t="n">
        <v>44735</v>
      </c>
      <c r="H224" s="89" t="b">
        <v>1</v>
      </c>
      <c r="I224" s="89" t="b">
        <v>1</v>
      </c>
      <c r="J224" s="91" t="n">
        <v>45233</v>
      </c>
      <c r="K224" s="91">
        <f>IF(I224=TRUE,J224,"")</f>
        <v/>
      </c>
      <c r="L224" s="91">
        <f>G224+730</f>
        <v/>
      </c>
      <c r="M224" s="91" t="n">
        <v>45382</v>
      </c>
      <c r="N224" s="92">
        <f>IFERROR(IF(G224&lt;&gt;"",IF(I224=TRUE,0,IF(U224=TRUE,0,L224-M224)),0),0)</f>
        <v/>
      </c>
      <c r="O224" s="92">
        <f>IF(N224&gt;0,IF(N224&lt;=180,N224,0),0)</f>
        <v/>
      </c>
      <c r="P224" s="90">
        <f>IF(AND(N224&lt;90,N224&gt;0),Q224,0)</f>
        <v/>
      </c>
      <c r="Q224" s="90">
        <f>SUMIFS(Investors!$M:$M,Investors!$O:$O,FALSE,Investors!$P:$P,FALSE,Investors!$K:$K,"&gt;"&amp;'NSST Print'!$B$3,Investors!$I:$I,"&lt;="&amp;'NSST Print'!$B$3,Investors!$A:$A,'Investor Exit List'!$A224,Investors!$E:$E,'Investor Exit List'!$C224,Investors!$L:$L,'Investor Exit List'!$B224)-(SUMIFS(Investors!$M:$M,Investors!$I:$I,"&lt;="&amp;'NSST Print'!$B$3,Investors!$J:$J,"&gt;"&amp;'NSST Print'!$B$3,Investors!$A:$A,'Investor Exit List'!$A224,Investors!$E:$E,'Investor Exit List'!$C224,Investors!$L:$L,'Investor Exit List'!$B224)+SUMIFS(Investors!$M:$M,Investors!$I:$I,"&lt;="&amp;'NSST Print'!$B$3,Investors!$J:$J,"",Investors!$A:$A,'Investor Exit List'!$A224,Investors!$E:$E,'Investor Exit List'!$C224,Investors!$L:$L,'Investor Exit List'!$B224))+SUMIFS(Investors!$S:$S,Investors!$O:$O,FALSE,Investors!$P:$P,FALSE,Investors!$K:$K,"&gt;"&amp;'NSST Print'!$B$3,Investors!$I:$I,"&lt;="&amp;'NSST Print'!$B$3,Investors!$A:$A,'Investor Exit List'!$A224,Investors!$E:$E,'Investor Exit List'!$C224,Investors!$L:$L,'Investor Exit List'!$B224)-(SUMIFS(Investors!$S:$S,Investors!$I:$I,"&lt;="&amp;'NSST Print'!$B$3,Investors!$J:$J,"&gt;"&amp;'NSST Print'!$B$3,Investors!$A:$A,'Investor Exit List'!$A224,Investors!$E:$E,'Investor Exit List'!$C224,Investors!$L:$L,'Investor Exit List'!$B224)+SUMIFS(Investors!$S:$S,Investors!$I:$I,"&lt;="&amp;'NSST Print'!$B$3,Investors!$J:$J,"",Investors!$A:$A,'Investor Exit List'!$A224,Investors!$E:$E,'Investor Exit List'!$C224,Investors!$L:$L,'Investor Exit List'!$B224))</f>
        <v/>
      </c>
      <c r="R224" s="90">
        <f>IF(AND(H224=TRUE,I224=FALSE),Q224,0)</f>
        <v/>
      </c>
      <c r="S224" s="90">
        <f>SUMIFS(Investors!$M:$M,Investors!$O:$O,TRUE,Investors!$A:$A,'Investor Exit List'!$A224,Investors!$E:$E,'Investor Exit List'!$C224,Investors!$L:$L,'Investor Exit List'!$B224)+SUMIFS(Investors!$S:$S,Investors!$O:$O,TRUE,Investors!$A:$A,'Investor Exit List'!$A224,Investors!$E:$E,'Investor Exit List'!$C224,Investors!$L:$L,'Investor Exit List'!$B224)</f>
        <v/>
      </c>
      <c r="T224" s="91">
        <f>IF(U224=TRUE,$J224,"")</f>
        <v/>
      </c>
      <c r="U224" s="89" t="b">
        <v>1</v>
      </c>
      <c r="V224" s="90">
        <f>IF(AND(H224=TRUE,OR(K224="",K224&gt;M224)),S224,0)</f>
        <v/>
      </c>
      <c r="W224" s="89" t="n">
        <v>0</v>
      </c>
      <c r="X224" s="89" t="b">
        <v>0</v>
      </c>
    </row>
    <row r="225" hidden="1">
      <c r="A225" s="89" t="inlineStr">
        <is>
          <t>ZSCH01</t>
        </is>
      </c>
      <c r="B225" s="89" t="n">
        <v>13</v>
      </c>
      <c r="C225" s="89" t="inlineStr">
        <is>
          <t>HVD204</t>
        </is>
      </c>
      <c r="D225" s="89" t="inlineStr">
        <is>
          <t>D</t>
        </is>
      </c>
      <c r="E225" s="89" t="inlineStr">
        <is>
          <t>Schubert Inge</t>
        </is>
      </c>
      <c r="F225" s="90">
        <f>SUMIFS(Investors!$M:$M,Investors!$O:$O,FALSE,Investors!$P:$P,FALSE,Investors!$K:$K,"&gt;"&amp;'NSST Print'!$B$3,Investors!$I:$I,"&lt;="&amp;'NSST Print'!$B$3,Investors!$A:$A,'Investor Exit List'!$A225,Investors!$E:$E,'Investor Exit List'!$C225,Investors!$L:$L,'Investor Exit List'!$B225)-(SUMIFS(Investors!$M:$M,Investors!$I:$I,"&lt;="&amp;'NSST Print'!$B$3,Investors!$J:$J,"&gt;"&amp;'NSST Print'!$B$3,Investors!$A:$A,'Investor Exit List'!$A225,Investors!$E:$E,'Investor Exit List'!$C225,Investors!$L:$L,'Investor Exit List'!$B225)+SUMIFS(Investors!$M:$M,Investors!$I:$I,"&lt;="&amp;'NSST Print'!$B$3,Investors!$J:$J,"",Investors!$A:$A,'Investor Exit List'!$A225,Investors!$E:$E,'Investor Exit List'!$C225,Investors!$L:$L,'Investor Exit List'!$B225))</f>
        <v/>
      </c>
      <c r="G225" s="91" t="n">
        <v>44719</v>
      </c>
      <c r="H225" s="89" t="b">
        <v>1</v>
      </c>
      <c r="I225" s="89" t="b">
        <v>1</v>
      </c>
      <c r="J225" s="91" t="n">
        <v>45330</v>
      </c>
      <c r="K225" s="91">
        <f>IF(I225=TRUE,J225,"")</f>
        <v/>
      </c>
      <c r="L225" s="91">
        <f>G225+730</f>
        <v/>
      </c>
      <c r="M225" s="91" t="n">
        <v>45382</v>
      </c>
      <c r="N225" s="92">
        <f>IFERROR(IF(G225&lt;&gt;"",IF(I225=TRUE,0,IF(U225=TRUE,0,L225-M225)),0),0)</f>
        <v/>
      </c>
      <c r="O225" s="92">
        <f>IF(N225&gt;0,IF(N225&lt;=180,N225,0),0)</f>
        <v/>
      </c>
      <c r="P225" s="90">
        <f>IF(AND(N225&lt;90,N225&gt;0),Q225,0)</f>
        <v/>
      </c>
      <c r="Q225" s="90">
        <f>SUMIFS(Investors!$M:$M,Investors!$O:$O,FALSE,Investors!$P:$P,FALSE,Investors!$K:$K,"&gt;"&amp;'NSST Print'!$B$3,Investors!$I:$I,"&lt;="&amp;'NSST Print'!$B$3,Investors!$A:$A,'Investor Exit List'!$A225,Investors!$E:$E,'Investor Exit List'!$C225,Investors!$L:$L,'Investor Exit List'!$B225)-(SUMIFS(Investors!$M:$M,Investors!$I:$I,"&lt;="&amp;'NSST Print'!$B$3,Investors!$J:$J,"&gt;"&amp;'NSST Print'!$B$3,Investors!$A:$A,'Investor Exit List'!$A225,Investors!$E:$E,'Investor Exit List'!$C225,Investors!$L:$L,'Investor Exit List'!$B225)+SUMIFS(Investors!$M:$M,Investors!$I:$I,"&lt;="&amp;'NSST Print'!$B$3,Investors!$J:$J,"",Investors!$A:$A,'Investor Exit List'!$A225,Investors!$E:$E,'Investor Exit List'!$C225,Investors!$L:$L,'Investor Exit List'!$B225))+SUMIFS(Investors!$S:$S,Investors!$O:$O,FALSE,Investors!$P:$P,FALSE,Investors!$K:$K,"&gt;"&amp;'NSST Print'!$B$3,Investors!$I:$I,"&lt;="&amp;'NSST Print'!$B$3,Investors!$A:$A,'Investor Exit List'!$A225,Investors!$E:$E,'Investor Exit List'!$C225,Investors!$L:$L,'Investor Exit List'!$B225)-(SUMIFS(Investors!$S:$S,Investors!$I:$I,"&lt;="&amp;'NSST Print'!$B$3,Investors!$J:$J,"&gt;"&amp;'NSST Print'!$B$3,Investors!$A:$A,'Investor Exit List'!$A225,Investors!$E:$E,'Investor Exit List'!$C225,Investors!$L:$L,'Investor Exit List'!$B225)+SUMIFS(Investors!$S:$S,Investors!$I:$I,"&lt;="&amp;'NSST Print'!$B$3,Investors!$J:$J,"",Investors!$A:$A,'Investor Exit List'!$A225,Investors!$E:$E,'Investor Exit List'!$C225,Investors!$L:$L,'Investor Exit List'!$B225))</f>
        <v/>
      </c>
      <c r="R225" s="90">
        <f>IF(AND(H225=TRUE,I225=FALSE),Q225,0)</f>
        <v/>
      </c>
      <c r="S225" s="90">
        <f>SUMIFS(Investors!$M:$M,Investors!$O:$O,TRUE,Investors!$A:$A,'Investor Exit List'!$A225,Investors!$E:$E,'Investor Exit List'!$C225,Investors!$L:$L,'Investor Exit List'!$B225)+SUMIFS(Investors!$S:$S,Investors!$O:$O,TRUE,Investors!$A:$A,'Investor Exit List'!$A225,Investors!$E:$E,'Investor Exit List'!$C225,Investors!$L:$L,'Investor Exit List'!$B225)</f>
        <v/>
      </c>
      <c r="T225" s="91">
        <f>IF(U225=TRUE,$J225,"")</f>
        <v/>
      </c>
      <c r="U225" s="89" t="b">
        <v>0</v>
      </c>
      <c r="V225" s="90">
        <f>IF(AND(H225=TRUE,OR(K225="",K225&gt;M225)),S225,0)</f>
        <v/>
      </c>
      <c r="W225" s="89" t="n">
        <v>0</v>
      </c>
      <c r="X225" s="89" t="b">
        <v>0</v>
      </c>
    </row>
    <row r="226" hidden="1">
      <c r="A226" s="89" t="inlineStr">
        <is>
          <t>ZSON01</t>
        </is>
      </c>
      <c r="B226" s="89" t="n">
        <v>11</v>
      </c>
      <c r="C226" s="89" t="inlineStr">
        <is>
          <t>HVD301</t>
        </is>
      </c>
      <c r="D226" s="89" t="inlineStr">
        <is>
          <t>D</t>
        </is>
      </c>
      <c r="E226" s="89" t="inlineStr">
        <is>
          <t>Maduna Charles</t>
        </is>
      </c>
      <c r="F226" s="90">
        <f>SUMIFS(Investors!$M:$M,Investors!$O:$O,FALSE,Investors!$P:$P,FALSE,Investors!$K:$K,"&gt;"&amp;'NSST Print'!$B$3,Investors!$I:$I,"&lt;="&amp;'NSST Print'!$B$3,Investors!$A:$A,'Investor Exit List'!$A226,Investors!$E:$E,'Investor Exit List'!$C226,Investors!$L:$L,'Investor Exit List'!$B226)-(SUMIFS(Investors!$M:$M,Investors!$I:$I,"&lt;="&amp;'NSST Print'!$B$3,Investors!$J:$J,"&gt;"&amp;'NSST Print'!$B$3,Investors!$A:$A,'Investor Exit List'!$A226,Investors!$E:$E,'Investor Exit List'!$C226,Investors!$L:$L,'Investor Exit List'!$B226)+SUMIFS(Investors!$M:$M,Investors!$I:$I,"&lt;="&amp;'NSST Print'!$B$3,Investors!$J:$J,"",Investors!$A:$A,'Investor Exit List'!$A226,Investors!$E:$E,'Investor Exit List'!$C226,Investors!$L:$L,'Investor Exit List'!$B226))</f>
        <v/>
      </c>
      <c r="G226" s="91" t="n">
        <v>44735</v>
      </c>
      <c r="H226" s="89" t="b">
        <v>1</v>
      </c>
      <c r="I226" s="89" t="b">
        <v>1</v>
      </c>
      <c r="J226" s="91" t="n">
        <v>45299</v>
      </c>
      <c r="K226" s="91">
        <f>IF(I226=TRUE,J226,"")</f>
        <v/>
      </c>
      <c r="L226" s="91">
        <f>G226+730</f>
        <v/>
      </c>
      <c r="M226" s="91" t="n">
        <v>45382</v>
      </c>
      <c r="N226" s="92">
        <f>IFERROR(IF(G226&lt;&gt;"",IF(I226=TRUE,0,IF(U226=TRUE,0,L226-M226)),0),0)</f>
        <v/>
      </c>
      <c r="O226" s="92">
        <f>IF(N226&gt;0,IF(N226&lt;=180,N226,0),0)</f>
        <v/>
      </c>
      <c r="P226" s="90">
        <f>IF(AND(N226&lt;90,N226&gt;0),Q226,0)</f>
        <v/>
      </c>
      <c r="Q226" s="90">
        <f>SUMIFS(Investors!$M:$M,Investors!$O:$O,FALSE,Investors!$P:$P,FALSE,Investors!$K:$K,"&gt;"&amp;'NSST Print'!$B$3,Investors!$I:$I,"&lt;="&amp;'NSST Print'!$B$3,Investors!$A:$A,'Investor Exit List'!$A226,Investors!$E:$E,'Investor Exit List'!$C226,Investors!$L:$L,'Investor Exit List'!$B226)-(SUMIFS(Investors!$M:$M,Investors!$I:$I,"&lt;="&amp;'NSST Print'!$B$3,Investors!$J:$J,"&gt;"&amp;'NSST Print'!$B$3,Investors!$A:$A,'Investor Exit List'!$A226,Investors!$E:$E,'Investor Exit List'!$C226,Investors!$L:$L,'Investor Exit List'!$B226)+SUMIFS(Investors!$M:$M,Investors!$I:$I,"&lt;="&amp;'NSST Print'!$B$3,Investors!$J:$J,"",Investors!$A:$A,'Investor Exit List'!$A226,Investors!$E:$E,'Investor Exit List'!$C226,Investors!$L:$L,'Investor Exit List'!$B226))+SUMIFS(Investors!$S:$S,Investors!$O:$O,FALSE,Investors!$P:$P,FALSE,Investors!$K:$K,"&gt;"&amp;'NSST Print'!$B$3,Investors!$I:$I,"&lt;="&amp;'NSST Print'!$B$3,Investors!$A:$A,'Investor Exit List'!$A226,Investors!$E:$E,'Investor Exit List'!$C226,Investors!$L:$L,'Investor Exit List'!$B226)-(SUMIFS(Investors!$S:$S,Investors!$I:$I,"&lt;="&amp;'NSST Print'!$B$3,Investors!$J:$J,"&gt;"&amp;'NSST Print'!$B$3,Investors!$A:$A,'Investor Exit List'!$A226,Investors!$E:$E,'Investor Exit List'!$C226,Investors!$L:$L,'Investor Exit List'!$B226)+SUMIFS(Investors!$S:$S,Investors!$I:$I,"&lt;="&amp;'NSST Print'!$B$3,Investors!$J:$J,"",Investors!$A:$A,'Investor Exit List'!$A226,Investors!$E:$E,'Investor Exit List'!$C226,Investors!$L:$L,'Investor Exit List'!$B226))</f>
        <v/>
      </c>
      <c r="R226" s="90">
        <f>IF(AND(H226=TRUE,I226=FALSE),Q226,0)</f>
        <v/>
      </c>
      <c r="S226" s="90">
        <f>SUMIFS(Investors!$M:$M,Investors!$O:$O,TRUE,Investors!$A:$A,'Investor Exit List'!$A226,Investors!$E:$E,'Investor Exit List'!$C226,Investors!$L:$L,'Investor Exit List'!$B226)+SUMIFS(Investors!$S:$S,Investors!$O:$O,TRUE,Investors!$A:$A,'Investor Exit List'!$A226,Investors!$E:$E,'Investor Exit List'!$C226,Investors!$L:$L,'Investor Exit List'!$B226)</f>
        <v/>
      </c>
      <c r="T226" s="91">
        <f>IF(U226=TRUE,$J226,"")</f>
        <v/>
      </c>
      <c r="U226" s="89" t="b">
        <v>1</v>
      </c>
      <c r="V226" s="90">
        <f>IF(AND(H226=TRUE,OR(K226="",K226&gt;M226)),S226,0)</f>
        <v/>
      </c>
      <c r="W226" s="89" t="n">
        <v>0</v>
      </c>
      <c r="X226" s="89" t="b">
        <v>0</v>
      </c>
    </row>
    <row r="227">
      <c r="A227" s="93" t="inlineStr">
        <is>
          <t>ZKRU01</t>
        </is>
      </c>
      <c r="B227" s="93" t="n">
        <v>5</v>
      </c>
      <c r="C227" s="93" t="inlineStr">
        <is>
          <t>HVD302</t>
        </is>
      </c>
      <c r="D227" s="93" t="inlineStr">
        <is>
          <t>D</t>
        </is>
      </c>
      <c r="E227" s="93" t="inlineStr">
        <is>
          <t>Kruger Jurgen</t>
        </is>
      </c>
      <c r="F227" s="94">
        <f>SUMIFS(Investors!$M:$M,Investors!$O:$O,FALSE,Investors!$P:$P,FALSE,Investors!$K:$K,"&gt;"&amp;'NSST Print'!$B$3,Investors!$I:$I,"&lt;="&amp;'NSST Print'!$B$3,Investors!$A:$A,'Investor Exit List'!$A227,Investors!$E:$E,'Investor Exit List'!$C227,Investors!$L:$L,'Investor Exit List'!$B227)-(SUMIFS(Investors!$M:$M,Investors!$I:$I,"&lt;="&amp;'NSST Print'!$B$3,Investors!$J:$J,"&gt;"&amp;'NSST Print'!$B$3,Investors!$A:$A,'Investor Exit List'!$A227,Investors!$E:$E,'Investor Exit List'!$C227,Investors!$L:$L,'Investor Exit List'!$B227)+SUMIFS(Investors!$M:$M,Investors!$I:$I,"&lt;="&amp;'NSST Print'!$B$3,Investors!$J:$J,"",Investors!$A:$A,'Investor Exit List'!$A227,Investors!$E:$E,'Investor Exit List'!$C227,Investors!$L:$L,'Investor Exit List'!$B227))</f>
        <v/>
      </c>
      <c r="G227" s="95" t="n">
        <v>44713</v>
      </c>
      <c r="H227" s="93" t="b">
        <v>0</v>
      </c>
      <c r="I227" s="93" t="b">
        <v>0</v>
      </c>
      <c r="J227" s="95" t="n">
        <v>45468</v>
      </c>
      <c r="K227" s="95">
        <f>IF(I227=TRUE,J227,"")</f>
        <v/>
      </c>
      <c r="L227" s="95">
        <f>G227+730</f>
        <v/>
      </c>
      <c r="M227" s="95" t="n">
        <v>45382</v>
      </c>
      <c r="N227" s="96">
        <f>IFERROR(IF(G227&lt;&gt;"",IF(I227=TRUE,0,IF(U227=TRUE,0,L227-M227)),0),0)</f>
        <v/>
      </c>
      <c r="O227" s="96">
        <f>IF(N227&gt;0,IF(N227&lt;=180,N227,0),0)</f>
        <v/>
      </c>
      <c r="P227" s="94">
        <f>IF(AND(N227&lt;90,N227&gt;0),Q227,0)</f>
        <v/>
      </c>
      <c r="Q227" s="94">
        <f>SUMIFS(Investors!$M:$M,Investors!$O:$O,FALSE,Investors!$P:$P,FALSE,Investors!$K:$K,"&gt;"&amp;'NSST Print'!$B$3,Investors!$I:$I,"&lt;="&amp;'NSST Print'!$B$3,Investors!$A:$A,'Investor Exit List'!$A227,Investors!$E:$E,'Investor Exit List'!$C227,Investors!$L:$L,'Investor Exit List'!$B227)-(SUMIFS(Investors!$M:$M,Investors!$I:$I,"&lt;="&amp;'NSST Print'!$B$3,Investors!$J:$J,"&gt;"&amp;'NSST Print'!$B$3,Investors!$A:$A,'Investor Exit List'!$A227,Investors!$E:$E,'Investor Exit List'!$C227,Investors!$L:$L,'Investor Exit List'!$B227)+SUMIFS(Investors!$M:$M,Investors!$I:$I,"&lt;="&amp;'NSST Print'!$B$3,Investors!$J:$J,"",Investors!$A:$A,'Investor Exit List'!$A227,Investors!$E:$E,'Investor Exit List'!$C227,Investors!$L:$L,'Investor Exit List'!$B227))+SUMIFS(Investors!$S:$S,Investors!$O:$O,FALSE,Investors!$P:$P,FALSE,Investors!$K:$K,"&gt;"&amp;'NSST Print'!$B$3,Investors!$I:$I,"&lt;="&amp;'NSST Print'!$B$3,Investors!$A:$A,'Investor Exit List'!$A227,Investors!$E:$E,'Investor Exit List'!$C227,Investors!$L:$L,'Investor Exit List'!$B227)-(SUMIFS(Investors!$S:$S,Investors!$I:$I,"&lt;="&amp;'NSST Print'!$B$3,Investors!$J:$J,"&gt;"&amp;'NSST Print'!$B$3,Investors!$A:$A,'Investor Exit List'!$A227,Investors!$E:$E,'Investor Exit List'!$C227,Investors!$L:$L,'Investor Exit List'!$B227)+SUMIFS(Investors!$S:$S,Investors!$I:$I,"&lt;="&amp;'NSST Print'!$B$3,Investors!$J:$J,"",Investors!$A:$A,'Investor Exit List'!$A227,Investors!$E:$E,'Investor Exit List'!$C227,Investors!$L:$L,'Investor Exit List'!$B227))</f>
        <v/>
      </c>
      <c r="R227" s="94">
        <f>IF(AND(H227=TRUE,I227=FALSE),Q227,0)</f>
        <v/>
      </c>
      <c r="S227" s="94">
        <f>SUMIFS(Investors!$M:$M,Investors!$O:$O,TRUE,Investors!$A:$A,'Investor Exit List'!$A227,Investors!$E:$E,'Investor Exit List'!$C227,Investors!$L:$L,'Investor Exit List'!$B227)+SUMIFS(Investors!$S:$S,Investors!$O:$O,TRUE,Investors!$A:$A,'Investor Exit List'!$A227,Investors!$E:$E,'Investor Exit List'!$C227,Investors!$L:$L,'Investor Exit List'!$B227)</f>
        <v/>
      </c>
      <c r="T227" s="95">
        <f>IF(U227=TRUE,$J227,"")</f>
        <v/>
      </c>
      <c r="U227" s="93" t="b">
        <v>0</v>
      </c>
      <c r="V227" s="94">
        <f>IF(AND(H227=TRUE,OR(K227="",K227&gt;M227)),S227,0)</f>
        <v/>
      </c>
      <c r="W227" s="93" t="n">
        <v>0</v>
      </c>
      <c r="X227" s="93" t="b">
        <v>0</v>
      </c>
    </row>
    <row r="228">
      <c r="A228" s="93" t="inlineStr">
        <is>
          <t>ZWEL01</t>
        </is>
      </c>
      <c r="B228" s="93" t="n">
        <v>4</v>
      </c>
      <c r="C228" s="93" t="inlineStr">
        <is>
          <t>HVD302</t>
        </is>
      </c>
      <c r="D228" s="93" t="inlineStr">
        <is>
          <t>D</t>
        </is>
      </c>
      <c r="E228" s="93" t="inlineStr">
        <is>
          <t>Welham Christopher John</t>
        </is>
      </c>
      <c r="F228" s="94">
        <f>SUMIFS(Investors!$M:$M,Investors!$O:$O,FALSE,Investors!$P:$P,FALSE,Investors!$K:$K,"&gt;"&amp;'NSST Print'!$B$3,Investors!$I:$I,"&lt;="&amp;'NSST Print'!$B$3,Investors!$A:$A,'Investor Exit List'!$A228,Investors!$E:$E,'Investor Exit List'!$C228,Investors!$L:$L,'Investor Exit List'!$B228)-(SUMIFS(Investors!$M:$M,Investors!$I:$I,"&lt;="&amp;'NSST Print'!$B$3,Investors!$J:$J,"&gt;"&amp;'NSST Print'!$B$3,Investors!$A:$A,'Investor Exit List'!$A228,Investors!$E:$E,'Investor Exit List'!$C228,Investors!$L:$L,'Investor Exit List'!$B228)+SUMIFS(Investors!$M:$M,Investors!$I:$I,"&lt;="&amp;'NSST Print'!$B$3,Investors!$J:$J,"",Investors!$A:$A,'Investor Exit List'!$A228,Investors!$E:$E,'Investor Exit List'!$C228,Investors!$L:$L,'Investor Exit List'!$B228))</f>
        <v/>
      </c>
      <c r="G228" s="95" t="n">
        <v>44735</v>
      </c>
      <c r="H228" s="93" t="b">
        <v>0</v>
      </c>
      <c r="I228" s="93" t="b">
        <v>0</v>
      </c>
      <c r="J228" s="95" t="n">
        <v>45468</v>
      </c>
      <c r="K228" s="95">
        <f>IF(I228=TRUE,J228,"")</f>
        <v/>
      </c>
      <c r="L228" s="95">
        <f>G228+730</f>
        <v/>
      </c>
      <c r="M228" s="95" t="n">
        <v>45382</v>
      </c>
      <c r="N228" s="96">
        <f>IFERROR(IF(G228&lt;&gt;"",IF(I228=TRUE,0,IF(U228=TRUE,0,L228-M228)),0),0)</f>
        <v/>
      </c>
      <c r="O228" s="96">
        <f>IF(N228&gt;0,IF(N228&lt;=180,N228,0),0)</f>
        <v/>
      </c>
      <c r="P228" s="94">
        <f>IF(AND(N228&lt;90,N228&gt;0),Q228,0)</f>
        <v/>
      </c>
      <c r="Q228" s="94">
        <f>SUMIFS(Investors!$M:$M,Investors!$O:$O,FALSE,Investors!$P:$P,FALSE,Investors!$K:$K,"&gt;"&amp;'NSST Print'!$B$3,Investors!$I:$I,"&lt;="&amp;'NSST Print'!$B$3,Investors!$A:$A,'Investor Exit List'!$A228,Investors!$E:$E,'Investor Exit List'!$C228,Investors!$L:$L,'Investor Exit List'!$B228)-(SUMIFS(Investors!$M:$M,Investors!$I:$I,"&lt;="&amp;'NSST Print'!$B$3,Investors!$J:$J,"&gt;"&amp;'NSST Print'!$B$3,Investors!$A:$A,'Investor Exit List'!$A228,Investors!$E:$E,'Investor Exit List'!$C228,Investors!$L:$L,'Investor Exit List'!$B228)+SUMIFS(Investors!$M:$M,Investors!$I:$I,"&lt;="&amp;'NSST Print'!$B$3,Investors!$J:$J,"",Investors!$A:$A,'Investor Exit List'!$A228,Investors!$E:$E,'Investor Exit List'!$C228,Investors!$L:$L,'Investor Exit List'!$B228))+SUMIFS(Investors!$S:$S,Investors!$O:$O,FALSE,Investors!$P:$P,FALSE,Investors!$K:$K,"&gt;"&amp;'NSST Print'!$B$3,Investors!$I:$I,"&lt;="&amp;'NSST Print'!$B$3,Investors!$A:$A,'Investor Exit List'!$A228,Investors!$E:$E,'Investor Exit List'!$C228,Investors!$L:$L,'Investor Exit List'!$B228)-(SUMIFS(Investors!$S:$S,Investors!$I:$I,"&lt;="&amp;'NSST Print'!$B$3,Investors!$J:$J,"&gt;"&amp;'NSST Print'!$B$3,Investors!$A:$A,'Investor Exit List'!$A228,Investors!$E:$E,'Investor Exit List'!$C228,Investors!$L:$L,'Investor Exit List'!$B228)+SUMIFS(Investors!$S:$S,Investors!$I:$I,"&lt;="&amp;'NSST Print'!$B$3,Investors!$J:$J,"",Investors!$A:$A,'Investor Exit List'!$A228,Investors!$E:$E,'Investor Exit List'!$C228,Investors!$L:$L,'Investor Exit List'!$B228))</f>
        <v/>
      </c>
      <c r="R228" s="94">
        <f>IF(AND(H228=TRUE,I228=FALSE),Q228,0)</f>
        <v/>
      </c>
      <c r="S228" s="94">
        <f>SUMIFS(Investors!$M:$M,Investors!$O:$O,TRUE,Investors!$A:$A,'Investor Exit List'!$A228,Investors!$E:$E,'Investor Exit List'!$C228,Investors!$L:$L,'Investor Exit List'!$B228)+SUMIFS(Investors!$S:$S,Investors!$O:$O,TRUE,Investors!$A:$A,'Investor Exit List'!$A228,Investors!$E:$E,'Investor Exit List'!$C228,Investors!$L:$L,'Investor Exit List'!$B228)</f>
        <v/>
      </c>
      <c r="T228" s="95">
        <f>IF(U228=TRUE,$J228,"")</f>
        <v/>
      </c>
      <c r="U228" s="93" t="b">
        <v>0</v>
      </c>
      <c r="V228" s="94">
        <f>IF(AND(H228=TRUE,OR(K228="",K228&gt;M228)),S228,0)</f>
        <v/>
      </c>
      <c r="W228" s="93" t="n">
        <v>0</v>
      </c>
      <c r="X228" s="93" t="b">
        <v>0</v>
      </c>
    </row>
    <row r="229">
      <c r="A229" s="93" t="inlineStr">
        <is>
          <t>ZDIC01</t>
        </is>
      </c>
      <c r="B229" s="93" t="n">
        <v>9</v>
      </c>
      <c r="C229" s="93" t="inlineStr">
        <is>
          <t>HVD303</t>
        </is>
      </c>
      <c r="D229" s="93" t="inlineStr">
        <is>
          <t>D</t>
        </is>
      </c>
      <c r="E229" s="93" t="inlineStr">
        <is>
          <t>Dickinson Grant Allan</t>
        </is>
      </c>
      <c r="F229" s="94">
        <f>SUMIFS(Investors!$M:$M,Investors!$O:$O,FALSE,Investors!$P:$P,FALSE,Investors!$K:$K,"&gt;"&amp;'NSST Print'!$B$3,Investors!$I:$I,"&lt;="&amp;'NSST Print'!$B$3,Investors!$A:$A,'Investor Exit List'!$A229,Investors!$E:$E,'Investor Exit List'!$C229,Investors!$L:$L,'Investor Exit List'!$B229)-(SUMIFS(Investors!$M:$M,Investors!$I:$I,"&lt;="&amp;'NSST Print'!$B$3,Investors!$J:$J,"&gt;"&amp;'NSST Print'!$B$3,Investors!$A:$A,'Investor Exit List'!$A229,Investors!$E:$E,'Investor Exit List'!$C229,Investors!$L:$L,'Investor Exit List'!$B229)+SUMIFS(Investors!$M:$M,Investors!$I:$I,"&lt;="&amp;'NSST Print'!$B$3,Investors!$J:$J,"",Investors!$A:$A,'Investor Exit List'!$A229,Investors!$E:$E,'Investor Exit List'!$C229,Investors!$L:$L,'Investor Exit List'!$B229))</f>
        <v/>
      </c>
      <c r="G229" s="95" t="n">
        <v>44735</v>
      </c>
      <c r="H229" s="93" t="b">
        <v>0</v>
      </c>
      <c r="I229" s="93" t="b">
        <v>0</v>
      </c>
      <c r="J229" s="95" t="n">
        <v>45469</v>
      </c>
      <c r="K229" s="95">
        <f>IF(I229=TRUE,J229,"")</f>
        <v/>
      </c>
      <c r="L229" s="95">
        <f>G229+730</f>
        <v/>
      </c>
      <c r="M229" s="95" t="n">
        <v>45382</v>
      </c>
      <c r="N229" s="96">
        <f>IFERROR(IF(G229&lt;&gt;"",IF(I229=TRUE,0,IF(U229=TRUE,0,L229-M229)),0),0)</f>
        <v/>
      </c>
      <c r="O229" s="96">
        <f>IF(N229&gt;0,IF(N229&lt;=180,N229,0),0)</f>
        <v/>
      </c>
      <c r="P229" s="94">
        <f>IF(AND(N229&lt;90,N229&gt;0),Q229,0)</f>
        <v/>
      </c>
      <c r="Q229" s="94">
        <f>SUMIFS(Investors!$M:$M,Investors!$O:$O,FALSE,Investors!$P:$P,FALSE,Investors!$K:$K,"&gt;"&amp;'NSST Print'!$B$3,Investors!$I:$I,"&lt;="&amp;'NSST Print'!$B$3,Investors!$A:$A,'Investor Exit List'!$A229,Investors!$E:$E,'Investor Exit List'!$C229,Investors!$L:$L,'Investor Exit List'!$B229)-(SUMIFS(Investors!$M:$M,Investors!$I:$I,"&lt;="&amp;'NSST Print'!$B$3,Investors!$J:$J,"&gt;"&amp;'NSST Print'!$B$3,Investors!$A:$A,'Investor Exit List'!$A229,Investors!$E:$E,'Investor Exit List'!$C229,Investors!$L:$L,'Investor Exit List'!$B229)+SUMIFS(Investors!$M:$M,Investors!$I:$I,"&lt;="&amp;'NSST Print'!$B$3,Investors!$J:$J,"",Investors!$A:$A,'Investor Exit List'!$A229,Investors!$E:$E,'Investor Exit List'!$C229,Investors!$L:$L,'Investor Exit List'!$B229))+SUMIFS(Investors!$S:$S,Investors!$O:$O,FALSE,Investors!$P:$P,FALSE,Investors!$K:$K,"&gt;"&amp;'NSST Print'!$B$3,Investors!$I:$I,"&lt;="&amp;'NSST Print'!$B$3,Investors!$A:$A,'Investor Exit List'!$A229,Investors!$E:$E,'Investor Exit List'!$C229,Investors!$L:$L,'Investor Exit List'!$B229)-(SUMIFS(Investors!$S:$S,Investors!$I:$I,"&lt;="&amp;'NSST Print'!$B$3,Investors!$J:$J,"&gt;"&amp;'NSST Print'!$B$3,Investors!$A:$A,'Investor Exit List'!$A229,Investors!$E:$E,'Investor Exit List'!$C229,Investors!$L:$L,'Investor Exit List'!$B229)+SUMIFS(Investors!$S:$S,Investors!$I:$I,"&lt;="&amp;'NSST Print'!$B$3,Investors!$J:$J,"",Investors!$A:$A,'Investor Exit List'!$A229,Investors!$E:$E,'Investor Exit List'!$C229,Investors!$L:$L,'Investor Exit List'!$B229))</f>
        <v/>
      </c>
      <c r="R229" s="94">
        <f>IF(AND(H229=TRUE,I229=FALSE),Q229,0)</f>
        <v/>
      </c>
      <c r="S229" s="94">
        <f>SUMIFS(Investors!$M:$M,Investors!$O:$O,TRUE,Investors!$A:$A,'Investor Exit List'!$A229,Investors!$E:$E,'Investor Exit List'!$C229,Investors!$L:$L,'Investor Exit List'!$B229)+SUMIFS(Investors!$S:$S,Investors!$O:$O,TRUE,Investors!$A:$A,'Investor Exit List'!$A229,Investors!$E:$E,'Investor Exit List'!$C229,Investors!$L:$L,'Investor Exit List'!$B229)</f>
        <v/>
      </c>
      <c r="T229" s="95">
        <f>IF(U229=TRUE,$J229,"")</f>
        <v/>
      </c>
      <c r="U229" s="93" t="b">
        <v>0</v>
      </c>
      <c r="V229" s="94">
        <f>IF(AND(H229=TRUE,OR(K229="",K229&gt;M229)),S229,0)</f>
        <v/>
      </c>
      <c r="W229" s="93" t="n">
        <v>0</v>
      </c>
      <c r="X229" s="93" t="b">
        <v>0</v>
      </c>
    </row>
    <row r="230">
      <c r="A230" s="93" t="inlineStr">
        <is>
          <t>ZPLA01</t>
        </is>
      </c>
      <c r="B230" s="93" t="n">
        <v>2</v>
      </c>
      <c r="C230" s="93" t="inlineStr">
        <is>
          <t>HVD303</t>
        </is>
      </c>
      <c r="D230" s="93" t="inlineStr">
        <is>
          <t>D</t>
        </is>
      </c>
      <c r="E230" s="93" t="inlineStr">
        <is>
          <t>Placzkowska Aneta</t>
        </is>
      </c>
      <c r="F230" s="94">
        <f>SUMIFS(Investors!$M:$M,Investors!$O:$O,FALSE,Investors!$P:$P,FALSE,Investors!$K:$K,"&gt;"&amp;'NSST Print'!$B$3,Investors!$I:$I,"&lt;="&amp;'NSST Print'!$B$3,Investors!$A:$A,'Investor Exit List'!$A230,Investors!$E:$E,'Investor Exit List'!$C230,Investors!$L:$L,'Investor Exit List'!$B230)-(SUMIFS(Investors!$M:$M,Investors!$I:$I,"&lt;="&amp;'NSST Print'!$B$3,Investors!$J:$J,"&gt;"&amp;'NSST Print'!$B$3,Investors!$A:$A,'Investor Exit List'!$A230,Investors!$E:$E,'Investor Exit List'!$C230,Investors!$L:$L,'Investor Exit List'!$B230)+SUMIFS(Investors!$M:$M,Investors!$I:$I,"&lt;="&amp;'NSST Print'!$B$3,Investors!$J:$J,"",Investors!$A:$A,'Investor Exit List'!$A230,Investors!$E:$E,'Investor Exit List'!$C230,Investors!$L:$L,'Investor Exit List'!$B230))</f>
        <v/>
      </c>
      <c r="G230" s="95" t="n">
        <v>44721</v>
      </c>
      <c r="H230" s="93" t="b">
        <v>0</v>
      </c>
      <c r="I230" s="93" t="b">
        <v>0</v>
      </c>
      <c r="J230" s="95" t="n">
        <v>45469</v>
      </c>
      <c r="K230" s="95">
        <f>IF(I230=TRUE,J230,"")</f>
        <v/>
      </c>
      <c r="L230" s="95">
        <f>G230+730</f>
        <v/>
      </c>
      <c r="M230" s="95" t="n">
        <v>45382</v>
      </c>
      <c r="N230" s="96">
        <f>IFERROR(IF(G230&lt;&gt;"",IF(I230=TRUE,0,IF(U230=TRUE,0,L230-M230)),0),0)</f>
        <v/>
      </c>
      <c r="O230" s="96">
        <f>IF(N230&gt;0,IF(N230&lt;=180,N230,0),0)</f>
        <v/>
      </c>
      <c r="P230" s="94">
        <f>IF(AND(N230&lt;90,N230&gt;0),Q230,0)</f>
        <v/>
      </c>
      <c r="Q230" s="94">
        <f>SUMIFS(Investors!$M:$M,Investors!$O:$O,FALSE,Investors!$P:$P,FALSE,Investors!$K:$K,"&gt;"&amp;'NSST Print'!$B$3,Investors!$I:$I,"&lt;="&amp;'NSST Print'!$B$3,Investors!$A:$A,'Investor Exit List'!$A230,Investors!$E:$E,'Investor Exit List'!$C230,Investors!$L:$L,'Investor Exit List'!$B230)-(SUMIFS(Investors!$M:$M,Investors!$I:$I,"&lt;="&amp;'NSST Print'!$B$3,Investors!$J:$J,"&gt;"&amp;'NSST Print'!$B$3,Investors!$A:$A,'Investor Exit List'!$A230,Investors!$E:$E,'Investor Exit List'!$C230,Investors!$L:$L,'Investor Exit List'!$B230)+SUMIFS(Investors!$M:$M,Investors!$I:$I,"&lt;="&amp;'NSST Print'!$B$3,Investors!$J:$J,"",Investors!$A:$A,'Investor Exit List'!$A230,Investors!$E:$E,'Investor Exit List'!$C230,Investors!$L:$L,'Investor Exit List'!$B230))+SUMIFS(Investors!$S:$S,Investors!$O:$O,FALSE,Investors!$P:$P,FALSE,Investors!$K:$K,"&gt;"&amp;'NSST Print'!$B$3,Investors!$I:$I,"&lt;="&amp;'NSST Print'!$B$3,Investors!$A:$A,'Investor Exit List'!$A230,Investors!$E:$E,'Investor Exit List'!$C230,Investors!$L:$L,'Investor Exit List'!$B230)-(SUMIFS(Investors!$S:$S,Investors!$I:$I,"&lt;="&amp;'NSST Print'!$B$3,Investors!$J:$J,"&gt;"&amp;'NSST Print'!$B$3,Investors!$A:$A,'Investor Exit List'!$A230,Investors!$E:$E,'Investor Exit List'!$C230,Investors!$L:$L,'Investor Exit List'!$B230)+SUMIFS(Investors!$S:$S,Investors!$I:$I,"&lt;="&amp;'NSST Print'!$B$3,Investors!$J:$J,"",Investors!$A:$A,'Investor Exit List'!$A230,Investors!$E:$E,'Investor Exit List'!$C230,Investors!$L:$L,'Investor Exit List'!$B230))</f>
        <v/>
      </c>
      <c r="R230" s="94">
        <f>IF(AND(H230=TRUE,I230=FALSE),Q230,0)</f>
        <v/>
      </c>
      <c r="S230" s="94">
        <f>SUMIFS(Investors!$M:$M,Investors!$O:$O,TRUE,Investors!$A:$A,'Investor Exit List'!$A230,Investors!$E:$E,'Investor Exit List'!$C230,Investors!$L:$L,'Investor Exit List'!$B230)+SUMIFS(Investors!$S:$S,Investors!$O:$O,TRUE,Investors!$A:$A,'Investor Exit List'!$A230,Investors!$E:$E,'Investor Exit List'!$C230,Investors!$L:$L,'Investor Exit List'!$B230)</f>
        <v/>
      </c>
      <c r="T230" s="95">
        <f>IF(U230=TRUE,$J230,"")</f>
        <v/>
      </c>
      <c r="U230" s="93" t="b">
        <v>0</v>
      </c>
      <c r="V230" s="94">
        <f>IF(AND(H230=TRUE,OR(K230="",K230&gt;M230)),S230,0)</f>
        <v/>
      </c>
      <c r="W230" s="93" t="n">
        <v>0</v>
      </c>
      <c r="X230" s="93" t="b">
        <v>0</v>
      </c>
    </row>
    <row r="231">
      <c r="A231" s="93" t="inlineStr">
        <is>
          <t>ZOOS01</t>
        </is>
      </c>
      <c r="B231" s="93" t="n">
        <v>1</v>
      </c>
      <c r="C231" s="93" t="inlineStr">
        <is>
          <t>HVD304</t>
        </is>
      </c>
      <c r="D231" s="93" t="inlineStr">
        <is>
          <t>D</t>
        </is>
      </c>
      <c r="E231" s="93" t="inlineStr">
        <is>
          <t>Oosthuizen Diana</t>
        </is>
      </c>
      <c r="F231" s="94">
        <f>SUMIFS(Investors!$M:$M,Investors!$O:$O,FALSE,Investors!$P:$P,FALSE,Investors!$K:$K,"&gt;"&amp;'NSST Print'!$B$3,Investors!$I:$I,"&lt;="&amp;'NSST Print'!$B$3,Investors!$A:$A,'Investor Exit List'!$A231,Investors!$E:$E,'Investor Exit List'!$C231,Investors!$L:$L,'Investor Exit List'!$B231)-(SUMIFS(Investors!$M:$M,Investors!$I:$I,"&lt;="&amp;'NSST Print'!$B$3,Investors!$J:$J,"&gt;"&amp;'NSST Print'!$B$3,Investors!$A:$A,'Investor Exit List'!$A231,Investors!$E:$E,'Investor Exit List'!$C231,Investors!$L:$L,'Investor Exit List'!$B231)+SUMIFS(Investors!$M:$M,Investors!$I:$I,"&lt;="&amp;'NSST Print'!$B$3,Investors!$J:$J,"",Investors!$A:$A,'Investor Exit List'!$A231,Investors!$E:$E,'Investor Exit List'!$C231,Investors!$L:$L,'Investor Exit List'!$B231))</f>
        <v/>
      </c>
      <c r="G231" s="95" t="n">
        <v>44743</v>
      </c>
      <c r="H231" s="93" t="b">
        <v>0</v>
      </c>
      <c r="I231" s="93" t="b">
        <v>0</v>
      </c>
      <c r="J231" s="95" t="n">
        <v>45484</v>
      </c>
      <c r="K231" s="95">
        <f>IF(I231=TRUE,J231,"")</f>
        <v/>
      </c>
      <c r="L231" s="95">
        <f>G231+730</f>
        <v/>
      </c>
      <c r="M231" s="95" t="n">
        <v>45382</v>
      </c>
      <c r="N231" s="96">
        <f>IFERROR(IF(G231&lt;&gt;"",IF(I231=TRUE,0,IF(U231=TRUE,0,L231-M231)),0),0)</f>
        <v/>
      </c>
      <c r="O231" s="96">
        <f>IF(N231&gt;0,IF(N231&lt;=180,N231,0),0)</f>
        <v/>
      </c>
      <c r="P231" s="94">
        <f>IF(AND(N231&lt;90,N231&gt;0),Q231,0)</f>
        <v/>
      </c>
      <c r="Q231" s="94">
        <f>SUMIFS(Investors!$M:$M,Investors!$O:$O,FALSE,Investors!$P:$P,FALSE,Investors!$K:$K,"&gt;"&amp;'NSST Print'!$B$3,Investors!$I:$I,"&lt;="&amp;'NSST Print'!$B$3,Investors!$A:$A,'Investor Exit List'!$A231,Investors!$E:$E,'Investor Exit List'!$C231,Investors!$L:$L,'Investor Exit List'!$B231)-(SUMIFS(Investors!$M:$M,Investors!$I:$I,"&lt;="&amp;'NSST Print'!$B$3,Investors!$J:$J,"&gt;"&amp;'NSST Print'!$B$3,Investors!$A:$A,'Investor Exit List'!$A231,Investors!$E:$E,'Investor Exit List'!$C231,Investors!$L:$L,'Investor Exit List'!$B231)+SUMIFS(Investors!$M:$M,Investors!$I:$I,"&lt;="&amp;'NSST Print'!$B$3,Investors!$J:$J,"",Investors!$A:$A,'Investor Exit List'!$A231,Investors!$E:$E,'Investor Exit List'!$C231,Investors!$L:$L,'Investor Exit List'!$B231))+SUMIFS(Investors!$S:$S,Investors!$O:$O,FALSE,Investors!$P:$P,FALSE,Investors!$K:$K,"&gt;"&amp;'NSST Print'!$B$3,Investors!$I:$I,"&lt;="&amp;'NSST Print'!$B$3,Investors!$A:$A,'Investor Exit List'!$A231,Investors!$E:$E,'Investor Exit List'!$C231,Investors!$L:$L,'Investor Exit List'!$B231)-(SUMIFS(Investors!$S:$S,Investors!$I:$I,"&lt;="&amp;'NSST Print'!$B$3,Investors!$J:$J,"&gt;"&amp;'NSST Print'!$B$3,Investors!$A:$A,'Investor Exit List'!$A231,Investors!$E:$E,'Investor Exit List'!$C231,Investors!$L:$L,'Investor Exit List'!$B231)+SUMIFS(Investors!$S:$S,Investors!$I:$I,"&lt;="&amp;'NSST Print'!$B$3,Investors!$J:$J,"",Investors!$A:$A,'Investor Exit List'!$A231,Investors!$E:$E,'Investor Exit List'!$C231,Investors!$L:$L,'Investor Exit List'!$B231))</f>
        <v/>
      </c>
      <c r="R231" s="94">
        <f>IF(AND(H231=TRUE,I231=FALSE),Q231,0)</f>
        <v/>
      </c>
      <c r="S231" s="94">
        <f>SUMIFS(Investors!$M:$M,Investors!$O:$O,TRUE,Investors!$A:$A,'Investor Exit List'!$A231,Investors!$E:$E,'Investor Exit List'!$C231,Investors!$L:$L,'Investor Exit List'!$B231)+SUMIFS(Investors!$S:$S,Investors!$O:$O,TRUE,Investors!$A:$A,'Investor Exit List'!$A231,Investors!$E:$E,'Investor Exit List'!$C231,Investors!$L:$L,'Investor Exit List'!$B231)</f>
        <v/>
      </c>
      <c r="T231" s="95">
        <f>IF(U231=TRUE,$J231,"")</f>
        <v/>
      </c>
      <c r="U231" s="93" t="b">
        <v>0</v>
      </c>
      <c r="V231" s="94">
        <f>IF(AND(H231=TRUE,OR(K231="",K231&gt;M231)),S231,0)</f>
        <v/>
      </c>
      <c r="W231" s="93" t="n">
        <v>0</v>
      </c>
      <c r="X231" s="93" t="b">
        <v>0</v>
      </c>
    </row>
    <row r="232">
      <c r="A232" s="93" t="inlineStr">
        <is>
          <t>ZRAN01</t>
        </is>
      </c>
      <c r="B232" s="93" t="n">
        <v>22</v>
      </c>
      <c r="C232" s="93" t="inlineStr">
        <is>
          <t>HVD304</t>
        </is>
      </c>
      <c r="D232" s="93" t="inlineStr">
        <is>
          <t>D</t>
        </is>
      </c>
      <c r="E232" s="93" t="inlineStr">
        <is>
          <t>Rankin Ross Partick Gemill</t>
        </is>
      </c>
      <c r="F232" s="94">
        <f>SUMIFS(Investors!$M:$M,Investors!$O:$O,FALSE,Investors!$P:$P,FALSE,Investors!$K:$K,"&gt;"&amp;'NSST Print'!$B$3,Investors!$I:$I,"&lt;="&amp;'NSST Print'!$B$3,Investors!$A:$A,'Investor Exit List'!$A232,Investors!$E:$E,'Investor Exit List'!$C232,Investors!$L:$L,'Investor Exit List'!$B232)-(SUMIFS(Investors!$M:$M,Investors!$I:$I,"&lt;="&amp;'NSST Print'!$B$3,Investors!$J:$J,"&gt;"&amp;'NSST Print'!$B$3,Investors!$A:$A,'Investor Exit List'!$A232,Investors!$E:$E,'Investor Exit List'!$C232,Investors!$L:$L,'Investor Exit List'!$B232)+SUMIFS(Investors!$M:$M,Investors!$I:$I,"&lt;="&amp;'NSST Print'!$B$3,Investors!$J:$J,"",Investors!$A:$A,'Investor Exit List'!$A232,Investors!$E:$E,'Investor Exit List'!$C232,Investors!$L:$L,'Investor Exit List'!$B232))</f>
        <v/>
      </c>
      <c r="G232" s="95" t="n">
        <v>44735</v>
      </c>
      <c r="H232" s="93" t="b">
        <v>0</v>
      </c>
      <c r="I232" s="93" t="b">
        <v>0</v>
      </c>
      <c r="J232" s="95" t="n">
        <v>45484</v>
      </c>
      <c r="K232" s="95">
        <f>IF(I232=TRUE,J232,"")</f>
        <v/>
      </c>
      <c r="L232" s="95">
        <f>G232+730</f>
        <v/>
      </c>
      <c r="M232" s="95" t="n">
        <v>45382</v>
      </c>
      <c r="N232" s="96">
        <f>IFERROR(IF(G232&lt;&gt;"",IF(I232=TRUE,0,IF(U232=TRUE,0,L232-M232)),0),0)</f>
        <v/>
      </c>
      <c r="O232" s="96">
        <f>IF(N232&gt;0,IF(N232&lt;=180,N232,0),0)</f>
        <v/>
      </c>
      <c r="P232" s="94">
        <f>IF(AND(N232&lt;90,N232&gt;0),Q232,0)</f>
        <v/>
      </c>
      <c r="Q232" s="94">
        <f>SUMIFS(Investors!$M:$M,Investors!$O:$O,FALSE,Investors!$P:$P,FALSE,Investors!$K:$K,"&gt;"&amp;'NSST Print'!$B$3,Investors!$I:$I,"&lt;="&amp;'NSST Print'!$B$3,Investors!$A:$A,'Investor Exit List'!$A232,Investors!$E:$E,'Investor Exit List'!$C232,Investors!$L:$L,'Investor Exit List'!$B232)-(SUMIFS(Investors!$M:$M,Investors!$I:$I,"&lt;="&amp;'NSST Print'!$B$3,Investors!$J:$J,"&gt;"&amp;'NSST Print'!$B$3,Investors!$A:$A,'Investor Exit List'!$A232,Investors!$E:$E,'Investor Exit List'!$C232,Investors!$L:$L,'Investor Exit List'!$B232)+SUMIFS(Investors!$M:$M,Investors!$I:$I,"&lt;="&amp;'NSST Print'!$B$3,Investors!$J:$J,"",Investors!$A:$A,'Investor Exit List'!$A232,Investors!$E:$E,'Investor Exit List'!$C232,Investors!$L:$L,'Investor Exit List'!$B232))+SUMIFS(Investors!$S:$S,Investors!$O:$O,FALSE,Investors!$P:$P,FALSE,Investors!$K:$K,"&gt;"&amp;'NSST Print'!$B$3,Investors!$I:$I,"&lt;="&amp;'NSST Print'!$B$3,Investors!$A:$A,'Investor Exit List'!$A232,Investors!$E:$E,'Investor Exit List'!$C232,Investors!$L:$L,'Investor Exit List'!$B232)-(SUMIFS(Investors!$S:$S,Investors!$I:$I,"&lt;="&amp;'NSST Print'!$B$3,Investors!$J:$J,"&gt;"&amp;'NSST Print'!$B$3,Investors!$A:$A,'Investor Exit List'!$A232,Investors!$E:$E,'Investor Exit List'!$C232,Investors!$L:$L,'Investor Exit List'!$B232)+SUMIFS(Investors!$S:$S,Investors!$I:$I,"&lt;="&amp;'NSST Print'!$B$3,Investors!$J:$J,"",Investors!$A:$A,'Investor Exit List'!$A232,Investors!$E:$E,'Investor Exit List'!$C232,Investors!$L:$L,'Investor Exit List'!$B232))</f>
        <v/>
      </c>
      <c r="R232" s="94">
        <f>IF(AND(H232=TRUE,I232=FALSE),Q232,0)</f>
        <v/>
      </c>
      <c r="S232" s="94">
        <f>SUMIFS(Investors!$M:$M,Investors!$O:$O,TRUE,Investors!$A:$A,'Investor Exit List'!$A232,Investors!$E:$E,'Investor Exit List'!$C232,Investors!$L:$L,'Investor Exit List'!$B232)+SUMIFS(Investors!$S:$S,Investors!$O:$O,TRUE,Investors!$A:$A,'Investor Exit List'!$A232,Investors!$E:$E,'Investor Exit List'!$C232,Investors!$L:$L,'Investor Exit List'!$B232)</f>
        <v/>
      </c>
      <c r="T232" s="95">
        <f>IF(U232=TRUE,$J232,"")</f>
        <v/>
      </c>
      <c r="U232" s="93" t="b">
        <v>0</v>
      </c>
      <c r="V232" s="94">
        <f>IF(AND(H232=TRUE,OR(K232="",K232&gt;M232)),S232,0)</f>
        <v/>
      </c>
      <c r="W232" s="93" t="n">
        <v>0</v>
      </c>
      <c r="X232" s="93" t="b">
        <v>0</v>
      </c>
    </row>
    <row r="233">
      <c r="A233" s="93" t="inlineStr">
        <is>
          <t>ZMEY02</t>
        </is>
      </c>
      <c r="B233" s="93" t="n">
        <v>3</v>
      </c>
      <c r="C233" s="93" t="inlineStr">
        <is>
          <t>HVE101</t>
        </is>
      </c>
      <c r="D233" s="93" t="inlineStr">
        <is>
          <t>E</t>
        </is>
      </c>
      <c r="E233" s="93" t="inlineStr">
        <is>
          <t>Meyer Catharina Levina</t>
        </is>
      </c>
      <c r="F233" s="94">
        <f>SUMIFS(Investors!$M:$M,Investors!$O:$O,FALSE,Investors!$P:$P,FALSE,Investors!$K:$K,"&gt;"&amp;'NSST Print'!$B$3,Investors!$I:$I,"&lt;="&amp;'NSST Print'!$B$3,Investors!$A:$A,'Investor Exit List'!$A233,Investors!$E:$E,'Investor Exit List'!$C233,Investors!$L:$L,'Investor Exit List'!$B233)-(SUMIFS(Investors!$M:$M,Investors!$I:$I,"&lt;="&amp;'NSST Print'!$B$3,Investors!$J:$J,"&gt;"&amp;'NSST Print'!$B$3,Investors!$A:$A,'Investor Exit List'!$A233,Investors!$E:$E,'Investor Exit List'!$C233,Investors!$L:$L,'Investor Exit List'!$B233)+SUMIFS(Investors!$M:$M,Investors!$I:$I,"&lt;="&amp;'NSST Print'!$B$3,Investors!$J:$J,"",Investors!$A:$A,'Investor Exit List'!$A233,Investors!$E:$E,'Investor Exit List'!$C233,Investors!$L:$L,'Investor Exit List'!$B233))</f>
        <v/>
      </c>
      <c r="G233" s="95" t="n">
        <v>45321</v>
      </c>
      <c r="H233" s="93" t="b">
        <v>0</v>
      </c>
      <c r="I233" s="93" t="b">
        <v>0</v>
      </c>
      <c r="J233" s="95" t="n">
        <v>45685</v>
      </c>
      <c r="K233" s="95">
        <f>IF(I233=TRUE,J233,"")</f>
        <v/>
      </c>
      <c r="L233" s="95">
        <f>G233+730</f>
        <v/>
      </c>
      <c r="M233" s="95" t="n">
        <v>45382</v>
      </c>
      <c r="N233" s="96">
        <f>IFERROR(IF(G233&lt;&gt;"",IF(I233=TRUE,0,IF(U233=TRUE,0,L233-M233)),0),0)</f>
        <v/>
      </c>
      <c r="O233" s="96">
        <f>IF(N233&gt;0,IF(N233&lt;=180,N233,0),0)</f>
        <v/>
      </c>
      <c r="P233" s="94">
        <f>IF(AND(N233&lt;90,N233&gt;0),Q233,0)</f>
        <v/>
      </c>
      <c r="Q233" s="94">
        <f>SUMIFS(Investors!$M:$M,Investors!$O:$O,FALSE,Investors!$P:$P,FALSE,Investors!$K:$K,"&gt;"&amp;'NSST Print'!$B$3,Investors!$I:$I,"&lt;="&amp;'NSST Print'!$B$3,Investors!$A:$A,'Investor Exit List'!$A233,Investors!$E:$E,'Investor Exit List'!$C233,Investors!$L:$L,'Investor Exit List'!$B233)-(SUMIFS(Investors!$M:$M,Investors!$I:$I,"&lt;="&amp;'NSST Print'!$B$3,Investors!$J:$J,"&gt;"&amp;'NSST Print'!$B$3,Investors!$A:$A,'Investor Exit List'!$A233,Investors!$E:$E,'Investor Exit List'!$C233,Investors!$L:$L,'Investor Exit List'!$B233)+SUMIFS(Investors!$M:$M,Investors!$I:$I,"&lt;="&amp;'NSST Print'!$B$3,Investors!$J:$J,"",Investors!$A:$A,'Investor Exit List'!$A233,Investors!$E:$E,'Investor Exit List'!$C233,Investors!$L:$L,'Investor Exit List'!$B233))+SUMIFS(Investors!$S:$S,Investors!$O:$O,FALSE,Investors!$P:$P,FALSE,Investors!$K:$K,"&gt;"&amp;'NSST Print'!$B$3,Investors!$I:$I,"&lt;="&amp;'NSST Print'!$B$3,Investors!$A:$A,'Investor Exit List'!$A233,Investors!$E:$E,'Investor Exit List'!$C233,Investors!$L:$L,'Investor Exit List'!$B233)-(SUMIFS(Investors!$S:$S,Investors!$I:$I,"&lt;="&amp;'NSST Print'!$B$3,Investors!$J:$J,"&gt;"&amp;'NSST Print'!$B$3,Investors!$A:$A,'Investor Exit List'!$A233,Investors!$E:$E,'Investor Exit List'!$C233,Investors!$L:$L,'Investor Exit List'!$B233)+SUMIFS(Investors!$S:$S,Investors!$I:$I,"&lt;="&amp;'NSST Print'!$B$3,Investors!$J:$J,"",Investors!$A:$A,'Investor Exit List'!$A233,Investors!$E:$E,'Investor Exit List'!$C233,Investors!$L:$L,'Investor Exit List'!$B233))</f>
        <v/>
      </c>
      <c r="R233" s="94">
        <f>IF(AND(H233=TRUE,I233=FALSE),Q233,0)</f>
        <v/>
      </c>
      <c r="S233" s="94">
        <f>SUMIFS(Investors!$M:$M,Investors!$O:$O,TRUE,Investors!$A:$A,'Investor Exit List'!$A233,Investors!$E:$E,'Investor Exit List'!$C233,Investors!$L:$L,'Investor Exit List'!$B233)+SUMIFS(Investors!$S:$S,Investors!$O:$O,TRUE,Investors!$A:$A,'Investor Exit List'!$A233,Investors!$E:$E,'Investor Exit List'!$C233,Investors!$L:$L,'Investor Exit List'!$B233)</f>
        <v/>
      </c>
      <c r="T233" s="95">
        <f>IF(U233=TRUE,$J233,"")</f>
        <v/>
      </c>
      <c r="U233" s="93" t="b">
        <v>0</v>
      </c>
      <c r="V233" s="94">
        <f>IF(AND(H233=TRUE,OR(K233="",K233&gt;M233)),S233,0)</f>
        <v/>
      </c>
      <c r="W233" s="93" t="n">
        <v>0</v>
      </c>
      <c r="X233" s="93" t="b">
        <v>0</v>
      </c>
    </row>
    <row r="234">
      <c r="A234" s="93" t="inlineStr">
        <is>
          <t>ZTHA01</t>
        </is>
      </c>
      <c r="B234" s="93" t="n">
        <v>11</v>
      </c>
      <c r="C234" s="93" t="inlineStr">
        <is>
          <t>HVE101</t>
        </is>
      </c>
      <c r="D234" s="93" t="inlineStr">
        <is>
          <t>E</t>
        </is>
      </c>
      <c r="E234" s="93" t="inlineStr">
        <is>
          <t>Matthee Gerald Adriaan Odendal</t>
        </is>
      </c>
      <c r="F234" s="94">
        <f>SUMIFS(Investors!$M:$M,Investors!$O:$O,FALSE,Investors!$P:$P,FALSE,Investors!$K:$K,"&gt;"&amp;'NSST Print'!$B$3,Investors!$I:$I,"&lt;="&amp;'NSST Print'!$B$3,Investors!$A:$A,'Investor Exit List'!$A234,Investors!$E:$E,'Investor Exit List'!$C234,Investors!$L:$L,'Investor Exit List'!$B234)-(SUMIFS(Investors!$M:$M,Investors!$I:$I,"&lt;="&amp;'NSST Print'!$B$3,Investors!$J:$J,"&gt;"&amp;'NSST Print'!$B$3,Investors!$A:$A,'Investor Exit List'!$A234,Investors!$E:$E,'Investor Exit List'!$C234,Investors!$L:$L,'Investor Exit List'!$B234)+SUMIFS(Investors!$M:$M,Investors!$I:$I,"&lt;="&amp;'NSST Print'!$B$3,Investors!$J:$J,"",Investors!$A:$A,'Investor Exit List'!$A234,Investors!$E:$E,'Investor Exit List'!$C234,Investors!$L:$L,'Investor Exit List'!$B234))</f>
        <v/>
      </c>
      <c r="G234" s="95" t="inlineStr"/>
      <c r="H234" s="93" t="b">
        <v>0</v>
      </c>
      <c r="I234" s="93" t="b">
        <v>0</v>
      </c>
      <c r="J234" s="95" t="n">
        <v>45685</v>
      </c>
      <c r="K234" s="95">
        <f>IF(I234=TRUE,J234,"")</f>
        <v/>
      </c>
      <c r="L234" s="95">
        <f>G234+730</f>
        <v/>
      </c>
      <c r="M234" s="95" t="n">
        <v>45382</v>
      </c>
      <c r="N234" s="96">
        <f>IFERROR(IF(G234&lt;&gt;"",IF(I234=TRUE,0,IF(U234=TRUE,0,L234-M234)),0),0)</f>
        <v/>
      </c>
      <c r="O234" s="96">
        <f>IF(N234&gt;0,IF(N234&lt;=180,N234,0),0)</f>
        <v/>
      </c>
      <c r="P234" s="94">
        <f>IF(AND(N234&lt;90,N234&gt;0),Q234,0)</f>
        <v/>
      </c>
      <c r="Q234" s="94">
        <f>SUMIFS(Investors!$M:$M,Investors!$O:$O,FALSE,Investors!$P:$P,FALSE,Investors!$K:$K,"&gt;"&amp;'NSST Print'!$B$3,Investors!$I:$I,"&lt;="&amp;'NSST Print'!$B$3,Investors!$A:$A,'Investor Exit List'!$A234,Investors!$E:$E,'Investor Exit List'!$C234,Investors!$L:$L,'Investor Exit List'!$B234)-(SUMIFS(Investors!$M:$M,Investors!$I:$I,"&lt;="&amp;'NSST Print'!$B$3,Investors!$J:$J,"&gt;"&amp;'NSST Print'!$B$3,Investors!$A:$A,'Investor Exit List'!$A234,Investors!$E:$E,'Investor Exit List'!$C234,Investors!$L:$L,'Investor Exit List'!$B234)+SUMIFS(Investors!$M:$M,Investors!$I:$I,"&lt;="&amp;'NSST Print'!$B$3,Investors!$J:$J,"",Investors!$A:$A,'Investor Exit List'!$A234,Investors!$E:$E,'Investor Exit List'!$C234,Investors!$L:$L,'Investor Exit List'!$B234))+SUMIFS(Investors!$S:$S,Investors!$O:$O,FALSE,Investors!$P:$P,FALSE,Investors!$K:$K,"&gt;"&amp;'NSST Print'!$B$3,Investors!$I:$I,"&lt;="&amp;'NSST Print'!$B$3,Investors!$A:$A,'Investor Exit List'!$A234,Investors!$E:$E,'Investor Exit List'!$C234,Investors!$L:$L,'Investor Exit List'!$B234)-(SUMIFS(Investors!$S:$S,Investors!$I:$I,"&lt;="&amp;'NSST Print'!$B$3,Investors!$J:$J,"&gt;"&amp;'NSST Print'!$B$3,Investors!$A:$A,'Investor Exit List'!$A234,Investors!$E:$E,'Investor Exit List'!$C234,Investors!$L:$L,'Investor Exit List'!$B234)+SUMIFS(Investors!$S:$S,Investors!$I:$I,"&lt;="&amp;'NSST Print'!$B$3,Investors!$J:$J,"",Investors!$A:$A,'Investor Exit List'!$A234,Investors!$E:$E,'Investor Exit List'!$C234,Investors!$L:$L,'Investor Exit List'!$B234))</f>
        <v/>
      </c>
      <c r="R234" s="94">
        <f>IF(AND(H234=TRUE,I234=FALSE),Q234,0)</f>
        <v/>
      </c>
      <c r="S234" s="94">
        <f>SUMIFS(Investors!$M:$M,Investors!$O:$O,TRUE,Investors!$A:$A,'Investor Exit List'!$A234,Investors!$E:$E,'Investor Exit List'!$C234,Investors!$L:$L,'Investor Exit List'!$B234)+SUMIFS(Investors!$S:$S,Investors!$O:$O,TRUE,Investors!$A:$A,'Investor Exit List'!$A234,Investors!$E:$E,'Investor Exit List'!$C234,Investors!$L:$L,'Investor Exit List'!$B234)</f>
        <v/>
      </c>
      <c r="T234" s="95">
        <f>IF(U234=TRUE,$J234,"")</f>
        <v/>
      </c>
      <c r="U234" s="93" t="b">
        <v>0</v>
      </c>
      <c r="V234" s="94">
        <f>IF(AND(H234=TRUE,OR(K234="",K234&gt;M234)),S234,0)</f>
        <v/>
      </c>
      <c r="W234" s="93" t="n">
        <v>0</v>
      </c>
      <c r="X234" s="93" t="b">
        <v>0</v>
      </c>
    </row>
    <row r="235">
      <c r="A235" s="93" t="inlineStr">
        <is>
          <t>ZVER02</t>
        </is>
      </c>
      <c r="B235" s="93" t="n">
        <v>7</v>
      </c>
      <c r="C235" s="93" t="inlineStr">
        <is>
          <t>HVE101</t>
        </is>
      </c>
      <c r="D235" s="93" t="inlineStr">
        <is>
          <t>E</t>
        </is>
      </c>
      <c r="E235" s="93" t="inlineStr">
        <is>
          <t>Verhaeghe Jean-Jacques EP</t>
        </is>
      </c>
      <c r="F235" s="94">
        <f>SUMIFS(Investors!$M:$M,Investors!$O:$O,FALSE,Investors!$P:$P,FALSE,Investors!$K:$K,"&gt;"&amp;'NSST Print'!$B$3,Investors!$I:$I,"&lt;="&amp;'NSST Print'!$B$3,Investors!$A:$A,'Investor Exit List'!$A235,Investors!$E:$E,'Investor Exit List'!$C235,Investors!$L:$L,'Investor Exit List'!$B235)-(SUMIFS(Investors!$M:$M,Investors!$I:$I,"&lt;="&amp;'NSST Print'!$B$3,Investors!$J:$J,"&gt;"&amp;'NSST Print'!$B$3,Investors!$A:$A,'Investor Exit List'!$A235,Investors!$E:$E,'Investor Exit List'!$C235,Investors!$L:$L,'Investor Exit List'!$B235)+SUMIFS(Investors!$M:$M,Investors!$I:$I,"&lt;="&amp;'NSST Print'!$B$3,Investors!$J:$J,"",Investors!$A:$A,'Investor Exit List'!$A235,Investors!$E:$E,'Investor Exit List'!$C235,Investors!$L:$L,'Investor Exit List'!$B235))</f>
        <v/>
      </c>
      <c r="G235" s="95" t="n">
        <v>45321</v>
      </c>
      <c r="H235" s="93" t="b">
        <v>0</v>
      </c>
      <c r="I235" s="93" t="b">
        <v>0</v>
      </c>
      <c r="J235" s="95" t="n">
        <v>45685</v>
      </c>
      <c r="K235" s="95">
        <f>IF(I235=TRUE,J235,"")</f>
        <v/>
      </c>
      <c r="L235" s="95">
        <f>G235+730</f>
        <v/>
      </c>
      <c r="M235" s="95" t="n">
        <v>45382</v>
      </c>
      <c r="N235" s="96">
        <f>IFERROR(IF(G235&lt;&gt;"",IF(I235=TRUE,0,IF(U235=TRUE,0,L235-M235)),0),0)</f>
        <v/>
      </c>
      <c r="O235" s="96">
        <f>IF(N235&gt;0,IF(N235&lt;=180,N235,0),0)</f>
        <v/>
      </c>
      <c r="P235" s="94">
        <f>IF(AND(N235&lt;90,N235&gt;0),Q235,0)</f>
        <v/>
      </c>
      <c r="Q235" s="94">
        <f>SUMIFS(Investors!$M:$M,Investors!$O:$O,FALSE,Investors!$P:$P,FALSE,Investors!$K:$K,"&gt;"&amp;'NSST Print'!$B$3,Investors!$I:$I,"&lt;="&amp;'NSST Print'!$B$3,Investors!$A:$A,'Investor Exit List'!$A235,Investors!$E:$E,'Investor Exit List'!$C235,Investors!$L:$L,'Investor Exit List'!$B235)-(SUMIFS(Investors!$M:$M,Investors!$I:$I,"&lt;="&amp;'NSST Print'!$B$3,Investors!$J:$J,"&gt;"&amp;'NSST Print'!$B$3,Investors!$A:$A,'Investor Exit List'!$A235,Investors!$E:$E,'Investor Exit List'!$C235,Investors!$L:$L,'Investor Exit List'!$B235)+SUMIFS(Investors!$M:$M,Investors!$I:$I,"&lt;="&amp;'NSST Print'!$B$3,Investors!$J:$J,"",Investors!$A:$A,'Investor Exit List'!$A235,Investors!$E:$E,'Investor Exit List'!$C235,Investors!$L:$L,'Investor Exit List'!$B235))+SUMIFS(Investors!$S:$S,Investors!$O:$O,FALSE,Investors!$P:$P,FALSE,Investors!$K:$K,"&gt;"&amp;'NSST Print'!$B$3,Investors!$I:$I,"&lt;="&amp;'NSST Print'!$B$3,Investors!$A:$A,'Investor Exit List'!$A235,Investors!$E:$E,'Investor Exit List'!$C235,Investors!$L:$L,'Investor Exit List'!$B235)-(SUMIFS(Investors!$S:$S,Investors!$I:$I,"&lt;="&amp;'NSST Print'!$B$3,Investors!$J:$J,"&gt;"&amp;'NSST Print'!$B$3,Investors!$A:$A,'Investor Exit List'!$A235,Investors!$E:$E,'Investor Exit List'!$C235,Investors!$L:$L,'Investor Exit List'!$B235)+SUMIFS(Investors!$S:$S,Investors!$I:$I,"&lt;="&amp;'NSST Print'!$B$3,Investors!$J:$J,"",Investors!$A:$A,'Investor Exit List'!$A235,Investors!$E:$E,'Investor Exit List'!$C235,Investors!$L:$L,'Investor Exit List'!$B235))</f>
        <v/>
      </c>
      <c r="R235" s="94">
        <f>IF(AND(H235=TRUE,I235=FALSE),Q235,0)</f>
        <v/>
      </c>
      <c r="S235" s="94">
        <f>SUMIFS(Investors!$M:$M,Investors!$O:$O,TRUE,Investors!$A:$A,'Investor Exit List'!$A235,Investors!$E:$E,'Investor Exit List'!$C235,Investors!$L:$L,'Investor Exit List'!$B235)+SUMIFS(Investors!$S:$S,Investors!$O:$O,TRUE,Investors!$A:$A,'Investor Exit List'!$A235,Investors!$E:$E,'Investor Exit List'!$C235,Investors!$L:$L,'Investor Exit List'!$B235)</f>
        <v/>
      </c>
      <c r="T235" s="95">
        <f>IF(U235=TRUE,$J235,"")</f>
        <v/>
      </c>
      <c r="U235" s="93" t="b">
        <v>0</v>
      </c>
      <c r="V235" s="94">
        <f>IF(AND(H235=TRUE,OR(K235="",K235&gt;M235)),S235,0)</f>
        <v/>
      </c>
      <c r="W235" s="93" t="n">
        <v>0</v>
      </c>
      <c r="X235" s="93" t="b">
        <v>0</v>
      </c>
    </row>
    <row r="236">
      <c r="A236" s="93" t="inlineStr">
        <is>
          <t>ZFER02</t>
        </is>
      </c>
      <c r="B236" s="93" t="n">
        <v>2</v>
      </c>
      <c r="C236" s="93" t="inlineStr">
        <is>
          <t>HVE102</t>
        </is>
      </c>
      <c r="D236" s="93" t="inlineStr">
        <is>
          <t>E</t>
        </is>
      </c>
      <c r="E236" s="93" t="inlineStr">
        <is>
          <t>Fernandes Olga Maria</t>
        </is>
      </c>
      <c r="F236" s="94">
        <f>SUMIFS(Investors!$M:$M,Investors!$O:$O,FALSE,Investors!$P:$P,FALSE,Investors!$K:$K,"&gt;"&amp;'NSST Print'!$B$3,Investors!$I:$I,"&lt;="&amp;'NSST Print'!$B$3,Investors!$A:$A,'Investor Exit List'!$A236,Investors!$E:$E,'Investor Exit List'!$C236,Investors!$L:$L,'Investor Exit List'!$B236)-(SUMIFS(Investors!$M:$M,Investors!$I:$I,"&lt;="&amp;'NSST Print'!$B$3,Investors!$J:$J,"&gt;"&amp;'NSST Print'!$B$3,Investors!$A:$A,'Investor Exit List'!$A236,Investors!$E:$E,'Investor Exit List'!$C236,Investors!$L:$L,'Investor Exit List'!$B236)+SUMIFS(Investors!$M:$M,Investors!$I:$I,"&lt;="&amp;'NSST Print'!$B$3,Investors!$J:$J,"",Investors!$A:$A,'Investor Exit List'!$A236,Investors!$E:$E,'Investor Exit List'!$C236,Investors!$L:$L,'Investor Exit List'!$B236))</f>
        <v/>
      </c>
      <c r="G236" s="95" t="n">
        <v>45321</v>
      </c>
      <c r="H236" s="93" t="b">
        <v>0</v>
      </c>
      <c r="I236" s="93" t="b">
        <v>0</v>
      </c>
      <c r="J236" s="95" t="n">
        <v>45685</v>
      </c>
      <c r="K236" s="95">
        <f>IF(I236=TRUE,J236,"")</f>
        <v/>
      </c>
      <c r="L236" s="95">
        <f>G236+730</f>
        <v/>
      </c>
      <c r="M236" s="95" t="n">
        <v>45382</v>
      </c>
      <c r="N236" s="96">
        <f>IFERROR(IF(G236&lt;&gt;"",IF(I236=TRUE,0,IF(U236=TRUE,0,L236-M236)),0),0)</f>
        <v/>
      </c>
      <c r="O236" s="96">
        <f>IF(N236&gt;0,IF(N236&lt;=180,N236,0),0)</f>
        <v/>
      </c>
      <c r="P236" s="94">
        <f>IF(AND(N236&lt;90,N236&gt;0),Q236,0)</f>
        <v/>
      </c>
      <c r="Q236" s="94">
        <f>SUMIFS(Investors!$M:$M,Investors!$O:$O,FALSE,Investors!$P:$P,FALSE,Investors!$K:$K,"&gt;"&amp;'NSST Print'!$B$3,Investors!$I:$I,"&lt;="&amp;'NSST Print'!$B$3,Investors!$A:$A,'Investor Exit List'!$A236,Investors!$E:$E,'Investor Exit List'!$C236,Investors!$L:$L,'Investor Exit List'!$B236)-(SUMIFS(Investors!$M:$M,Investors!$I:$I,"&lt;="&amp;'NSST Print'!$B$3,Investors!$J:$J,"&gt;"&amp;'NSST Print'!$B$3,Investors!$A:$A,'Investor Exit List'!$A236,Investors!$E:$E,'Investor Exit List'!$C236,Investors!$L:$L,'Investor Exit List'!$B236)+SUMIFS(Investors!$M:$M,Investors!$I:$I,"&lt;="&amp;'NSST Print'!$B$3,Investors!$J:$J,"",Investors!$A:$A,'Investor Exit List'!$A236,Investors!$E:$E,'Investor Exit List'!$C236,Investors!$L:$L,'Investor Exit List'!$B236))+SUMIFS(Investors!$S:$S,Investors!$O:$O,FALSE,Investors!$P:$P,FALSE,Investors!$K:$K,"&gt;"&amp;'NSST Print'!$B$3,Investors!$I:$I,"&lt;="&amp;'NSST Print'!$B$3,Investors!$A:$A,'Investor Exit List'!$A236,Investors!$E:$E,'Investor Exit List'!$C236,Investors!$L:$L,'Investor Exit List'!$B236)-(SUMIFS(Investors!$S:$S,Investors!$I:$I,"&lt;="&amp;'NSST Print'!$B$3,Investors!$J:$J,"&gt;"&amp;'NSST Print'!$B$3,Investors!$A:$A,'Investor Exit List'!$A236,Investors!$E:$E,'Investor Exit List'!$C236,Investors!$L:$L,'Investor Exit List'!$B236)+SUMIFS(Investors!$S:$S,Investors!$I:$I,"&lt;="&amp;'NSST Print'!$B$3,Investors!$J:$J,"",Investors!$A:$A,'Investor Exit List'!$A236,Investors!$E:$E,'Investor Exit List'!$C236,Investors!$L:$L,'Investor Exit List'!$B236))</f>
        <v/>
      </c>
      <c r="R236" s="94">
        <f>IF(AND(H236=TRUE,I236=FALSE),Q236,0)</f>
        <v/>
      </c>
      <c r="S236" s="94">
        <f>SUMIFS(Investors!$M:$M,Investors!$O:$O,TRUE,Investors!$A:$A,'Investor Exit List'!$A236,Investors!$E:$E,'Investor Exit List'!$C236,Investors!$L:$L,'Investor Exit List'!$B236)+SUMIFS(Investors!$S:$S,Investors!$O:$O,TRUE,Investors!$A:$A,'Investor Exit List'!$A236,Investors!$E:$E,'Investor Exit List'!$C236,Investors!$L:$L,'Investor Exit List'!$B236)</f>
        <v/>
      </c>
      <c r="T236" s="95">
        <f>IF(U236=TRUE,$J236,"")</f>
        <v/>
      </c>
      <c r="U236" s="93" t="b">
        <v>0</v>
      </c>
      <c r="V236" s="94">
        <f>IF(AND(H236=TRUE,OR(K236="",K236&gt;M236)),S236,0)</f>
        <v/>
      </c>
      <c r="W236" s="93" t="n">
        <v>0</v>
      </c>
      <c r="X236" s="93" t="b">
        <v>0</v>
      </c>
    </row>
    <row r="237">
      <c r="A237" s="93" t="inlineStr">
        <is>
          <t>ZMYB01</t>
        </is>
      </c>
      <c r="B237" s="93" t="n">
        <v>6</v>
      </c>
      <c r="C237" s="93" t="inlineStr">
        <is>
          <t>HVE104</t>
        </is>
      </c>
      <c r="D237" s="93" t="inlineStr">
        <is>
          <t>E</t>
        </is>
      </c>
      <c r="E237" s="93" t="inlineStr">
        <is>
          <t>Myburgh Hermanus Carel</t>
        </is>
      </c>
      <c r="F237" s="94">
        <f>SUMIFS(Investors!$M:$M,Investors!$O:$O,FALSE,Investors!$P:$P,FALSE,Investors!$K:$K,"&gt;"&amp;'NSST Print'!$B$3,Investors!$I:$I,"&lt;="&amp;'NSST Print'!$B$3,Investors!$A:$A,'Investor Exit List'!$A237,Investors!$E:$E,'Investor Exit List'!$C237,Investors!$L:$L,'Investor Exit List'!$B237)-(SUMIFS(Investors!$M:$M,Investors!$I:$I,"&lt;="&amp;'NSST Print'!$B$3,Investors!$J:$J,"&gt;"&amp;'NSST Print'!$B$3,Investors!$A:$A,'Investor Exit List'!$A237,Investors!$E:$E,'Investor Exit List'!$C237,Investors!$L:$L,'Investor Exit List'!$B237)+SUMIFS(Investors!$M:$M,Investors!$I:$I,"&lt;="&amp;'NSST Print'!$B$3,Investors!$J:$J,"",Investors!$A:$A,'Investor Exit List'!$A237,Investors!$E:$E,'Investor Exit List'!$C237,Investors!$L:$L,'Investor Exit List'!$B237))</f>
        <v/>
      </c>
      <c r="G237" s="95" t="n">
        <v>45371</v>
      </c>
      <c r="H237" s="93" t="b">
        <v>0</v>
      </c>
      <c r="I237" s="93" t="b">
        <v>0</v>
      </c>
      <c r="J237" s="95" t="n">
        <v>45685</v>
      </c>
      <c r="K237" s="95">
        <f>IF(I237=TRUE,J237,"")</f>
        <v/>
      </c>
      <c r="L237" s="95">
        <f>G237+730</f>
        <v/>
      </c>
      <c r="M237" s="95" t="n">
        <v>45382</v>
      </c>
      <c r="N237" s="96">
        <f>IFERROR(IF(G237&lt;&gt;"",IF(I237=TRUE,0,IF(U237=TRUE,0,L237-M237)),0),0)</f>
        <v/>
      </c>
      <c r="O237" s="96">
        <f>IF(N237&gt;0,IF(N237&lt;=180,N237,0),0)</f>
        <v/>
      </c>
      <c r="P237" s="94">
        <f>IF(AND(N237&lt;90,N237&gt;0),Q237,0)</f>
        <v/>
      </c>
      <c r="Q237" s="94">
        <f>SUMIFS(Investors!$M:$M,Investors!$O:$O,FALSE,Investors!$P:$P,FALSE,Investors!$K:$K,"&gt;"&amp;'NSST Print'!$B$3,Investors!$I:$I,"&lt;="&amp;'NSST Print'!$B$3,Investors!$A:$A,'Investor Exit List'!$A237,Investors!$E:$E,'Investor Exit List'!$C237,Investors!$L:$L,'Investor Exit List'!$B237)-(SUMIFS(Investors!$M:$M,Investors!$I:$I,"&lt;="&amp;'NSST Print'!$B$3,Investors!$J:$J,"&gt;"&amp;'NSST Print'!$B$3,Investors!$A:$A,'Investor Exit List'!$A237,Investors!$E:$E,'Investor Exit List'!$C237,Investors!$L:$L,'Investor Exit List'!$B237)+SUMIFS(Investors!$M:$M,Investors!$I:$I,"&lt;="&amp;'NSST Print'!$B$3,Investors!$J:$J,"",Investors!$A:$A,'Investor Exit List'!$A237,Investors!$E:$E,'Investor Exit List'!$C237,Investors!$L:$L,'Investor Exit List'!$B237))+SUMIFS(Investors!$S:$S,Investors!$O:$O,FALSE,Investors!$P:$P,FALSE,Investors!$K:$K,"&gt;"&amp;'NSST Print'!$B$3,Investors!$I:$I,"&lt;="&amp;'NSST Print'!$B$3,Investors!$A:$A,'Investor Exit List'!$A237,Investors!$E:$E,'Investor Exit List'!$C237,Investors!$L:$L,'Investor Exit List'!$B237)-(SUMIFS(Investors!$S:$S,Investors!$I:$I,"&lt;="&amp;'NSST Print'!$B$3,Investors!$J:$J,"&gt;"&amp;'NSST Print'!$B$3,Investors!$A:$A,'Investor Exit List'!$A237,Investors!$E:$E,'Investor Exit List'!$C237,Investors!$L:$L,'Investor Exit List'!$B237)+SUMIFS(Investors!$S:$S,Investors!$I:$I,"&lt;="&amp;'NSST Print'!$B$3,Investors!$J:$J,"",Investors!$A:$A,'Investor Exit List'!$A237,Investors!$E:$E,'Investor Exit List'!$C237,Investors!$L:$L,'Investor Exit List'!$B237))</f>
        <v/>
      </c>
      <c r="R237" s="94">
        <f>IF(AND(H237=TRUE,I237=FALSE),Q237,0)</f>
        <v/>
      </c>
      <c r="S237" s="94">
        <f>SUMIFS(Investors!$M:$M,Investors!$O:$O,TRUE,Investors!$A:$A,'Investor Exit List'!$A237,Investors!$E:$E,'Investor Exit List'!$C237,Investors!$L:$L,'Investor Exit List'!$B237)+SUMIFS(Investors!$S:$S,Investors!$O:$O,TRUE,Investors!$A:$A,'Investor Exit List'!$A237,Investors!$E:$E,'Investor Exit List'!$C237,Investors!$L:$L,'Investor Exit List'!$B237)</f>
        <v/>
      </c>
      <c r="T237" s="95">
        <f>IF(U237=TRUE,$J237,"")</f>
        <v/>
      </c>
      <c r="U237" s="93" t="b">
        <v>0</v>
      </c>
      <c r="V237" s="94">
        <f>IF(AND(H237=TRUE,OR(K237="",K237&gt;M237)),S237,0)</f>
        <v/>
      </c>
      <c r="W237" s="93" t="n">
        <v>0</v>
      </c>
      <c r="X237" s="93" t="b">
        <v>0</v>
      </c>
    </row>
    <row r="238">
      <c r="A238" s="93" t="inlineStr">
        <is>
          <t>ZLEB01</t>
        </is>
      </c>
      <c r="B238" s="93" t="n">
        <v>13</v>
      </c>
      <c r="C238" s="93" t="inlineStr">
        <is>
          <t>HVE201</t>
        </is>
      </c>
      <c r="D238" s="93" t="inlineStr">
        <is>
          <t>E</t>
        </is>
      </c>
      <c r="E238" s="93" t="inlineStr">
        <is>
          <t>Lebusa Hopolang</t>
        </is>
      </c>
      <c r="F238" s="94">
        <f>SUMIFS(Investors!$M:$M,Investors!$O:$O,FALSE,Investors!$P:$P,FALSE,Investors!$K:$K,"&gt;"&amp;'NSST Print'!$B$3,Investors!$I:$I,"&lt;="&amp;'NSST Print'!$B$3,Investors!$A:$A,'Investor Exit List'!$A238,Investors!$E:$E,'Investor Exit List'!$C238,Investors!$L:$L,'Investor Exit List'!$B238)-(SUMIFS(Investors!$M:$M,Investors!$I:$I,"&lt;="&amp;'NSST Print'!$B$3,Investors!$J:$J,"&gt;"&amp;'NSST Print'!$B$3,Investors!$A:$A,'Investor Exit List'!$A238,Investors!$E:$E,'Investor Exit List'!$C238,Investors!$L:$L,'Investor Exit List'!$B238)+SUMIFS(Investors!$M:$M,Investors!$I:$I,"&lt;="&amp;'NSST Print'!$B$3,Investors!$J:$J,"",Investors!$A:$A,'Investor Exit List'!$A238,Investors!$E:$E,'Investor Exit List'!$C238,Investors!$L:$L,'Investor Exit List'!$B238))</f>
        <v/>
      </c>
      <c r="G238" s="95" t="inlineStr"/>
      <c r="H238" s="93" t="b">
        <v>0</v>
      </c>
      <c r="I238" s="93" t="b">
        <v>0</v>
      </c>
      <c r="J238" s="95" t="n">
        <v>45685</v>
      </c>
      <c r="K238" s="95">
        <f>IF(I238=TRUE,J238,"")</f>
        <v/>
      </c>
      <c r="L238" s="95">
        <f>G238+730</f>
        <v/>
      </c>
      <c r="M238" s="95" t="n">
        <v>45382</v>
      </c>
      <c r="N238" s="96">
        <f>IFERROR(IF(G238&lt;&gt;"",IF(I238=TRUE,0,IF(U238=TRUE,0,L238-M238)),0),0)</f>
        <v/>
      </c>
      <c r="O238" s="96">
        <f>IF(N238&gt;0,IF(N238&lt;=180,N238,0),0)</f>
        <v/>
      </c>
      <c r="P238" s="94">
        <f>IF(AND(N238&lt;90,N238&gt;0),Q238,0)</f>
        <v/>
      </c>
      <c r="Q238" s="94">
        <f>SUMIFS(Investors!$M:$M,Investors!$O:$O,FALSE,Investors!$P:$P,FALSE,Investors!$K:$K,"&gt;"&amp;'NSST Print'!$B$3,Investors!$I:$I,"&lt;="&amp;'NSST Print'!$B$3,Investors!$A:$A,'Investor Exit List'!$A238,Investors!$E:$E,'Investor Exit List'!$C238,Investors!$L:$L,'Investor Exit List'!$B238)-(SUMIFS(Investors!$M:$M,Investors!$I:$I,"&lt;="&amp;'NSST Print'!$B$3,Investors!$J:$J,"&gt;"&amp;'NSST Print'!$B$3,Investors!$A:$A,'Investor Exit List'!$A238,Investors!$E:$E,'Investor Exit List'!$C238,Investors!$L:$L,'Investor Exit List'!$B238)+SUMIFS(Investors!$M:$M,Investors!$I:$I,"&lt;="&amp;'NSST Print'!$B$3,Investors!$J:$J,"",Investors!$A:$A,'Investor Exit List'!$A238,Investors!$E:$E,'Investor Exit List'!$C238,Investors!$L:$L,'Investor Exit List'!$B238))+SUMIFS(Investors!$S:$S,Investors!$O:$O,FALSE,Investors!$P:$P,FALSE,Investors!$K:$K,"&gt;"&amp;'NSST Print'!$B$3,Investors!$I:$I,"&lt;="&amp;'NSST Print'!$B$3,Investors!$A:$A,'Investor Exit List'!$A238,Investors!$E:$E,'Investor Exit List'!$C238,Investors!$L:$L,'Investor Exit List'!$B238)-(SUMIFS(Investors!$S:$S,Investors!$I:$I,"&lt;="&amp;'NSST Print'!$B$3,Investors!$J:$J,"&gt;"&amp;'NSST Print'!$B$3,Investors!$A:$A,'Investor Exit List'!$A238,Investors!$E:$E,'Investor Exit List'!$C238,Investors!$L:$L,'Investor Exit List'!$B238)+SUMIFS(Investors!$S:$S,Investors!$I:$I,"&lt;="&amp;'NSST Print'!$B$3,Investors!$J:$J,"",Investors!$A:$A,'Investor Exit List'!$A238,Investors!$E:$E,'Investor Exit List'!$C238,Investors!$L:$L,'Investor Exit List'!$B238))</f>
        <v/>
      </c>
      <c r="R238" s="94">
        <f>IF(AND(H238=TRUE,I238=FALSE),Q238,0)</f>
        <v/>
      </c>
      <c r="S238" s="94">
        <f>SUMIFS(Investors!$M:$M,Investors!$O:$O,TRUE,Investors!$A:$A,'Investor Exit List'!$A238,Investors!$E:$E,'Investor Exit List'!$C238,Investors!$L:$L,'Investor Exit List'!$B238)+SUMIFS(Investors!$S:$S,Investors!$O:$O,TRUE,Investors!$A:$A,'Investor Exit List'!$A238,Investors!$E:$E,'Investor Exit List'!$C238,Investors!$L:$L,'Investor Exit List'!$B238)</f>
        <v/>
      </c>
      <c r="T238" s="95">
        <f>IF(U238=TRUE,$J238,"")</f>
        <v/>
      </c>
      <c r="U238" s="93" t="b">
        <v>0</v>
      </c>
      <c r="V238" s="94">
        <f>IF(AND(H238=TRUE,OR(K238="",K238&gt;M238)),S238,0)</f>
        <v/>
      </c>
      <c r="W238" s="93" t="n">
        <v>0</v>
      </c>
      <c r="X238" s="93" t="b">
        <v>0</v>
      </c>
    </row>
    <row r="239">
      <c r="A239" s="93" t="inlineStr">
        <is>
          <t>ZSCO01</t>
        </is>
      </c>
      <c r="B239" s="93" t="n">
        <v>2</v>
      </c>
      <c r="C239" s="93" t="inlineStr">
        <is>
          <t>HVE201</t>
        </is>
      </c>
      <c r="D239" s="93" t="inlineStr">
        <is>
          <t>E</t>
        </is>
      </c>
      <c r="E239" s="93" t="inlineStr">
        <is>
          <t>Scott Caryn</t>
        </is>
      </c>
      <c r="F239" s="94">
        <f>SUMIFS(Investors!$M:$M,Investors!$O:$O,FALSE,Investors!$P:$P,FALSE,Investors!$K:$K,"&gt;"&amp;'NSST Print'!$B$3,Investors!$I:$I,"&lt;="&amp;'NSST Print'!$B$3,Investors!$A:$A,'Investor Exit List'!$A239,Investors!$E:$E,'Investor Exit List'!$C239,Investors!$L:$L,'Investor Exit List'!$B239)-(SUMIFS(Investors!$M:$M,Investors!$I:$I,"&lt;="&amp;'NSST Print'!$B$3,Investors!$J:$J,"&gt;"&amp;'NSST Print'!$B$3,Investors!$A:$A,'Investor Exit List'!$A239,Investors!$E:$E,'Investor Exit List'!$C239,Investors!$L:$L,'Investor Exit List'!$B239)+SUMIFS(Investors!$M:$M,Investors!$I:$I,"&lt;="&amp;'NSST Print'!$B$3,Investors!$J:$J,"",Investors!$A:$A,'Investor Exit List'!$A239,Investors!$E:$E,'Investor Exit List'!$C239,Investors!$L:$L,'Investor Exit List'!$B239))</f>
        <v/>
      </c>
      <c r="G239" s="95" t="n">
        <v>45350</v>
      </c>
      <c r="H239" s="93" t="b">
        <v>0</v>
      </c>
      <c r="I239" s="93" t="b">
        <v>0</v>
      </c>
      <c r="J239" s="95" t="n">
        <v>45685</v>
      </c>
      <c r="K239" s="95">
        <f>IF(I239=TRUE,J239,"")</f>
        <v/>
      </c>
      <c r="L239" s="95">
        <f>G239+730</f>
        <v/>
      </c>
      <c r="M239" s="95" t="n">
        <v>45382</v>
      </c>
      <c r="N239" s="96">
        <f>IFERROR(IF(G239&lt;&gt;"",IF(I239=TRUE,0,IF(U239=TRUE,0,L239-M239)),0),0)</f>
        <v/>
      </c>
      <c r="O239" s="96">
        <f>IF(N239&gt;0,IF(N239&lt;=180,N239,0),0)</f>
        <v/>
      </c>
      <c r="P239" s="94">
        <f>IF(AND(N239&lt;90,N239&gt;0),Q239,0)</f>
        <v/>
      </c>
      <c r="Q239" s="94">
        <f>SUMIFS(Investors!$M:$M,Investors!$O:$O,FALSE,Investors!$P:$P,FALSE,Investors!$K:$K,"&gt;"&amp;'NSST Print'!$B$3,Investors!$I:$I,"&lt;="&amp;'NSST Print'!$B$3,Investors!$A:$A,'Investor Exit List'!$A239,Investors!$E:$E,'Investor Exit List'!$C239,Investors!$L:$L,'Investor Exit List'!$B239)-(SUMIFS(Investors!$M:$M,Investors!$I:$I,"&lt;="&amp;'NSST Print'!$B$3,Investors!$J:$J,"&gt;"&amp;'NSST Print'!$B$3,Investors!$A:$A,'Investor Exit List'!$A239,Investors!$E:$E,'Investor Exit List'!$C239,Investors!$L:$L,'Investor Exit List'!$B239)+SUMIFS(Investors!$M:$M,Investors!$I:$I,"&lt;="&amp;'NSST Print'!$B$3,Investors!$J:$J,"",Investors!$A:$A,'Investor Exit List'!$A239,Investors!$E:$E,'Investor Exit List'!$C239,Investors!$L:$L,'Investor Exit List'!$B239))+SUMIFS(Investors!$S:$S,Investors!$O:$O,FALSE,Investors!$P:$P,FALSE,Investors!$K:$K,"&gt;"&amp;'NSST Print'!$B$3,Investors!$I:$I,"&lt;="&amp;'NSST Print'!$B$3,Investors!$A:$A,'Investor Exit List'!$A239,Investors!$E:$E,'Investor Exit List'!$C239,Investors!$L:$L,'Investor Exit List'!$B239)-(SUMIFS(Investors!$S:$S,Investors!$I:$I,"&lt;="&amp;'NSST Print'!$B$3,Investors!$J:$J,"&gt;"&amp;'NSST Print'!$B$3,Investors!$A:$A,'Investor Exit List'!$A239,Investors!$E:$E,'Investor Exit List'!$C239,Investors!$L:$L,'Investor Exit List'!$B239)+SUMIFS(Investors!$S:$S,Investors!$I:$I,"&lt;="&amp;'NSST Print'!$B$3,Investors!$J:$J,"",Investors!$A:$A,'Investor Exit List'!$A239,Investors!$E:$E,'Investor Exit List'!$C239,Investors!$L:$L,'Investor Exit List'!$B239))</f>
        <v/>
      </c>
      <c r="R239" s="94">
        <f>IF(AND(H239=TRUE,I239=FALSE),Q239,0)</f>
        <v/>
      </c>
      <c r="S239" s="94">
        <f>SUMIFS(Investors!$M:$M,Investors!$O:$O,TRUE,Investors!$A:$A,'Investor Exit List'!$A239,Investors!$E:$E,'Investor Exit List'!$C239,Investors!$L:$L,'Investor Exit List'!$B239)+SUMIFS(Investors!$S:$S,Investors!$O:$O,TRUE,Investors!$A:$A,'Investor Exit List'!$A239,Investors!$E:$E,'Investor Exit List'!$C239,Investors!$L:$L,'Investor Exit List'!$B239)</f>
        <v/>
      </c>
      <c r="T239" s="95">
        <f>IF(U239=TRUE,$J239,"")</f>
        <v/>
      </c>
      <c r="U239" s="93" t="b">
        <v>0</v>
      </c>
      <c r="V239" s="94">
        <f>IF(AND(H239=TRUE,OR(K239="",K239&gt;M239)),S239,0)</f>
        <v/>
      </c>
      <c r="W239" s="93" t="n">
        <v>0</v>
      </c>
      <c r="X239" s="93" t="b">
        <v>0</v>
      </c>
    </row>
    <row r="240">
      <c r="A240" s="93" t="inlineStr">
        <is>
          <t>ZMYB01</t>
        </is>
      </c>
      <c r="B240" s="93" t="n">
        <v>7</v>
      </c>
      <c r="C240" s="93" t="inlineStr">
        <is>
          <t>HVE202</t>
        </is>
      </c>
      <c r="D240" s="93" t="inlineStr">
        <is>
          <t>E</t>
        </is>
      </c>
      <c r="E240" s="93" t="inlineStr">
        <is>
          <t>Myburgh Hermanus Carel</t>
        </is>
      </c>
      <c r="F240" s="94">
        <f>SUMIFS(Investors!$M:$M,Investors!$O:$O,FALSE,Investors!$P:$P,FALSE,Investors!$K:$K,"&gt;"&amp;'NSST Print'!$B$3,Investors!$I:$I,"&lt;="&amp;'NSST Print'!$B$3,Investors!$A:$A,'Investor Exit List'!$A240,Investors!$E:$E,'Investor Exit List'!$C240,Investors!$L:$L,'Investor Exit List'!$B240)-(SUMIFS(Investors!$M:$M,Investors!$I:$I,"&lt;="&amp;'NSST Print'!$B$3,Investors!$J:$J,"&gt;"&amp;'NSST Print'!$B$3,Investors!$A:$A,'Investor Exit List'!$A240,Investors!$E:$E,'Investor Exit List'!$C240,Investors!$L:$L,'Investor Exit List'!$B240)+SUMIFS(Investors!$M:$M,Investors!$I:$I,"&lt;="&amp;'NSST Print'!$B$3,Investors!$J:$J,"",Investors!$A:$A,'Investor Exit List'!$A240,Investors!$E:$E,'Investor Exit List'!$C240,Investors!$L:$L,'Investor Exit List'!$B240))</f>
        <v/>
      </c>
      <c r="G240" s="95" t="n">
        <v>45371</v>
      </c>
      <c r="H240" s="93" t="b">
        <v>0</v>
      </c>
      <c r="I240" s="93" t="b">
        <v>0</v>
      </c>
      <c r="J240" s="95" t="n">
        <v>45685</v>
      </c>
      <c r="K240" s="95">
        <f>IF(I240=TRUE,J240,"")</f>
        <v/>
      </c>
      <c r="L240" s="95">
        <f>G240+730</f>
        <v/>
      </c>
      <c r="M240" s="95" t="n">
        <v>45382</v>
      </c>
      <c r="N240" s="96">
        <f>IFERROR(IF(G240&lt;&gt;"",IF(I240=TRUE,0,IF(U240=TRUE,0,L240-M240)),0),0)</f>
        <v/>
      </c>
      <c r="O240" s="96">
        <f>IF(N240&gt;0,IF(N240&lt;=180,N240,0),0)</f>
        <v/>
      </c>
      <c r="P240" s="94">
        <f>IF(AND(N240&lt;90,N240&gt;0),Q240,0)</f>
        <v/>
      </c>
      <c r="Q240" s="94">
        <f>SUMIFS(Investors!$M:$M,Investors!$O:$O,FALSE,Investors!$P:$P,FALSE,Investors!$K:$K,"&gt;"&amp;'NSST Print'!$B$3,Investors!$I:$I,"&lt;="&amp;'NSST Print'!$B$3,Investors!$A:$A,'Investor Exit List'!$A240,Investors!$E:$E,'Investor Exit List'!$C240,Investors!$L:$L,'Investor Exit List'!$B240)-(SUMIFS(Investors!$M:$M,Investors!$I:$I,"&lt;="&amp;'NSST Print'!$B$3,Investors!$J:$J,"&gt;"&amp;'NSST Print'!$B$3,Investors!$A:$A,'Investor Exit List'!$A240,Investors!$E:$E,'Investor Exit List'!$C240,Investors!$L:$L,'Investor Exit List'!$B240)+SUMIFS(Investors!$M:$M,Investors!$I:$I,"&lt;="&amp;'NSST Print'!$B$3,Investors!$J:$J,"",Investors!$A:$A,'Investor Exit List'!$A240,Investors!$E:$E,'Investor Exit List'!$C240,Investors!$L:$L,'Investor Exit List'!$B240))+SUMIFS(Investors!$S:$S,Investors!$O:$O,FALSE,Investors!$P:$P,FALSE,Investors!$K:$K,"&gt;"&amp;'NSST Print'!$B$3,Investors!$I:$I,"&lt;="&amp;'NSST Print'!$B$3,Investors!$A:$A,'Investor Exit List'!$A240,Investors!$E:$E,'Investor Exit List'!$C240,Investors!$L:$L,'Investor Exit List'!$B240)-(SUMIFS(Investors!$S:$S,Investors!$I:$I,"&lt;="&amp;'NSST Print'!$B$3,Investors!$J:$J,"&gt;"&amp;'NSST Print'!$B$3,Investors!$A:$A,'Investor Exit List'!$A240,Investors!$E:$E,'Investor Exit List'!$C240,Investors!$L:$L,'Investor Exit List'!$B240)+SUMIFS(Investors!$S:$S,Investors!$I:$I,"&lt;="&amp;'NSST Print'!$B$3,Investors!$J:$J,"",Investors!$A:$A,'Investor Exit List'!$A240,Investors!$E:$E,'Investor Exit List'!$C240,Investors!$L:$L,'Investor Exit List'!$B240))</f>
        <v/>
      </c>
      <c r="R240" s="94">
        <f>IF(AND(H240=TRUE,I240=FALSE),Q240,0)</f>
        <v/>
      </c>
      <c r="S240" s="94">
        <f>SUMIFS(Investors!$M:$M,Investors!$O:$O,TRUE,Investors!$A:$A,'Investor Exit List'!$A240,Investors!$E:$E,'Investor Exit List'!$C240,Investors!$L:$L,'Investor Exit List'!$B240)+SUMIFS(Investors!$S:$S,Investors!$O:$O,TRUE,Investors!$A:$A,'Investor Exit List'!$A240,Investors!$E:$E,'Investor Exit List'!$C240,Investors!$L:$L,'Investor Exit List'!$B240)</f>
        <v/>
      </c>
      <c r="T240" s="95">
        <f>IF(U240=TRUE,$J240,"")</f>
        <v/>
      </c>
      <c r="U240" s="93" t="b">
        <v>0</v>
      </c>
      <c r="V240" s="94">
        <f>IF(AND(H240=TRUE,OR(K240="",K240&gt;M240)),S240,0)</f>
        <v/>
      </c>
      <c r="W240" s="93" t="n">
        <v>0</v>
      </c>
      <c r="X240" s="93" t="b">
        <v>0</v>
      </c>
    </row>
    <row r="241">
      <c r="A241" s="93" t="inlineStr">
        <is>
          <t>ZHOW01</t>
        </is>
      </c>
      <c r="B241" s="93" t="n">
        <v>1</v>
      </c>
      <c r="C241" s="93" t="inlineStr">
        <is>
          <t>HVE203</t>
        </is>
      </c>
      <c r="D241" s="93" t="inlineStr">
        <is>
          <t>E</t>
        </is>
      </c>
      <c r="E241" s="93" t="inlineStr">
        <is>
          <t>Howe David Mark</t>
        </is>
      </c>
      <c r="F241" s="94">
        <f>SUMIFS(Investors!$M:$M,Investors!$O:$O,FALSE,Investors!$P:$P,FALSE,Investors!$K:$K,"&gt;"&amp;'NSST Print'!$B$3,Investors!$I:$I,"&lt;="&amp;'NSST Print'!$B$3,Investors!$A:$A,'Investor Exit List'!$A241,Investors!$E:$E,'Investor Exit List'!$C241,Investors!$L:$L,'Investor Exit List'!$B241)-(SUMIFS(Investors!$M:$M,Investors!$I:$I,"&lt;="&amp;'NSST Print'!$B$3,Investors!$J:$J,"&gt;"&amp;'NSST Print'!$B$3,Investors!$A:$A,'Investor Exit List'!$A241,Investors!$E:$E,'Investor Exit List'!$C241,Investors!$L:$L,'Investor Exit List'!$B241)+SUMIFS(Investors!$M:$M,Investors!$I:$I,"&lt;="&amp;'NSST Print'!$B$3,Investors!$J:$J,"",Investors!$A:$A,'Investor Exit List'!$A241,Investors!$E:$E,'Investor Exit List'!$C241,Investors!$L:$L,'Investor Exit List'!$B241))</f>
        <v/>
      </c>
      <c r="G241" s="95" t="n">
        <v>45321</v>
      </c>
      <c r="H241" s="93" t="b">
        <v>0</v>
      </c>
      <c r="I241" s="93" t="b">
        <v>0</v>
      </c>
      <c r="J241" s="95" t="n">
        <v>45685</v>
      </c>
      <c r="K241" s="95">
        <f>IF(I241=TRUE,J241,"")</f>
        <v/>
      </c>
      <c r="L241" s="95">
        <f>G241+730</f>
        <v/>
      </c>
      <c r="M241" s="95" t="n">
        <v>45382</v>
      </c>
      <c r="N241" s="96">
        <f>IFERROR(IF(G241&lt;&gt;"",IF(I241=TRUE,0,IF(U241=TRUE,0,L241-M241)),0),0)</f>
        <v/>
      </c>
      <c r="O241" s="96">
        <f>IF(N241&gt;0,IF(N241&lt;=180,N241,0),0)</f>
        <v/>
      </c>
      <c r="P241" s="94">
        <f>IF(AND(N241&lt;90,N241&gt;0),Q241,0)</f>
        <v/>
      </c>
      <c r="Q241" s="94">
        <f>SUMIFS(Investors!$M:$M,Investors!$O:$O,FALSE,Investors!$P:$P,FALSE,Investors!$K:$K,"&gt;"&amp;'NSST Print'!$B$3,Investors!$I:$I,"&lt;="&amp;'NSST Print'!$B$3,Investors!$A:$A,'Investor Exit List'!$A241,Investors!$E:$E,'Investor Exit List'!$C241,Investors!$L:$L,'Investor Exit List'!$B241)-(SUMIFS(Investors!$M:$M,Investors!$I:$I,"&lt;="&amp;'NSST Print'!$B$3,Investors!$J:$J,"&gt;"&amp;'NSST Print'!$B$3,Investors!$A:$A,'Investor Exit List'!$A241,Investors!$E:$E,'Investor Exit List'!$C241,Investors!$L:$L,'Investor Exit List'!$B241)+SUMIFS(Investors!$M:$M,Investors!$I:$I,"&lt;="&amp;'NSST Print'!$B$3,Investors!$J:$J,"",Investors!$A:$A,'Investor Exit List'!$A241,Investors!$E:$E,'Investor Exit List'!$C241,Investors!$L:$L,'Investor Exit List'!$B241))+SUMIFS(Investors!$S:$S,Investors!$O:$O,FALSE,Investors!$P:$P,FALSE,Investors!$K:$K,"&gt;"&amp;'NSST Print'!$B$3,Investors!$I:$I,"&lt;="&amp;'NSST Print'!$B$3,Investors!$A:$A,'Investor Exit List'!$A241,Investors!$E:$E,'Investor Exit List'!$C241,Investors!$L:$L,'Investor Exit List'!$B241)-(SUMIFS(Investors!$S:$S,Investors!$I:$I,"&lt;="&amp;'NSST Print'!$B$3,Investors!$J:$J,"&gt;"&amp;'NSST Print'!$B$3,Investors!$A:$A,'Investor Exit List'!$A241,Investors!$E:$E,'Investor Exit List'!$C241,Investors!$L:$L,'Investor Exit List'!$B241)+SUMIFS(Investors!$S:$S,Investors!$I:$I,"&lt;="&amp;'NSST Print'!$B$3,Investors!$J:$J,"",Investors!$A:$A,'Investor Exit List'!$A241,Investors!$E:$E,'Investor Exit List'!$C241,Investors!$L:$L,'Investor Exit List'!$B241))</f>
        <v/>
      </c>
      <c r="R241" s="94">
        <f>IF(AND(H241=TRUE,I241=FALSE),Q241,0)</f>
        <v/>
      </c>
      <c r="S241" s="94">
        <f>SUMIFS(Investors!$M:$M,Investors!$O:$O,TRUE,Investors!$A:$A,'Investor Exit List'!$A241,Investors!$E:$E,'Investor Exit List'!$C241,Investors!$L:$L,'Investor Exit List'!$B241)+SUMIFS(Investors!$S:$S,Investors!$O:$O,TRUE,Investors!$A:$A,'Investor Exit List'!$A241,Investors!$E:$E,'Investor Exit List'!$C241,Investors!$L:$L,'Investor Exit List'!$B241)</f>
        <v/>
      </c>
      <c r="T241" s="95">
        <f>IF(U241=TRUE,$J241,"")</f>
        <v/>
      </c>
      <c r="U241" s="93" t="b">
        <v>0</v>
      </c>
      <c r="V241" s="94">
        <f>IF(AND(H241=TRUE,OR(K241="",K241&gt;M241)),S241,0)</f>
        <v/>
      </c>
      <c r="W241" s="93" t="n">
        <v>0</v>
      </c>
      <c r="X241" s="93" t="b">
        <v>0</v>
      </c>
    </row>
    <row r="242">
      <c r="A242" s="93" t="inlineStr">
        <is>
          <t>ZMYB01</t>
        </is>
      </c>
      <c r="B242" s="93" t="n">
        <v>8</v>
      </c>
      <c r="C242" s="93" t="inlineStr">
        <is>
          <t>HVE204</t>
        </is>
      </c>
      <c r="D242" s="93" t="inlineStr">
        <is>
          <t>E</t>
        </is>
      </c>
      <c r="E242" s="93" t="inlineStr">
        <is>
          <t>Myburgh Hermanus Carel</t>
        </is>
      </c>
      <c r="F242" s="94">
        <f>SUMIFS(Investors!$M:$M,Investors!$O:$O,FALSE,Investors!$P:$P,FALSE,Investors!$K:$K,"&gt;"&amp;'NSST Print'!$B$3,Investors!$I:$I,"&lt;="&amp;'NSST Print'!$B$3,Investors!$A:$A,'Investor Exit List'!$A242,Investors!$E:$E,'Investor Exit List'!$C242,Investors!$L:$L,'Investor Exit List'!$B242)-(SUMIFS(Investors!$M:$M,Investors!$I:$I,"&lt;="&amp;'NSST Print'!$B$3,Investors!$J:$J,"&gt;"&amp;'NSST Print'!$B$3,Investors!$A:$A,'Investor Exit List'!$A242,Investors!$E:$E,'Investor Exit List'!$C242,Investors!$L:$L,'Investor Exit List'!$B242)+SUMIFS(Investors!$M:$M,Investors!$I:$I,"&lt;="&amp;'NSST Print'!$B$3,Investors!$J:$J,"",Investors!$A:$A,'Investor Exit List'!$A242,Investors!$E:$E,'Investor Exit List'!$C242,Investors!$L:$L,'Investor Exit List'!$B242))</f>
        <v/>
      </c>
      <c r="G242" s="95" t="n">
        <v>45371</v>
      </c>
      <c r="H242" s="93" t="b">
        <v>0</v>
      </c>
      <c r="I242" s="93" t="b">
        <v>0</v>
      </c>
      <c r="J242" s="95" t="n">
        <v>45685</v>
      </c>
      <c r="K242" s="95">
        <f>IF(I242=TRUE,J242,"")</f>
        <v/>
      </c>
      <c r="L242" s="95">
        <f>G242+730</f>
        <v/>
      </c>
      <c r="M242" s="95" t="n">
        <v>45382</v>
      </c>
      <c r="N242" s="96">
        <f>IFERROR(IF(G242&lt;&gt;"",IF(I242=TRUE,0,IF(U242=TRUE,0,L242-M242)),0),0)</f>
        <v/>
      </c>
      <c r="O242" s="96">
        <f>IF(N242&gt;0,IF(N242&lt;=180,N242,0),0)</f>
        <v/>
      </c>
      <c r="P242" s="94">
        <f>IF(AND(N242&lt;90,N242&gt;0),Q242,0)</f>
        <v/>
      </c>
      <c r="Q242" s="94">
        <f>SUMIFS(Investors!$M:$M,Investors!$O:$O,FALSE,Investors!$P:$P,FALSE,Investors!$K:$K,"&gt;"&amp;'NSST Print'!$B$3,Investors!$I:$I,"&lt;="&amp;'NSST Print'!$B$3,Investors!$A:$A,'Investor Exit List'!$A242,Investors!$E:$E,'Investor Exit List'!$C242,Investors!$L:$L,'Investor Exit List'!$B242)-(SUMIFS(Investors!$M:$M,Investors!$I:$I,"&lt;="&amp;'NSST Print'!$B$3,Investors!$J:$J,"&gt;"&amp;'NSST Print'!$B$3,Investors!$A:$A,'Investor Exit List'!$A242,Investors!$E:$E,'Investor Exit List'!$C242,Investors!$L:$L,'Investor Exit List'!$B242)+SUMIFS(Investors!$M:$M,Investors!$I:$I,"&lt;="&amp;'NSST Print'!$B$3,Investors!$J:$J,"",Investors!$A:$A,'Investor Exit List'!$A242,Investors!$E:$E,'Investor Exit List'!$C242,Investors!$L:$L,'Investor Exit List'!$B242))+SUMIFS(Investors!$S:$S,Investors!$O:$O,FALSE,Investors!$P:$P,FALSE,Investors!$K:$K,"&gt;"&amp;'NSST Print'!$B$3,Investors!$I:$I,"&lt;="&amp;'NSST Print'!$B$3,Investors!$A:$A,'Investor Exit List'!$A242,Investors!$E:$E,'Investor Exit List'!$C242,Investors!$L:$L,'Investor Exit List'!$B242)-(SUMIFS(Investors!$S:$S,Investors!$I:$I,"&lt;="&amp;'NSST Print'!$B$3,Investors!$J:$J,"&gt;"&amp;'NSST Print'!$B$3,Investors!$A:$A,'Investor Exit List'!$A242,Investors!$E:$E,'Investor Exit List'!$C242,Investors!$L:$L,'Investor Exit List'!$B242)+SUMIFS(Investors!$S:$S,Investors!$I:$I,"&lt;="&amp;'NSST Print'!$B$3,Investors!$J:$J,"",Investors!$A:$A,'Investor Exit List'!$A242,Investors!$E:$E,'Investor Exit List'!$C242,Investors!$L:$L,'Investor Exit List'!$B242))</f>
        <v/>
      </c>
      <c r="R242" s="94">
        <f>IF(AND(H242=TRUE,I242=FALSE),Q242,0)</f>
        <v/>
      </c>
      <c r="S242" s="94">
        <f>SUMIFS(Investors!$M:$M,Investors!$O:$O,TRUE,Investors!$A:$A,'Investor Exit List'!$A242,Investors!$E:$E,'Investor Exit List'!$C242,Investors!$L:$L,'Investor Exit List'!$B242)+SUMIFS(Investors!$S:$S,Investors!$O:$O,TRUE,Investors!$A:$A,'Investor Exit List'!$A242,Investors!$E:$E,'Investor Exit List'!$C242,Investors!$L:$L,'Investor Exit List'!$B242)</f>
        <v/>
      </c>
      <c r="T242" s="95">
        <f>IF(U242=TRUE,$J242,"")</f>
        <v/>
      </c>
      <c r="U242" s="93" t="b">
        <v>0</v>
      </c>
      <c r="V242" s="94">
        <f>IF(AND(H242=TRUE,OR(K242="",K242&gt;M242)),S242,0)</f>
        <v/>
      </c>
      <c r="W242" s="93" t="n">
        <v>0</v>
      </c>
      <c r="X242" s="93" t="b">
        <v>0</v>
      </c>
    </row>
    <row r="243">
      <c r="A243" s="93" t="inlineStr">
        <is>
          <t>ZMYB01</t>
        </is>
      </c>
      <c r="B243" s="93" t="n">
        <v>9</v>
      </c>
      <c r="C243" s="93" t="inlineStr">
        <is>
          <t>HVE301</t>
        </is>
      </c>
      <c r="D243" s="93" t="inlineStr">
        <is>
          <t>E</t>
        </is>
      </c>
      <c r="E243" s="93" t="inlineStr">
        <is>
          <t>Myburgh Hermanus Carel</t>
        </is>
      </c>
      <c r="F243" s="94">
        <f>SUMIFS(Investors!$M:$M,Investors!$O:$O,FALSE,Investors!$P:$P,FALSE,Investors!$K:$K,"&gt;"&amp;'NSST Print'!$B$3,Investors!$I:$I,"&lt;="&amp;'NSST Print'!$B$3,Investors!$A:$A,'Investor Exit List'!$A243,Investors!$E:$E,'Investor Exit List'!$C243,Investors!$L:$L,'Investor Exit List'!$B243)-(SUMIFS(Investors!$M:$M,Investors!$I:$I,"&lt;="&amp;'NSST Print'!$B$3,Investors!$J:$J,"&gt;"&amp;'NSST Print'!$B$3,Investors!$A:$A,'Investor Exit List'!$A243,Investors!$E:$E,'Investor Exit List'!$C243,Investors!$L:$L,'Investor Exit List'!$B243)+SUMIFS(Investors!$M:$M,Investors!$I:$I,"&lt;="&amp;'NSST Print'!$B$3,Investors!$J:$J,"",Investors!$A:$A,'Investor Exit List'!$A243,Investors!$E:$E,'Investor Exit List'!$C243,Investors!$L:$L,'Investor Exit List'!$B243))</f>
        <v/>
      </c>
      <c r="G243" s="95" t="n">
        <v>45350</v>
      </c>
      <c r="H243" s="93" t="b">
        <v>0</v>
      </c>
      <c r="I243" s="93" t="b">
        <v>0</v>
      </c>
      <c r="J243" s="95" t="n">
        <v>45685</v>
      </c>
      <c r="K243" s="95">
        <f>IF(I243=TRUE,J243,"")</f>
        <v/>
      </c>
      <c r="L243" s="95">
        <f>G243+730</f>
        <v/>
      </c>
      <c r="M243" s="95" t="n">
        <v>45382</v>
      </c>
      <c r="N243" s="96">
        <f>IFERROR(IF(G243&lt;&gt;"",IF(I243=TRUE,0,IF(U243=TRUE,0,L243-M243)),0),0)</f>
        <v/>
      </c>
      <c r="O243" s="96">
        <f>IF(N243&gt;0,IF(N243&lt;=180,N243,0),0)</f>
        <v/>
      </c>
      <c r="P243" s="94">
        <f>IF(AND(N243&lt;90,N243&gt;0),Q243,0)</f>
        <v/>
      </c>
      <c r="Q243" s="94">
        <f>SUMIFS(Investors!$M:$M,Investors!$O:$O,FALSE,Investors!$P:$P,FALSE,Investors!$K:$K,"&gt;"&amp;'NSST Print'!$B$3,Investors!$I:$I,"&lt;="&amp;'NSST Print'!$B$3,Investors!$A:$A,'Investor Exit List'!$A243,Investors!$E:$E,'Investor Exit List'!$C243,Investors!$L:$L,'Investor Exit List'!$B243)-(SUMIFS(Investors!$M:$M,Investors!$I:$I,"&lt;="&amp;'NSST Print'!$B$3,Investors!$J:$J,"&gt;"&amp;'NSST Print'!$B$3,Investors!$A:$A,'Investor Exit List'!$A243,Investors!$E:$E,'Investor Exit List'!$C243,Investors!$L:$L,'Investor Exit List'!$B243)+SUMIFS(Investors!$M:$M,Investors!$I:$I,"&lt;="&amp;'NSST Print'!$B$3,Investors!$J:$J,"",Investors!$A:$A,'Investor Exit List'!$A243,Investors!$E:$E,'Investor Exit List'!$C243,Investors!$L:$L,'Investor Exit List'!$B243))+SUMIFS(Investors!$S:$S,Investors!$O:$O,FALSE,Investors!$P:$P,FALSE,Investors!$K:$K,"&gt;"&amp;'NSST Print'!$B$3,Investors!$I:$I,"&lt;="&amp;'NSST Print'!$B$3,Investors!$A:$A,'Investor Exit List'!$A243,Investors!$E:$E,'Investor Exit List'!$C243,Investors!$L:$L,'Investor Exit List'!$B243)-(SUMIFS(Investors!$S:$S,Investors!$I:$I,"&lt;="&amp;'NSST Print'!$B$3,Investors!$J:$J,"&gt;"&amp;'NSST Print'!$B$3,Investors!$A:$A,'Investor Exit List'!$A243,Investors!$E:$E,'Investor Exit List'!$C243,Investors!$L:$L,'Investor Exit List'!$B243)+SUMIFS(Investors!$S:$S,Investors!$I:$I,"&lt;="&amp;'NSST Print'!$B$3,Investors!$J:$J,"",Investors!$A:$A,'Investor Exit List'!$A243,Investors!$E:$E,'Investor Exit List'!$C243,Investors!$L:$L,'Investor Exit List'!$B243))</f>
        <v/>
      </c>
      <c r="R243" s="94">
        <f>IF(AND(H243=TRUE,I243=FALSE),Q243,0)</f>
        <v/>
      </c>
      <c r="S243" s="94">
        <f>SUMIFS(Investors!$M:$M,Investors!$O:$O,TRUE,Investors!$A:$A,'Investor Exit List'!$A243,Investors!$E:$E,'Investor Exit List'!$C243,Investors!$L:$L,'Investor Exit List'!$B243)+SUMIFS(Investors!$S:$S,Investors!$O:$O,TRUE,Investors!$A:$A,'Investor Exit List'!$A243,Investors!$E:$E,'Investor Exit List'!$C243,Investors!$L:$L,'Investor Exit List'!$B243)</f>
        <v/>
      </c>
      <c r="T243" s="95">
        <f>IF(U243=TRUE,$J243,"")</f>
        <v/>
      </c>
      <c r="U243" s="93" t="b">
        <v>0</v>
      </c>
      <c r="V243" s="94">
        <f>IF(AND(H243=TRUE,OR(K243="",K243&gt;M243)),S243,0)</f>
        <v/>
      </c>
      <c r="W243" s="93" t="n">
        <v>0</v>
      </c>
      <c r="X243" s="93" t="b">
        <v>0</v>
      </c>
    </row>
    <row r="244">
      <c r="A244" s="93" t="inlineStr">
        <is>
          <t>ZHOW01</t>
        </is>
      </c>
      <c r="B244" s="93" t="n">
        <v>2</v>
      </c>
      <c r="C244" s="93" t="inlineStr">
        <is>
          <t>HVE302</t>
        </is>
      </c>
      <c r="D244" s="93" t="inlineStr">
        <is>
          <t>E</t>
        </is>
      </c>
      <c r="E244" s="93" t="inlineStr">
        <is>
          <t>Howe David Mark</t>
        </is>
      </c>
      <c r="F244" s="94">
        <f>SUMIFS(Investors!$M:$M,Investors!$O:$O,FALSE,Investors!$P:$P,FALSE,Investors!$K:$K,"&gt;"&amp;'NSST Print'!$B$3,Investors!$I:$I,"&lt;="&amp;'NSST Print'!$B$3,Investors!$A:$A,'Investor Exit List'!$A244,Investors!$E:$E,'Investor Exit List'!$C244,Investors!$L:$L,'Investor Exit List'!$B244)-(SUMIFS(Investors!$M:$M,Investors!$I:$I,"&lt;="&amp;'NSST Print'!$B$3,Investors!$J:$J,"&gt;"&amp;'NSST Print'!$B$3,Investors!$A:$A,'Investor Exit List'!$A244,Investors!$E:$E,'Investor Exit List'!$C244,Investors!$L:$L,'Investor Exit List'!$B244)+SUMIFS(Investors!$M:$M,Investors!$I:$I,"&lt;="&amp;'NSST Print'!$B$3,Investors!$J:$J,"",Investors!$A:$A,'Investor Exit List'!$A244,Investors!$E:$E,'Investor Exit List'!$C244,Investors!$L:$L,'Investor Exit List'!$B244))</f>
        <v/>
      </c>
      <c r="G244" s="95" t="n">
        <v>45321</v>
      </c>
      <c r="H244" s="93" t="b">
        <v>0</v>
      </c>
      <c r="I244" s="93" t="b">
        <v>0</v>
      </c>
      <c r="J244" s="95" t="n">
        <v>45685</v>
      </c>
      <c r="K244" s="95">
        <f>IF(I244=TRUE,J244,"")</f>
        <v/>
      </c>
      <c r="L244" s="95">
        <f>G244+730</f>
        <v/>
      </c>
      <c r="M244" s="95" t="n">
        <v>45382</v>
      </c>
      <c r="N244" s="96">
        <f>IFERROR(IF(G244&lt;&gt;"",IF(I244=TRUE,0,IF(U244=TRUE,0,L244-M244)),0),0)</f>
        <v/>
      </c>
      <c r="O244" s="96">
        <f>IF(N244&gt;0,IF(N244&lt;=180,N244,0),0)</f>
        <v/>
      </c>
      <c r="P244" s="94">
        <f>IF(AND(N244&lt;90,N244&gt;0),Q244,0)</f>
        <v/>
      </c>
      <c r="Q244" s="94">
        <f>SUMIFS(Investors!$M:$M,Investors!$O:$O,FALSE,Investors!$P:$P,FALSE,Investors!$K:$K,"&gt;"&amp;'NSST Print'!$B$3,Investors!$I:$I,"&lt;="&amp;'NSST Print'!$B$3,Investors!$A:$A,'Investor Exit List'!$A244,Investors!$E:$E,'Investor Exit List'!$C244,Investors!$L:$L,'Investor Exit List'!$B244)-(SUMIFS(Investors!$M:$M,Investors!$I:$I,"&lt;="&amp;'NSST Print'!$B$3,Investors!$J:$J,"&gt;"&amp;'NSST Print'!$B$3,Investors!$A:$A,'Investor Exit List'!$A244,Investors!$E:$E,'Investor Exit List'!$C244,Investors!$L:$L,'Investor Exit List'!$B244)+SUMIFS(Investors!$M:$M,Investors!$I:$I,"&lt;="&amp;'NSST Print'!$B$3,Investors!$J:$J,"",Investors!$A:$A,'Investor Exit List'!$A244,Investors!$E:$E,'Investor Exit List'!$C244,Investors!$L:$L,'Investor Exit List'!$B244))+SUMIFS(Investors!$S:$S,Investors!$O:$O,FALSE,Investors!$P:$P,FALSE,Investors!$K:$K,"&gt;"&amp;'NSST Print'!$B$3,Investors!$I:$I,"&lt;="&amp;'NSST Print'!$B$3,Investors!$A:$A,'Investor Exit List'!$A244,Investors!$E:$E,'Investor Exit List'!$C244,Investors!$L:$L,'Investor Exit List'!$B244)-(SUMIFS(Investors!$S:$S,Investors!$I:$I,"&lt;="&amp;'NSST Print'!$B$3,Investors!$J:$J,"&gt;"&amp;'NSST Print'!$B$3,Investors!$A:$A,'Investor Exit List'!$A244,Investors!$E:$E,'Investor Exit List'!$C244,Investors!$L:$L,'Investor Exit List'!$B244)+SUMIFS(Investors!$S:$S,Investors!$I:$I,"&lt;="&amp;'NSST Print'!$B$3,Investors!$J:$J,"",Investors!$A:$A,'Investor Exit List'!$A244,Investors!$E:$E,'Investor Exit List'!$C244,Investors!$L:$L,'Investor Exit List'!$B244))</f>
        <v/>
      </c>
      <c r="R244" s="94">
        <f>IF(AND(H244=TRUE,I244=FALSE),Q244,0)</f>
        <v/>
      </c>
      <c r="S244" s="94">
        <f>SUMIFS(Investors!$M:$M,Investors!$O:$O,TRUE,Investors!$A:$A,'Investor Exit List'!$A244,Investors!$E:$E,'Investor Exit List'!$C244,Investors!$L:$L,'Investor Exit List'!$B244)+SUMIFS(Investors!$S:$S,Investors!$O:$O,TRUE,Investors!$A:$A,'Investor Exit List'!$A244,Investors!$E:$E,'Investor Exit List'!$C244,Investors!$L:$L,'Investor Exit List'!$B244)</f>
        <v/>
      </c>
      <c r="T244" s="95">
        <f>IF(U244=TRUE,$J244,"")</f>
        <v/>
      </c>
      <c r="U244" s="93" t="b">
        <v>0</v>
      </c>
      <c r="V244" s="94">
        <f>IF(AND(H244=TRUE,OR(K244="",K244&gt;M244)),S244,0)</f>
        <v/>
      </c>
      <c r="W244" s="93" t="n">
        <v>0</v>
      </c>
      <c r="X244" s="93" t="b">
        <v>0</v>
      </c>
    </row>
    <row r="245">
      <c r="A245" s="93" t="inlineStr">
        <is>
          <t>ZCRO01</t>
        </is>
      </c>
      <c r="B245" s="93" t="n">
        <v>17</v>
      </c>
      <c r="C245" s="93" t="inlineStr">
        <is>
          <t>HVE303</t>
        </is>
      </c>
      <c r="D245" s="93" t="inlineStr">
        <is>
          <t>E</t>
        </is>
      </c>
      <c r="E245" s="93" t="inlineStr">
        <is>
          <t>Lunau Marc</t>
        </is>
      </c>
      <c r="F245" s="94">
        <f>SUMIFS(Investors!$M:$M,Investors!$O:$O,FALSE,Investors!$P:$P,FALSE,Investors!$K:$K,"&gt;"&amp;'NSST Print'!$B$3,Investors!$I:$I,"&lt;="&amp;'NSST Print'!$B$3,Investors!$A:$A,'Investor Exit List'!$A245,Investors!$E:$E,'Investor Exit List'!$C245,Investors!$L:$L,'Investor Exit List'!$B245)-(SUMIFS(Investors!$M:$M,Investors!$I:$I,"&lt;="&amp;'NSST Print'!$B$3,Investors!$J:$J,"&gt;"&amp;'NSST Print'!$B$3,Investors!$A:$A,'Investor Exit List'!$A245,Investors!$E:$E,'Investor Exit List'!$C245,Investors!$L:$L,'Investor Exit List'!$B245)+SUMIFS(Investors!$M:$M,Investors!$I:$I,"&lt;="&amp;'NSST Print'!$B$3,Investors!$J:$J,"",Investors!$A:$A,'Investor Exit List'!$A245,Investors!$E:$E,'Investor Exit List'!$C245,Investors!$L:$L,'Investor Exit List'!$B245))</f>
        <v/>
      </c>
      <c r="G245" s="95" t="n">
        <v>45224</v>
      </c>
      <c r="H245" s="93" t="b">
        <v>0</v>
      </c>
      <c r="I245" s="93" t="b">
        <v>0</v>
      </c>
      <c r="J245" s="95" t="n">
        <v>45685</v>
      </c>
      <c r="K245" s="95">
        <f>IF(I245=TRUE,J245,"")</f>
        <v/>
      </c>
      <c r="L245" s="95">
        <f>G245+730</f>
        <v/>
      </c>
      <c r="M245" s="95" t="n">
        <v>45382</v>
      </c>
      <c r="N245" s="96">
        <f>IFERROR(IF(G245&lt;&gt;"",IF(I245=TRUE,0,IF(U245=TRUE,0,L245-M245)),0),0)</f>
        <v/>
      </c>
      <c r="O245" s="96">
        <f>IF(N245&gt;0,IF(N245&lt;=180,N245,0),0)</f>
        <v/>
      </c>
      <c r="P245" s="94">
        <f>IF(AND(N245&lt;90,N245&gt;0),Q245,0)</f>
        <v/>
      </c>
      <c r="Q245" s="94">
        <f>SUMIFS(Investors!$M:$M,Investors!$O:$O,FALSE,Investors!$P:$P,FALSE,Investors!$K:$K,"&gt;"&amp;'NSST Print'!$B$3,Investors!$I:$I,"&lt;="&amp;'NSST Print'!$B$3,Investors!$A:$A,'Investor Exit List'!$A245,Investors!$E:$E,'Investor Exit List'!$C245,Investors!$L:$L,'Investor Exit List'!$B245)-(SUMIFS(Investors!$M:$M,Investors!$I:$I,"&lt;="&amp;'NSST Print'!$B$3,Investors!$J:$J,"&gt;"&amp;'NSST Print'!$B$3,Investors!$A:$A,'Investor Exit List'!$A245,Investors!$E:$E,'Investor Exit List'!$C245,Investors!$L:$L,'Investor Exit List'!$B245)+SUMIFS(Investors!$M:$M,Investors!$I:$I,"&lt;="&amp;'NSST Print'!$B$3,Investors!$J:$J,"",Investors!$A:$A,'Investor Exit List'!$A245,Investors!$E:$E,'Investor Exit List'!$C245,Investors!$L:$L,'Investor Exit List'!$B245))+SUMIFS(Investors!$S:$S,Investors!$O:$O,FALSE,Investors!$P:$P,FALSE,Investors!$K:$K,"&gt;"&amp;'NSST Print'!$B$3,Investors!$I:$I,"&lt;="&amp;'NSST Print'!$B$3,Investors!$A:$A,'Investor Exit List'!$A245,Investors!$E:$E,'Investor Exit List'!$C245,Investors!$L:$L,'Investor Exit List'!$B245)-(SUMIFS(Investors!$S:$S,Investors!$I:$I,"&lt;="&amp;'NSST Print'!$B$3,Investors!$J:$J,"&gt;"&amp;'NSST Print'!$B$3,Investors!$A:$A,'Investor Exit List'!$A245,Investors!$E:$E,'Investor Exit List'!$C245,Investors!$L:$L,'Investor Exit List'!$B245)+SUMIFS(Investors!$S:$S,Investors!$I:$I,"&lt;="&amp;'NSST Print'!$B$3,Investors!$J:$J,"",Investors!$A:$A,'Investor Exit List'!$A245,Investors!$E:$E,'Investor Exit List'!$C245,Investors!$L:$L,'Investor Exit List'!$B245))</f>
        <v/>
      </c>
      <c r="R245" s="94">
        <f>IF(AND(H245=TRUE,I245=FALSE),Q245,0)</f>
        <v/>
      </c>
      <c r="S245" s="94">
        <f>SUMIFS(Investors!$M:$M,Investors!$O:$O,TRUE,Investors!$A:$A,'Investor Exit List'!$A245,Investors!$E:$E,'Investor Exit List'!$C245,Investors!$L:$L,'Investor Exit List'!$B245)+SUMIFS(Investors!$S:$S,Investors!$O:$O,TRUE,Investors!$A:$A,'Investor Exit List'!$A245,Investors!$E:$E,'Investor Exit List'!$C245,Investors!$L:$L,'Investor Exit List'!$B245)</f>
        <v/>
      </c>
      <c r="T245" s="95">
        <f>IF(U245=TRUE,$J245,"")</f>
        <v/>
      </c>
      <c r="U245" s="93" t="b">
        <v>0</v>
      </c>
      <c r="V245" s="94">
        <f>IF(AND(H245=TRUE,OR(K245="",K245&gt;M245)),S245,0)</f>
        <v/>
      </c>
      <c r="W245" s="93" t="n">
        <v>0</v>
      </c>
      <c r="X245" s="93" t="b">
        <v>0</v>
      </c>
    </row>
    <row r="246">
      <c r="A246" s="93" t="inlineStr">
        <is>
          <t>ZHOW01</t>
        </is>
      </c>
      <c r="B246" s="93" t="n">
        <v>3</v>
      </c>
      <c r="C246" s="93" t="inlineStr">
        <is>
          <t>HVE303</t>
        </is>
      </c>
      <c r="D246" s="93" t="inlineStr">
        <is>
          <t>E</t>
        </is>
      </c>
      <c r="E246" s="93" t="inlineStr">
        <is>
          <t>Howe David Mark</t>
        </is>
      </c>
      <c r="F246" s="94">
        <f>SUMIFS(Investors!$M:$M,Investors!$O:$O,FALSE,Investors!$P:$P,FALSE,Investors!$K:$K,"&gt;"&amp;'NSST Print'!$B$3,Investors!$I:$I,"&lt;="&amp;'NSST Print'!$B$3,Investors!$A:$A,'Investor Exit List'!$A246,Investors!$E:$E,'Investor Exit List'!$C246,Investors!$L:$L,'Investor Exit List'!$B246)-(SUMIFS(Investors!$M:$M,Investors!$I:$I,"&lt;="&amp;'NSST Print'!$B$3,Investors!$J:$J,"&gt;"&amp;'NSST Print'!$B$3,Investors!$A:$A,'Investor Exit List'!$A246,Investors!$E:$E,'Investor Exit List'!$C246,Investors!$L:$L,'Investor Exit List'!$B246)+SUMIFS(Investors!$M:$M,Investors!$I:$I,"&lt;="&amp;'NSST Print'!$B$3,Investors!$J:$J,"",Investors!$A:$A,'Investor Exit List'!$A246,Investors!$E:$E,'Investor Exit List'!$C246,Investors!$L:$L,'Investor Exit List'!$B246))</f>
        <v/>
      </c>
      <c r="G246" s="95" t="n">
        <v>45321</v>
      </c>
      <c r="H246" s="93" t="b">
        <v>0</v>
      </c>
      <c r="I246" s="93" t="b">
        <v>0</v>
      </c>
      <c r="J246" s="95" t="n">
        <v>45685</v>
      </c>
      <c r="K246" s="95">
        <f>IF(I246=TRUE,J246,"")</f>
        <v/>
      </c>
      <c r="L246" s="95">
        <f>G246+730</f>
        <v/>
      </c>
      <c r="M246" s="95" t="n">
        <v>45382</v>
      </c>
      <c r="N246" s="96">
        <f>IFERROR(IF(G246&lt;&gt;"",IF(I246=TRUE,0,IF(U246=TRUE,0,L246-M246)),0),0)</f>
        <v/>
      </c>
      <c r="O246" s="96">
        <f>IF(N246&gt;0,IF(N246&lt;=180,N246,0),0)</f>
        <v/>
      </c>
      <c r="P246" s="94">
        <f>IF(AND(N246&lt;90,N246&gt;0),Q246,0)</f>
        <v/>
      </c>
      <c r="Q246" s="94">
        <f>SUMIFS(Investors!$M:$M,Investors!$O:$O,FALSE,Investors!$P:$P,FALSE,Investors!$K:$K,"&gt;"&amp;'NSST Print'!$B$3,Investors!$I:$I,"&lt;="&amp;'NSST Print'!$B$3,Investors!$A:$A,'Investor Exit List'!$A246,Investors!$E:$E,'Investor Exit List'!$C246,Investors!$L:$L,'Investor Exit List'!$B246)-(SUMIFS(Investors!$M:$M,Investors!$I:$I,"&lt;="&amp;'NSST Print'!$B$3,Investors!$J:$J,"&gt;"&amp;'NSST Print'!$B$3,Investors!$A:$A,'Investor Exit List'!$A246,Investors!$E:$E,'Investor Exit List'!$C246,Investors!$L:$L,'Investor Exit List'!$B246)+SUMIFS(Investors!$M:$M,Investors!$I:$I,"&lt;="&amp;'NSST Print'!$B$3,Investors!$J:$J,"",Investors!$A:$A,'Investor Exit List'!$A246,Investors!$E:$E,'Investor Exit List'!$C246,Investors!$L:$L,'Investor Exit List'!$B246))+SUMIFS(Investors!$S:$S,Investors!$O:$O,FALSE,Investors!$P:$P,FALSE,Investors!$K:$K,"&gt;"&amp;'NSST Print'!$B$3,Investors!$I:$I,"&lt;="&amp;'NSST Print'!$B$3,Investors!$A:$A,'Investor Exit List'!$A246,Investors!$E:$E,'Investor Exit List'!$C246,Investors!$L:$L,'Investor Exit List'!$B246)-(SUMIFS(Investors!$S:$S,Investors!$I:$I,"&lt;="&amp;'NSST Print'!$B$3,Investors!$J:$J,"&gt;"&amp;'NSST Print'!$B$3,Investors!$A:$A,'Investor Exit List'!$A246,Investors!$E:$E,'Investor Exit List'!$C246,Investors!$L:$L,'Investor Exit List'!$B246)+SUMIFS(Investors!$S:$S,Investors!$I:$I,"&lt;="&amp;'NSST Print'!$B$3,Investors!$J:$J,"",Investors!$A:$A,'Investor Exit List'!$A246,Investors!$E:$E,'Investor Exit List'!$C246,Investors!$L:$L,'Investor Exit List'!$B246))</f>
        <v/>
      </c>
      <c r="R246" s="94">
        <f>IF(AND(H246=TRUE,I246=FALSE),Q246,0)</f>
        <v/>
      </c>
      <c r="S246" s="94">
        <f>SUMIFS(Investors!$M:$M,Investors!$O:$O,TRUE,Investors!$A:$A,'Investor Exit List'!$A246,Investors!$E:$E,'Investor Exit List'!$C246,Investors!$L:$L,'Investor Exit List'!$B246)+SUMIFS(Investors!$S:$S,Investors!$O:$O,TRUE,Investors!$A:$A,'Investor Exit List'!$A246,Investors!$E:$E,'Investor Exit List'!$C246,Investors!$L:$L,'Investor Exit List'!$B246)</f>
        <v/>
      </c>
      <c r="T246" s="95">
        <f>IF(U246=TRUE,$J246,"")</f>
        <v/>
      </c>
      <c r="U246" s="93" t="b">
        <v>0</v>
      </c>
      <c r="V246" s="94">
        <f>IF(AND(H246=TRUE,OR(K246="",K246&gt;M246)),S246,0)</f>
        <v/>
      </c>
      <c r="W246" s="93" t="n">
        <v>0</v>
      </c>
      <c r="X246" s="93" t="b">
        <v>0</v>
      </c>
    </row>
    <row r="247">
      <c r="A247" s="93" t="inlineStr">
        <is>
          <t>ZMYB01</t>
        </is>
      </c>
      <c r="B247" s="93" t="n">
        <v>10</v>
      </c>
      <c r="C247" s="93" t="inlineStr">
        <is>
          <t>HVE304</t>
        </is>
      </c>
      <c r="D247" s="93" t="inlineStr">
        <is>
          <t>E</t>
        </is>
      </c>
      <c r="E247" s="93" t="inlineStr">
        <is>
          <t>Myburgh Hermanus Carel</t>
        </is>
      </c>
      <c r="F247" s="94">
        <f>SUMIFS(Investors!$M:$M,Investors!$O:$O,FALSE,Investors!$P:$P,FALSE,Investors!$K:$K,"&gt;"&amp;'NSST Print'!$B$3,Investors!$I:$I,"&lt;="&amp;'NSST Print'!$B$3,Investors!$A:$A,'Investor Exit List'!$A247,Investors!$E:$E,'Investor Exit List'!$C247,Investors!$L:$L,'Investor Exit List'!$B247)-(SUMIFS(Investors!$M:$M,Investors!$I:$I,"&lt;="&amp;'NSST Print'!$B$3,Investors!$J:$J,"&gt;"&amp;'NSST Print'!$B$3,Investors!$A:$A,'Investor Exit List'!$A247,Investors!$E:$E,'Investor Exit List'!$C247,Investors!$L:$L,'Investor Exit List'!$B247)+SUMIFS(Investors!$M:$M,Investors!$I:$I,"&lt;="&amp;'NSST Print'!$B$3,Investors!$J:$J,"",Investors!$A:$A,'Investor Exit List'!$A247,Investors!$E:$E,'Investor Exit List'!$C247,Investors!$L:$L,'Investor Exit List'!$B247))</f>
        <v/>
      </c>
      <c r="G247" s="95" t="n">
        <v>45350</v>
      </c>
      <c r="H247" s="93" t="b">
        <v>0</v>
      </c>
      <c r="I247" s="93" t="b">
        <v>0</v>
      </c>
      <c r="J247" s="95" t="n">
        <v>45685</v>
      </c>
      <c r="K247" s="95">
        <f>IF(I247=TRUE,J247,"")</f>
        <v/>
      </c>
      <c r="L247" s="95">
        <f>G247+730</f>
        <v/>
      </c>
      <c r="M247" s="95" t="n">
        <v>45382</v>
      </c>
      <c r="N247" s="96">
        <f>IFERROR(IF(G247&lt;&gt;"",IF(I247=TRUE,0,IF(U247=TRUE,0,L247-M247)),0),0)</f>
        <v/>
      </c>
      <c r="O247" s="96">
        <f>IF(N247&gt;0,IF(N247&lt;=180,N247,0),0)</f>
        <v/>
      </c>
      <c r="P247" s="94">
        <f>IF(AND(N247&lt;90,N247&gt;0),Q247,0)</f>
        <v/>
      </c>
      <c r="Q247" s="94">
        <f>SUMIFS(Investors!$M:$M,Investors!$O:$O,FALSE,Investors!$P:$P,FALSE,Investors!$K:$K,"&gt;"&amp;'NSST Print'!$B$3,Investors!$I:$I,"&lt;="&amp;'NSST Print'!$B$3,Investors!$A:$A,'Investor Exit List'!$A247,Investors!$E:$E,'Investor Exit List'!$C247,Investors!$L:$L,'Investor Exit List'!$B247)-(SUMIFS(Investors!$M:$M,Investors!$I:$I,"&lt;="&amp;'NSST Print'!$B$3,Investors!$J:$J,"&gt;"&amp;'NSST Print'!$B$3,Investors!$A:$A,'Investor Exit List'!$A247,Investors!$E:$E,'Investor Exit List'!$C247,Investors!$L:$L,'Investor Exit List'!$B247)+SUMIFS(Investors!$M:$M,Investors!$I:$I,"&lt;="&amp;'NSST Print'!$B$3,Investors!$J:$J,"",Investors!$A:$A,'Investor Exit List'!$A247,Investors!$E:$E,'Investor Exit List'!$C247,Investors!$L:$L,'Investor Exit List'!$B247))+SUMIFS(Investors!$S:$S,Investors!$O:$O,FALSE,Investors!$P:$P,FALSE,Investors!$K:$K,"&gt;"&amp;'NSST Print'!$B$3,Investors!$I:$I,"&lt;="&amp;'NSST Print'!$B$3,Investors!$A:$A,'Investor Exit List'!$A247,Investors!$E:$E,'Investor Exit List'!$C247,Investors!$L:$L,'Investor Exit List'!$B247)-(SUMIFS(Investors!$S:$S,Investors!$I:$I,"&lt;="&amp;'NSST Print'!$B$3,Investors!$J:$J,"&gt;"&amp;'NSST Print'!$B$3,Investors!$A:$A,'Investor Exit List'!$A247,Investors!$E:$E,'Investor Exit List'!$C247,Investors!$L:$L,'Investor Exit List'!$B247)+SUMIFS(Investors!$S:$S,Investors!$I:$I,"&lt;="&amp;'NSST Print'!$B$3,Investors!$J:$J,"",Investors!$A:$A,'Investor Exit List'!$A247,Investors!$E:$E,'Investor Exit List'!$C247,Investors!$L:$L,'Investor Exit List'!$B247))</f>
        <v/>
      </c>
      <c r="R247" s="94">
        <f>IF(AND(H247=TRUE,I247=FALSE),Q247,0)</f>
        <v/>
      </c>
      <c r="S247" s="94">
        <f>SUMIFS(Investors!$M:$M,Investors!$O:$O,TRUE,Investors!$A:$A,'Investor Exit List'!$A247,Investors!$E:$E,'Investor Exit List'!$C247,Investors!$L:$L,'Investor Exit List'!$B247)+SUMIFS(Investors!$S:$S,Investors!$O:$O,TRUE,Investors!$A:$A,'Investor Exit List'!$A247,Investors!$E:$E,'Investor Exit List'!$C247,Investors!$L:$L,'Investor Exit List'!$B247)</f>
        <v/>
      </c>
      <c r="T247" s="95">
        <f>IF(U247=TRUE,$J247,"")</f>
        <v/>
      </c>
      <c r="U247" s="93" t="b">
        <v>0</v>
      </c>
      <c r="V247" s="94">
        <f>IF(AND(H247=TRUE,OR(K247="",K247&gt;M247)),S247,0)</f>
        <v/>
      </c>
      <c r="W247" s="93" t="n">
        <v>0</v>
      </c>
      <c r="X247" s="93" t="b">
        <v>0</v>
      </c>
    </row>
    <row r="248">
      <c r="A248" s="93" t="inlineStr">
        <is>
          <t>ZLES01</t>
        </is>
      </c>
      <c r="B248" s="93" t="n">
        <v>2</v>
      </c>
      <c r="C248" s="93" t="inlineStr">
        <is>
          <t>HVF101</t>
        </is>
      </c>
      <c r="D248" s="93" t="inlineStr">
        <is>
          <t>F</t>
        </is>
      </c>
      <c r="E248" s="93" t="inlineStr">
        <is>
          <t>Leslie Megan Frances</t>
        </is>
      </c>
      <c r="F248" s="94">
        <f>SUMIFS(Investors!$M:$M,Investors!$O:$O,FALSE,Investors!$P:$P,FALSE,Investors!$K:$K,"&gt;"&amp;'NSST Print'!$B$3,Investors!$I:$I,"&lt;="&amp;'NSST Print'!$B$3,Investors!$A:$A,'Investor Exit List'!$A248,Investors!$E:$E,'Investor Exit List'!$C248,Investors!$L:$L,'Investor Exit List'!$B248)-(SUMIFS(Investors!$M:$M,Investors!$I:$I,"&lt;="&amp;'NSST Print'!$B$3,Investors!$J:$J,"&gt;"&amp;'NSST Print'!$B$3,Investors!$A:$A,'Investor Exit List'!$A248,Investors!$E:$E,'Investor Exit List'!$C248,Investors!$L:$L,'Investor Exit List'!$B248)+SUMIFS(Investors!$M:$M,Investors!$I:$I,"&lt;="&amp;'NSST Print'!$B$3,Investors!$J:$J,"",Investors!$A:$A,'Investor Exit List'!$A248,Investors!$E:$E,'Investor Exit List'!$C248,Investors!$L:$L,'Investor Exit List'!$B248))</f>
        <v/>
      </c>
      <c r="G248" s="95" t="n">
        <v>45371</v>
      </c>
      <c r="H248" s="93" t="b">
        <v>0</v>
      </c>
      <c r="I248" s="93" t="b">
        <v>0</v>
      </c>
      <c r="J248" s="95" t="n">
        <v>45722</v>
      </c>
      <c r="K248" s="95">
        <f>IF(I248=TRUE,J248,"")</f>
        <v/>
      </c>
      <c r="L248" s="95">
        <f>G248+730</f>
        <v/>
      </c>
      <c r="M248" s="95" t="n">
        <v>45382</v>
      </c>
      <c r="N248" s="96">
        <f>IFERROR(IF(G248&lt;&gt;"",IF(I248=TRUE,0,IF(U248=TRUE,0,L248-M248)),0),0)</f>
        <v/>
      </c>
      <c r="O248" s="96">
        <f>IF(N248&gt;0,IF(N248&lt;=180,N248,0),0)</f>
        <v/>
      </c>
      <c r="P248" s="94">
        <f>IF(AND(N248&lt;90,N248&gt;0),Q248,0)</f>
        <v/>
      </c>
      <c r="Q248" s="94">
        <f>SUMIFS(Investors!$M:$M,Investors!$O:$O,FALSE,Investors!$P:$P,FALSE,Investors!$K:$K,"&gt;"&amp;'NSST Print'!$B$3,Investors!$I:$I,"&lt;="&amp;'NSST Print'!$B$3,Investors!$A:$A,'Investor Exit List'!$A248,Investors!$E:$E,'Investor Exit List'!$C248,Investors!$L:$L,'Investor Exit List'!$B248)-(SUMIFS(Investors!$M:$M,Investors!$I:$I,"&lt;="&amp;'NSST Print'!$B$3,Investors!$J:$J,"&gt;"&amp;'NSST Print'!$B$3,Investors!$A:$A,'Investor Exit List'!$A248,Investors!$E:$E,'Investor Exit List'!$C248,Investors!$L:$L,'Investor Exit List'!$B248)+SUMIFS(Investors!$M:$M,Investors!$I:$I,"&lt;="&amp;'NSST Print'!$B$3,Investors!$J:$J,"",Investors!$A:$A,'Investor Exit List'!$A248,Investors!$E:$E,'Investor Exit List'!$C248,Investors!$L:$L,'Investor Exit List'!$B248))+SUMIFS(Investors!$S:$S,Investors!$O:$O,FALSE,Investors!$P:$P,FALSE,Investors!$K:$K,"&gt;"&amp;'NSST Print'!$B$3,Investors!$I:$I,"&lt;="&amp;'NSST Print'!$B$3,Investors!$A:$A,'Investor Exit List'!$A248,Investors!$E:$E,'Investor Exit List'!$C248,Investors!$L:$L,'Investor Exit List'!$B248)-(SUMIFS(Investors!$S:$S,Investors!$I:$I,"&lt;="&amp;'NSST Print'!$B$3,Investors!$J:$J,"&gt;"&amp;'NSST Print'!$B$3,Investors!$A:$A,'Investor Exit List'!$A248,Investors!$E:$E,'Investor Exit List'!$C248,Investors!$L:$L,'Investor Exit List'!$B248)+SUMIFS(Investors!$S:$S,Investors!$I:$I,"&lt;="&amp;'NSST Print'!$B$3,Investors!$J:$J,"",Investors!$A:$A,'Investor Exit List'!$A248,Investors!$E:$E,'Investor Exit List'!$C248,Investors!$L:$L,'Investor Exit List'!$B248))</f>
        <v/>
      </c>
      <c r="R248" s="94">
        <f>IF(AND(H248=TRUE,I248=FALSE),Q248,0)</f>
        <v/>
      </c>
      <c r="S248" s="94">
        <f>SUMIFS(Investors!$M:$M,Investors!$O:$O,TRUE,Investors!$A:$A,'Investor Exit List'!$A248,Investors!$E:$E,'Investor Exit List'!$C248,Investors!$L:$L,'Investor Exit List'!$B248)+SUMIFS(Investors!$S:$S,Investors!$O:$O,TRUE,Investors!$A:$A,'Investor Exit List'!$A248,Investors!$E:$E,'Investor Exit List'!$C248,Investors!$L:$L,'Investor Exit List'!$B248)</f>
        <v/>
      </c>
      <c r="T248" s="95">
        <f>IF(U248=TRUE,$J248,"")</f>
        <v/>
      </c>
      <c r="U248" s="93" t="b">
        <v>0</v>
      </c>
      <c r="V248" s="94">
        <f>IF(AND(H248=TRUE,OR(K248="",K248&gt;M248)),S248,0)</f>
        <v/>
      </c>
      <c r="W248" s="93" t="n">
        <v>0</v>
      </c>
      <c r="X248" s="93" t="b">
        <v>0</v>
      </c>
    </row>
    <row r="249">
      <c r="A249" s="93" t="inlineStr">
        <is>
          <t>ZTHA01</t>
        </is>
      </c>
      <c r="B249" s="93" t="n">
        <v>12</v>
      </c>
      <c r="C249" s="93" t="inlineStr">
        <is>
          <t>HVF101</t>
        </is>
      </c>
      <c r="D249" s="93" t="inlineStr">
        <is>
          <t>F</t>
        </is>
      </c>
      <c r="E249" s="93" t="inlineStr">
        <is>
          <t>Matthee Gerald Adriaan Odendal</t>
        </is>
      </c>
      <c r="F249" s="94">
        <f>SUMIFS(Investors!$M:$M,Investors!$O:$O,FALSE,Investors!$P:$P,FALSE,Investors!$K:$K,"&gt;"&amp;'NSST Print'!$B$3,Investors!$I:$I,"&lt;="&amp;'NSST Print'!$B$3,Investors!$A:$A,'Investor Exit List'!$A249,Investors!$E:$E,'Investor Exit List'!$C249,Investors!$L:$L,'Investor Exit List'!$B249)-(SUMIFS(Investors!$M:$M,Investors!$I:$I,"&lt;="&amp;'NSST Print'!$B$3,Investors!$J:$J,"&gt;"&amp;'NSST Print'!$B$3,Investors!$A:$A,'Investor Exit List'!$A249,Investors!$E:$E,'Investor Exit List'!$C249,Investors!$L:$L,'Investor Exit List'!$B249)+SUMIFS(Investors!$M:$M,Investors!$I:$I,"&lt;="&amp;'NSST Print'!$B$3,Investors!$J:$J,"",Investors!$A:$A,'Investor Exit List'!$A249,Investors!$E:$E,'Investor Exit List'!$C249,Investors!$L:$L,'Investor Exit List'!$B249))</f>
        <v/>
      </c>
      <c r="G249" s="95" t="inlineStr"/>
      <c r="H249" s="93" t="b">
        <v>0</v>
      </c>
      <c r="I249" s="93" t="b">
        <v>0</v>
      </c>
      <c r="J249" s="95" t="n">
        <v>45722</v>
      </c>
      <c r="K249" s="95">
        <f>IF(I249=TRUE,J249,"")</f>
        <v/>
      </c>
      <c r="L249" s="95">
        <f>G249+730</f>
        <v/>
      </c>
      <c r="M249" s="95" t="n">
        <v>45382</v>
      </c>
      <c r="N249" s="96">
        <f>IFERROR(IF(G249&lt;&gt;"",IF(I249=TRUE,0,IF(U249=TRUE,0,L249-M249)),0),0)</f>
        <v/>
      </c>
      <c r="O249" s="96">
        <f>IF(N249&gt;0,IF(N249&lt;=180,N249,0),0)</f>
        <v/>
      </c>
      <c r="P249" s="94">
        <f>IF(AND(N249&lt;90,N249&gt;0),Q249,0)</f>
        <v/>
      </c>
      <c r="Q249" s="94">
        <f>SUMIFS(Investors!$M:$M,Investors!$O:$O,FALSE,Investors!$P:$P,FALSE,Investors!$K:$K,"&gt;"&amp;'NSST Print'!$B$3,Investors!$I:$I,"&lt;="&amp;'NSST Print'!$B$3,Investors!$A:$A,'Investor Exit List'!$A249,Investors!$E:$E,'Investor Exit List'!$C249,Investors!$L:$L,'Investor Exit List'!$B249)-(SUMIFS(Investors!$M:$M,Investors!$I:$I,"&lt;="&amp;'NSST Print'!$B$3,Investors!$J:$J,"&gt;"&amp;'NSST Print'!$B$3,Investors!$A:$A,'Investor Exit List'!$A249,Investors!$E:$E,'Investor Exit List'!$C249,Investors!$L:$L,'Investor Exit List'!$B249)+SUMIFS(Investors!$M:$M,Investors!$I:$I,"&lt;="&amp;'NSST Print'!$B$3,Investors!$J:$J,"",Investors!$A:$A,'Investor Exit List'!$A249,Investors!$E:$E,'Investor Exit List'!$C249,Investors!$L:$L,'Investor Exit List'!$B249))+SUMIFS(Investors!$S:$S,Investors!$O:$O,FALSE,Investors!$P:$P,FALSE,Investors!$K:$K,"&gt;"&amp;'NSST Print'!$B$3,Investors!$I:$I,"&lt;="&amp;'NSST Print'!$B$3,Investors!$A:$A,'Investor Exit List'!$A249,Investors!$E:$E,'Investor Exit List'!$C249,Investors!$L:$L,'Investor Exit List'!$B249)-(SUMIFS(Investors!$S:$S,Investors!$I:$I,"&lt;="&amp;'NSST Print'!$B$3,Investors!$J:$J,"&gt;"&amp;'NSST Print'!$B$3,Investors!$A:$A,'Investor Exit List'!$A249,Investors!$E:$E,'Investor Exit List'!$C249,Investors!$L:$L,'Investor Exit List'!$B249)+SUMIFS(Investors!$S:$S,Investors!$I:$I,"&lt;="&amp;'NSST Print'!$B$3,Investors!$J:$J,"",Investors!$A:$A,'Investor Exit List'!$A249,Investors!$E:$E,'Investor Exit List'!$C249,Investors!$L:$L,'Investor Exit List'!$B249))</f>
        <v/>
      </c>
      <c r="R249" s="94">
        <f>IF(AND(H249=TRUE,I249=FALSE),Q249,0)</f>
        <v/>
      </c>
      <c r="S249" s="94">
        <f>SUMIFS(Investors!$M:$M,Investors!$O:$O,TRUE,Investors!$A:$A,'Investor Exit List'!$A249,Investors!$E:$E,'Investor Exit List'!$C249,Investors!$L:$L,'Investor Exit List'!$B249)+SUMIFS(Investors!$S:$S,Investors!$O:$O,TRUE,Investors!$A:$A,'Investor Exit List'!$A249,Investors!$E:$E,'Investor Exit List'!$C249,Investors!$L:$L,'Investor Exit List'!$B249)</f>
        <v/>
      </c>
      <c r="T249" s="95">
        <f>IF(U249=TRUE,$J249,"")</f>
        <v/>
      </c>
      <c r="U249" s="93" t="b">
        <v>0</v>
      </c>
      <c r="V249" s="94">
        <f>IF(AND(H249=TRUE,OR(K249="",K249&gt;M249)),S249,0)</f>
        <v/>
      </c>
      <c r="W249" s="93" t="n">
        <v>0</v>
      </c>
      <c r="X249" s="93" t="b">
        <v>0</v>
      </c>
    </row>
    <row r="250">
      <c r="A250" s="93" t="inlineStr">
        <is>
          <t>ZWAT01</t>
        </is>
      </c>
      <c r="B250" s="93" t="n">
        <v>14</v>
      </c>
      <c r="C250" s="93" t="inlineStr">
        <is>
          <t>HVF101</t>
        </is>
      </c>
      <c r="D250" s="93" t="inlineStr">
        <is>
          <t>F</t>
        </is>
      </c>
      <c r="E250" s="93" t="inlineStr">
        <is>
          <t>Watts Peter Gregory</t>
        </is>
      </c>
      <c r="F250" s="94">
        <f>SUMIFS(Investors!$M:$M,Investors!$O:$O,FALSE,Investors!$P:$P,FALSE,Investors!$K:$K,"&gt;"&amp;'NSST Print'!$B$3,Investors!$I:$I,"&lt;="&amp;'NSST Print'!$B$3,Investors!$A:$A,'Investor Exit List'!$A250,Investors!$E:$E,'Investor Exit List'!$C250,Investors!$L:$L,'Investor Exit List'!$B250)-(SUMIFS(Investors!$M:$M,Investors!$I:$I,"&lt;="&amp;'NSST Print'!$B$3,Investors!$J:$J,"&gt;"&amp;'NSST Print'!$B$3,Investors!$A:$A,'Investor Exit List'!$A250,Investors!$E:$E,'Investor Exit List'!$C250,Investors!$L:$L,'Investor Exit List'!$B250)+SUMIFS(Investors!$M:$M,Investors!$I:$I,"&lt;="&amp;'NSST Print'!$B$3,Investors!$J:$J,"",Investors!$A:$A,'Investor Exit List'!$A250,Investors!$E:$E,'Investor Exit List'!$C250,Investors!$L:$L,'Investor Exit List'!$B250))</f>
        <v/>
      </c>
      <c r="G250" s="95" t="n">
        <v>45371</v>
      </c>
      <c r="H250" s="93" t="b">
        <v>0</v>
      </c>
      <c r="I250" s="93" t="b">
        <v>0</v>
      </c>
      <c r="J250" s="95" t="n">
        <v>45722</v>
      </c>
      <c r="K250" s="95">
        <f>IF(I250=TRUE,J250,"")</f>
        <v/>
      </c>
      <c r="L250" s="95">
        <f>G250+730</f>
        <v/>
      </c>
      <c r="M250" s="95" t="n">
        <v>45382</v>
      </c>
      <c r="N250" s="96">
        <f>IFERROR(IF(G250&lt;&gt;"",IF(I250=TRUE,0,IF(U250=TRUE,0,L250-M250)),0),0)</f>
        <v/>
      </c>
      <c r="O250" s="96">
        <f>IF(N250&gt;0,IF(N250&lt;=180,N250,0),0)</f>
        <v/>
      </c>
      <c r="P250" s="94">
        <f>IF(AND(N250&lt;90,N250&gt;0),Q250,0)</f>
        <v/>
      </c>
      <c r="Q250" s="94">
        <f>SUMIFS(Investors!$M:$M,Investors!$O:$O,FALSE,Investors!$P:$P,FALSE,Investors!$K:$K,"&gt;"&amp;'NSST Print'!$B$3,Investors!$I:$I,"&lt;="&amp;'NSST Print'!$B$3,Investors!$A:$A,'Investor Exit List'!$A250,Investors!$E:$E,'Investor Exit List'!$C250,Investors!$L:$L,'Investor Exit List'!$B250)-(SUMIFS(Investors!$M:$M,Investors!$I:$I,"&lt;="&amp;'NSST Print'!$B$3,Investors!$J:$J,"&gt;"&amp;'NSST Print'!$B$3,Investors!$A:$A,'Investor Exit List'!$A250,Investors!$E:$E,'Investor Exit List'!$C250,Investors!$L:$L,'Investor Exit List'!$B250)+SUMIFS(Investors!$M:$M,Investors!$I:$I,"&lt;="&amp;'NSST Print'!$B$3,Investors!$J:$J,"",Investors!$A:$A,'Investor Exit List'!$A250,Investors!$E:$E,'Investor Exit List'!$C250,Investors!$L:$L,'Investor Exit List'!$B250))+SUMIFS(Investors!$S:$S,Investors!$O:$O,FALSE,Investors!$P:$P,FALSE,Investors!$K:$K,"&gt;"&amp;'NSST Print'!$B$3,Investors!$I:$I,"&lt;="&amp;'NSST Print'!$B$3,Investors!$A:$A,'Investor Exit List'!$A250,Investors!$E:$E,'Investor Exit List'!$C250,Investors!$L:$L,'Investor Exit List'!$B250)-(SUMIFS(Investors!$S:$S,Investors!$I:$I,"&lt;="&amp;'NSST Print'!$B$3,Investors!$J:$J,"&gt;"&amp;'NSST Print'!$B$3,Investors!$A:$A,'Investor Exit List'!$A250,Investors!$E:$E,'Investor Exit List'!$C250,Investors!$L:$L,'Investor Exit List'!$B250)+SUMIFS(Investors!$S:$S,Investors!$I:$I,"&lt;="&amp;'NSST Print'!$B$3,Investors!$J:$J,"",Investors!$A:$A,'Investor Exit List'!$A250,Investors!$E:$E,'Investor Exit List'!$C250,Investors!$L:$L,'Investor Exit List'!$B250))</f>
        <v/>
      </c>
      <c r="R250" s="94">
        <f>IF(AND(H250=TRUE,I250=FALSE),Q250,0)</f>
        <v/>
      </c>
      <c r="S250" s="94">
        <f>SUMIFS(Investors!$M:$M,Investors!$O:$O,TRUE,Investors!$A:$A,'Investor Exit List'!$A250,Investors!$E:$E,'Investor Exit List'!$C250,Investors!$L:$L,'Investor Exit List'!$B250)+SUMIFS(Investors!$S:$S,Investors!$O:$O,TRUE,Investors!$A:$A,'Investor Exit List'!$A250,Investors!$E:$E,'Investor Exit List'!$C250,Investors!$L:$L,'Investor Exit List'!$B250)</f>
        <v/>
      </c>
      <c r="T250" s="95">
        <f>IF(U250=TRUE,$J250,"")</f>
        <v/>
      </c>
      <c r="U250" s="93" t="b">
        <v>0</v>
      </c>
      <c r="V250" s="94">
        <f>IF(AND(H250=TRUE,OR(K250="",K250&gt;M250)),S250,0)</f>
        <v/>
      </c>
      <c r="W250" s="93" t="n">
        <v>0</v>
      </c>
      <c r="X250" s="93" t="b">
        <v>0</v>
      </c>
    </row>
    <row r="251">
      <c r="A251" s="93" t="inlineStr">
        <is>
          <t>ZFON01</t>
        </is>
      </c>
      <c r="B251" s="93" t="n">
        <v>5</v>
      </c>
      <c r="C251" s="93" t="inlineStr">
        <is>
          <t>HVF102</t>
        </is>
      </c>
      <c r="D251" s="93" t="inlineStr">
        <is>
          <t>F</t>
        </is>
      </c>
      <c r="E251" s="93" t="inlineStr">
        <is>
          <t>Aveling-Fountain Lorraine</t>
        </is>
      </c>
      <c r="F251" s="94">
        <f>SUMIFS(Investors!$M:$M,Investors!$O:$O,FALSE,Investors!$P:$P,FALSE,Investors!$K:$K,"&gt;"&amp;'NSST Print'!$B$3,Investors!$I:$I,"&lt;="&amp;'NSST Print'!$B$3,Investors!$A:$A,'Investor Exit List'!$A251,Investors!$E:$E,'Investor Exit List'!$C251,Investors!$L:$L,'Investor Exit List'!$B251)-(SUMIFS(Investors!$M:$M,Investors!$I:$I,"&lt;="&amp;'NSST Print'!$B$3,Investors!$J:$J,"&gt;"&amp;'NSST Print'!$B$3,Investors!$A:$A,'Investor Exit List'!$A251,Investors!$E:$E,'Investor Exit List'!$C251,Investors!$L:$L,'Investor Exit List'!$B251)+SUMIFS(Investors!$M:$M,Investors!$I:$I,"&lt;="&amp;'NSST Print'!$B$3,Investors!$J:$J,"",Investors!$A:$A,'Investor Exit List'!$A251,Investors!$E:$E,'Investor Exit List'!$C251,Investors!$L:$L,'Investor Exit List'!$B251))</f>
        <v/>
      </c>
      <c r="G251" s="95" t="n">
        <v>45371</v>
      </c>
      <c r="H251" s="93" t="b">
        <v>0</v>
      </c>
      <c r="I251" s="93" t="b">
        <v>0</v>
      </c>
      <c r="J251" s="95" t="n">
        <v>45722</v>
      </c>
      <c r="K251" s="95">
        <f>IF(I251=TRUE,J251,"")</f>
        <v/>
      </c>
      <c r="L251" s="95">
        <f>G251+730</f>
        <v/>
      </c>
      <c r="M251" s="95" t="n">
        <v>45382</v>
      </c>
      <c r="N251" s="96">
        <f>IFERROR(IF(G251&lt;&gt;"",IF(I251=TRUE,0,IF(U251=TRUE,0,L251-M251)),0),0)</f>
        <v/>
      </c>
      <c r="O251" s="96">
        <f>IF(N251&gt;0,IF(N251&lt;=180,N251,0),0)</f>
        <v/>
      </c>
      <c r="P251" s="94">
        <f>IF(AND(N251&lt;90,N251&gt;0),Q251,0)</f>
        <v/>
      </c>
      <c r="Q251" s="94">
        <f>SUMIFS(Investors!$M:$M,Investors!$O:$O,FALSE,Investors!$P:$P,FALSE,Investors!$K:$K,"&gt;"&amp;'NSST Print'!$B$3,Investors!$I:$I,"&lt;="&amp;'NSST Print'!$B$3,Investors!$A:$A,'Investor Exit List'!$A251,Investors!$E:$E,'Investor Exit List'!$C251,Investors!$L:$L,'Investor Exit List'!$B251)-(SUMIFS(Investors!$M:$M,Investors!$I:$I,"&lt;="&amp;'NSST Print'!$B$3,Investors!$J:$J,"&gt;"&amp;'NSST Print'!$B$3,Investors!$A:$A,'Investor Exit List'!$A251,Investors!$E:$E,'Investor Exit List'!$C251,Investors!$L:$L,'Investor Exit List'!$B251)+SUMIFS(Investors!$M:$M,Investors!$I:$I,"&lt;="&amp;'NSST Print'!$B$3,Investors!$J:$J,"",Investors!$A:$A,'Investor Exit List'!$A251,Investors!$E:$E,'Investor Exit List'!$C251,Investors!$L:$L,'Investor Exit List'!$B251))+SUMIFS(Investors!$S:$S,Investors!$O:$O,FALSE,Investors!$P:$P,FALSE,Investors!$K:$K,"&gt;"&amp;'NSST Print'!$B$3,Investors!$I:$I,"&lt;="&amp;'NSST Print'!$B$3,Investors!$A:$A,'Investor Exit List'!$A251,Investors!$E:$E,'Investor Exit List'!$C251,Investors!$L:$L,'Investor Exit List'!$B251)-(SUMIFS(Investors!$S:$S,Investors!$I:$I,"&lt;="&amp;'NSST Print'!$B$3,Investors!$J:$J,"&gt;"&amp;'NSST Print'!$B$3,Investors!$A:$A,'Investor Exit List'!$A251,Investors!$E:$E,'Investor Exit List'!$C251,Investors!$L:$L,'Investor Exit List'!$B251)+SUMIFS(Investors!$S:$S,Investors!$I:$I,"&lt;="&amp;'NSST Print'!$B$3,Investors!$J:$J,"",Investors!$A:$A,'Investor Exit List'!$A251,Investors!$E:$E,'Investor Exit List'!$C251,Investors!$L:$L,'Investor Exit List'!$B251))</f>
        <v/>
      </c>
      <c r="R251" s="94">
        <f>IF(AND(H251=TRUE,I251=FALSE),Q251,0)</f>
        <v/>
      </c>
      <c r="S251" s="94">
        <f>SUMIFS(Investors!$M:$M,Investors!$O:$O,TRUE,Investors!$A:$A,'Investor Exit List'!$A251,Investors!$E:$E,'Investor Exit List'!$C251,Investors!$L:$L,'Investor Exit List'!$B251)+SUMIFS(Investors!$S:$S,Investors!$O:$O,TRUE,Investors!$A:$A,'Investor Exit List'!$A251,Investors!$E:$E,'Investor Exit List'!$C251,Investors!$L:$L,'Investor Exit List'!$B251)</f>
        <v/>
      </c>
      <c r="T251" s="95">
        <f>IF(U251=TRUE,$J251,"")</f>
        <v/>
      </c>
      <c r="U251" s="93" t="b">
        <v>0</v>
      </c>
      <c r="V251" s="94">
        <f>IF(AND(H251=TRUE,OR(K251="",K251&gt;M251)),S251,0)</f>
        <v/>
      </c>
      <c r="W251" s="93" t="n">
        <v>0</v>
      </c>
      <c r="X251" s="93" t="b">
        <v>0</v>
      </c>
    </row>
    <row r="252">
      <c r="A252" s="93" t="inlineStr">
        <is>
          <t>ZTHA01</t>
        </is>
      </c>
      <c r="B252" s="93" t="n">
        <v>10</v>
      </c>
      <c r="C252" s="93" t="inlineStr">
        <is>
          <t>HVF102</t>
        </is>
      </c>
      <c r="D252" s="93" t="inlineStr">
        <is>
          <t>F</t>
        </is>
      </c>
      <c r="E252" s="93" t="inlineStr">
        <is>
          <t>Matthee Gerald Adriaan Odendal</t>
        </is>
      </c>
      <c r="F252" s="94">
        <f>SUMIFS(Investors!$M:$M,Investors!$O:$O,FALSE,Investors!$P:$P,FALSE,Investors!$K:$K,"&gt;"&amp;'NSST Print'!$B$3,Investors!$I:$I,"&lt;="&amp;'NSST Print'!$B$3,Investors!$A:$A,'Investor Exit List'!$A252,Investors!$E:$E,'Investor Exit List'!$C252,Investors!$L:$L,'Investor Exit List'!$B252)-(SUMIFS(Investors!$M:$M,Investors!$I:$I,"&lt;="&amp;'NSST Print'!$B$3,Investors!$J:$J,"&gt;"&amp;'NSST Print'!$B$3,Investors!$A:$A,'Investor Exit List'!$A252,Investors!$E:$E,'Investor Exit List'!$C252,Investors!$L:$L,'Investor Exit List'!$B252)+SUMIFS(Investors!$M:$M,Investors!$I:$I,"&lt;="&amp;'NSST Print'!$B$3,Investors!$J:$J,"",Investors!$A:$A,'Investor Exit List'!$A252,Investors!$E:$E,'Investor Exit List'!$C252,Investors!$L:$L,'Investor Exit List'!$B252))</f>
        <v/>
      </c>
      <c r="G252" s="95" t="n">
        <v>45371</v>
      </c>
      <c r="H252" s="93" t="b">
        <v>0</v>
      </c>
      <c r="I252" s="93" t="b">
        <v>0</v>
      </c>
      <c r="J252" s="95" t="n">
        <v>45722</v>
      </c>
      <c r="K252" s="95">
        <f>IF(I252=TRUE,J252,"")</f>
        <v/>
      </c>
      <c r="L252" s="95">
        <f>G252+730</f>
        <v/>
      </c>
      <c r="M252" s="95" t="n">
        <v>45382</v>
      </c>
      <c r="N252" s="96">
        <f>IFERROR(IF(G252&lt;&gt;"",IF(I252=TRUE,0,IF(U252=TRUE,0,L252-M252)),0),0)</f>
        <v/>
      </c>
      <c r="O252" s="96">
        <f>IF(N252&gt;0,IF(N252&lt;=180,N252,0),0)</f>
        <v/>
      </c>
      <c r="P252" s="94">
        <f>IF(AND(N252&lt;90,N252&gt;0),Q252,0)</f>
        <v/>
      </c>
      <c r="Q252" s="94">
        <f>SUMIFS(Investors!$M:$M,Investors!$O:$O,FALSE,Investors!$P:$P,FALSE,Investors!$K:$K,"&gt;"&amp;'NSST Print'!$B$3,Investors!$I:$I,"&lt;="&amp;'NSST Print'!$B$3,Investors!$A:$A,'Investor Exit List'!$A252,Investors!$E:$E,'Investor Exit List'!$C252,Investors!$L:$L,'Investor Exit List'!$B252)-(SUMIFS(Investors!$M:$M,Investors!$I:$I,"&lt;="&amp;'NSST Print'!$B$3,Investors!$J:$J,"&gt;"&amp;'NSST Print'!$B$3,Investors!$A:$A,'Investor Exit List'!$A252,Investors!$E:$E,'Investor Exit List'!$C252,Investors!$L:$L,'Investor Exit List'!$B252)+SUMIFS(Investors!$M:$M,Investors!$I:$I,"&lt;="&amp;'NSST Print'!$B$3,Investors!$J:$J,"",Investors!$A:$A,'Investor Exit List'!$A252,Investors!$E:$E,'Investor Exit List'!$C252,Investors!$L:$L,'Investor Exit List'!$B252))+SUMIFS(Investors!$S:$S,Investors!$O:$O,FALSE,Investors!$P:$P,FALSE,Investors!$K:$K,"&gt;"&amp;'NSST Print'!$B$3,Investors!$I:$I,"&lt;="&amp;'NSST Print'!$B$3,Investors!$A:$A,'Investor Exit List'!$A252,Investors!$E:$E,'Investor Exit List'!$C252,Investors!$L:$L,'Investor Exit List'!$B252)-(SUMIFS(Investors!$S:$S,Investors!$I:$I,"&lt;="&amp;'NSST Print'!$B$3,Investors!$J:$J,"&gt;"&amp;'NSST Print'!$B$3,Investors!$A:$A,'Investor Exit List'!$A252,Investors!$E:$E,'Investor Exit List'!$C252,Investors!$L:$L,'Investor Exit List'!$B252)+SUMIFS(Investors!$S:$S,Investors!$I:$I,"&lt;="&amp;'NSST Print'!$B$3,Investors!$J:$J,"",Investors!$A:$A,'Investor Exit List'!$A252,Investors!$E:$E,'Investor Exit List'!$C252,Investors!$L:$L,'Investor Exit List'!$B252))</f>
        <v/>
      </c>
      <c r="R252" s="94">
        <f>IF(AND(H252=TRUE,I252=FALSE),Q252,0)</f>
        <v/>
      </c>
      <c r="S252" s="94">
        <f>SUMIFS(Investors!$M:$M,Investors!$O:$O,TRUE,Investors!$A:$A,'Investor Exit List'!$A252,Investors!$E:$E,'Investor Exit List'!$C252,Investors!$L:$L,'Investor Exit List'!$B252)+SUMIFS(Investors!$S:$S,Investors!$O:$O,TRUE,Investors!$A:$A,'Investor Exit List'!$A252,Investors!$E:$E,'Investor Exit List'!$C252,Investors!$L:$L,'Investor Exit List'!$B252)</f>
        <v/>
      </c>
      <c r="T252" s="95">
        <f>IF(U252=TRUE,$J252,"")</f>
        <v/>
      </c>
      <c r="U252" s="93" t="b">
        <v>0</v>
      </c>
      <c r="V252" s="94">
        <f>IF(AND(H252=TRUE,OR(K252="",K252&gt;M252)),S252,0)</f>
        <v/>
      </c>
      <c r="W252" s="93" t="n">
        <v>0</v>
      </c>
      <c r="X252" s="93" t="b">
        <v>0</v>
      </c>
    </row>
    <row r="253">
      <c r="A253" s="93" t="inlineStr">
        <is>
          <t>ZPLA01</t>
        </is>
      </c>
      <c r="B253" s="93" t="n">
        <v>0</v>
      </c>
      <c r="C253" s="93" t="inlineStr">
        <is>
          <t>HVF103</t>
        </is>
      </c>
      <c r="D253" s="93" t="inlineStr">
        <is>
          <t>F</t>
        </is>
      </c>
      <c r="E253" s="93" t="inlineStr">
        <is>
          <t>Placzkowska Aneta</t>
        </is>
      </c>
      <c r="F253" s="94">
        <f>SUMIFS(Investors!$M:$M,Investors!$O:$O,FALSE,Investors!$P:$P,FALSE,Investors!$K:$K,"&gt;"&amp;'NSST Print'!$B$3,Investors!$I:$I,"&lt;="&amp;'NSST Print'!$B$3,Investors!$A:$A,'Investor Exit List'!$A253,Investors!$E:$E,'Investor Exit List'!$C253,Investors!$L:$L,'Investor Exit List'!$B253)-(SUMIFS(Investors!$M:$M,Investors!$I:$I,"&lt;="&amp;'NSST Print'!$B$3,Investors!$J:$J,"&gt;"&amp;'NSST Print'!$B$3,Investors!$A:$A,'Investor Exit List'!$A253,Investors!$E:$E,'Investor Exit List'!$C253,Investors!$L:$L,'Investor Exit List'!$B253)+SUMIFS(Investors!$M:$M,Investors!$I:$I,"&lt;="&amp;'NSST Print'!$B$3,Investors!$J:$J,"",Investors!$A:$A,'Investor Exit List'!$A253,Investors!$E:$E,'Investor Exit List'!$C253,Investors!$L:$L,'Investor Exit List'!$B253))</f>
        <v/>
      </c>
      <c r="G253" s="95" t="inlineStr"/>
      <c r="H253" s="93" t="b">
        <v>0</v>
      </c>
      <c r="I253" s="93" t="b">
        <v>0</v>
      </c>
      <c r="J253" s="95" t="n">
        <v>45722</v>
      </c>
      <c r="K253" s="95">
        <f>IF(I253=TRUE,J253,"")</f>
        <v/>
      </c>
      <c r="L253" s="95">
        <f>G253+730</f>
        <v/>
      </c>
      <c r="M253" s="95" t="n">
        <v>45382</v>
      </c>
      <c r="N253" s="96">
        <f>IFERROR(IF(G253&lt;&gt;"",IF(I253=TRUE,0,IF(U253=TRUE,0,L253-M253)),0),0)</f>
        <v/>
      </c>
      <c r="O253" s="96">
        <f>IF(N253&gt;0,IF(N253&lt;=180,N253,0),0)</f>
        <v/>
      </c>
      <c r="P253" s="94">
        <f>IF(AND(N253&lt;90,N253&gt;0),Q253,0)</f>
        <v/>
      </c>
      <c r="Q253" s="94">
        <f>SUMIFS(Investors!$M:$M,Investors!$O:$O,FALSE,Investors!$P:$P,FALSE,Investors!$K:$K,"&gt;"&amp;'NSST Print'!$B$3,Investors!$I:$I,"&lt;="&amp;'NSST Print'!$B$3,Investors!$A:$A,'Investor Exit List'!$A253,Investors!$E:$E,'Investor Exit List'!$C253,Investors!$L:$L,'Investor Exit List'!$B253)-(SUMIFS(Investors!$M:$M,Investors!$I:$I,"&lt;="&amp;'NSST Print'!$B$3,Investors!$J:$J,"&gt;"&amp;'NSST Print'!$B$3,Investors!$A:$A,'Investor Exit List'!$A253,Investors!$E:$E,'Investor Exit List'!$C253,Investors!$L:$L,'Investor Exit List'!$B253)+SUMIFS(Investors!$M:$M,Investors!$I:$I,"&lt;="&amp;'NSST Print'!$B$3,Investors!$J:$J,"",Investors!$A:$A,'Investor Exit List'!$A253,Investors!$E:$E,'Investor Exit List'!$C253,Investors!$L:$L,'Investor Exit List'!$B253))+SUMIFS(Investors!$S:$S,Investors!$O:$O,FALSE,Investors!$P:$P,FALSE,Investors!$K:$K,"&gt;"&amp;'NSST Print'!$B$3,Investors!$I:$I,"&lt;="&amp;'NSST Print'!$B$3,Investors!$A:$A,'Investor Exit List'!$A253,Investors!$E:$E,'Investor Exit List'!$C253,Investors!$L:$L,'Investor Exit List'!$B253)-(SUMIFS(Investors!$S:$S,Investors!$I:$I,"&lt;="&amp;'NSST Print'!$B$3,Investors!$J:$J,"&gt;"&amp;'NSST Print'!$B$3,Investors!$A:$A,'Investor Exit List'!$A253,Investors!$E:$E,'Investor Exit List'!$C253,Investors!$L:$L,'Investor Exit List'!$B253)+SUMIFS(Investors!$S:$S,Investors!$I:$I,"&lt;="&amp;'NSST Print'!$B$3,Investors!$J:$J,"",Investors!$A:$A,'Investor Exit List'!$A253,Investors!$E:$E,'Investor Exit List'!$C253,Investors!$L:$L,'Investor Exit List'!$B253))</f>
        <v/>
      </c>
      <c r="R253" s="94">
        <f>IF(AND(H253=TRUE,I253=FALSE),Q253,0)</f>
        <v/>
      </c>
      <c r="S253" s="94">
        <f>SUMIFS(Investors!$M:$M,Investors!$O:$O,TRUE,Investors!$A:$A,'Investor Exit List'!$A253,Investors!$E:$E,'Investor Exit List'!$C253,Investors!$L:$L,'Investor Exit List'!$B253)+SUMIFS(Investors!$S:$S,Investors!$O:$O,TRUE,Investors!$A:$A,'Investor Exit List'!$A253,Investors!$E:$E,'Investor Exit List'!$C253,Investors!$L:$L,'Investor Exit List'!$B253)</f>
        <v/>
      </c>
      <c r="T253" s="95">
        <f>IF(U253=TRUE,$J253,"")</f>
        <v/>
      </c>
      <c r="U253" s="93" t="b">
        <v>0</v>
      </c>
      <c r="V253" s="94">
        <f>IF(AND(H253=TRUE,OR(K253="",K253&gt;M253)),S253,0)</f>
        <v/>
      </c>
      <c r="W253" s="93" t="n">
        <v>0</v>
      </c>
      <c r="X253" s="93" t="b">
        <v>1</v>
      </c>
    </row>
    <row r="254">
      <c r="A254" s="93" t="inlineStr">
        <is>
          <t>ZWAT01</t>
        </is>
      </c>
      <c r="B254" s="93" t="n">
        <v>15</v>
      </c>
      <c r="C254" s="93" t="inlineStr">
        <is>
          <t>HVF103</t>
        </is>
      </c>
      <c r="D254" s="93" t="inlineStr">
        <is>
          <t>F</t>
        </is>
      </c>
      <c r="E254" s="93" t="inlineStr">
        <is>
          <t>Watts Peter Gregory</t>
        </is>
      </c>
      <c r="F254" s="94">
        <f>SUMIFS(Investors!$M:$M,Investors!$O:$O,FALSE,Investors!$P:$P,FALSE,Investors!$K:$K,"&gt;"&amp;'NSST Print'!$B$3,Investors!$I:$I,"&lt;="&amp;'NSST Print'!$B$3,Investors!$A:$A,'Investor Exit List'!$A254,Investors!$E:$E,'Investor Exit List'!$C254,Investors!$L:$L,'Investor Exit List'!$B254)-(SUMIFS(Investors!$M:$M,Investors!$I:$I,"&lt;="&amp;'NSST Print'!$B$3,Investors!$J:$J,"&gt;"&amp;'NSST Print'!$B$3,Investors!$A:$A,'Investor Exit List'!$A254,Investors!$E:$E,'Investor Exit List'!$C254,Investors!$L:$L,'Investor Exit List'!$B254)+SUMIFS(Investors!$M:$M,Investors!$I:$I,"&lt;="&amp;'NSST Print'!$B$3,Investors!$J:$J,"",Investors!$A:$A,'Investor Exit List'!$A254,Investors!$E:$E,'Investor Exit List'!$C254,Investors!$L:$L,'Investor Exit List'!$B254))</f>
        <v/>
      </c>
      <c r="G254" s="95" t="inlineStr"/>
      <c r="H254" s="93" t="b">
        <v>0</v>
      </c>
      <c r="I254" s="93" t="b">
        <v>0</v>
      </c>
      <c r="J254" s="95" t="n">
        <v>45722</v>
      </c>
      <c r="K254" s="95">
        <f>IF(I254=TRUE,J254,"")</f>
        <v/>
      </c>
      <c r="L254" s="95">
        <f>G254+730</f>
        <v/>
      </c>
      <c r="M254" s="95" t="n">
        <v>45382</v>
      </c>
      <c r="N254" s="96">
        <f>IFERROR(IF(G254&lt;&gt;"",IF(I254=TRUE,0,IF(U254=TRUE,0,L254-M254)),0),0)</f>
        <v/>
      </c>
      <c r="O254" s="96">
        <f>IF(N254&gt;0,IF(N254&lt;=180,N254,0),0)</f>
        <v/>
      </c>
      <c r="P254" s="94">
        <f>IF(AND(N254&lt;90,N254&gt;0),Q254,0)</f>
        <v/>
      </c>
      <c r="Q254" s="94">
        <f>SUMIFS(Investors!$M:$M,Investors!$O:$O,FALSE,Investors!$P:$P,FALSE,Investors!$K:$K,"&gt;"&amp;'NSST Print'!$B$3,Investors!$I:$I,"&lt;="&amp;'NSST Print'!$B$3,Investors!$A:$A,'Investor Exit List'!$A254,Investors!$E:$E,'Investor Exit List'!$C254,Investors!$L:$L,'Investor Exit List'!$B254)-(SUMIFS(Investors!$M:$M,Investors!$I:$I,"&lt;="&amp;'NSST Print'!$B$3,Investors!$J:$J,"&gt;"&amp;'NSST Print'!$B$3,Investors!$A:$A,'Investor Exit List'!$A254,Investors!$E:$E,'Investor Exit List'!$C254,Investors!$L:$L,'Investor Exit List'!$B254)+SUMIFS(Investors!$M:$M,Investors!$I:$I,"&lt;="&amp;'NSST Print'!$B$3,Investors!$J:$J,"",Investors!$A:$A,'Investor Exit List'!$A254,Investors!$E:$E,'Investor Exit List'!$C254,Investors!$L:$L,'Investor Exit List'!$B254))+SUMIFS(Investors!$S:$S,Investors!$O:$O,FALSE,Investors!$P:$P,FALSE,Investors!$K:$K,"&gt;"&amp;'NSST Print'!$B$3,Investors!$I:$I,"&lt;="&amp;'NSST Print'!$B$3,Investors!$A:$A,'Investor Exit List'!$A254,Investors!$E:$E,'Investor Exit List'!$C254,Investors!$L:$L,'Investor Exit List'!$B254)-(SUMIFS(Investors!$S:$S,Investors!$I:$I,"&lt;="&amp;'NSST Print'!$B$3,Investors!$J:$J,"&gt;"&amp;'NSST Print'!$B$3,Investors!$A:$A,'Investor Exit List'!$A254,Investors!$E:$E,'Investor Exit List'!$C254,Investors!$L:$L,'Investor Exit List'!$B254)+SUMIFS(Investors!$S:$S,Investors!$I:$I,"&lt;="&amp;'NSST Print'!$B$3,Investors!$J:$J,"",Investors!$A:$A,'Investor Exit List'!$A254,Investors!$E:$E,'Investor Exit List'!$C254,Investors!$L:$L,'Investor Exit List'!$B254))</f>
        <v/>
      </c>
      <c r="R254" s="94">
        <f>IF(AND(H254=TRUE,I254=FALSE),Q254,0)</f>
        <v/>
      </c>
      <c r="S254" s="94">
        <f>SUMIFS(Investors!$M:$M,Investors!$O:$O,TRUE,Investors!$A:$A,'Investor Exit List'!$A254,Investors!$E:$E,'Investor Exit List'!$C254,Investors!$L:$L,'Investor Exit List'!$B254)+SUMIFS(Investors!$S:$S,Investors!$O:$O,TRUE,Investors!$A:$A,'Investor Exit List'!$A254,Investors!$E:$E,'Investor Exit List'!$C254,Investors!$L:$L,'Investor Exit List'!$B254)</f>
        <v/>
      </c>
      <c r="T254" s="95">
        <f>IF(U254=TRUE,$J254,"")</f>
        <v/>
      </c>
      <c r="U254" s="93" t="b">
        <v>0</v>
      </c>
      <c r="V254" s="94">
        <f>IF(AND(H254=TRUE,OR(K254="",K254&gt;M254)),S254,0)</f>
        <v/>
      </c>
      <c r="W254" s="93" t="n">
        <v>0</v>
      </c>
      <c r="X254" s="93" t="b">
        <v>0</v>
      </c>
    </row>
    <row r="255">
      <c r="A255" s="93" t="inlineStr">
        <is>
          <t>ZOLI01</t>
        </is>
      </c>
      <c r="B255" s="93" t="n">
        <v>4</v>
      </c>
      <c r="C255" s="93" t="inlineStr">
        <is>
          <t>HVF104</t>
        </is>
      </c>
      <c r="D255" s="93" t="inlineStr">
        <is>
          <t>F</t>
        </is>
      </c>
      <c r="E255" s="93" t="inlineStr">
        <is>
          <t>Olivier Jan Lukas Cornelus</t>
        </is>
      </c>
      <c r="F255" s="94">
        <f>SUMIFS(Investors!$M:$M,Investors!$O:$O,FALSE,Investors!$P:$P,FALSE,Investors!$K:$K,"&gt;"&amp;'NSST Print'!$B$3,Investors!$I:$I,"&lt;="&amp;'NSST Print'!$B$3,Investors!$A:$A,'Investor Exit List'!$A255,Investors!$E:$E,'Investor Exit List'!$C255,Investors!$L:$L,'Investor Exit List'!$B255)-(SUMIFS(Investors!$M:$M,Investors!$I:$I,"&lt;="&amp;'NSST Print'!$B$3,Investors!$J:$J,"&gt;"&amp;'NSST Print'!$B$3,Investors!$A:$A,'Investor Exit List'!$A255,Investors!$E:$E,'Investor Exit List'!$C255,Investors!$L:$L,'Investor Exit List'!$B255)+SUMIFS(Investors!$M:$M,Investors!$I:$I,"&lt;="&amp;'NSST Print'!$B$3,Investors!$J:$J,"",Investors!$A:$A,'Investor Exit List'!$A255,Investors!$E:$E,'Investor Exit List'!$C255,Investors!$L:$L,'Investor Exit List'!$B255))</f>
        <v/>
      </c>
      <c r="G255" s="95" t="n">
        <v>45280</v>
      </c>
      <c r="H255" s="93" t="b">
        <v>0</v>
      </c>
      <c r="I255" s="93" t="b">
        <v>0</v>
      </c>
      <c r="J255" s="95" t="n">
        <v>45722</v>
      </c>
      <c r="K255" s="95">
        <f>IF(I255=TRUE,J255,"")</f>
        <v/>
      </c>
      <c r="L255" s="95">
        <f>G255+730</f>
        <v/>
      </c>
      <c r="M255" s="95" t="n">
        <v>45382</v>
      </c>
      <c r="N255" s="96">
        <f>IFERROR(IF(G255&lt;&gt;"",IF(I255=TRUE,0,IF(U255=TRUE,0,L255-M255)),0),0)</f>
        <v/>
      </c>
      <c r="O255" s="96">
        <f>IF(N255&gt;0,IF(N255&lt;=180,N255,0),0)</f>
        <v/>
      </c>
      <c r="P255" s="94">
        <f>IF(AND(N255&lt;90,N255&gt;0),Q255,0)</f>
        <v/>
      </c>
      <c r="Q255" s="94">
        <f>SUMIFS(Investors!$M:$M,Investors!$O:$O,FALSE,Investors!$P:$P,FALSE,Investors!$K:$K,"&gt;"&amp;'NSST Print'!$B$3,Investors!$I:$I,"&lt;="&amp;'NSST Print'!$B$3,Investors!$A:$A,'Investor Exit List'!$A255,Investors!$E:$E,'Investor Exit List'!$C255,Investors!$L:$L,'Investor Exit List'!$B255)-(SUMIFS(Investors!$M:$M,Investors!$I:$I,"&lt;="&amp;'NSST Print'!$B$3,Investors!$J:$J,"&gt;"&amp;'NSST Print'!$B$3,Investors!$A:$A,'Investor Exit List'!$A255,Investors!$E:$E,'Investor Exit List'!$C255,Investors!$L:$L,'Investor Exit List'!$B255)+SUMIFS(Investors!$M:$M,Investors!$I:$I,"&lt;="&amp;'NSST Print'!$B$3,Investors!$J:$J,"",Investors!$A:$A,'Investor Exit List'!$A255,Investors!$E:$E,'Investor Exit List'!$C255,Investors!$L:$L,'Investor Exit List'!$B255))+SUMIFS(Investors!$S:$S,Investors!$O:$O,FALSE,Investors!$P:$P,FALSE,Investors!$K:$K,"&gt;"&amp;'NSST Print'!$B$3,Investors!$I:$I,"&lt;="&amp;'NSST Print'!$B$3,Investors!$A:$A,'Investor Exit List'!$A255,Investors!$E:$E,'Investor Exit List'!$C255,Investors!$L:$L,'Investor Exit List'!$B255)-(SUMIFS(Investors!$S:$S,Investors!$I:$I,"&lt;="&amp;'NSST Print'!$B$3,Investors!$J:$J,"&gt;"&amp;'NSST Print'!$B$3,Investors!$A:$A,'Investor Exit List'!$A255,Investors!$E:$E,'Investor Exit List'!$C255,Investors!$L:$L,'Investor Exit List'!$B255)+SUMIFS(Investors!$S:$S,Investors!$I:$I,"&lt;="&amp;'NSST Print'!$B$3,Investors!$J:$J,"",Investors!$A:$A,'Investor Exit List'!$A255,Investors!$E:$E,'Investor Exit List'!$C255,Investors!$L:$L,'Investor Exit List'!$B255))</f>
        <v/>
      </c>
      <c r="R255" s="94">
        <f>IF(AND(H255=TRUE,I255=FALSE),Q255,0)</f>
        <v/>
      </c>
      <c r="S255" s="94">
        <f>SUMIFS(Investors!$M:$M,Investors!$O:$O,TRUE,Investors!$A:$A,'Investor Exit List'!$A255,Investors!$E:$E,'Investor Exit List'!$C255,Investors!$L:$L,'Investor Exit List'!$B255)+SUMIFS(Investors!$S:$S,Investors!$O:$O,TRUE,Investors!$A:$A,'Investor Exit List'!$A255,Investors!$E:$E,'Investor Exit List'!$C255,Investors!$L:$L,'Investor Exit List'!$B255)</f>
        <v/>
      </c>
      <c r="T255" s="95">
        <f>IF(U255=TRUE,$J255,"")</f>
        <v/>
      </c>
      <c r="U255" s="93" t="b">
        <v>0</v>
      </c>
      <c r="V255" s="94">
        <f>IF(AND(H255=TRUE,OR(K255="",K255&gt;M255)),S255,0)</f>
        <v/>
      </c>
      <c r="W255" s="93" t="n">
        <v>0</v>
      </c>
      <c r="X255" s="93" t="b">
        <v>0</v>
      </c>
    </row>
    <row r="256">
      <c r="A256" s="93" t="inlineStr">
        <is>
          <t>ZRIT01</t>
        </is>
      </c>
      <c r="B256" s="93" t="n">
        <v>16</v>
      </c>
      <c r="C256" s="93" t="inlineStr">
        <is>
          <t>HVF104</t>
        </is>
      </c>
      <c r="D256" s="93" t="inlineStr">
        <is>
          <t>F</t>
        </is>
      </c>
      <c r="E256" s="93" t="inlineStr">
        <is>
          <t>Ritter Dennis</t>
        </is>
      </c>
      <c r="F256" s="94">
        <f>SUMIFS(Investors!$M:$M,Investors!$O:$O,FALSE,Investors!$P:$P,FALSE,Investors!$K:$K,"&gt;"&amp;'NSST Print'!$B$3,Investors!$I:$I,"&lt;="&amp;'NSST Print'!$B$3,Investors!$A:$A,'Investor Exit List'!$A256,Investors!$E:$E,'Investor Exit List'!$C256,Investors!$L:$L,'Investor Exit List'!$B256)-(SUMIFS(Investors!$M:$M,Investors!$I:$I,"&lt;="&amp;'NSST Print'!$B$3,Investors!$J:$J,"&gt;"&amp;'NSST Print'!$B$3,Investors!$A:$A,'Investor Exit List'!$A256,Investors!$E:$E,'Investor Exit List'!$C256,Investors!$L:$L,'Investor Exit List'!$B256)+SUMIFS(Investors!$M:$M,Investors!$I:$I,"&lt;="&amp;'NSST Print'!$B$3,Investors!$J:$J,"",Investors!$A:$A,'Investor Exit List'!$A256,Investors!$E:$E,'Investor Exit List'!$C256,Investors!$L:$L,'Investor Exit List'!$B256))</f>
        <v/>
      </c>
      <c r="G256" s="95" t="n">
        <v>45224</v>
      </c>
      <c r="H256" s="93" t="b">
        <v>0</v>
      </c>
      <c r="I256" s="93" t="b">
        <v>0</v>
      </c>
      <c r="J256" s="95" t="n">
        <v>45722</v>
      </c>
      <c r="K256" s="95">
        <f>IF(I256=TRUE,J256,"")</f>
        <v/>
      </c>
      <c r="L256" s="95">
        <f>G256+730</f>
        <v/>
      </c>
      <c r="M256" s="95" t="n">
        <v>45382</v>
      </c>
      <c r="N256" s="96">
        <f>IFERROR(IF(G256&lt;&gt;"",IF(I256=TRUE,0,IF(U256=TRUE,0,L256-M256)),0),0)</f>
        <v/>
      </c>
      <c r="O256" s="96">
        <f>IF(N256&gt;0,IF(N256&lt;=180,N256,0),0)</f>
        <v/>
      </c>
      <c r="P256" s="94">
        <f>IF(AND(N256&lt;90,N256&gt;0),Q256,0)</f>
        <v/>
      </c>
      <c r="Q256" s="94">
        <f>SUMIFS(Investors!$M:$M,Investors!$O:$O,FALSE,Investors!$P:$P,FALSE,Investors!$K:$K,"&gt;"&amp;'NSST Print'!$B$3,Investors!$I:$I,"&lt;="&amp;'NSST Print'!$B$3,Investors!$A:$A,'Investor Exit List'!$A256,Investors!$E:$E,'Investor Exit List'!$C256,Investors!$L:$L,'Investor Exit List'!$B256)-(SUMIFS(Investors!$M:$M,Investors!$I:$I,"&lt;="&amp;'NSST Print'!$B$3,Investors!$J:$J,"&gt;"&amp;'NSST Print'!$B$3,Investors!$A:$A,'Investor Exit List'!$A256,Investors!$E:$E,'Investor Exit List'!$C256,Investors!$L:$L,'Investor Exit List'!$B256)+SUMIFS(Investors!$M:$M,Investors!$I:$I,"&lt;="&amp;'NSST Print'!$B$3,Investors!$J:$J,"",Investors!$A:$A,'Investor Exit List'!$A256,Investors!$E:$E,'Investor Exit List'!$C256,Investors!$L:$L,'Investor Exit List'!$B256))+SUMIFS(Investors!$S:$S,Investors!$O:$O,FALSE,Investors!$P:$P,FALSE,Investors!$K:$K,"&gt;"&amp;'NSST Print'!$B$3,Investors!$I:$I,"&lt;="&amp;'NSST Print'!$B$3,Investors!$A:$A,'Investor Exit List'!$A256,Investors!$E:$E,'Investor Exit List'!$C256,Investors!$L:$L,'Investor Exit List'!$B256)-(SUMIFS(Investors!$S:$S,Investors!$I:$I,"&lt;="&amp;'NSST Print'!$B$3,Investors!$J:$J,"&gt;"&amp;'NSST Print'!$B$3,Investors!$A:$A,'Investor Exit List'!$A256,Investors!$E:$E,'Investor Exit List'!$C256,Investors!$L:$L,'Investor Exit List'!$B256)+SUMIFS(Investors!$S:$S,Investors!$I:$I,"&lt;="&amp;'NSST Print'!$B$3,Investors!$J:$J,"",Investors!$A:$A,'Investor Exit List'!$A256,Investors!$E:$E,'Investor Exit List'!$C256,Investors!$L:$L,'Investor Exit List'!$B256))</f>
        <v/>
      </c>
      <c r="R256" s="94">
        <f>IF(AND(H256=TRUE,I256=FALSE),Q256,0)</f>
        <v/>
      </c>
      <c r="S256" s="94">
        <f>SUMIFS(Investors!$M:$M,Investors!$O:$O,TRUE,Investors!$A:$A,'Investor Exit List'!$A256,Investors!$E:$E,'Investor Exit List'!$C256,Investors!$L:$L,'Investor Exit List'!$B256)+SUMIFS(Investors!$S:$S,Investors!$O:$O,TRUE,Investors!$A:$A,'Investor Exit List'!$A256,Investors!$E:$E,'Investor Exit List'!$C256,Investors!$L:$L,'Investor Exit List'!$B256)</f>
        <v/>
      </c>
      <c r="T256" s="95">
        <f>IF(U256=TRUE,$J256,"")</f>
        <v/>
      </c>
      <c r="U256" s="93" t="b">
        <v>0</v>
      </c>
      <c r="V256" s="94">
        <f>IF(AND(H256=TRUE,OR(K256="",K256&gt;M256)),S256,0)</f>
        <v/>
      </c>
      <c r="W256" s="93" t="n">
        <v>0</v>
      </c>
      <c r="X256" s="93" t="b">
        <v>0</v>
      </c>
    </row>
    <row r="257">
      <c r="A257" s="93" t="inlineStr">
        <is>
          <t>ZMAN01</t>
        </is>
      </c>
      <c r="B257" s="93" t="n">
        <v>2</v>
      </c>
      <c r="C257" s="93" t="inlineStr">
        <is>
          <t>HVF201</t>
        </is>
      </c>
      <c r="D257" s="93" t="inlineStr">
        <is>
          <t>F</t>
        </is>
      </c>
      <c r="E257" s="93" t="inlineStr">
        <is>
          <t>Manuel Emma Irene</t>
        </is>
      </c>
      <c r="F257" s="94">
        <f>SUMIFS(Investors!$M:$M,Investors!$O:$O,FALSE,Investors!$P:$P,FALSE,Investors!$K:$K,"&gt;"&amp;'NSST Print'!$B$3,Investors!$I:$I,"&lt;="&amp;'NSST Print'!$B$3,Investors!$A:$A,'Investor Exit List'!$A257,Investors!$E:$E,'Investor Exit List'!$C257,Investors!$L:$L,'Investor Exit List'!$B257)-(SUMIFS(Investors!$M:$M,Investors!$I:$I,"&lt;="&amp;'NSST Print'!$B$3,Investors!$J:$J,"&gt;"&amp;'NSST Print'!$B$3,Investors!$A:$A,'Investor Exit List'!$A257,Investors!$E:$E,'Investor Exit List'!$C257,Investors!$L:$L,'Investor Exit List'!$B257)+SUMIFS(Investors!$M:$M,Investors!$I:$I,"&lt;="&amp;'NSST Print'!$B$3,Investors!$J:$J,"",Investors!$A:$A,'Investor Exit List'!$A257,Investors!$E:$E,'Investor Exit List'!$C257,Investors!$L:$L,'Investor Exit List'!$B257))</f>
        <v/>
      </c>
      <c r="G257" s="95" t="inlineStr"/>
      <c r="H257" s="93" t="b">
        <v>0</v>
      </c>
      <c r="I257" s="93" t="b">
        <v>0</v>
      </c>
      <c r="J257" s="95" t="n">
        <v>45722</v>
      </c>
      <c r="K257" s="95">
        <f>IF(I257=TRUE,J257,"")</f>
        <v/>
      </c>
      <c r="L257" s="95">
        <f>G257+730</f>
        <v/>
      </c>
      <c r="M257" s="95" t="n">
        <v>45382</v>
      </c>
      <c r="N257" s="96">
        <f>IFERROR(IF(G257&lt;&gt;"",IF(I257=TRUE,0,IF(U257=TRUE,0,L257-M257)),0),0)</f>
        <v/>
      </c>
      <c r="O257" s="96">
        <f>IF(N257&gt;0,IF(N257&lt;=180,N257,0),0)</f>
        <v/>
      </c>
      <c r="P257" s="94">
        <f>IF(AND(N257&lt;90,N257&gt;0),Q257,0)</f>
        <v/>
      </c>
      <c r="Q257" s="94">
        <f>SUMIFS(Investors!$M:$M,Investors!$O:$O,FALSE,Investors!$P:$P,FALSE,Investors!$K:$K,"&gt;"&amp;'NSST Print'!$B$3,Investors!$I:$I,"&lt;="&amp;'NSST Print'!$B$3,Investors!$A:$A,'Investor Exit List'!$A257,Investors!$E:$E,'Investor Exit List'!$C257,Investors!$L:$L,'Investor Exit List'!$B257)-(SUMIFS(Investors!$M:$M,Investors!$I:$I,"&lt;="&amp;'NSST Print'!$B$3,Investors!$J:$J,"&gt;"&amp;'NSST Print'!$B$3,Investors!$A:$A,'Investor Exit List'!$A257,Investors!$E:$E,'Investor Exit List'!$C257,Investors!$L:$L,'Investor Exit List'!$B257)+SUMIFS(Investors!$M:$M,Investors!$I:$I,"&lt;="&amp;'NSST Print'!$B$3,Investors!$J:$J,"",Investors!$A:$A,'Investor Exit List'!$A257,Investors!$E:$E,'Investor Exit List'!$C257,Investors!$L:$L,'Investor Exit List'!$B257))+SUMIFS(Investors!$S:$S,Investors!$O:$O,FALSE,Investors!$P:$P,FALSE,Investors!$K:$K,"&gt;"&amp;'NSST Print'!$B$3,Investors!$I:$I,"&lt;="&amp;'NSST Print'!$B$3,Investors!$A:$A,'Investor Exit List'!$A257,Investors!$E:$E,'Investor Exit List'!$C257,Investors!$L:$L,'Investor Exit List'!$B257)-(SUMIFS(Investors!$S:$S,Investors!$I:$I,"&lt;="&amp;'NSST Print'!$B$3,Investors!$J:$J,"&gt;"&amp;'NSST Print'!$B$3,Investors!$A:$A,'Investor Exit List'!$A257,Investors!$E:$E,'Investor Exit List'!$C257,Investors!$L:$L,'Investor Exit List'!$B257)+SUMIFS(Investors!$S:$S,Investors!$I:$I,"&lt;="&amp;'NSST Print'!$B$3,Investors!$J:$J,"",Investors!$A:$A,'Investor Exit List'!$A257,Investors!$E:$E,'Investor Exit List'!$C257,Investors!$L:$L,'Investor Exit List'!$B257))</f>
        <v/>
      </c>
      <c r="R257" s="94">
        <f>IF(AND(H257=TRUE,I257=FALSE),Q257,0)</f>
        <v/>
      </c>
      <c r="S257" s="94">
        <f>SUMIFS(Investors!$M:$M,Investors!$O:$O,TRUE,Investors!$A:$A,'Investor Exit List'!$A257,Investors!$E:$E,'Investor Exit List'!$C257,Investors!$L:$L,'Investor Exit List'!$B257)+SUMIFS(Investors!$S:$S,Investors!$O:$O,TRUE,Investors!$A:$A,'Investor Exit List'!$A257,Investors!$E:$E,'Investor Exit List'!$C257,Investors!$L:$L,'Investor Exit List'!$B257)</f>
        <v/>
      </c>
      <c r="T257" s="95">
        <f>IF(U257=TRUE,$J257,"")</f>
        <v/>
      </c>
      <c r="U257" s="93" t="b">
        <v>0</v>
      </c>
      <c r="V257" s="94">
        <f>IF(AND(H257=TRUE,OR(K257="",K257&gt;M257)),S257,0)</f>
        <v/>
      </c>
      <c r="W257" s="93" t="n">
        <v>0</v>
      </c>
      <c r="X257" s="93" t="b">
        <v>0</v>
      </c>
    </row>
    <row r="258">
      <c r="A258" s="93" t="inlineStr">
        <is>
          <t>ZELO02</t>
        </is>
      </c>
      <c r="B258" s="93" t="n">
        <v>1</v>
      </c>
      <c r="C258" s="93" t="inlineStr">
        <is>
          <t>HVF202</t>
        </is>
      </c>
      <c r="D258" s="93" t="inlineStr">
        <is>
          <t>F</t>
        </is>
      </c>
      <c r="E258" s="93" t="inlineStr">
        <is>
          <t>Eloff Gertruida Maria Margaretha (Gerda)</t>
        </is>
      </c>
      <c r="F258" s="94">
        <f>SUMIFS(Investors!$M:$M,Investors!$O:$O,FALSE,Investors!$P:$P,FALSE,Investors!$K:$K,"&gt;"&amp;'NSST Print'!$B$3,Investors!$I:$I,"&lt;="&amp;'NSST Print'!$B$3,Investors!$A:$A,'Investor Exit List'!$A258,Investors!$E:$E,'Investor Exit List'!$C258,Investors!$L:$L,'Investor Exit List'!$B258)-(SUMIFS(Investors!$M:$M,Investors!$I:$I,"&lt;="&amp;'NSST Print'!$B$3,Investors!$J:$J,"&gt;"&amp;'NSST Print'!$B$3,Investors!$A:$A,'Investor Exit List'!$A258,Investors!$E:$E,'Investor Exit List'!$C258,Investors!$L:$L,'Investor Exit List'!$B258)+SUMIFS(Investors!$M:$M,Investors!$I:$I,"&lt;="&amp;'NSST Print'!$B$3,Investors!$J:$J,"",Investors!$A:$A,'Investor Exit List'!$A258,Investors!$E:$E,'Investor Exit List'!$C258,Investors!$L:$L,'Investor Exit List'!$B258))</f>
        <v/>
      </c>
      <c r="G258" s="95" t="n">
        <v>45321</v>
      </c>
      <c r="H258" s="93" t="b">
        <v>0</v>
      </c>
      <c r="I258" s="93" t="b">
        <v>0</v>
      </c>
      <c r="J258" s="95" t="n">
        <v>45722</v>
      </c>
      <c r="K258" s="95">
        <f>IF(I258=TRUE,J258,"")</f>
        <v/>
      </c>
      <c r="L258" s="95">
        <f>G258+730</f>
        <v/>
      </c>
      <c r="M258" s="95" t="n">
        <v>45382</v>
      </c>
      <c r="N258" s="96">
        <f>IFERROR(IF(G258&lt;&gt;"",IF(I258=TRUE,0,IF(U258=TRUE,0,L258-M258)),0),0)</f>
        <v/>
      </c>
      <c r="O258" s="96">
        <f>IF(N258&gt;0,IF(N258&lt;=180,N258,0),0)</f>
        <v/>
      </c>
      <c r="P258" s="94">
        <f>IF(AND(N258&lt;90,N258&gt;0),Q258,0)</f>
        <v/>
      </c>
      <c r="Q258" s="94">
        <f>SUMIFS(Investors!$M:$M,Investors!$O:$O,FALSE,Investors!$P:$P,FALSE,Investors!$K:$K,"&gt;"&amp;'NSST Print'!$B$3,Investors!$I:$I,"&lt;="&amp;'NSST Print'!$B$3,Investors!$A:$A,'Investor Exit List'!$A258,Investors!$E:$E,'Investor Exit List'!$C258,Investors!$L:$L,'Investor Exit List'!$B258)-(SUMIFS(Investors!$M:$M,Investors!$I:$I,"&lt;="&amp;'NSST Print'!$B$3,Investors!$J:$J,"&gt;"&amp;'NSST Print'!$B$3,Investors!$A:$A,'Investor Exit List'!$A258,Investors!$E:$E,'Investor Exit List'!$C258,Investors!$L:$L,'Investor Exit List'!$B258)+SUMIFS(Investors!$M:$M,Investors!$I:$I,"&lt;="&amp;'NSST Print'!$B$3,Investors!$J:$J,"",Investors!$A:$A,'Investor Exit List'!$A258,Investors!$E:$E,'Investor Exit List'!$C258,Investors!$L:$L,'Investor Exit List'!$B258))+SUMIFS(Investors!$S:$S,Investors!$O:$O,FALSE,Investors!$P:$P,FALSE,Investors!$K:$K,"&gt;"&amp;'NSST Print'!$B$3,Investors!$I:$I,"&lt;="&amp;'NSST Print'!$B$3,Investors!$A:$A,'Investor Exit List'!$A258,Investors!$E:$E,'Investor Exit List'!$C258,Investors!$L:$L,'Investor Exit List'!$B258)-(SUMIFS(Investors!$S:$S,Investors!$I:$I,"&lt;="&amp;'NSST Print'!$B$3,Investors!$J:$J,"&gt;"&amp;'NSST Print'!$B$3,Investors!$A:$A,'Investor Exit List'!$A258,Investors!$E:$E,'Investor Exit List'!$C258,Investors!$L:$L,'Investor Exit List'!$B258)+SUMIFS(Investors!$S:$S,Investors!$I:$I,"&lt;="&amp;'NSST Print'!$B$3,Investors!$J:$J,"",Investors!$A:$A,'Investor Exit List'!$A258,Investors!$E:$E,'Investor Exit List'!$C258,Investors!$L:$L,'Investor Exit List'!$B258))</f>
        <v/>
      </c>
      <c r="R258" s="94">
        <f>IF(AND(H258=TRUE,I258=FALSE),Q258,0)</f>
        <v/>
      </c>
      <c r="S258" s="94">
        <f>SUMIFS(Investors!$M:$M,Investors!$O:$O,TRUE,Investors!$A:$A,'Investor Exit List'!$A258,Investors!$E:$E,'Investor Exit List'!$C258,Investors!$L:$L,'Investor Exit List'!$B258)+SUMIFS(Investors!$S:$S,Investors!$O:$O,TRUE,Investors!$A:$A,'Investor Exit List'!$A258,Investors!$E:$E,'Investor Exit List'!$C258,Investors!$L:$L,'Investor Exit List'!$B258)</f>
        <v/>
      </c>
      <c r="T258" s="95">
        <f>IF(U258=TRUE,$J258,"")</f>
        <v/>
      </c>
      <c r="U258" s="93" t="b">
        <v>0</v>
      </c>
      <c r="V258" s="94">
        <f>IF(AND(H258=TRUE,OR(K258="",K258&gt;M258)),S258,0)</f>
        <v/>
      </c>
      <c r="W258" s="93" t="n">
        <v>0</v>
      </c>
      <c r="X258" s="93" t="b">
        <v>0</v>
      </c>
    </row>
    <row r="259">
      <c r="A259" s="93" t="inlineStr">
        <is>
          <t>ZJEN01</t>
        </is>
      </c>
      <c r="B259" s="93" t="n">
        <v>3</v>
      </c>
      <c r="C259" s="93" t="inlineStr">
        <is>
          <t>HVF202</t>
        </is>
      </c>
      <c r="D259" s="93" t="inlineStr">
        <is>
          <t>F</t>
        </is>
      </c>
      <c r="E259" s="93" t="inlineStr">
        <is>
          <t>Jennings Daryl Anne</t>
        </is>
      </c>
      <c r="F259" s="94">
        <f>SUMIFS(Investors!$M:$M,Investors!$O:$O,FALSE,Investors!$P:$P,FALSE,Investors!$K:$K,"&gt;"&amp;'NSST Print'!$B$3,Investors!$I:$I,"&lt;="&amp;'NSST Print'!$B$3,Investors!$A:$A,'Investor Exit List'!$A259,Investors!$E:$E,'Investor Exit List'!$C259,Investors!$L:$L,'Investor Exit List'!$B259)-(SUMIFS(Investors!$M:$M,Investors!$I:$I,"&lt;="&amp;'NSST Print'!$B$3,Investors!$J:$J,"&gt;"&amp;'NSST Print'!$B$3,Investors!$A:$A,'Investor Exit List'!$A259,Investors!$E:$E,'Investor Exit List'!$C259,Investors!$L:$L,'Investor Exit List'!$B259)+SUMIFS(Investors!$M:$M,Investors!$I:$I,"&lt;="&amp;'NSST Print'!$B$3,Investors!$J:$J,"",Investors!$A:$A,'Investor Exit List'!$A259,Investors!$E:$E,'Investor Exit List'!$C259,Investors!$L:$L,'Investor Exit List'!$B259))</f>
        <v/>
      </c>
      <c r="G259" s="95" t="n">
        <v>45321</v>
      </c>
      <c r="H259" s="93" t="b">
        <v>0</v>
      </c>
      <c r="I259" s="93" t="b">
        <v>0</v>
      </c>
      <c r="J259" s="95" t="n">
        <v>45722</v>
      </c>
      <c r="K259" s="95">
        <f>IF(I259=TRUE,J259,"")</f>
        <v/>
      </c>
      <c r="L259" s="95">
        <f>G259+730</f>
        <v/>
      </c>
      <c r="M259" s="95" t="n">
        <v>45382</v>
      </c>
      <c r="N259" s="96">
        <f>IFERROR(IF(G259&lt;&gt;"",IF(I259=TRUE,0,IF(U259=TRUE,0,L259-M259)),0),0)</f>
        <v/>
      </c>
      <c r="O259" s="96">
        <f>IF(N259&gt;0,IF(N259&lt;=180,N259,0),0)</f>
        <v/>
      </c>
      <c r="P259" s="94">
        <f>IF(AND(N259&lt;90,N259&gt;0),Q259,0)</f>
        <v/>
      </c>
      <c r="Q259" s="94">
        <f>SUMIFS(Investors!$M:$M,Investors!$O:$O,FALSE,Investors!$P:$P,FALSE,Investors!$K:$K,"&gt;"&amp;'NSST Print'!$B$3,Investors!$I:$I,"&lt;="&amp;'NSST Print'!$B$3,Investors!$A:$A,'Investor Exit List'!$A259,Investors!$E:$E,'Investor Exit List'!$C259,Investors!$L:$L,'Investor Exit List'!$B259)-(SUMIFS(Investors!$M:$M,Investors!$I:$I,"&lt;="&amp;'NSST Print'!$B$3,Investors!$J:$J,"&gt;"&amp;'NSST Print'!$B$3,Investors!$A:$A,'Investor Exit List'!$A259,Investors!$E:$E,'Investor Exit List'!$C259,Investors!$L:$L,'Investor Exit List'!$B259)+SUMIFS(Investors!$M:$M,Investors!$I:$I,"&lt;="&amp;'NSST Print'!$B$3,Investors!$J:$J,"",Investors!$A:$A,'Investor Exit List'!$A259,Investors!$E:$E,'Investor Exit List'!$C259,Investors!$L:$L,'Investor Exit List'!$B259))+SUMIFS(Investors!$S:$S,Investors!$O:$O,FALSE,Investors!$P:$P,FALSE,Investors!$K:$K,"&gt;"&amp;'NSST Print'!$B$3,Investors!$I:$I,"&lt;="&amp;'NSST Print'!$B$3,Investors!$A:$A,'Investor Exit List'!$A259,Investors!$E:$E,'Investor Exit List'!$C259,Investors!$L:$L,'Investor Exit List'!$B259)-(SUMIFS(Investors!$S:$S,Investors!$I:$I,"&lt;="&amp;'NSST Print'!$B$3,Investors!$J:$J,"&gt;"&amp;'NSST Print'!$B$3,Investors!$A:$A,'Investor Exit List'!$A259,Investors!$E:$E,'Investor Exit List'!$C259,Investors!$L:$L,'Investor Exit List'!$B259)+SUMIFS(Investors!$S:$S,Investors!$I:$I,"&lt;="&amp;'NSST Print'!$B$3,Investors!$J:$J,"",Investors!$A:$A,'Investor Exit List'!$A259,Investors!$E:$E,'Investor Exit List'!$C259,Investors!$L:$L,'Investor Exit List'!$B259))</f>
        <v/>
      </c>
      <c r="R259" s="94">
        <f>IF(AND(H259=TRUE,I259=FALSE),Q259,0)</f>
        <v/>
      </c>
      <c r="S259" s="94">
        <f>SUMIFS(Investors!$M:$M,Investors!$O:$O,TRUE,Investors!$A:$A,'Investor Exit List'!$A259,Investors!$E:$E,'Investor Exit List'!$C259,Investors!$L:$L,'Investor Exit List'!$B259)+SUMIFS(Investors!$S:$S,Investors!$O:$O,TRUE,Investors!$A:$A,'Investor Exit List'!$A259,Investors!$E:$E,'Investor Exit List'!$C259,Investors!$L:$L,'Investor Exit List'!$B259)</f>
        <v/>
      </c>
      <c r="T259" s="95">
        <f>IF(U259=TRUE,$J259,"")</f>
        <v/>
      </c>
      <c r="U259" s="93" t="b">
        <v>0</v>
      </c>
      <c r="V259" s="94">
        <f>IF(AND(H259=TRUE,OR(K259="",K259&gt;M259)),S259,0)</f>
        <v/>
      </c>
      <c r="W259" s="93" t="n">
        <v>0</v>
      </c>
      <c r="X259" s="93" t="b">
        <v>0</v>
      </c>
    </row>
    <row r="260">
      <c r="A260" s="93" t="inlineStr">
        <is>
          <t>ZRIT01</t>
        </is>
      </c>
      <c r="B260" s="93" t="n">
        <v>17</v>
      </c>
      <c r="C260" s="93" t="inlineStr">
        <is>
          <t>HVF202</t>
        </is>
      </c>
      <c r="D260" s="93" t="inlineStr">
        <is>
          <t>F</t>
        </is>
      </c>
      <c r="E260" s="93" t="inlineStr">
        <is>
          <t>Ritter Dennis</t>
        </is>
      </c>
      <c r="F260" s="94">
        <f>SUMIFS(Investors!$M:$M,Investors!$O:$O,FALSE,Investors!$P:$P,FALSE,Investors!$K:$K,"&gt;"&amp;'NSST Print'!$B$3,Investors!$I:$I,"&lt;="&amp;'NSST Print'!$B$3,Investors!$A:$A,'Investor Exit List'!$A260,Investors!$E:$E,'Investor Exit List'!$C260,Investors!$L:$L,'Investor Exit List'!$B260)-(SUMIFS(Investors!$M:$M,Investors!$I:$I,"&lt;="&amp;'NSST Print'!$B$3,Investors!$J:$J,"&gt;"&amp;'NSST Print'!$B$3,Investors!$A:$A,'Investor Exit List'!$A260,Investors!$E:$E,'Investor Exit List'!$C260,Investors!$L:$L,'Investor Exit List'!$B260)+SUMIFS(Investors!$M:$M,Investors!$I:$I,"&lt;="&amp;'NSST Print'!$B$3,Investors!$J:$J,"",Investors!$A:$A,'Investor Exit List'!$A260,Investors!$E:$E,'Investor Exit List'!$C260,Investors!$L:$L,'Investor Exit List'!$B260))</f>
        <v/>
      </c>
      <c r="G260" s="95" t="n">
        <v>45224</v>
      </c>
      <c r="H260" s="93" t="b">
        <v>0</v>
      </c>
      <c r="I260" s="93" t="b">
        <v>0</v>
      </c>
      <c r="J260" s="95" t="n">
        <v>45722</v>
      </c>
      <c r="K260" s="95">
        <f>IF(I260=TRUE,J260,"")</f>
        <v/>
      </c>
      <c r="L260" s="95">
        <f>G260+730</f>
        <v/>
      </c>
      <c r="M260" s="95" t="n">
        <v>45382</v>
      </c>
      <c r="N260" s="96">
        <f>IFERROR(IF(G260&lt;&gt;"",IF(I260=TRUE,0,IF(U260=TRUE,0,L260-M260)),0),0)</f>
        <v/>
      </c>
      <c r="O260" s="96">
        <f>IF(N260&gt;0,IF(N260&lt;=180,N260,0),0)</f>
        <v/>
      </c>
      <c r="P260" s="94">
        <f>IF(AND(N260&lt;90,N260&gt;0),Q260,0)</f>
        <v/>
      </c>
      <c r="Q260" s="94">
        <f>SUMIFS(Investors!$M:$M,Investors!$O:$O,FALSE,Investors!$P:$P,FALSE,Investors!$K:$K,"&gt;"&amp;'NSST Print'!$B$3,Investors!$I:$I,"&lt;="&amp;'NSST Print'!$B$3,Investors!$A:$A,'Investor Exit List'!$A260,Investors!$E:$E,'Investor Exit List'!$C260,Investors!$L:$L,'Investor Exit List'!$B260)-(SUMIFS(Investors!$M:$M,Investors!$I:$I,"&lt;="&amp;'NSST Print'!$B$3,Investors!$J:$J,"&gt;"&amp;'NSST Print'!$B$3,Investors!$A:$A,'Investor Exit List'!$A260,Investors!$E:$E,'Investor Exit List'!$C260,Investors!$L:$L,'Investor Exit List'!$B260)+SUMIFS(Investors!$M:$M,Investors!$I:$I,"&lt;="&amp;'NSST Print'!$B$3,Investors!$J:$J,"",Investors!$A:$A,'Investor Exit List'!$A260,Investors!$E:$E,'Investor Exit List'!$C260,Investors!$L:$L,'Investor Exit List'!$B260))+SUMIFS(Investors!$S:$S,Investors!$O:$O,FALSE,Investors!$P:$P,FALSE,Investors!$K:$K,"&gt;"&amp;'NSST Print'!$B$3,Investors!$I:$I,"&lt;="&amp;'NSST Print'!$B$3,Investors!$A:$A,'Investor Exit List'!$A260,Investors!$E:$E,'Investor Exit List'!$C260,Investors!$L:$L,'Investor Exit List'!$B260)-(SUMIFS(Investors!$S:$S,Investors!$I:$I,"&lt;="&amp;'NSST Print'!$B$3,Investors!$J:$J,"&gt;"&amp;'NSST Print'!$B$3,Investors!$A:$A,'Investor Exit List'!$A260,Investors!$E:$E,'Investor Exit List'!$C260,Investors!$L:$L,'Investor Exit List'!$B260)+SUMIFS(Investors!$S:$S,Investors!$I:$I,"&lt;="&amp;'NSST Print'!$B$3,Investors!$J:$J,"",Investors!$A:$A,'Investor Exit List'!$A260,Investors!$E:$E,'Investor Exit List'!$C260,Investors!$L:$L,'Investor Exit List'!$B260))</f>
        <v/>
      </c>
      <c r="R260" s="94">
        <f>IF(AND(H260=TRUE,I260=FALSE),Q260,0)</f>
        <v/>
      </c>
      <c r="S260" s="94">
        <f>SUMIFS(Investors!$M:$M,Investors!$O:$O,TRUE,Investors!$A:$A,'Investor Exit List'!$A260,Investors!$E:$E,'Investor Exit List'!$C260,Investors!$L:$L,'Investor Exit List'!$B260)+SUMIFS(Investors!$S:$S,Investors!$O:$O,TRUE,Investors!$A:$A,'Investor Exit List'!$A260,Investors!$E:$E,'Investor Exit List'!$C260,Investors!$L:$L,'Investor Exit List'!$B260)</f>
        <v/>
      </c>
      <c r="T260" s="95">
        <f>IF(U260=TRUE,$J260,"")</f>
        <v/>
      </c>
      <c r="U260" s="93" t="b">
        <v>0</v>
      </c>
      <c r="V260" s="94">
        <f>IF(AND(H260=TRUE,OR(K260="",K260&gt;M260)),S260,0)</f>
        <v/>
      </c>
      <c r="W260" s="93" t="n">
        <v>0</v>
      </c>
      <c r="X260" s="93" t="b">
        <v>0</v>
      </c>
    </row>
    <row r="261">
      <c r="A261" s="93" t="inlineStr">
        <is>
          <t>ZHEI01</t>
        </is>
      </c>
      <c r="B261" s="93" t="n">
        <v>15</v>
      </c>
      <c r="C261" s="93" t="inlineStr">
        <is>
          <t>HVF203</t>
        </is>
      </c>
      <c r="D261" s="93" t="inlineStr">
        <is>
          <t>F</t>
        </is>
      </c>
      <c r="E261" s="93" t="inlineStr">
        <is>
          <t>Heinze Dieter Raimund</t>
        </is>
      </c>
      <c r="F261" s="94">
        <f>SUMIFS(Investors!$M:$M,Investors!$O:$O,FALSE,Investors!$P:$P,FALSE,Investors!$K:$K,"&gt;"&amp;'NSST Print'!$B$3,Investors!$I:$I,"&lt;="&amp;'NSST Print'!$B$3,Investors!$A:$A,'Investor Exit List'!$A261,Investors!$E:$E,'Investor Exit List'!$C261,Investors!$L:$L,'Investor Exit List'!$B261)-(SUMIFS(Investors!$M:$M,Investors!$I:$I,"&lt;="&amp;'NSST Print'!$B$3,Investors!$J:$J,"&gt;"&amp;'NSST Print'!$B$3,Investors!$A:$A,'Investor Exit List'!$A261,Investors!$E:$E,'Investor Exit List'!$C261,Investors!$L:$L,'Investor Exit List'!$B261)+SUMIFS(Investors!$M:$M,Investors!$I:$I,"&lt;="&amp;'NSST Print'!$B$3,Investors!$J:$J,"",Investors!$A:$A,'Investor Exit List'!$A261,Investors!$E:$E,'Investor Exit List'!$C261,Investors!$L:$L,'Investor Exit List'!$B261))</f>
        <v/>
      </c>
      <c r="G261" s="95" t="inlineStr"/>
      <c r="H261" s="93" t="b">
        <v>0</v>
      </c>
      <c r="I261" s="93" t="b">
        <v>0</v>
      </c>
      <c r="J261" s="95" t="n">
        <v>45722</v>
      </c>
      <c r="K261" s="95">
        <f>IF(I261=TRUE,J261,"")</f>
        <v/>
      </c>
      <c r="L261" s="95">
        <f>G261+730</f>
        <v/>
      </c>
      <c r="M261" s="95" t="n">
        <v>45382</v>
      </c>
      <c r="N261" s="96">
        <f>IFERROR(IF(G261&lt;&gt;"",IF(I261=TRUE,0,IF(U261=TRUE,0,L261-M261)),0),0)</f>
        <v/>
      </c>
      <c r="O261" s="96">
        <f>IF(N261&gt;0,IF(N261&lt;=180,N261,0),0)</f>
        <v/>
      </c>
      <c r="P261" s="94">
        <f>IF(AND(N261&lt;90,N261&gt;0),Q261,0)</f>
        <v/>
      </c>
      <c r="Q261" s="94">
        <f>SUMIFS(Investors!$M:$M,Investors!$O:$O,FALSE,Investors!$P:$P,FALSE,Investors!$K:$K,"&gt;"&amp;'NSST Print'!$B$3,Investors!$I:$I,"&lt;="&amp;'NSST Print'!$B$3,Investors!$A:$A,'Investor Exit List'!$A261,Investors!$E:$E,'Investor Exit List'!$C261,Investors!$L:$L,'Investor Exit List'!$B261)-(SUMIFS(Investors!$M:$M,Investors!$I:$I,"&lt;="&amp;'NSST Print'!$B$3,Investors!$J:$J,"&gt;"&amp;'NSST Print'!$B$3,Investors!$A:$A,'Investor Exit List'!$A261,Investors!$E:$E,'Investor Exit List'!$C261,Investors!$L:$L,'Investor Exit List'!$B261)+SUMIFS(Investors!$M:$M,Investors!$I:$I,"&lt;="&amp;'NSST Print'!$B$3,Investors!$J:$J,"",Investors!$A:$A,'Investor Exit List'!$A261,Investors!$E:$E,'Investor Exit List'!$C261,Investors!$L:$L,'Investor Exit List'!$B261))+SUMIFS(Investors!$S:$S,Investors!$O:$O,FALSE,Investors!$P:$P,FALSE,Investors!$K:$K,"&gt;"&amp;'NSST Print'!$B$3,Investors!$I:$I,"&lt;="&amp;'NSST Print'!$B$3,Investors!$A:$A,'Investor Exit List'!$A261,Investors!$E:$E,'Investor Exit List'!$C261,Investors!$L:$L,'Investor Exit List'!$B261)-(SUMIFS(Investors!$S:$S,Investors!$I:$I,"&lt;="&amp;'NSST Print'!$B$3,Investors!$J:$J,"&gt;"&amp;'NSST Print'!$B$3,Investors!$A:$A,'Investor Exit List'!$A261,Investors!$E:$E,'Investor Exit List'!$C261,Investors!$L:$L,'Investor Exit List'!$B261)+SUMIFS(Investors!$S:$S,Investors!$I:$I,"&lt;="&amp;'NSST Print'!$B$3,Investors!$J:$J,"",Investors!$A:$A,'Investor Exit List'!$A261,Investors!$E:$E,'Investor Exit List'!$C261,Investors!$L:$L,'Investor Exit List'!$B261))</f>
        <v/>
      </c>
      <c r="R261" s="94">
        <f>IF(AND(H261=TRUE,I261=FALSE),Q261,0)</f>
        <v/>
      </c>
      <c r="S261" s="94">
        <f>SUMIFS(Investors!$M:$M,Investors!$O:$O,TRUE,Investors!$A:$A,'Investor Exit List'!$A261,Investors!$E:$E,'Investor Exit List'!$C261,Investors!$L:$L,'Investor Exit List'!$B261)+SUMIFS(Investors!$S:$S,Investors!$O:$O,TRUE,Investors!$A:$A,'Investor Exit List'!$A261,Investors!$E:$E,'Investor Exit List'!$C261,Investors!$L:$L,'Investor Exit List'!$B261)</f>
        <v/>
      </c>
      <c r="T261" s="95">
        <f>IF(U261=TRUE,$J261,"")</f>
        <v/>
      </c>
      <c r="U261" s="93" t="b">
        <v>0</v>
      </c>
      <c r="V261" s="94">
        <f>IF(AND(H261=TRUE,OR(K261="",K261&gt;M261)),S261,0)</f>
        <v/>
      </c>
      <c r="W261" s="93" t="n">
        <v>0</v>
      </c>
      <c r="X261" s="93" t="b">
        <v>0</v>
      </c>
    </row>
    <row r="262">
      <c r="A262" s="93" t="inlineStr">
        <is>
          <t>ZHUM01</t>
        </is>
      </c>
      <c r="B262" s="93" t="n">
        <v>2</v>
      </c>
      <c r="C262" s="93" t="inlineStr">
        <is>
          <t>HVF203</t>
        </is>
      </c>
      <c r="D262" s="93" t="inlineStr">
        <is>
          <t>F</t>
        </is>
      </c>
      <c r="E262" s="93" t="inlineStr">
        <is>
          <t>Human Tralee Joan</t>
        </is>
      </c>
      <c r="F262" s="94">
        <f>SUMIFS(Investors!$M:$M,Investors!$O:$O,FALSE,Investors!$P:$P,FALSE,Investors!$K:$K,"&gt;"&amp;'NSST Print'!$B$3,Investors!$I:$I,"&lt;="&amp;'NSST Print'!$B$3,Investors!$A:$A,'Investor Exit List'!$A262,Investors!$E:$E,'Investor Exit List'!$C262,Investors!$L:$L,'Investor Exit List'!$B262)-(SUMIFS(Investors!$M:$M,Investors!$I:$I,"&lt;="&amp;'NSST Print'!$B$3,Investors!$J:$J,"&gt;"&amp;'NSST Print'!$B$3,Investors!$A:$A,'Investor Exit List'!$A262,Investors!$E:$E,'Investor Exit List'!$C262,Investors!$L:$L,'Investor Exit List'!$B262)+SUMIFS(Investors!$M:$M,Investors!$I:$I,"&lt;="&amp;'NSST Print'!$B$3,Investors!$J:$J,"",Investors!$A:$A,'Investor Exit List'!$A262,Investors!$E:$E,'Investor Exit List'!$C262,Investors!$L:$L,'Investor Exit List'!$B262))</f>
        <v/>
      </c>
      <c r="G262" s="95" t="n">
        <v>45273</v>
      </c>
      <c r="H262" s="93" t="b">
        <v>0</v>
      </c>
      <c r="I262" s="93" t="b">
        <v>0</v>
      </c>
      <c r="J262" s="95" t="n">
        <v>45722</v>
      </c>
      <c r="K262" s="95">
        <f>IF(I262=TRUE,J262,"")</f>
        <v/>
      </c>
      <c r="L262" s="95">
        <f>G262+730</f>
        <v/>
      </c>
      <c r="M262" s="95" t="n">
        <v>45382</v>
      </c>
      <c r="N262" s="96">
        <f>IFERROR(IF(G262&lt;&gt;"",IF(I262=TRUE,0,IF(U262=TRUE,0,L262-M262)),0),0)</f>
        <v/>
      </c>
      <c r="O262" s="96">
        <f>IF(N262&gt;0,IF(N262&lt;=180,N262,0),0)</f>
        <v/>
      </c>
      <c r="P262" s="94">
        <f>IF(AND(N262&lt;90,N262&gt;0),Q262,0)</f>
        <v/>
      </c>
      <c r="Q262" s="94">
        <f>SUMIFS(Investors!$M:$M,Investors!$O:$O,FALSE,Investors!$P:$P,FALSE,Investors!$K:$K,"&gt;"&amp;'NSST Print'!$B$3,Investors!$I:$I,"&lt;="&amp;'NSST Print'!$B$3,Investors!$A:$A,'Investor Exit List'!$A262,Investors!$E:$E,'Investor Exit List'!$C262,Investors!$L:$L,'Investor Exit List'!$B262)-(SUMIFS(Investors!$M:$M,Investors!$I:$I,"&lt;="&amp;'NSST Print'!$B$3,Investors!$J:$J,"&gt;"&amp;'NSST Print'!$B$3,Investors!$A:$A,'Investor Exit List'!$A262,Investors!$E:$E,'Investor Exit List'!$C262,Investors!$L:$L,'Investor Exit List'!$B262)+SUMIFS(Investors!$M:$M,Investors!$I:$I,"&lt;="&amp;'NSST Print'!$B$3,Investors!$J:$J,"",Investors!$A:$A,'Investor Exit List'!$A262,Investors!$E:$E,'Investor Exit List'!$C262,Investors!$L:$L,'Investor Exit List'!$B262))+SUMIFS(Investors!$S:$S,Investors!$O:$O,FALSE,Investors!$P:$P,FALSE,Investors!$K:$K,"&gt;"&amp;'NSST Print'!$B$3,Investors!$I:$I,"&lt;="&amp;'NSST Print'!$B$3,Investors!$A:$A,'Investor Exit List'!$A262,Investors!$E:$E,'Investor Exit List'!$C262,Investors!$L:$L,'Investor Exit List'!$B262)-(SUMIFS(Investors!$S:$S,Investors!$I:$I,"&lt;="&amp;'NSST Print'!$B$3,Investors!$J:$J,"&gt;"&amp;'NSST Print'!$B$3,Investors!$A:$A,'Investor Exit List'!$A262,Investors!$E:$E,'Investor Exit List'!$C262,Investors!$L:$L,'Investor Exit List'!$B262)+SUMIFS(Investors!$S:$S,Investors!$I:$I,"&lt;="&amp;'NSST Print'!$B$3,Investors!$J:$J,"",Investors!$A:$A,'Investor Exit List'!$A262,Investors!$E:$E,'Investor Exit List'!$C262,Investors!$L:$L,'Investor Exit List'!$B262))</f>
        <v/>
      </c>
      <c r="R262" s="94">
        <f>IF(AND(H262=TRUE,I262=FALSE),Q262,0)</f>
        <v/>
      </c>
      <c r="S262" s="94">
        <f>SUMIFS(Investors!$M:$M,Investors!$O:$O,TRUE,Investors!$A:$A,'Investor Exit List'!$A262,Investors!$E:$E,'Investor Exit List'!$C262,Investors!$L:$L,'Investor Exit List'!$B262)+SUMIFS(Investors!$S:$S,Investors!$O:$O,TRUE,Investors!$A:$A,'Investor Exit List'!$A262,Investors!$E:$E,'Investor Exit List'!$C262,Investors!$L:$L,'Investor Exit List'!$B262)</f>
        <v/>
      </c>
      <c r="T262" s="95">
        <f>IF(U262=TRUE,$J262,"")</f>
        <v/>
      </c>
      <c r="U262" s="93" t="b">
        <v>0</v>
      </c>
      <c r="V262" s="94">
        <f>IF(AND(H262=TRUE,OR(K262="",K262&gt;M262)),S262,0)</f>
        <v/>
      </c>
      <c r="W262" s="93" t="n">
        <v>0</v>
      </c>
      <c r="X262" s="93" t="b">
        <v>0</v>
      </c>
    </row>
    <row r="263">
      <c r="A263" s="93" t="inlineStr">
        <is>
          <t>ZSCH01</t>
        </is>
      </c>
      <c r="B263" s="93" t="n">
        <v>17</v>
      </c>
      <c r="C263" s="93" t="inlineStr">
        <is>
          <t>HVF203</t>
        </is>
      </c>
      <c r="D263" s="93" t="inlineStr">
        <is>
          <t>F</t>
        </is>
      </c>
      <c r="E263" s="93" t="inlineStr">
        <is>
          <t>Schubert Inge</t>
        </is>
      </c>
      <c r="F263" s="94">
        <f>SUMIFS(Investors!$M:$M,Investors!$O:$O,FALSE,Investors!$P:$P,FALSE,Investors!$K:$K,"&gt;"&amp;'NSST Print'!$B$3,Investors!$I:$I,"&lt;="&amp;'NSST Print'!$B$3,Investors!$A:$A,'Investor Exit List'!$A263,Investors!$E:$E,'Investor Exit List'!$C263,Investors!$L:$L,'Investor Exit List'!$B263)-(SUMIFS(Investors!$M:$M,Investors!$I:$I,"&lt;="&amp;'NSST Print'!$B$3,Investors!$J:$J,"&gt;"&amp;'NSST Print'!$B$3,Investors!$A:$A,'Investor Exit List'!$A263,Investors!$E:$E,'Investor Exit List'!$C263,Investors!$L:$L,'Investor Exit List'!$B263)+SUMIFS(Investors!$M:$M,Investors!$I:$I,"&lt;="&amp;'NSST Print'!$B$3,Investors!$J:$J,"",Investors!$A:$A,'Investor Exit List'!$A263,Investors!$E:$E,'Investor Exit List'!$C263,Investors!$L:$L,'Investor Exit List'!$B263))</f>
        <v/>
      </c>
      <c r="G263" s="95" t="inlineStr"/>
      <c r="H263" s="93" t="b">
        <v>0</v>
      </c>
      <c r="I263" s="93" t="b">
        <v>0</v>
      </c>
      <c r="J263" s="95" t="n">
        <v>45722</v>
      </c>
      <c r="K263" s="95">
        <f>IF(I263=TRUE,J263,"")</f>
        <v/>
      </c>
      <c r="L263" s="95">
        <f>G263+730</f>
        <v/>
      </c>
      <c r="M263" s="95" t="n">
        <v>45382</v>
      </c>
      <c r="N263" s="96">
        <f>IFERROR(IF(G263&lt;&gt;"",IF(I263=TRUE,0,IF(U263=TRUE,0,L263-M263)),0),0)</f>
        <v/>
      </c>
      <c r="O263" s="96">
        <f>IF(N263&gt;0,IF(N263&lt;=180,N263,0),0)</f>
        <v/>
      </c>
      <c r="P263" s="94">
        <f>IF(AND(N263&lt;90,N263&gt;0),Q263,0)</f>
        <v/>
      </c>
      <c r="Q263" s="94">
        <f>SUMIFS(Investors!$M:$M,Investors!$O:$O,FALSE,Investors!$P:$P,FALSE,Investors!$K:$K,"&gt;"&amp;'NSST Print'!$B$3,Investors!$I:$I,"&lt;="&amp;'NSST Print'!$B$3,Investors!$A:$A,'Investor Exit List'!$A263,Investors!$E:$E,'Investor Exit List'!$C263,Investors!$L:$L,'Investor Exit List'!$B263)-(SUMIFS(Investors!$M:$M,Investors!$I:$I,"&lt;="&amp;'NSST Print'!$B$3,Investors!$J:$J,"&gt;"&amp;'NSST Print'!$B$3,Investors!$A:$A,'Investor Exit List'!$A263,Investors!$E:$E,'Investor Exit List'!$C263,Investors!$L:$L,'Investor Exit List'!$B263)+SUMIFS(Investors!$M:$M,Investors!$I:$I,"&lt;="&amp;'NSST Print'!$B$3,Investors!$J:$J,"",Investors!$A:$A,'Investor Exit List'!$A263,Investors!$E:$E,'Investor Exit List'!$C263,Investors!$L:$L,'Investor Exit List'!$B263))+SUMIFS(Investors!$S:$S,Investors!$O:$O,FALSE,Investors!$P:$P,FALSE,Investors!$K:$K,"&gt;"&amp;'NSST Print'!$B$3,Investors!$I:$I,"&lt;="&amp;'NSST Print'!$B$3,Investors!$A:$A,'Investor Exit List'!$A263,Investors!$E:$E,'Investor Exit List'!$C263,Investors!$L:$L,'Investor Exit List'!$B263)-(SUMIFS(Investors!$S:$S,Investors!$I:$I,"&lt;="&amp;'NSST Print'!$B$3,Investors!$J:$J,"&gt;"&amp;'NSST Print'!$B$3,Investors!$A:$A,'Investor Exit List'!$A263,Investors!$E:$E,'Investor Exit List'!$C263,Investors!$L:$L,'Investor Exit List'!$B263)+SUMIFS(Investors!$S:$S,Investors!$I:$I,"&lt;="&amp;'NSST Print'!$B$3,Investors!$J:$J,"",Investors!$A:$A,'Investor Exit List'!$A263,Investors!$E:$E,'Investor Exit List'!$C263,Investors!$L:$L,'Investor Exit List'!$B263))</f>
        <v/>
      </c>
      <c r="R263" s="94">
        <f>IF(AND(H263=TRUE,I263=FALSE),Q263,0)</f>
        <v/>
      </c>
      <c r="S263" s="94">
        <f>SUMIFS(Investors!$M:$M,Investors!$O:$O,TRUE,Investors!$A:$A,'Investor Exit List'!$A263,Investors!$E:$E,'Investor Exit List'!$C263,Investors!$L:$L,'Investor Exit List'!$B263)+SUMIFS(Investors!$S:$S,Investors!$O:$O,TRUE,Investors!$A:$A,'Investor Exit List'!$A263,Investors!$E:$E,'Investor Exit List'!$C263,Investors!$L:$L,'Investor Exit List'!$B263)</f>
        <v/>
      </c>
      <c r="T263" s="95">
        <f>IF(U263=TRUE,$J263,"")</f>
        <v/>
      </c>
      <c r="U263" s="93" t="b">
        <v>0</v>
      </c>
      <c r="V263" s="94">
        <f>IF(AND(H263=TRUE,OR(K263="",K263&gt;M263)),S263,0)</f>
        <v/>
      </c>
      <c r="W263" s="93" t="n">
        <v>0</v>
      </c>
      <c r="X263" s="93" t="b">
        <v>0</v>
      </c>
    </row>
    <row r="264">
      <c r="A264" s="93" t="inlineStr">
        <is>
          <t>ZCRO01</t>
        </is>
      </c>
      <c r="B264" s="93" t="n">
        <v>16</v>
      </c>
      <c r="C264" s="93" t="inlineStr">
        <is>
          <t>HVG101</t>
        </is>
      </c>
      <c r="D264" s="93" t="inlineStr">
        <is>
          <t>G</t>
        </is>
      </c>
      <c r="E264" s="93" t="inlineStr">
        <is>
          <t>Lunau Marc</t>
        </is>
      </c>
      <c r="F264" s="94">
        <f>SUMIFS(Investors!$M:$M,Investors!$O:$O,FALSE,Investors!$P:$P,FALSE,Investors!$K:$K,"&gt;"&amp;'NSST Print'!$B$3,Investors!$I:$I,"&lt;="&amp;'NSST Print'!$B$3,Investors!$A:$A,'Investor Exit List'!$A264,Investors!$E:$E,'Investor Exit List'!$C264,Investors!$L:$L,'Investor Exit List'!$B264)-(SUMIFS(Investors!$M:$M,Investors!$I:$I,"&lt;="&amp;'NSST Print'!$B$3,Investors!$J:$J,"&gt;"&amp;'NSST Print'!$B$3,Investors!$A:$A,'Investor Exit List'!$A264,Investors!$E:$E,'Investor Exit List'!$C264,Investors!$L:$L,'Investor Exit List'!$B264)+SUMIFS(Investors!$M:$M,Investors!$I:$I,"&lt;="&amp;'NSST Print'!$B$3,Investors!$J:$J,"",Investors!$A:$A,'Investor Exit List'!$A264,Investors!$E:$E,'Investor Exit List'!$C264,Investors!$L:$L,'Investor Exit List'!$B264))</f>
        <v/>
      </c>
      <c r="G264" s="95" t="n">
        <v>45129</v>
      </c>
      <c r="H264" s="93" t="b">
        <v>0</v>
      </c>
      <c r="I264" s="93" t="b">
        <v>0</v>
      </c>
      <c r="J264" s="95" t="n">
        <v>45532</v>
      </c>
      <c r="K264" s="95">
        <f>IF(I264=TRUE,J264,"")</f>
        <v/>
      </c>
      <c r="L264" s="95">
        <f>G264+730</f>
        <v/>
      </c>
      <c r="M264" s="95" t="n">
        <v>45382</v>
      </c>
      <c r="N264" s="96">
        <f>IFERROR(IF(G264&lt;&gt;"",IF(I264=TRUE,0,IF(U264=TRUE,0,L264-M264)),0),0)</f>
        <v/>
      </c>
      <c r="O264" s="96">
        <f>IF(N264&gt;0,IF(N264&lt;=180,N264,0),0)</f>
        <v/>
      </c>
      <c r="P264" s="94">
        <f>IF(AND(N264&lt;90,N264&gt;0),Q264,0)</f>
        <v/>
      </c>
      <c r="Q264" s="94">
        <f>SUMIFS(Investors!$M:$M,Investors!$O:$O,FALSE,Investors!$P:$P,FALSE,Investors!$K:$K,"&gt;"&amp;'NSST Print'!$B$3,Investors!$I:$I,"&lt;="&amp;'NSST Print'!$B$3,Investors!$A:$A,'Investor Exit List'!$A264,Investors!$E:$E,'Investor Exit List'!$C264,Investors!$L:$L,'Investor Exit List'!$B264)-(SUMIFS(Investors!$M:$M,Investors!$I:$I,"&lt;="&amp;'NSST Print'!$B$3,Investors!$J:$J,"&gt;"&amp;'NSST Print'!$B$3,Investors!$A:$A,'Investor Exit List'!$A264,Investors!$E:$E,'Investor Exit List'!$C264,Investors!$L:$L,'Investor Exit List'!$B264)+SUMIFS(Investors!$M:$M,Investors!$I:$I,"&lt;="&amp;'NSST Print'!$B$3,Investors!$J:$J,"",Investors!$A:$A,'Investor Exit List'!$A264,Investors!$E:$E,'Investor Exit List'!$C264,Investors!$L:$L,'Investor Exit List'!$B264))+SUMIFS(Investors!$S:$S,Investors!$O:$O,FALSE,Investors!$P:$P,FALSE,Investors!$K:$K,"&gt;"&amp;'NSST Print'!$B$3,Investors!$I:$I,"&lt;="&amp;'NSST Print'!$B$3,Investors!$A:$A,'Investor Exit List'!$A264,Investors!$E:$E,'Investor Exit List'!$C264,Investors!$L:$L,'Investor Exit List'!$B264)-(SUMIFS(Investors!$S:$S,Investors!$I:$I,"&lt;="&amp;'NSST Print'!$B$3,Investors!$J:$J,"&gt;"&amp;'NSST Print'!$B$3,Investors!$A:$A,'Investor Exit List'!$A264,Investors!$E:$E,'Investor Exit List'!$C264,Investors!$L:$L,'Investor Exit List'!$B264)+SUMIFS(Investors!$S:$S,Investors!$I:$I,"&lt;="&amp;'NSST Print'!$B$3,Investors!$J:$J,"",Investors!$A:$A,'Investor Exit List'!$A264,Investors!$E:$E,'Investor Exit List'!$C264,Investors!$L:$L,'Investor Exit List'!$B264))</f>
        <v/>
      </c>
      <c r="R264" s="94">
        <f>IF(AND(H264=TRUE,I264=FALSE),Q264,0)</f>
        <v/>
      </c>
      <c r="S264" s="94">
        <f>SUMIFS(Investors!$M:$M,Investors!$O:$O,TRUE,Investors!$A:$A,'Investor Exit List'!$A264,Investors!$E:$E,'Investor Exit List'!$C264,Investors!$L:$L,'Investor Exit List'!$B264)+SUMIFS(Investors!$S:$S,Investors!$O:$O,TRUE,Investors!$A:$A,'Investor Exit List'!$A264,Investors!$E:$E,'Investor Exit List'!$C264,Investors!$L:$L,'Investor Exit List'!$B264)</f>
        <v/>
      </c>
      <c r="T264" s="95">
        <f>IF(U264=TRUE,$J264,"")</f>
        <v/>
      </c>
      <c r="U264" s="93" t="b">
        <v>0</v>
      </c>
      <c r="V264" s="94">
        <f>IF(AND(H264=TRUE,OR(K264="",K264&gt;M264)),S264,0)</f>
        <v/>
      </c>
      <c r="W264" s="93" t="n">
        <v>0</v>
      </c>
      <c r="X264" s="93" t="b">
        <v>0</v>
      </c>
    </row>
    <row r="265">
      <c r="A265" s="93" t="inlineStr">
        <is>
          <t>ZWIL02</t>
        </is>
      </c>
      <c r="B265" s="93" t="n">
        <v>3</v>
      </c>
      <c r="C265" s="93" t="inlineStr">
        <is>
          <t>HVG101</t>
        </is>
      </c>
      <c r="D265" s="93" t="inlineStr">
        <is>
          <t>G</t>
        </is>
      </c>
      <c r="E265" s="93" t="inlineStr">
        <is>
          <t>Williams Pia Inga</t>
        </is>
      </c>
      <c r="F265" s="94">
        <f>SUMIFS(Investors!$M:$M,Investors!$O:$O,FALSE,Investors!$P:$P,FALSE,Investors!$K:$K,"&gt;"&amp;'NSST Print'!$B$3,Investors!$I:$I,"&lt;="&amp;'NSST Print'!$B$3,Investors!$A:$A,'Investor Exit List'!$A265,Investors!$E:$E,'Investor Exit List'!$C265,Investors!$L:$L,'Investor Exit List'!$B265)-(SUMIFS(Investors!$M:$M,Investors!$I:$I,"&lt;="&amp;'NSST Print'!$B$3,Investors!$J:$J,"&gt;"&amp;'NSST Print'!$B$3,Investors!$A:$A,'Investor Exit List'!$A265,Investors!$E:$E,'Investor Exit List'!$C265,Investors!$L:$L,'Investor Exit List'!$B265)+SUMIFS(Investors!$M:$M,Investors!$I:$I,"&lt;="&amp;'NSST Print'!$B$3,Investors!$J:$J,"",Investors!$A:$A,'Investor Exit List'!$A265,Investors!$E:$E,'Investor Exit List'!$C265,Investors!$L:$L,'Investor Exit List'!$B265))</f>
        <v/>
      </c>
      <c r="G265" s="95" t="n">
        <v>45168</v>
      </c>
      <c r="H265" s="93" t="b">
        <v>0</v>
      </c>
      <c r="I265" s="93" t="b">
        <v>0</v>
      </c>
      <c r="J265" s="95" t="n">
        <v>45532</v>
      </c>
      <c r="K265" s="95">
        <f>IF(I265=TRUE,J265,"")</f>
        <v/>
      </c>
      <c r="L265" s="95">
        <f>G265+730</f>
        <v/>
      </c>
      <c r="M265" s="95" t="n">
        <v>45382</v>
      </c>
      <c r="N265" s="96">
        <f>IFERROR(IF(G265&lt;&gt;"",IF(I265=TRUE,0,IF(U265=TRUE,0,L265-M265)),0),0)</f>
        <v/>
      </c>
      <c r="O265" s="96">
        <f>IF(N265&gt;0,IF(N265&lt;=180,N265,0),0)</f>
        <v/>
      </c>
      <c r="P265" s="94">
        <f>IF(AND(N265&lt;90,N265&gt;0),Q265,0)</f>
        <v/>
      </c>
      <c r="Q265" s="94">
        <f>SUMIFS(Investors!$M:$M,Investors!$O:$O,FALSE,Investors!$P:$P,FALSE,Investors!$K:$K,"&gt;"&amp;'NSST Print'!$B$3,Investors!$I:$I,"&lt;="&amp;'NSST Print'!$B$3,Investors!$A:$A,'Investor Exit List'!$A265,Investors!$E:$E,'Investor Exit List'!$C265,Investors!$L:$L,'Investor Exit List'!$B265)-(SUMIFS(Investors!$M:$M,Investors!$I:$I,"&lt;="&amp;'NSST Print'!$B$3,Investors!$J:$J,"&gt;"&amp;'NSST Print'!$B$3,Investors!$A:$A,'Investor Exit List'!$A265,Investors!$E:$E,'Investor Exit List'!$C265,Investors!$L:$L,'Investor Exit List'!$B265)+SUMIFS(Investors!$M:$M,Investors!$I:$I,"&lt;="&amp;'NSST Print'!$B$3,Investors!$J:$J,"",Investors!$A:$A,'Investor Exit List'!$A265,Investors!$E:$E,'Investor Exit List'!$C265,Investors!$L:$L,'Investor Exit List'!$B265))+SUMIFS(Investors!$S:$S,Investors!$O:$O,FALSE,Investors!$P:$P,FALSE,Investors!$K:$K,"&gt;"&amp;'NSST Print'!$B$3,Investors!$I:$I,"&lt;="&amp;'NSST Print'!$B$3,Investors!$A:$A,'Investor Exit List'!$A265,Investors!$E:$E,'Investor Exit List'!$C265,Investors!$L:$L,'Investor Exit List'!$B265)-(SUMIFS(Investors!$S:$S,Investors!$I:$I,"&lt;="&amp;'NSST Print'!$B$3,Investors!$J:$J,"&gt;"&amp;'NSST Print'!$B$3,Investors!$A:$A,'Investor Exit List'!$A265,Investors!$E:$E,'Investor Exit List'!$C265,Investors!$L:$L,'Investor Exit List'!$B265)+SUMIFS(Investors!$S:$S,Investors!$I:$I,"&lt;="&amp;'NSST Print'!$B$3,Investors!$J:$J,"",Investors!$A:$A,'Investor Exit List'!$A265,Investors!$E:$E,'Investor Exit List'!$C265,Investors!$L:$L,'Investor Exit List'!$B265))</f>
        <v/>
      </c>
      <c r="R265" s="94">
        <f>IF(AND(H265=TRUE,I265=FALSE),Q265,0)</f>
        <v/>
      </c>
      <c r="S265" s="94">
        <f>SUMIFS(Investors!$M:$M,Investors!$O:$O,TRUE,Investors!$A:$A,'Investor Exit List'!$A265,Investors!$E:$E,'Investor Exit List'!$C265,Investors!$L:$L,'Investor Exit List'!$B265)+SUMIFS(Investors!$S:$S,Investors!$O:$O,TRUE,Investors!$A:$A,'Investor Exit List'!$A265,Investors!$E:$E,'Investor Exit List'!$C265,Investors!$L:$L,'Investor Exit List'!$B265)</f>
        <v/>
      </c>
      <c r="T265" s="95">
        <f>IF(U265=TRUE,$J265,"")</f>
        <v/>
      </c>
      <c r="U265" s="93" t="b">
        <v>0</v>
      </c>
      <c r="V265" s="94">
        <f>IF(AND(H265=TRUE,OR(K265="",K265&gt;M265)),S265,0)</f>
        <v/>
      </c>
      <c r="W265" s="93" t="n">
        <v>0</v>
      </c>
      <c r="X265" s="93" t="b">
        <v>0</v>
      </c>
    </row>
    <row r="266">
      <c r="A266" s="93" t="inlineStr">
        <is>
          <t>ZKRIE0</t>
        </is>
      </c>
      <c r="B266" s="93" t="n">
        <v>2</v>
      </c>
      <c r="C266" s="93" t="inlineStr">
        <is>
          <t>HVG102</t>
        </is>
      </c>
      <c r="D266" s="93" t="inlineStr">
        <is>
          <t>G</t>
        </is>
      </c>
      <c r="E266" s="93" t="inlineStr">
        <is>
          <t>Kriek Johan Christiaan Rudolph</t>
        </is>
      </c>
      <c r="F266" s="94">
        <f>SUMIFS(Investors!$M:$M,Investors!$O:$O,FALSE,Investors!$P:$P,FALSE,Investors!$K:$K,"&gt;"&amp;'NSST Print'!$B$3,Investors!$I:$I,"&lt;="&amp;'NSST Print'!$B$3,Investors!$A:$A,'Investor Exit List'!$A266,Investors!$E:$E,'Investor Exit List'!$C266,Investors!$L:$L,'Investor Exit List'!$B266)-(SUMIFS(Investors!$M:$M,Investors!$I:$I,"&lt;="&amp;'NSST Print'!$B$3,Investors!$J:$J,"&gt;"&amp;'NSST Print'!$B$3,Investors!$A:$A,'Investor Exit List'!$A266,Investors!$E:$E,'Investor Exit List'!$C266,Investors!$L:$L,'Investor Exit List'!$B266)+SUMIFS(Investors!$M:$M,Investors!$I:$I,"&lt;="&amp;'NSST Print'!$B$3,Investors!$J:$J,"",Investors!$A:$A,'Investor Exit List'!$A266,Investors!$E:$E,'Investor Exit List'!$C266,Investors!$L:$L,'Investor Exit List'!$B266))</f>
        <v/>
      </c>
      <c r="G266" s="95" t="n">
        <v>45189</v>
      </c>
      <c r="H266" s="93" t="b">
        <v>0</v>
      </c>
      <c r="I266" s="93" t="b">
        <v>0</v>
      </c>
      <c r="J266" s="95" t="n">
        <v>45532</v>
      </c>
      <c r="K266" s="95">
        <f>IF(I266=TRUE,J266,"")</f>
        <v/>
      </c>
      <c r="L266" s="95">
        <f>G266+730</f>
        <v/>
      </c>
      <c r="M266" s="95" t="n">
        <v>45382</v>
      </c>
      <c r="N266" s="96">
        <f>IFERROR(IF(G266&lt;&gt;"",IF(I266=TRUE,0,IF(U266=TRUE,0,L266-M266)),0),0)</f>
        <v/>
      </c>
      <c r="O266" s="96">
        <f>IF(N266&gt;0,IF(N266&lt;=180,N266,0),0)</f>
        <v/>
      </c>
      <c r="P266" s="94">
        <f>IF(AND(N266&lt;90,N266&gt;0),Q266,0)</f>
        <v/>
      </c>
      <c r="Q266" s="94">
        <f>SUMIFS(Investors!$M:$M,Investors!$O:$O,FALSE,Investors!$P:$P,FALSE,Investors!$K:$K,"&gt;"&amp;'NSST Print'!$B$3,Investors!$I:$I,"&lt;="&amp;'NSST Print'!$B$3,Investors!$A:$A,'Investor Exit List'!$A266,Investors!$E:$E,'Investor Exit List'!$C266,Investors!$L:$L,'Investor Exit List'!$B266)-(SUMIFS(Investors!$M:$M,Investors!$I:$I,"&lt;="&amp;'NSST Print'!$B$3,Investors!$J:$J,"&gt;"&amp;'NSST Print'!$B$3,Investors!$A:$A,'Investor Exit List'!$A266,Investors!$E:$E,'Investor Exit List'!$C266,Investors!$L:$L,'Investor Exit List'!$B266)+SUMIFS(Investors!$M:$M,Investors!$I:$I,"&lt;="&amp;'NSST Print'!$B$3,Investors!$J:$J,"",Investors!$A:$A,'Investor Exit List'!$A266,Investors!$E:$E,'Investor Exit List'!$C266,Investors!$L:$L,'Investor Exit List'!$B266))+SUMIFS(Investors!$S:$S,Investors!$O:$O,FALSE,Investors!$P:$P,FALSE,Investors!$K:$K,"&gt;"&amp;'NSST Print'!$B$3,Investors!$I:$I,"&lt;="&amp;'NSST Print'!$B$3,Investors!$A:$A,'Investor Exit List'!$A266,Investors!$E:$E,'Investor Exit List'!$C266,Investors!$L:$L,'Investor Exit List'!$B266)-(SUMIFS(Investors!$S:$S,Investors!$I:$I,"&lt;="&amp;'NSST Print'!$B$3,Investors!$J:$J,"&gt;"&amp;'NSST Print'!$B$3,Investors!$A:$A,'Investor Exit List'!$A266,Investors!$E:$E,'Investor Exit List'!$C266,Investors!$L:$L,'Investor Exit List'!$B266)+SUMIFS(Investors!$S:$S,Investors!$I:$I,"&lt;="&amp;'NSST Print'!$B$3,Investors!$J:$J,"",Investors!$A:$A,'Investor Exit List'!$A266,Investors!$E:$E,'Investor Exit List'!$C266,Investors!$L:$L,'Investor Exit List'!$B266))</f>
        <v/>
      </c>
      <c r="R266" s="94">
        <f>IF(AND(H266=TRUE,I266=FALSE),Q266,0)</f>
        <v/>
      </c>
      <c r="S266" s="94">
        <f>SUMIFS(Investors!$M:$M,Investors!$O:$O,TRUE,Investors!$A:$A,'Investor Exit List'!$A266,Investors!$E:$E,'Investor Exit List'!$C266,Investors!$L:$L,'Investor Exit List'!$B266)+SUMIFS(Investors!$S:$S,Investors!$O:$O,TRUE,Investors!$A:$A,'Investor Exit List'!$A266,Investors!$E:$E,'Investor Exit List'!$C266,Investors!$L:$L,'Investor Exit List'!$B266)</f>
        <v/>
      </c>
      <c r="T266" s="95">
        <f>IF(U266=TRUE,$J266,"")</f>
        <v/>
      </c>
      <c r="U266" s="93" t="b">
        <v>0</v>
      </c>
      <c r="V266" s="94">
        <f>IF(AND(H266=TRUE,OR(K266="",K266&gt;M266)),S266,0)</f>
        <v/>
      </c>
      <c r="W266" s="93" t="n">
        <v>0</v>
      </c>
      <c r="X266" s="93" t="b">
        <v>0</v>
      </c>
    </row>
    <row r="267">
      <c r="A267" s="93" t="inlineStr">
        <is>
          <t>ZSIV01</t>
        </is>
      </c>
      <c r="B267" s="93" t="n">
        <v>2</v>
      </c>
      <c r="C267" s="93" t="inlineStr">
        <is>
          <t>HVG102</t>
        </is>
      </c>
      <c r="D267" s="93" t="inlineStr">
        <is>
          <t>G</t>
        </is>
      </c>
      <c r="E267" s="93" t="inlineStr">
        <is>
          <t>Bedell-Sivright Gareth William</t>
        </is>
      </c>
      <c r="F267" s="94">
        <f>SUMIFS(Investors!$M:$M,Investors!$O:$O,FALSE,Investors!$P:$P,FALSE,Investors!$K:$K,"&gt;"&amp;'NSST Print'!$B$3,Investors!$I:$I,"&lt;="&amp;'NSST Print'!$B$3,Investors!$A:$A,'Investor Exit List'!$A267,Investors!$E:$E,'Investor Exit List'!$C267,Investors!$L:$L,'Investor Exit List'!$B267)-(SUMIFS(Investors!$M:$M,Investors!$I:$I,"&lt;="&amp;'NSST Print'!$B$3,Investors!$J:$J,"&gt;"&amp;'NSST Print'!$B$3,Investors!$A:$A,'Investor Exit List'!$A267,Investors!$E:$E,'Investor Exit List'!$C267,Investors!$L:$L,'Investor Exit List'!$B267)+SUMIFS(Investors!$M:$M,Investors!$I:$I,"&lt;="&amp;'NSST Print'!$B$3,Investors!$J:$J,"",Investors!$A:$A,'Investor Exit List'!$A267,Investors!$E:$E,'Investor Exit List'!$C267,Investors!$L:$L,'Investor Exit List'!$B267))</f>
        <v/>
      </c>
      <c r="G267" s="95" t="n">
        <v>45161</v>
      </c>
      <c r="H267" s="93" t="b">
        <v>0</v>
      </c>
      <c r="I267" s="93" t="b">
        <v>0</v>
      </c>
      <c r="J267" s="95" t="n">
        <v>45532</v>
      </c>
      <c r="K267" s="95">
        <f>IF(I267=TRUE,J267,"")</f>
        <v/>
      </c>
      <c r="L267" s="95">
        <f>G267+730</f>
        <v/>
      </c>
      <c r="M267" s="95" t="n">
        <v>45382</v>
      </c>
      <c r="N267" s="96">
        <f>IFERROR(IF(G267&lt;&gt;"",IF(I267=TRUE,0,IF(U267=TRUE,0,L267-M267)),0),0)</f>
        <v/>
      </c>
      <c r="O267" s="96">
        <f>IF(N267&gt;0,IF(N267&lt;=180,N267,0),0)</f>
        <v/>
      </c>
      <c r="P267" s="94">
        <f>IF(AND(N267&lt;90,N267&gt;0),Q267,0)</f>
        <v/>
      </c>
      <c r="Q267" s="94">
        <f>SUMIFS(Investors!$M:$M,Investors!$O:$O,FALSE,Investors!$P:$P,FALSE,Investors!$K:$K,"&gt;"&amp;'NSST Print'!$B$3,Investors!$I:$I,"&lt;="&amp;'NSST Print'!$B$3,Investors!$A:$A,'Investor Exit List'!$A267,Investors!$E:$E,'Investor Exit List'!$C267,Investors!$L:$L,'Investor Exit List'!$B267)-(SUMIFS(Investors!$M:$M,Investors!$I:$I,"&lt;="&amp;'NSST Print'!$B$3,Investors!$J:$J,"&gt;"&amp;'NSST Print'!$B$3,Investors!$A:$A,'Investor Exit List'!$A267,Investors!$E:$E,'Investor Exit List'!$C267,Investors!$L:$L,'Investor Exit List'!$B267)+SUMIFS(Investors!$M:$M,Investors!$I:$I,"&lt;="&amp;'NSST Print'!$B$3,Investors!$J:$J,"",Investors!$A:$A,'Investor Exit List'!$A267,Investors!$E:$E,'Investor Exit List'!$C267,Investors!$L:$L,'Investor Exit List'!$B267))+SUMIFS(Investors!$S:$S,Investors!$O:$O,FALSE,Investors!$P:$P,FALSE,Investors!$K:$K,"&gt;"&amp;'NSST Print'!$B$3,Investors!$I:$I,"&lt;="&amp;'NSST Print'!$B$3,Investors!$A:$A,'Investor Exit List'!$A267,Investors!$E:$E,'Investor Exit List'!$C267,Investors!$L:$L,'Investor Exit List'!$B267)-(SUMIFS(Investors!$S:$S,Investors!$I:$I,"&lt;="&amp;'NSST Print'!$B$3,Investors!$J:$J,"&gt;"&amp;'NSST Print'!$B$3,Investors!$A:$A,'Investor Exit List'!$A267,Investors!$E:$E,'Investor Exit List'!$C267,Investors!$L:$L,'Investor Exit List'!$B267)+SUMIFS(Investors!$S:$S,Investors!$I:$I,"&lt;="&amp;'NSST Print'!$B$3,Investors!$J:$J,"",Investors!$A:$A,'Investor Exit List'!$A267,Investors!$E:$E,'Investor Exit List'!$C267,Investors!$L:$L,'Investor Exit List'!$B267))</f>
        <v/>
      </c>
      <c r="R267" s="94">
        <f>IF(AND(H267=TRUE,I267=FALSE),Q267,0)</f>
        <v/>
      </c>
      <c r="S267" s="94">
        <f>SUMIFS(Investors!$M:$M,Investors!$O:$O,TRUE,Investors!$A:$A,'Investor Exit List'!$A267,Investors!$E:$E,'Investor Exit List'!$C267,Investors!$L:$L,'Investor Exit List'!$B267)+SUMIFS(Investors!$S:$S,Investors!$O:$O,TRUE,Investors!$A:$A,'Investor Exit List'!$A267,Investors!$E:$E,'Investor Exit List'!$C267,Investors!$L:$L,'Investor Exit List'!$B267)</f>
        <v/>
      </c>
      <c r="T267" s="95">
        <f>IF(U267=TRUE,$J267,"")</f>
        <v/>
      </c>
      <c r="U267" s="93" t="b">
        <v>0</v>
      </c>
      <c r="V267" s="94">
        <f>IF(AND(H267=TRUE,OR(K267="",K267&gt;M267)),S267,0)</f>
        <v/>
      </c>
      <c r="W267" s="93" t="n">
        <v>0</v>
      </c>
      <c r="X267" s="93" t="b">
        <v>0</v>
      </c>
    </row>
    <row r="268">
      <c r="A268" s="93" t="inlineStr">
        <is>
          <t>ZDEJ01</t>
        </is>
      </c>
      <c r="B268" s="93" t="n">
        <v>1</v>
      </c>
      <c r="C268" s="93" t="inlineStr">
        <is>
          <t>HVG103</t>
        </is>
      </c>
      <c r="D268" s="93" t="inlineStr">
        <is>
          <t>G</t>
        </is>
      </c>
      <c r="E268" s="93" t="inlineStr">
        <is>
          <t>de Jager Anarene Beatrice</t>
        </is>
      </c>
      <c r="F268" s="94">
        <f>SUMIFS(Investors!$M:$M,Investors!$O:$O,FALSE,Investors!$P:$P,FALSE,Investors!$K:$K,"&gt;"&amp;'NSST Print'!$B$3,Investors!$I:$I,"&lt;="&amp;'NSST Print'!$B$3,Investors!$A:$A,'Investor Exit List'!$A268,Investors!$E:$E,'Investor Exit List'!$C268,Investors!$L:$L,'Investor Exit List'!$B268)-(SUMIFS(Investors!$M:$M,Investors!$I:$I,"&lt;="&amp;'NSST Print'!$B$3,Investors!$J:$J,"&gt;"&amp;'NSST Print'!$B$3,Investors!$A:$A,'Investor Exit List'!$A268,Investors!$E:$E,'Investor Exit List'!$C268,Investors!$L:$L,'Investor Exit List'!$B268)+SUMIFS(Investors!$M:$M,Investors!$I:$I,"&lt;="&amp;'NSST Print'!$B$3,Investors!$J:$J,"",Investors!$A:$A,'Investor Exit List'!$A268,Investors!$E:$E,'Investor Exit List'!$C268,Investors!$L:$L,'Investor Exit List'!$B268))</f>
        <v/>
      </c>
      <c r="G268" s="95" t="n">
        <v>45198</v>
      </c>
      <c r="H268" s="93" t="b">
        <v>0</v>
      </c>
      <c r="I268" s="93" t="b">
        <v>0</v>
      </c>
      <c r="J268" s="95" t="n">
        <v>45532</v>
      </c>
      <c r="K268" s="95">
        <f>IF(I268=TRUE,J268,"")</f>
        <v/>
      </c>
      <c r="L268" s="95">
        <f>G268+730</f>
        <v/>
      </c>
      <c r="M268" s="95" t="n">
        <v>45382</v>
      </c>
      <c r="N268" s="96">
        <f>IFERROR(IF(G268&lt;&gt;"",IF(I268=TRUE,0,IF(U268=TRUE,0,L268-M268)),0),0)</f>
        <v/>
      </c>
      <c r="O268" s="96">
        <f>IF(N268&gt;0,IF(N268&lt;=180,N268,0),0)</f>
        <v/>
      </c>
      <c r="P268" s="94">
        <f>IF(AND(N268&lt;90,N268&gt;0),Q268,0)</f>
        <v/>
      </c>
      <c r="Q268" s="94">
        <f>SUMIFS(Investors!$M:$M,Investors!$O:$O,FALSE,Investors!$P:$P,FALSE,Investors!$K:$K,"&gt;"&amp;'NSST Print'!$B$3,Investors!$I:$I,"&lt;="&amp;'NSST Print'!$B$3,Investors!$A:$A,'Investor Exit List'!$A268,Investors!$E:$E,'Investor Exit List'!$C268,Investors!$L:$L,'Investor Exit List'!$B268)-(SUMIFS(Investors!$M:$M,Investors!$I:$I,"&lt;="&amp;'NSST Print'!$B$3,Investors!$J:$J,"&gt;"&amp;'NSST Print'!$B$3,Investors!$A:$A,'Investor Exit List'!$A268,Investors!$E:$E,'Investor Exit List'!$C268,Investors!$L:$L,'Investor Exit List'!$B268)+SUMIFS(Investors!$M:$M,Investors!$I:$I,"&lt;="&amp;'NSST Print'!$B$3,Investors!$J:$J,"",Investors!$A:$A,'Investor Exit List'!$A268,Investors!$E:$E,'Investor Exit List'!$C268,Investors!$L:$L,'Investor Exit List'!$B268))+SUMIFS(Investors!$S:$S,Investors!$O:$O,FALSE,Investors!$P:$P,FALSE,Investors!$K:$K,"&gt;"&amp;'NSST Print'!$B$3,Investors!$I:$I,"&lt;="&amp;'NSST Print'!$B$3,Investors!$A:$A,'Investor Exit List'!$A268,Investors!$E:$E,'Investor Exit List'!$C268,Investors!$L:$L,'Investor Exit List'!$B268)-(SUMIFS(Investors!$S:$S,Investors!$I:$I,"&lt;="&amp;'NSST Print'!$B$3,Investors!$J:$J,"&gt;"&amp;'NSST Print'!$B$3,Investors!$A:$A,'Investor Exit List'!$A268,Investors!$E:$E,'Investor Exit List'!$C268,Investors!$L:$L,'Investor Exit List'!$B268)+SUMIFS(Investors!$S:$S,Investors!$I:$I,"&lt;="&amp;'NSST Print'!$B$3,Investors!$J:$J,"",Investors!$A:$A,'Investor Exit List'!$A268,Investors!$E:$E,'Investor Exit List'!$C268,Investors!$L:$L,'Investor Exit List'!$B268))</f>
        <v/>
      </c>
      <c r="R268" s="94">
        <f>IF(AND(H268=TRUE,I268=FALSE),Q268,0)</f>
        <v/>
      </c>
      <c r="S268" s="94">
        <f>SUMIFS(Investors!$M:$M,Investors!$O:$O,TRUE,Investors!$A:$A,'Investor Exit List'!$A268,Investors!$E:$E,'Investor Exit List'!$C268,Investors!$L:$L,'Investor Exit List'!$B268)+SUMIFS(Investors!$S:$S,Investors!$O:$O,TRUE,Investors!$A:$A,'Investor Exit List'!$A268,Investors!$E:$E,'Investor Exit List'!$C268,Investors!$L:$L,'Investor Exit List'!$B268)</f>
        <v/>
      </c>
      <c r="T268" s="95">
        <f>IF(U268=TRUE,$J268,"")</f>
        <v/>
      </c>
      <c r="U268" s="93" t="b">
        <v>0</v>
      </c>
      <c r="V268" s="94">
        <f>IF(AND(H268=TRUE,OR(K268="",K268&gt;M268)),S268,0)</f>
        <v/>
      </c>
      <c r="W268" s="93" t="n">
        <v>0</v>
      </c>
      <c r="X268" s="93" t="b">
        <v>0</v>
      </c>
    </row>
    <row r="269">
      <c r="A269" s="93" t="inlineStr">
        <is>
          <t>ZSCA02</t>
        </is>
      </c>
      <c r="B269" s="93" t="n">
        <v>3</v>
      </c>
      <c r="C269" s="93" t="inlineStr">
        <is>
          <t>HVG103</t>
        </is>
      </c>
      <c r="D269" s="93" t="inlineStr">
        <is>
          <t>G</t>
        </is>
      </c>
      <c r="E269" s="93" t="inlineStr">
        <is>
          <t>Scalzini Chad</t>
        </is>
      </c>
      <c r="F269" s="94">
        <f>SUMIFS(Investors!$M:$M,Investors!$O:$O,FALSE,Investors!$P:$P,FALSE,Investors!$K:$K,"&gt;"&amp;'NSST Print'!$B$3,Investors!$I:$I,"&lt;="&amp;'NSST Print'!$B$3,Investors!$A:$A,'Investor Exit List'!$A269,Investors!$E:$E,'Investor Exit List'!$C269,Investors!$L:$L,'Investor Exit List'!$B269)-(SUMIFS(Investors!$M:$M,Investors!$I:$I,"&lt;="&amp;'NSST Print'!$B$3,Investors!$J:$J,"&gt;"&amp;'NSST Print'!$B$3,Investors!$A:$A,'Investor Exit List'!$A269,Investors!$E:$E,'Investor Exit List'!$C269,Investors!$L:$L,'Investor Exit List'!$B269)+SUMIFS(Investors!$M:$M,Investors!$I:$I,"&lt;="&amp;'NSST Print'!$B$3,Investors!$J:$J,"",Investors!$A:$A,'Investor Exit List'!$A269,Investors!$E:$E,'Investor Exit List'!$C269,Investors!$L:$L,'Investor Exit List'!$B269))</f>
        <v/>
      </c>
      <c r="G269" s="95" t="n">
        <v>45198</v>
      </c>
      <c r="H269" s="93" t="b">
        <v>0</v>
      </c>
      <c r="I269" s="93" t="b">
        <v>0</v>
      </c>
      <c r="J269" s="95" t="n">
        <v>45532</v>
      </c>
      <c r="K269" s="95">
        <f>IF(I269=TRUE,J269,"")</f>
        <v/>
      </c>
      <c r="L269" s="95">
        <f>G269+730</f>
        <v/>
      </c>
      <c r="M269" s="95" t="n">
        <v>45382</v>
      </c>
      <c r="N269" s="96">
        <f>IFERROR(IF(G269&lt;&gt;"",IF(I269=TRUE,0,IF(U269=TRUE,0,L269-M269)),0),0)</f>
        <v/>
      </c>
      <c r="O269" s="96">
        <f>IF(N269&gt;0,IF(N269&lt;=180,N269,0),0)</f>
        <v/>
      </c>
      <c r="P269" s="94">
        <f>IF(AND(N269&lt;90,N269&gt;0),Q269,0)</f>
        <v/>
      </c>
      <c r="Q269" s="94">
        <f>SUMIFS(Investors!$M:$M,Investors!$O:$O,FALSE,Investors!$P:$P,FALSE,Investors!$K:$K,"&gt;"&amp;'NSST Print'!$B$3,Investors!$I:$I,"&lt;="&amp;'NSST Print'!$B$3,Investors!$A:$A,'Investor Exit List'!$A269,Investors!$E:$E,'Investor Exit List'!$C269,Investors!$L:$L,'Investor Exit List'!$B269)-(SUMIFS(Investors!$M:$M,Investors!$I:$I,"&lt;="&amp;'NSST Print'!$B$3,Investors!$J:$J,"&gt;"&amp;'NSST Print'!$B$3,Investors!$A:$A,'Investor Exit List'!$A269,Investors!$E:$E,'Investor Exit List'!$C269,Investors!$L:$L,'Investor Exit List'!$B269)+SUMIFS(Investors!$M:$M,Investors!$I:$I,"&lt;="&amp;'NSST Print'!$B$3,Investors!$J:$J,"",Investors!$A:$A,'Investor Exit List'!$A269,Investors!$E:$E,'Investor Exit List'!$C269,Investors!$L:$L,'Investor Exit List'!$B269))+SUMIFS(Investors!$S:$S,Investors!$O:$O,FALSE,Investors!$P:$P,FALSE,Investors!$K:$K,"&gt;"&amp;'NSST Print'!$B$3,Investors!$I:$I,"&lt;="&amp;'NSST Print'!$B$3,Investors!$A:$A,'Investor Exit List'!$A269,Investors!$E:$E,'Investor Exit List'!$C269,Investors!$L:$L,'Investor Exit List'!$B269)-(SUMIFS(Investors!$S:$S,Investors!$I:$I,"&lt;="&amp;'NSST Print'!$B$3,Investors!$J:$J,"&gt;"&amp;'NSST Print'!$B$3,Investors!$A:$A,'Investor Exit List'!$A269,Investors!$E:$E,'Investor Exit List'!$C269,Investors!$L:$L,'Investor Exit List'!$B269)+SUMIFS(Investors!$S:$S,Investors!$I:$I,"&lt;="&amp;'NSST Print'!$B$3,Investors!$J:$J,"",Investors!$A:$A,'Investor Exit List'!$A269,Investors!$E:$E,'Investor Exit List'!$C269,Investors!$L:$L,'Investor Exit List'!$B269))</f>
        <v/>
      </c>
      <c r="R269" s="94">
        <f>IF(AND(H269=TRUE,I269=FALSE),Q269,0)</f>
        <v/>
      </c>
      <c r="S269" s="94">
        <f>SUMIFS(Investors!$M:$M,Investors!$O:$O,TRUE,Investors!$A:$A,'Investor Exit List'!$A269,Investors!$E:$E,'Investor Exit List'!$C269,Investors!$L:$L,'Investor Exit List'!$B269)+SUMIFS(Investors!$S:$S,Investors!$O:$O,TRUE,Investors!$A:$A,'Investor Exit List'!$A269,Investors!$E:$E,'Investor Exit List'!$C269,Investors!$L:$L,'Investor Exit List'!$B269)</f>
        <v/>
      </c>
      <c r="T269" s="95">
        <f>IF(U269=TRUE,$J269,"")</f>
        <v/>
      </c>
      <c r="U269" s="93" t="b">
        <v>0</v>
      </c>
      <c r="V269" s="94">
        <f>IF(AND(H269=TRUE,OR(K269="",K269&gt;M269)),S269,0)</f>
        <v/>
      </c>
      <c r="W269" s="93" t="n">
        <v>0</v>
      </c>
      <c r="X269" s="93" t="b">
        <v>0</v>
      </c>
    </row>
    <row r="270">
      <c r="A270" s="93" t="inlineStr">
        <is>
          <t>ZDOT01</t>
        </is>
      </c>
      <c r="B270" s="93" t="n">
        <v>2</v>
      </c>
      <c r="C270" s="93" t="inlineStr">
        <is>
          <t>HVG104</t>
        </is>
      </c>
      <c r="D270" s="93" t="inlineStr">
        <is>
          <t>G</t>
        </is>
      </c>
      <c r="E270" s="93" t="inlineStr">
        <is>
          <t>Pope Mark Charles</t>
        </is>
      </c>
      <c r="F270" s="94">
        <f>SUMIFS(Investors!$M:$M,Investors!$O:$O,FALSE,Investors!$P:$P,FALSE,Investors!$K:$K,"&gt;"&amp;'NSST Print'!$B$3,Investors!$I:$I,"&lt;="&amp;'NSST Print'!$B$3,Investors!$A:$A,'Investor Exit List'!$A270,Investors!$E:$E,'Investor Exit List'!$C270,Investors!$L:$L,'Investor Exit List'!$B270)-(SUMIFS(Investors!$M:$M,Investors!$I:$I,"&lt;="&amp;'NSST Print'!$B$3,Investors!$J:$J,"&gt;"&amp;'NSST Print'!$B$3,Investors!$A:$A,'Investor Exit List'!$A270,Investors!$E:$E,'Investor Exit List'!$C270,Investors!$L:$L,'Investor Exit List'!$B270)+SUMIFS(Investors!$M:$M,Investors!$I:$I,"&lt;="&amp;'NSST Print'!$B$3,Investors!$J:$J,"",Investors!$A:$A,'Investor Exit List'!$A270,Investors!$E:$E,'Investor Exit List'!$C270,Investors!$L:$L,'Investor Exit List'!$B270))</f>
        <v/>
      </c>
      <c r="G270" s="95" t="n">
        <v>45198</v>
      </c>
      <c r="H270" s="93" t="b">
        <v>0</v>
      </c>
      <c r="I270" s="93" t="b">
        <v>0</v>
      </c>
      <c r="J270" s="95" t="n">
        <v>45532</v>
      </c>
      <c r="K270" s="95">
        <f>IF(I270=TRUE,J270,"")</f>
        <v/>
      </c>
      <c r="L270" s="95">
        <f>G270+730</f>
        <v/>
      </c>
      <c r="M270" s="95" t="n">
        <v>45382</v>
      </c>
      <c r="N270" s="96">
        <f>IFERROR(IF(G270&lt;&gt;"",IF(I270=TRUE,0,IF(U270=TRUE,0,L270-M270)),0),0)</f>
        <v/>
      </c>
      <c r="O270" s="96">
        <f>IF(N270&gt;0,IF(N270&lt;=180,N270,0),0)</f>
        <v/>
      </c>
      <c r="P270" s="94">
        <f>IF(AND(N270&lt;90,N270&gt;0),Q270,0)</f>
        <v/>
      </c>
      <c r="Q270" s="94">
        <f>SUMIFS(Investors!$M:$M,Investors!$O:$O,FALSE,Investors!$P:$P,FALSE,Investors!$K:$K,"&gt;"&amp;'NSST Print'!$B$3,Investors!$I:$I,"&lt;="&amp;'NSST Print'!$B$3,Investors!$A:$A,'Investor Exit List'!$A270,Investors!$E:$E,'Investor Exit List'!$C270,Investors!$L:$L,'Investor Exit List'!$B270)-(SUMIFS(Investors!$M:$M,Investors!$I:$I,"&lt;="&amp;'NSST Print'!$B$3,Investors!$J:$J,"&gt;"&amp;'NSST Print'!$B$3,Investors!$A:$A,'Investor Exit List'!$A270,Investors!$E:$E,'Investor Exit List'!$C270,Investors!$L:$L,'Investor Exit List'!$B270)+SUMIFS(Investors!$M:$M,Investors!$I:$I,"&lt;="&amp;'NSST Print'!$B$3,Investors!$J:$J,"",Investors!$A:$A,'Investor Exit List'!$A270,Investors!$E:$E,'Investor Exit List'!$C270,Investors!$L:$L,'Investor Exit List'!$B270))+SUMIFS(Investors!$S:$S,Investors!$O:$O,FALSE,Investors!$P:$P,FALSE,Investors!$K:$K,"&gt;"&amp;'NSST Print'!$B$3,Investors!$I:$I,"&lt;="&amp;'NSST Print'!$B$3,Investors!$A:$A,'Investor Exit List'!$A270,Investors!$E:$E,'Investor Exit List'!$C270,Investors!$L:$L,'Investor Exit List'!$B270)-(SUMIFS(Investors!$S:$S,Investors!$I:$I,"&lt;="&amp;'NSST Print'!$B$3,Investors!$J:$J,"&gt;"&amp;'NSST Print'!$B$3,Investors!$A:$A,'Investor Exit List'!$A270,Investors!$E:$E,'Investor Exit List'!$C270,Investors!$L:$L,'Investor Exit List'!$B270)+SUMIFS(Investors!$S:$S,Investors!$I:$I,"&lt;="&amp;'NSST Print'!$B$3,Investors!$J:$J,"",Investors!$A:$A,'Investor Exit List'!$A270,Investors!$E:$E,'Investor Exit List'!$C270,Investors!$L:$L,'Investor Exit List'!$B270))</f>
        <v/>
      </c>
      <c r="R270" s="94">
        <f>IF(AND(H270=TRUE,I270=FALSE),Q270,0)</f>
        <v/>
      </c>
      <c r="S270" s="94">
        <f>SUMIFS(Investors!$M:$M,Investors!$O:$O,TRUE,Investors!$A:$A,'Investor Exit List'!$A270,Investors!$E:$E,'Investor Exit List'!$C270,Investors!$L:$L,'Investor Exit List'!$B270)+SUMIFS(Investors!$S:$S,Investors!$O:$O,TRUE,Investors!$A:$A,'Investor Exit List'!$A270,Investors!$E:$E,'Investor Exit List'!$C270,Investors!$L:$L,'Investor Exit List'!$B270)</f>
        <v/>
      </c>
      <c r="T270" s="95">
        <f>IF(U270=TRUE,$J270,"")</f>
        <v/>
      </c>
      <c r="U270" s="93" t="b">
        <v>0</v>
      </c>
      <c r="V270" s="94">
        <f>IF(AND(H270=TRUE,OR(K270="",K270&gt;M270)),S270,0)</f>
        <v/>
      </c>
      <c r="W270" s="93" t="n">
        <v>0</v>
      </c>
      <c r="X270" s="93" t="b">
        <v>0</v>
      </c>
    </row>
    <row r="271">
      <c r="A271" s="93" t="inlineStr">
        <is>
          <t>ZVOR01</t>
        </is>
      </c>
      <c r="B271" s="93" t="n">
        <v>6</v>
      </c>
      <c r="C271" s="93" t="inlineStr">
        <is>
          <t>HVG104</t>
        </is>
      </c>
      <c r="D271" s="93" t="inlineStr">
        <is>
          <t>G</t>
        </is>
      </c>
      <c r="E271" s="93" t="inlineStr">
        <is>
          <t xml:space="preserve">Vorster Sophia Maria Catharina </t>
        </is>
      </c>
      <c r="F271" s="94">
        <f>SUMIFS(Investors!$M:$M,Investors!$O:$O,FALSE,Investors!$P:$P,FALSE,Investors!$K:$K,"&gt;"&amp;'NSST Print'!$B$3,Investors!$I:$I,"&lt;="&amp;'NSST Print'!$B$3,Investors!$A:$A,'Investor Exit List'!$A271,Investors!$E:$E,'Investor Exit List'!$C271,Investors!$L:$L,'Investor Exit List'!$B271)-(SUMIFS(Investors!$M:$M,Investors!$I:$I,"&lt;="&amp;'NSST Print'!$B$3,Investors!$J:$J,"&gt;"&amp;'NSST Print'!$B$3,Investors!$A:$A,'Investor Exit List'!$A271,Investors!$E:$E,'Investor Exit List'!$C271,Investors!$L:$L,'Investor Exit List'!$B271)+SUMIFS(Investors!$M:$M,Investors!$I:$I,"&lt;="&amp;'NSST Print'!$B$3,Investors!$J:$J,"",Investors!$A:$A,'Investor Exit List'!$A271,Investors!$E:$E,'Investor Exit List'!$C271,Investors!$L:$L,'Investor Exit List'!$B271))</f>
        <v/>
      </c>
      <c r="G271" s="95" t="n">
        <v>45224</v>
      </c>
      <c r="H271" s="93" t="b">
        <v>0</v>
      </c>
      <c r="I271" s="93" t="b">
        <v>0</v>
      </c>
      <c r="J271" s="95" t="n">
        <v>45532</v>
      </c>
      <c r="K271" s="95">
        <f>IF(I271=TRUE,J271,"")</f>
        <v/>
      </c>
      <c r="L271" s="95">
        <f>G271+730</f>
        <v/>
      </c>
      <c r="M271" s="95" t="n">
        <v>45382</v>
      </c>
      <c r="N271" s="96">
        <f>IFERROR(IF(G271&lt;&gt;"",IF(I271=TRUE,0,IF(U271=TRUE,0,L271-M271)),0),0)</f>
        <v/>
      </c>
      <c r="O271" s="96">
        <f>IF(N271&gt;0,IF(N271&lt;=180,N271,0),0)</f>
        <v/>
      </c>
      <c r="P271" s="94">
        <f>IF(AND(N271&lt;90,N271&gt;0),Q271,0)</f>
        <v/>
      </c>
      <c r="Q271" s="94">
        <f>SUMIFS(Investors!$M:$M,Investors!$O:$O,FALSE,Investors!$P:$P,FALSE,Investors!$K:$K,"&gt;"&amp;'NSST Print'!$B$3,Investors!$I:$I,"&lt;="&amp;'NSST Print'!$B$3,Investors!$A:$A,'Investor Exit List'!$A271,Investors!$E:$E,'Investor Exit List'!$C271,Investors!$L:$L,'Investor Exit List'!$B271)-(SUMIFS(Investors!$M:$M,Investors!$I:$I,"&lt;="&amp;'NSST Print'!$B$3,Investors!$J:$J,"&gt;"&amp;'NSST Print'!$B$3,Investors!$A:$A,'Investor Exit List'!$A271,Investors!$E:$E,'Investor Exit List'!$C271,Investors!$L:$L,'Investor Exit List'!$B271)+SUMIFS(Investors!$M:$M,Investors!$I:$I,"&lt;="&amp;'NSST Print'!$B$3,Investors!$J:$J,"",Investors!$A:$A,'Investor Exit List'!$A271,Investors!$E:$E,'Investor Exit List'!$C271,Investors!$L:$L,'Investor Exit List'!$B271))+SUMIFS(Investors!$S:$S,Investors!$O:$O,FALSE,Investors!$P:$P,FALSE,Investors!$K:$K,"&gt;"&amp;'NSST Print'!$B$3,Investors!$I:$I,"&lt;="&amp;'NSST Print'!$B$3,Investors!$A:$A,'Investor Exit List'!$A271,Investors!$E:$E,'Investor Exit List'!$C271,Investors!$L:$L,'Investor Exit List'!$B271)-(SUMIFS(Investors!$S:$S,Investors!$I:$I,"&lt;="&amp;'NSST Print'!$B$3,Investors!$J:$J,"&gt;"&amp;'NSST Print'!$B$3,Investors!$A:$A,'Investor Exit List'!$A271,Investors!$E:$E,'Investor Exit List'!$C271,Investors!$L:$L,'Investor Exit List'!$B271)+SUMIFS(Investors!$S:$S,Investors!$I:$I,"&lt;="&amp;'NSST Print'!$B$3,Investors!$J:$J,"",Investors!$A:$A,'Investor Exit List'!$A271,Investors!$E:$E,'Investor Exit List'!$C271,Investors!$L:$L,'Investor Exit List'!$B271))</f>
        <v/>
      </c>
      <c r="R271" s="94">
        <f>IF(AND(H271=TRUE,I271=FALSE),Q271,0)</f>
        <v/>
      </c>
      <c r="S271" s="94">
        <f>SUMIFS(Investors!$M:$M,Investors!$O:$O,TRUE,Investors!$A:$A,'Investor Exit List'!$A271,Investors!$E:$E,'Investor Exit List'!$C271,Investors!$L:$L,'Investor Exit List'!$B271)+SUMIFS(Investors!$S:$S,Investors!$O:$O,TRUE,Investors!$A:$A,'Investor Exit List'!$A271,Investors!$E:$E,'Investor Exit List'!$C271,Investors!$L:$L,'Investor Exit List'!$B271)</f>
        <v/>
      </c>
      <c r="T271" s="95">
        <f>IF(U271=TRUE,$J271,"")</f>
        <v/>
      </c>
      <c r="U271" s="93" t="b">
        <v>0</v>
      </c>
      <c r="V271" s="94">
        <f>IF(AND(H271=TRUE,OR(K271="",K271&gt;M271)),S271,0)</f>
        <v/>
      </c>
      <c r="W271" s="93" t="n">
        <v>0</v>
      </c>
      <c r="X271" s="93" t="b">
        <v>0</v>
      </c>
    </row>
    <row r="272">
      <c r="A272" s="93" t="inlineStr">
        <is>
          <t>ZREN01</t>
        </is>
      </c>
      <c r="B272" s="93" t="n">
        <v>4</v>
      </c>
      <c r="C272" s="93" t="inlineStr">
        <is>
          <t>HVG201</t>
        </is>
      </c>
      <c r="D272" s="93" t="inlineStr">
        <is>
          <t>G</t>
        </is>
      </c>
      <c r="E272" s="93" t="inlineStr">
        <is>
          <t>van Rensburg Marlene Ann</t>
        </is>
      </c>
      <c r="F272" s="94">
        <f>SUMIFS(Investors!$M:$M,Investors!$O:$O,FALSE,Investors!$P:$P,FALSE,Investors!$K:$K,"&gt;"&amp;'NSST Print'!$B$3,Investors!$I:$I,"&lt;="&amp;'NSST Print'!$B$3,Investors!$A:$A,'Investor Exit List'!$A272,Investors!$E:$E,'Investor Exit List'!$C272,Investors!$L:$L,'Investor Exit List'!$B272)-(SUMIFS(Investors!$M:$M,Investors!$I:$I,"&lt;="&amp;'NSST Print'!$B$3,Investors!$J:$J,"&gt;"&amp;'NSST Print'!$B$3,Investors!$A:$A,'Investor Exit List'!$A272,Investors!$E:$E,'Investor Exit List'!$C272,Investors!$L:$L,'Investor Exit List'!$B272)+SUMIFS(Investors!$M:$M,Investors!$I:$I,"&lt;="&amp;'NSST Print'!$B$3,Investors!$J:$J,"",Investors!$A:$A,'Investor Exit List'!$A272,Investors!$E:$E,'Investor Exit List'!$C272,Investors!$L:$L,'Investor Exit List'!$B272))</f>
        <v/>
      </c>
      <c r="G272" s="95" t="n">
        <v>45168</v>
      </c>
      <c r="H272" s="93" t="b">
        <v>0</v>
      </c>
      <c r="I272" s="93" t="b">
        <v>0</v>
      </c>
      <c r="J272" s="95" t="n">
        <v>45532</v>
      </c>
      <c r="K272" s="95">
        <f>IF(I272=TRUE,J272,"")</f>
        <v/>
      </c>
      <c r="L272" s="95">
        <f>G272+730</f>
        <v/>
      </c>
      <c r="M272" s="95" t="n">
        <v>45382</v>
      </c>
      <c r="N272" s="96">
        <f>IFERROR(IF(G272&lt;&gt;"",IF(I272=TRUE,0,IF(U272=TRUE,0,L272-M272)),0),0)</f>
        <v/>
      </c>
      <c r="O272" s="96">
        <f>IF(N272&gt;0,IF(N272&lt;=180,N272,0),0)</f>
        <v/>
      </c>
      <c r="P272" s="94">
        <f>IF(AND(N272&lt;90,N272&gt;0),Q272,0)</f>
        <v/>
      </c>
      <c r="Q272" s="94">
        <f>SUMIFS(Investors!$M:$M,Investors!$O:$O,FALSE,Investors!$P:$P,FALSE,Investors!$K:$K,"&gt;"&amp;'NSST Print'!$B$3,Investors!$I:$I,"&lt;="&amp;'NSST Print'!$B$3,Investors!$A:$A,'Investor Exit List'!$A272,Investors!$E:$E,'Investor Exit List'!$C272,Investors!$L:$L,'Investor Exit List'!$B272)-(SUMIFS(Investors!$M:$M,Investors!$I:$I,"&lt;="&amp;'NSST Print'!$B$3,Investors!$J:$J,"&gt;"&amp;'NSST Print'!$B$3,Investors!$A:$A,'Investor Exit List'!$A272,Investors!$E:$E,'Investor Exit List'!$C272,Investors!$L:$L,'Investor Exit List'!$B272)+SUMIFS(Investors!$M:$M,Investors!$I:$I,"&lt;="&amp;'NSST Print'!$B$3,Investors!$J:$J,"",Investors!$A:$A,'Investor Exit List'!$A272,Investors!$E:$E,'Investor Exit List'!$C272,Investors!$L:$L,'Investor Exit List'!$B272))+SUMIFS(Investors!$S:$S,Investors!$O:$O,FALSE,Investors!$P:$P,FALSE,Investors!$K:$K,"&gt;"&amp;'NSST Print'!$B$3,Investors!$I:$I,"&lt;="&amp;'NSST Print'!$B$3,Investors!$A:$A,'Investor Exit List'!$A272,Investors!$E:$E,'Investor Exit List'!$C272,Investors!$L:$L,'Investor Exit List'!$B272)-(SUMIFS(Investors!$S:$S,Investors!$I:$I,"&lt;="&amp;'NSST Print'!$B$3,Investors!$J:$J,"&gt;"&amp;'NSST Print'!$B$3,Investors!$A:$A,'Investor Exit List'!$A272,Investors!$E:$E,'Investor Exit List'!$C272,Investors!$L:$L,'Investor Exit List'!$B272)+SUMIFS(Investors!$S:$S,Investors!$I:$I,"&lt;="&amp;'NSST Print'!$B$3,Investors!$J:$J,"",Investors!$A:$A,'Investor Exit List'!$A272,Investors!$E:$E,'Investor Exit List'!$C272,Investors!$L:$L,'Investor Exit List'!$B272))</f>
        <v/>
      </c>
      <c r="R272" s="94">
        <f>IF(AND(H272=TRUE,I272=FALSE),Q272,0)</f>
        <v/>
      </c>
      <c r="S272" s="94">
        <f>SUMIFS(Investors!$M:$M,Investors!$O:$O,TRUE,Investors!$A:$A,'Investor Exit List'!$A272,Investors!$E:$E,'Investor Exit List'!$C272,Investors!$L:$L,'Investor Exit List'!$B272)+SUMIFS(Investors!$S:$S,Investors!$O:$O,TRUE,Investors!$A:$A,'Investor Exit List'!$A272,Investors!$E:$E,'Investor Exit List'!$C272,Investors!$L:$L,'Investor Exit List'!$B272)</f>
        <v/>
      </c>
      <c r="T272" s="95">
        <f>IF(U272=TRUE,$J272,"")</f>
        <v/>
      </c>
      <c r="U272" s="93" t="b">
        <v>0</v>
      </c>
      <c r="V272" s="94">
        <f>IF(AND(H272=TRUE,OR(K272="",K272&gt;M272)),S272,0)</f>
        <v/>
      </c>
      <c r="W272" s="93" t="n">
        <v>0</v>
      </c>
      <c r="X272" s="93" t="b">
        <v>0</v>
      </c>
    </row>
    <row r="273">
      <c r="A273" s="93" t="inlineStr">
        <is>
          <t>ZVAN05</t>
        </is>
      </c>
      <c r="B273" s="93" t="n">
        <v>9</v>
      </c>
      <c r="C273" s="93" t="inlineStr">
        <is>
          <t>HVG201</t>
        </is>
      </c>
      <c r="D273" s="93" t="inlineStr">
        <is>
          <t>G</t>
        </is>
      </c>
      <c r="E273" s="93" t="inlineStr">
        <is>
          <t>van der Sandt Hermanus</t>
        </is>
      </c>
      <c r="F273" s="94">
        <f>SUMIFS(Investors!$M:$M,Investors!$O:$O,FALSE,Investors!$P:$P,FALSE,Investors!$K:$K,"&gt;"&amp;'NSST Print'!$B$3,Investors!$I:$I,"&lt;="&amp;'NSST Print'!$B$3,Investors!$A:$A,'Investor Exit List'!$A273,Investors!$E:$E,'Investor Exit List'!$C273,Investors!$L:$L,'Investor Exit List'!$B273)-(SUMIFS(Investors!$M:$M,Investors!$I:$I,"&lt;="&amp;'NSST Print'!$B$3,Investors!$J:$J,"&gt;"&amp;'NSST Print'!$B$3,Investors!$A:$A,'Investor Exit List'!$A273,Investors!$E:$E,'Investor Exit List'!$C273,Investors!$L:$L,'Investor Exit List'!$B273)+SUMIFS(Investors!$M:$M,Investors!$I:$I,"&lt;="&amp;'NSST Print'!$B$3,Investors!$J:$J,"",Investors!$A:$A,'Investor Exit List'!$A273,Investors!$E:$E,'Investor Exit List'!$C273,Investors!$L:$L,'Investor Exit List'!$B273))</f>
        <v/>
      </c>
      <c r="G273" s="95" t="n">
        <v>45198</v>
      </c>
      <c r="H273" s="93" t="b">
        <v>0</v>
      </c>
      <c r="I273" s="93" t="b">
        <v>0</v>
      </c>
      <c r="J273" s="95" t="n">
        <v>45532</v>
      </c>
      <c r="K273" s="95">
        <f>IF(I273=TRUE,J273,"")</f>
        <v/>
      </c>
      <c r="L273" s="95">
        <f>G273+730</f>
        <v/>
      </c>
      <c r="M273" s="95" t="n">
        <v>45382</v>
      </c>
      <c r="N273" s="96">
        <f>IFERROR(IF(G273&lt;&gt;"",IF(I273=TRUE,0,IF(U273=TRUE,0,L273-M273)),0),0)</f>
        <v/>
      </c>
      <c r="O273" s="96">
        <f>IF(N273&gt;0,IF(N273&lt;=180,N273,0),0)</f>
        <v/>
      </c>
      <c r="P273" s="94">
        <f>IF(AND(N273&lt;90,N273&gt;0),Q273,0)</f>
        <v/>
      </c>
      <c r="Q273" s="94">
        <f>SUMIFS(Investors!$M:$M,Investors!$O:$O,FALSE,Investors!$P:$P,FALSE,Investors!$K:$K,"&gt;"&amp;'NSST Print'!$B$3,Investors!$I:$I,"&lt;="&amp;'NSST Print'!$B$3,Investors!$A:$A,'Investor Exit List'!$A273,Investors!$E:$E,'Investor Exit List'!$C273,Investors!$L:$L,'Investor Exit List'!$B273)-(SUMIFS(Investors!$M:$M,Investors!$I:$I,"&lt;="&amp;'NSST Print'!$B$3,Investors!$J:$J,"&gt;"&amp;'NSST Print'!$B$3,Investors!$A:$A,'Investor Exit List'!$A273,Investors!$E:$E,'Investor Exit List'!$C273,Investors!$L:$L,'Investor Exit List'!$B273)+SUMIFS(Investors!$M:$M,Investors!$I:$I,"&lt;="&amp;'NSST Print'!$B$3,Investors!$J:$J,"",Investors!$A:$A,'Investor Exit List'!$A273,Investors!$E:$E,'Investor Exit List'!$C273,Investors!$L:$L,'Investor Exit List'!$B273))+SUMIFS(Investors!$S:$S,Investors!$O:$O,FALSE,Investors!$P:$P,FALSE,Investors!$K:$K,"&gt;"&amp;'NSST Print'!$B$3,Investors!$I:$I,"&lt;="&amp;'NSST Print'!$B$3,Investors!$A:$A,'Investor Exit List'!$A273,Investors!$E:$E,'Investor Exit List'!$C273,Investors!$L:$L,'Investor Exit List'!$B273)-(SUMIFS(Investors!$S:$S,Investors!$I:$I,"&lt;="&amp;'NSST Print'!$B$3,Investors!$J:$J,"&gt;"&amp;'NSST Print'!$B$3,Investors!$A:$A,'Investor Exit List'!$A273,Investors!$E:$E,'Investor Exit List'!$C273,Investors!$L:$L,'Investor Exit List'!$B273)+SUMIFS(Investors!$S:$S,Investors!$I:$I,"&lt;="&amp;'NSST Print'!$B$3,Investors!$J:$J,"",Investors!$A:$A,'Investor Exit List'!$A273,Investors!$E:$E,'Investor Exit List'!$C273,Investors!$L:$L,'Investor Exit List'!$B273))</f>
        <v/>
      </c>
      <c r="R273" s="94">
        <f>IF(AND(H273=TRUE,I273=FALSE),Q273,0)</f>
        <v/>
      </c>
      <c r="S273" s="94">
        <f>SUMIFS(Investors!$M:$M,Investors!$O:$O,TRUE,Investors!$A:$A,'Investor Exit List'!$A273,Investors!$E:$E,'Investor Exit List'!$C273,Investors!$L:$L,'Investor Exit List'!$B273)+SUMIFS(Investors!$S:$S,Investors!$O:$O,TRUE,Investors!$A:$A,'Investor Exit List'!$A273,Investors!$E:$E,'Investor Exit List'!$C273,Investors!$L:$L,'Investor Exit List'!$B273)</f>
        <v/>
      </c>
      <c r="T273" s="95">
        <f>IF(U273=TRUE,$J273,"")</f>
        <v/>
      </c>
      <c r="U273" s="93" t="b">
        <v>0</v>
      </c>
      <c r="V273" s="94">
        <f>IF(AND(H273=TRUE,OR(K273="",K273&gt;M273)),S273,0)</f>
        <v/>
      </c>
      <c r="W273" s="93" t="n">
        <v>0</v>
      </c>
      <c r="X273" s="93" t="b">
        <v>0</v>
      </c>
    </row>
    <row r="274">
      <c r="A274" s="93" t="inlineStr">
        <is>
          <t>ZLAB01</t>
        </is>
      </c>
      <c r="B274" s="93" t="n">
        <v>5</v>
      </c>
      <c r="C274" s="93" t="inlineStr">
        <is>
          <t>HVG202</t>
        </is>
      </c>
      <c r="D274" s="93" t="inlineStr">
        <is>
          <t>G</t>
        </is>
      </c>
      <c r="E274" s="93" t="inlineStr">
        <is>
          <t>Labuschagne Andre Jan</t>
        </is>
      </c>
      <c r="F274" s="94">
        <f>SUMIFS(Investors!$M:$M,Investors!$O:$O,FALSE,Investors!$P:$P,FALSE,Investors!$K:$K,"&gt;"&amp;'NSST Print'!$B$3,Investors!$I:$I,"&lt;="&amp;'NSST Print'!$B$3,Investors!$A:$A,'Investor Exit List'!$A274,Investors!$E:$E,'Investor Exit List'!$C274,Investors!$L:$L,'Investor Exit List'!$B274)-(SUMIFS(Investors!$M:$M,Investors!$I:$I,"&lt;="&amp;'NSST Print'!$B$3,Investors!$J:$J,"&gt;"&amp;'NSST Print'!$B$3,Investors!$A:$A,'Investor Exit List'!$A274,Investors!$E:$E,'Investor Exit List'!$C274,Investors!$L:$L,'Investor Exit List'!$B274)+SUMIFS(Investors!$M:$M,Investors!$I:$I,"&lt;="&amp;'NSST Print'!$B$3,Investors!$J:$J,"",Investors!$A:$A,'Investor Exit List'!$A274,Investors!$E:$E,'Investor Exit List'!$C274,Investors!$L:$L,'Investor Exit List'!$B274))</f>
        <v/>
      </c>
      <c r="G274" s="95" t="n">
        <v>45129</v>
      </c>
      <c r="H274" s="93" t="b">
        <v>0</v>
      </c>
      <c r="I274" s="93" t="b">
        <v>0</v>
      </c>
      <c r="J274" s="95" t="n">
        <v>45532</v>
      </c>
      <c r="K274" s="95">
        <f>IF(I274=TRUE,J274,"")</f>
        <v/>
      </c>
      <c r="L274" s="95">
        <f>G274+730</f>
        <v/>
      </c>
      <c r="M274" s="95" t="n">
        <v>45382</v>
      </c>
      <c r="N274" s="96">
        <f>IFERROR(IF(G274&lt;&gt;"",IF(I274=TRUE,0,IF(U274=TRUE,0,L274-M274)),0),0)</f>
        <v/>
      </c>
      <c r="O274" s="96">
        <f>IF(N274&gt;0,IF(N274&lt;=180,N274,0),0)</f>
        <v/>
      </c>
      <c r="P274" s="94">
        <f>IF(AND(N274&lt;90,N274&gt;0),Q274,0)</f>
        <v/>
      </c>
      <c r="Q274" s="94">
        <f>SUMIFS(Investors!$M:$M,Investors!$O:$O,FALSE,Investors!$P:$P,FALSE,Investors!$K:$K,"&gt;"&amp;'NSST Print'!$B$3,Investors!$I:$I,"&lt;="&amp;'NSST Print'!$B$3,Investors!$A:$A,'Investor Exit List'!$A274,Investors!$E:$E,'Investor Exit List'!$C274,Investors!$L:$L,'Investor Exit List'!$B274)-(SUMIFS(Investors!$M:$M,Investors!$I:$I,"&lt;="&amp;'NSST Print'!$B$3,Investors!$J:$J,"&gt;"&amp;'NSST Print'!$B$3,Investors!$A:$A,'Investor Exit List'!$A274,Investors!$E:$E,'Investor Exit List'!$C274,Investors!$L:$L,'Investor Exit List'!$B274)+SUMIFS(Investors!$M:$M,Investors!$I:$I,"&lt;="&amp;'NSST Print'!$B$3,Investors!$J:$J,"",Investors!$A:$A,'Investor Exit List'!$A274,Investors!$E:$E,'Investor Exit List'!$C274,Investors!$L:$L,'Investor Exit List'!$B274))+SUMIFS(Investors!$S:$S,Investors!$O:$O,FALSE,Investors!$P:$P,FALSE,Investors!$K:$K,"&gt;"&amp;'NSST Print'!$B$3,Investors!$I:$I,"&lt;="&amp;'NSST Print'!$B$3,Investors!$A:$A,'Investor Exit List'!$A274,Investors!$E:$E,'Investor Exit List'!$C274,Investors!$L:$L,'Investor Exit List'!$B274)-(SUMIFS(Investors!$S:$S,Investors!$I:$I,"&lt;="&amp;'NSST Print'!$B$3,Investors!$J:$J,"&gt;"&amp;'NSST Print'!$B$3,Investors!$A:$A,'Investor Exit List'!$A274,Investors!$E:$E,'Investor Exit List'!$C274,Investors!$L:$L,'Investor Exit List'!$B274)+SUMIFS(Investors!$S:$S,Investors!$I:$I,"&lt;="&amp;'NSST Print'!$B$3,Investors!$J:$J,"",Investors!$A:$A,'Investor Exit List'!$A274,Investors!$E:$E,'Investor Exit List'!$C274,Investors!$L:$L,'Investor Exit List'!$B274))</f>
        <v/>
      </c>
      <c r="R274" s="94">
        <f>IF(AND(H274=TRUE,I274=FALSE),Q274,0)</f>
        <v/>
      </c>
      <c r="S274" s="94">
        <f>SUMIFS(Investors!$M:$M,Investors!$O:$O,TRUE,Investors!$A:$A,'Investor Exit List'!$A274,Investors!$E:$E,'Investor Exit List'!$C274,Investors!$L:$L,'Investor Exit List'!$B274)+SUMIFS(Investors!$S:$S,Investors!$O:$O,TRUE,Investors!$A:$A,'Investor Exit List'!$A274,Investors!$E:$E,'Investor Exit List'!$C274,Investors!$L:$L,'Investor Exit List'!$B274)</f>
        <v/>
      </c>
      <c r="T274" s="95">
        <f>IF(U274=TRUE,$J274,"")</f>
        <v/>
      </c>
      <c r="U274" s="93" t="b">
        <v>0</v>
      </c>
      <c r="V274" s="94">
        <f>IF(AND(H274=TRUE,OR(K274="",K274&gt;M274)),S274,0)</f>
        <v/>
      </c>
      <c r="W274" s="93" t="n">
        <v>0</v>
      </c>
      <c r="X274" s="93" t="b">
        <v>0</v>
      </c>
    </row>
    <row r="275">
      <c r="A275" s="93" t="inlineStr">
        <is>
          <t>ZRAN01</t>
        </is>
      </c>
      <c r="B275" s="93" t="n">
        <v>27</v>
      </c>
      <c r="C275" s="93" t="inlineStr">
        <is>
          <t>HVG202</t>
        </is>
      </c>
      <c r="D275" s="93" t="inlineStr">
        <is>
          <t>G</t>
        </is>
      </c>
      <c r="E275" s="93" t="inlineStr">
        <is>
          <t>Rankin Ross Partick Gemill</t>
        </is>
      </c>
      <c r="F275" s="94">
        <f>SUMIFS(Investors!$M:$M,Investors!$O:$O,FALSE,Investors!$P:$P,FALSE,Investors!$K:$K,"&gt;"&amp;'NSST Print'!$B$3,Investors!$I:$I,"&lt;="&amp;'NSST Print'!$B$3,Investors!$A:$A,'Investor Exit List'!$A275,Investors!$E:$E,'Investor Exit List'!$C275,Investors!$L:$L,'Investor Exit List'!$B275)-(SUMIFS(Investors!$M:$M,Investors!$I:$I,"&lt;="&amp;'NSST Print'!$B$3,Investors!$J:$J,"&gt;"&amp;'NSST Print'!$B$3,Investors!$A:$A,'Investor Exit List'!$A275,Investors!$E:$E,'Investor Exit List'!$C275,Investors!$L:$L,'Investor Exit List'!$B275)+SUMIFS(Investors!$M:$M,Investors!$I:$I,"&lt;="&amp;'NSST Print'!$B$3,Investors!$J:$J,"",Investors!$A:$A,'Investor Exit List'!$A275,Investors!$E:$E,'Investor Exit List'!$C275,Investors!$L:$L,'Investor Exit List'!$B275))</f>
        <v/>
      </c>
      <c r="G275" s="95" t="n">
        <v>45252</v>
      </c>
      <c r="H275" s="93" t="b">
        <v>0</v>
      </c>
      <c r="I275" s="93" t="b">
        <v>0</v>
      </c>
      <c r="J275" s="95" t="n">
        <v>45532</v>
      </c>
      <c r="K275" s="95">
        <f>IF(I275=TRUE,J275,"")</f>
        <v/>
      </c>
      <c r="L275" s="95">
        <f>G275+730</f>
        <v/>
      </c>
      <c r="M275" s="95" t="n">
        <v>45382</v>
      </c>
      <c r="N275" s="96">
        <f>IFERROR(IF(G275&lt;&gt;"",IF(I275=TRUE,0,IF(U275=TRUE,0,L275-M275)),0),0)</f>
        <v/>
      </c>
      <c r="O275" s="96">
        <f>IF(N275&gt;0,IF(N275&lt;=180,N275,0),0)</f>
        <v/>
      </c>
      <c r="P275" s="94">
        <f>IF(AND(N275&lt;90,N275&gt;0),Q275,0)</f>
        <v/>
      </c>
      <c r="Q275" s="94">
        <f>SUMIFS(Investors!$M:$M,Investors!$O:$O,FALSE,Investors!$P:$P,FALSE,Investors!$K:$K,"&gt;"&amp;'NSST Print'!$B$3,Investors!$I:$I,"&lt;="&amp;'NSST Print'!$B$3,Investors!$A:$A,'Investor Exit List'!$A275,Investors!$E:$E,'Investor Exit List'!$C275,Investors!$L:$L,'Investor Exit List'!$B275)-(SUMIFS(Investors!$M:$M,Investors!$I:$I,"&lt;="&amp;'NSST Print'!$B$3,Investors!$J:$J,"&gt;"&amp;'NSST Print'!$B$3,Investors!$A:$A,'Investor Exit List'!$A275,Investors!$E:$E,'Investor Exit List'!$C275,Investors!$L:$L,'Investor Exit List'!$B275)+SUMIFS(Investors!$M:$M,Investors!$I:$I,"&lt;="&amp;'NSST Print'!$B$3,Investors!$J:$J,"",Investors!$A:$A,'Investor Exit List'!$A275,Investors!$E:$E,'Investor Exit List'!$C275,Investors!$L:$L,'Investor Exit List'!$B275))+SUMIFS(Investors!$S:$S,Investors!$O:$O,FALSE,Investors!$P:$P,FALSE,Investors!$K:$K,"&gt;"&amp;'NSST Print'!$B$3,Investors!$I:$I,"&lt;="&amp;'NSST Print'!$B$3,Investors!$A:$A,'Investor Exit List'!$A275,Investors!$E:$E,'Investor Exit List'!$C275,Investors!$L:$L,'Investor Exit List'!$B275)-(SUMIFS(Investors!$S:$S,Investors!$I:$I,"&lt;="&amp;'NSST Print'!$B$3,Investors!$J:$J,"&gt;"&amp;'NSST Print'!$B$3,Investors!$A:$A,'Investor Exit List'!$A275,Investors!$E:$E,'Investor Exit List'!$C275,Investors!$L:$L,'Investor Exit List'!$B275)+SUMIFS(Investors!$S:$S,Investors!$I:$I,"&lt;="&amp;'NSST Print'!$B$3,Investors!$J:$J,"",Investors!$A:$A,'Investor Exit List'!$A275,Investors!$E:$E,'Investor Exit List'!$C275,Investors!$L:$L,'Investor Exit List'!$B275))</f>
        <v/>
      </c>
      <c r="R275" s="94">
        <f>IF(AND(H275=TRUE,I275=FALSE),Q275,0)</f>
        <v/>
      </c>
      <c r="S275" s="94">
        <f>SUMIFS(Investors!$M:$M,Investors!$O:$O,TRUE,Investors!$A:$A,'Investor Exit List'!$A275,Investors!$E:$E,'Investor Exit List'!$C275,Investors!$L:$L,'Investor Exit List'!$B275)+SUMIFS(Investors!$S:$S,Investors!$O:$O,TRUE,Investors!$A:$A,'Investor Exit List'!$A275,Investors!$E:$E,'Investor Exit List'!$C275,Investors!$L:$L,'Investor Exit List'!$B275)</f>
        <v/>
      </c>
      <c r="T275" s="95">
        <f>IF(U275=TRUE,$J275,"")</f>
        <v/>
      </c>
      <c r="U275" s="93" t="b">
        <v>0</v>
      </c>
      <c r="V275" s="94">
        <f>IF(AND(H275=TRUE,OR(K275="",K275&gt;M275)),S275,0)</f>
        <v/>
      </c>
      <c r="W275" s="93" t="n">
        <v>0</v>
      </c>
      <c r="X275" s="93" t="b">
        <v>0</v>
      </c>
    </row>
    <row r="276">
      <c r="A276" s="93" t="inlineStr">
        <is>
          <t>ZSCA02</t>
        </is>
      </c>
      <c r="B276" s="93" t="n">
        <v>2</v>
      </c>
      <c r="C276" s="93" t="inlineStr">
        <is>
          <t>HVG202</t>
        </is>
      </c>
      <c r="D276" s="93" t="inlineStr">
        <is>
          <t>G</t>
        </is>
      </c>
      <c r="E276" s="93" t="inlineStr">
        <is>
          <t>Scalzini Chad</t>
        </is>
      </c>
      <c r="F276" s="94">
        <f>SUMIFS(Investors!$M:$M,Investors!$O:$O,FALSE,Investors!$P:$P,FALSE,Investors!$K:$K,"&gt;"&amp;'NSST Print'!$B$3,Investors!$I:$I,"&lt;="&amp;'NSST Print'!$B$3,Investors!$A:$A,'Investor Exit List'!$A276,Investors!$E:$E,'Investor Exit List'!$C276,Investors!$L:$L,'Investor Exit List'!$B276)-(SUMIFS(Investors!$M:$M,Investors!$I:$I,"&lt;="&amp;'NSST Print'!$B$3,Investors!$J:$J,"&gt;"&amp;'NSST Print'!$B$3,Investors!$A:$A,'Investor Exit List'!$A276,Investors!$E:$E,'Investor Exit List'!$C276,Investors!$L:$L,'Investor Exit List'!$B276)+SUMIFS(Investors!$M:$M,Investors!$I:$I,"&lt;="&amp;'NSST Print'!$B$3,Investors!$J:$J,"",Investors!$A:$A,'Investor Exit List'!$A276,Investors!$E:$E,'Investor Exit List'!$C276,Investors!$L:$L,'Investor Exit List'!$B276))</f>
        <v/>
      </c>
      <c r="G276" s="95" t="n">
        <v>45168</v>
      </c>
      <c r="H276" s="93" t="b">
        <v>0</v>
      </c>
      <c r="I276" s="93" t="b">
        <v>0</v>
      </c>
      <c r="J276" s="95" t="n">
        <v>45532</v>
      </c>
      <c r="K276" s="95">
        <f>IF(I276=TRUE,J276,"")</f>
        <v/>
      </c>
      <c r="L276" s="95">
        <f>G276+730</f>
        <v/>
      </c>
      <c r="M276" s="95" t="n">
        <v>45382</v>
      </c>
      <c r="N276" s="96">
        <f>IFERROR(IF(G276&lt;&gt;"",IF(I276=TRUE,0,IF(U276=TRUE,0,L276-M276)),0),0)</f>
        <v/>
      </c>
      <c r="O276" s="96">
        <f>IF(N276&gt;0,IF(N276&lt;=180,N276,0),0)</f>
        <v/>
      </c>
      <c r="P276" s="94">
        <f>IF(AND(N276&lt;90,N276&gt;0),Q276,0)</f>
        <v/>
      </c>
      <c r="Q276" s="94">
        <f>SUMIFS(Investors!$M:$M,Investors!$O:$O,FALSE,Investors!$P:$P,FALSE,Investors!$K:$K,"&gt;"&amp;'NSST Print'!$B$3,Investors!$I:$I,"&lt;="&amp;'NSST Print'!$B$3,Investors!$A:$A,'Investor Exit List'!$A276,Investors!$E:$E,'Investor Exit List'!$C276,Investors!$L:$L,'Investor Exit List'!$B276)-(SUMIFS(Investors!$M:$M,Investors!$I:$I,"&lt;="&amp;'NSST Print'!$B$3,Investors!$J:$J,"&gt;"&amp;'NSST Print'!$B$3,Investors!$A:$A,'Investor Exit List'!$A276,Investors!$E:$E,'Investor Exit List'!$C276,Investors!$L:$L,'Investor Exit List'!$B276)+SUMIFS(Investors!$M:$M,Investors!$I:$I,"&lt;="&amp;'NSST Print'!$B$3,Investors!$J:$J,"",Investors!$A:$A,'Investor Exit List'!$A276,Investors!$E:$E,'Investor Exit List'!$C276,Investors!$L:$L,'Investor Exit List'!$B276))+SUMIFS(Investors!$S:$S,Investors!$O:$O,FALSE,Investors!$P:$P,FALSE,Investors!$K:$K,"&gt;"&amp;'NSST Print'!$B$3,Investors!$I:$I,"&lt;="&amp;'NSST Print'!$B$3,Investors!$A:$A,'Investor Exit List'!$A276,Investors!$E:$E,'Investor Exit List'!$C276,Investors!$L:$L,'Investor Exit List'!$B276)-(SUMIFS(Investors!$S:$S,Investors!$I:$I,"&lt;="&amp;'NSST Print'!$B$3,Investors!$J:$J,"&gt;"&amp;'NSST Print'!$B$3,Investors!$A:$A,'Investor Exit List'!$A276,Investors!$E:$E,'Investor Exit List'!$C276,Investors!$L:$L,'Investor Exit List'!$B276)+SUMIFS(Investors!$S:$S,Investors!$I:$I,"&lt;="&amp;'NSST Print'!$B$3,Investors!$J:$J,"",Investors!$A:$A,'Investor Exit List'!$A276,Investors!$E:$E,'Investor Exit List'!$C276,Investors!$L:$L,'Investor Exit List'!$B276))</f>
        <v/>
      </c>
      <c r="R276" s="94">
        <f>IF(AND(H276=TRUE,I276=FALSE),Q276,0)</f>
        <v/>
      </c>
      <c r="S276" s="94">
        <f>SUMIFS(Investors!$M:$M,Investors!$O:$O,TRUE,Investors!$A:$A,'Investor Exit List'!$A276,Investors!$E:$E,'Investor Exit List'!$C276,Investors!$L:$L,'Investor Exit List'!$B276)+SUMIFS(Investors!$S:$S,Investors!$O:$O,TRUE,Investors!$A:$A,'Investor Exit List'!$A276,Investors!$E:$E,'Investor Exit List'!$C276,Investors!$L:$L,'Investor Exit List'!$B276)</f>
        <v/>
      </c>
      <c r="T276" s="95">
        <f>IF(U276=TRUE,$J276,"")</f>
        <v/>
      </c>
      <c r="U276" s="93" t="b">
        <v>0</v>
      </c>
      <c r="V276" s="94">
        <f>IF(AND(H276=TRUE,OR(K276="",K276&gt;M276)),S276,0)</f>
        <v/>
      </c>
      <c r="W276" s="93" t="n">
        <v>0</v>
      </c>
      <c r="X276" s="93" t="b">
        <v>0</v>
      </c>
    </row>
    <row r="277">
      <c r="A277" s="93" t="inlineStr">
        <is>
          <t>ZGEL01</t>
        </is>
      </c>
      <c r="B277" s="93" t="n">
        <v>1</v>
      </c>
      <c r="C277" s="93" t="inlineStr">
        <is>
          <t>HVG203</t>
        </is>
      </c>
      <c r="D277" s="93" t="inlineStr">
        <is>
          <t>G</t>
        </is>
      </c>
      <c r="E277" s="93" t="inlineStr">
        <is>
          <t>Geldenhuys Teresse</t>
        </is>
      </c>
      <c r="F277" s="94">
        <f>SUMIFS(Investors!$M:$M,Investors!$O:$O,FALSE,Investors!$P:$P,FALSE,Investors!$K:$K,"&gt;"&amp;'NSST Print'!$B$3,Investors!$I:$I,"&lt;="&amp;'NSST Print'!$B$3,Investors!$A:$A,'Investor Exit List'!$A277,Investors!$E:$E,'Investor Exit List'!$C277,Investors!$L:$L,'Investor Exit List'!$B277)-(SUMIFS(Investors!$M:$M,Investors!$I:$I,"&lt;="&amp;'NSST Print'!$B$3,Investors!$J:$J,"&gt;"&amp;'NSST Print'!$B$3,Investors!$A:$A,'Investor Exit List'!$A277,Investors!$E:$E,'Investor Exit List'!$C277,Investors!$L:$L,'Investor Exit List'!$B277)+SUMIFS(Investors!$M:$M,Investors!$I:$I,"&lt;="&amp;'NSST Print'!$B$3,Investors!$J:$J,"",Investors!$A:$A,'Investor Exit List'!$A277,Investors!$E:$E,'Investor Exit List'!$C277,Investors!$L:$L,'Investor Exit List'!$B277))</f>
        <v/>
      </c>
      <c r="G277" s="95" t="n">
        <v>45252</v>
      </c>
      <c r="H277" s="93" t="b">
        <v>0</v>
      </c>
      <c r="I277" s="93" t="b">
        <v>0</v>
      </c>
      <c r="J277" s="95" t="n">
        <v>45532</v>
      </c>
      <c r="K277" s="95">
        <f>IF(I277=TRUE,J277,"")</f>
        <v/>
      </c>
      <c r="L277" s="95">
        <f>G277+730</f>
        <v/>
      </c>
      <c r="M277" s="95" t="n">
        <v>45382</v>
      </c>
      <c r="N277" s="96">
        <f>IFERROR(IF(G277&lt;&gt;"",IF(I277=TRUE,0,IF(U277=TRUE,0,L277-M277)),0),0)</f>
        <v/>
      </c>
      <c r="O277" s="96">
        <f>IF(N277&gt;0,IF(N277&lt;=180,N277,0),0)</f>
        <v/>
      </c>
      <c r="P277" s="94">
        <f>IF(AND(N277&lt;90,N277&gt;0),Q277,0)</f>
        <v/>
      </c>
      <c r="Q277" s="94">
        <f>SUMIFS(Investors!$M:$M,Investors!$O:$O,FALSE,Investors!$P:$P,FALSE,Investors!$K:$K,"&gt;"&amp;'NSST Print'!$B$3,Investors!$I:$I,"&lt;="&amp;'NSST Print'!$B$3,Investors!$A:$A,'Investor Exit List'!$A277,Investors!$E:$E,'Investor Exit List'!$C277,Investors!$L:$L,'Investor Exit List'!$B277)-(SUMIFS(Investors!$M:$M,Investors!$I:$I,"&lt;="&amp;'NSST Print'!$B$3,Investors!$J:$J,"&gt;"&amp;'NSST Print'!$B$3,Investors!$A:$A,'Investor Exit List'!$A277,Investors!$E:$E,'Investor Exit List'!$C277,Investors!$L:$L,'Investor Exit List'!$B277)+SUMIFS(Investors!$M:$M,Investors!$I:$I,"&lt;="&amp;'NSST Print'!$B$3,Investors!$J:$J,"",Investors!$A:$A,'Investor Exit List'!$A277,Investors!$E:$E,'Investor Exit List'!$C277,Investors!$L:$L,'Investor Exit List'!$B277))+SUMIFS(Investors!$S:$S,Investors!$O:$O,FALSE,Investors!$P:$P,FALSE,Investors!$K:$K,"&gt;"&amp;'NSST Print'!$B$3,Investors!$I:$I,"&lt;="&amp;'NSST Print'!$B$3,Investors!$A:$A,'Investor Exit List'!$A277,Investors!$E:$E,'Investor Exit List'!$C277,Investors!$L:$L,'Investor Exit List'!$B277)-(SUMIFS(Investors!$S:$S,Investors!$I:$I,"&lt;="&amp;'NSST Print'!$B$3,Investors!$J:$J,"&gt;"&amp;'NSST Print'!$B$3,Investors!$A:$A,'Investor Exit List'!$A277,Investors!$E:$E,'Investor Exit List'!$C277,Investors!$L:$L,'Investor Exit List'!$B277)+SUMIFS(Investors!$S:$S,Investors!$I:$I,"&lt;="&amp;'NSST Print'!$B$3,Investors!$J:$J,"",Investors!$A:$A,'Investor Exit List'!$A277,Investors!$E:$E,'Investor Exit List'!$C277,Investors!$L:$L,'Investor Exit List'!$B277))</f>
        <v/>
      </c>
      <c r="R277" s="94">
        <f>IF(AND(H277=TRUE,I277=FALSE),Q277,0)</f>
        <v/>
      </c>
      <c r="S277" s="94">
        <f>SUMIFS(Investors!$M:$M,Investors!$O:$O,TRUE,Investors!$A:$A,'Investor Exit List'!$A277,Investors!$E:$E,'Investor Exit List'!$C277,Investors!$L:$L,'Investor Exit List'!$B277)+SUMIFS(Investors!$S:$S,Investors!$O:$O,TRUE,Investors!$A:$A,'Investor Exit List'!$A277,Investors!$E:$E,'Investor Exit List'!$C277,Investors!$L:$L,'Investor Exit List'!$B277)</f>
        <v/>
      </c>
      <c r="T277" s="95">
        <f>IF(U277=TRUE,$J277,"")</f>
        <v/>
      </c>
      <c r="U277" s="93" t="b">
        <v>0</v>
      </c>
      <c r="V277" s="94">
        <f>IF(AND(H277=TRUE,OR(K277="",K277&gt;M277)),S277,0)</f>
        <v/>
      </c>
      <c r="W277" s="93" t="n">
        <v>0</v>
      </c>
      <c r="X277" s="93" t="b">
        <v>0</v>
      </c>
    </row>
    <row r="278">
      <c r="A278" s="93" t="inlineStr">
        <is>
          <t>ZRAN01</t>
        </is>
      </c>
      <c r="B278" s="93" t="n">
        <v>26</v>
      </c>
      <c r="C278" s="93" t="inlineStr">
        <is>
          <t>HVG203</t>
        </is>
      </c>
      <c r="D278" s="93" t="inlineStr">
        <is>
          <t>G</t>
        </is>
      </c>
      <c r="E278" s="93" t="inlineStr">
        <is>
          <t>Rankin Ross Partick Gemill</t>
        </is>
      </c>
      <c r="F278" s="94">
        <f>SUMIFS(Investors!$M:$M,Investors!$O:$O,FALSE,Investors!$P:$P,FALSE,Investors!$K:$K,"&gt;"&amp;'NSST Print'!$B$3,Investors!$I:$I,"&lt;="&amp;'NSST Print'!$B$3,Investors!$A:$A,'Investor Exit List'!$A278,Investors!$E:$E,'Investor Exit List'!$C278,Investors!$L:$L,'Investor Exit List'!$B278)-(SUMIFS(Investors!$M:$M,Investors!$I:$I,"&lt;="&amp;'NSST Print'!$B$3,Investors!$J:$J,"&gt;"&amp;'NSST Print'!$B$3,Investors!$A:$A,'Investor Exit List'!$A278,Investors!$E:$E,'Investor Exit List'!$C278,Investors!$L:$L,'Investor Exit List'!$B278)+SUMIFS(Investors!$M:$M,Investors!$I:$I,"&lt;="&amp;'NSST Print'!$B$3,Investors!$J:$J,"",Investors!$A:$A,'Investor Exit List'!$A278,Investors!$E:$E,'Investor Exit List'!$C278,Investors!$L:$L,'Investor Exit List'!$B278))</f>
        <v/>
      </c>
      <c r="G278" s="95" t="n">
        <v>45129</v>
      </c>
      <c r="H278" s="93" t="b">
        <v>0</v>
      </c>
      <c r="I278" s="93" t="b">
        <v>0</v>
      </c>
      <c r="J278" s="95" t="n">
        <v>45532</v>
      </c>
      <c r="K278" s="95">
        <f>IF(I278=TRUE,J278,"")</f>
        <v/>
      </c>
      <c r="L278" s="95">
        <f>G278+730</f>
        <v/>
      </c>
      <c r="M278" s="95" t="n">
        <v>45382</v>
      </c>
      <c r="N278" s="96">
        <f>IFERROR(IF(G278&lt;&gt;"",IF(I278=TRUE,0,IF(U278=TRUE,0,L278-M278)),0),0)</f>
        <v/>
      </c>
      <c r="O278" s="96">
        <f>IF(N278&gt;0,IF(N278&lt;=180,N278,0),0)</f>
        <v/>
      </c>
      <c r="P278" s="94">
        <f>IF(AND(N278&lt;90,N278&gt;0),Q278,0)</f>
        <v/>
      </c>
      <c r="Q278" s="94">
        <f>SUMIFS(Investors!$M:$M,Investors!$O:$O,FALSE,Investors!$P:$P,FALSE,Investors!$K:$K,"&gt;"&amp;'NSST Print'!$B$3,Investors!$I:$I,"&lt;="&amp;'NSST Print'!$B$3,Investors!$A:$A,'Investor Exit List'!$A278,Investors!$E:$E,'Investor Exit List'!$C278,Investors!$L:$L,'Investor Exit List'!$B278)-(SUMIFS(Investors!$M:$M,Investors!$I:$I,"&lt;="&amp;'NSST Print'!$B$3,Investors!$J:$J,"&gt;"&amp;'NSST Print'!$B$3,Investors!$A:$A,'Investor Exit List'!$A278,Investors!$E:$E,'Investor Exit List'!$C278,Investors!$L:$L,'Investor Exit List'!$B278)+SUMIFS(Investors!$M:$M,Investors!$I:$I,"&lt;="&amp;'NSST Print'!$B$3,Investors!$J:$J,"",Investors!$A:$A,'Investor Exit List'!$A278,Investors!$E:$E,'Investor Exit List'!$C278,Investors!$L:$L,'Investor Exit List'!$B278))+SUMIFS(Investors!$S:$S,Investors!$O:$O,FALSE,Investors!$P:$P,FALSE,Investors!$K:$K,"&gt;"&amp;'NSST Print'!$B$3,Investors!$I:$I,"&lt;="&amp;'NSST Print'!$B$3,Investors!$A:$A,'Investor Exit List'!$A278,Investors!$E:$E,'Investor Exit List'!$C278,Investors!$L:$L,'Investor Exit List'!$B278)-(SUMIFS(Investors!$S:$S,Investors!$I:$I,"&lt;="&amp;'NSST Print'!$B$3,Investors!$J:$J,"&gt;"&amp;'NSST Print'!$B$3,Investors!$A:$A,'Investor Exit List'!$A278,Investors!$E:$E,'Investor Exit List'!$C278,Investors!$L:$L,'Investor Exit List'!$B278)+SUMIFS(Investors!$S:$S,Investors!$I:$I,"&lt;="&amp;'NSST Print'!$B$3,Investors!$J:$J,"",Investors!$A:$A,'Investor Exit List'!$A278,Investors!$E:$E,'Investor Exit List'!$C278,Investors!$L:$L,'Investor Exit List'!$B278))</f>
        <v/>
      </c>
      <c r="R278" s="94">
        <f>IF(AND(H278=TRUE,I278=FALSE),Q278,0)</f>
        <v/>
      </c>
      <c r="S278" s="94">
        <f>SUMIFS(Investors!$M:$M,Investors!$O:$O,TRUE,Investors!$A:$A,'Investor Exit List'!$A278,Investors!$E:$E,'Investor Exit List'!$C278,Investors!$L:$L,'Investor Exit List'!$B278)+SUMIFS(Investors!$S:$S,Investors!$O:$O,TRUE,Investors!$A:$A,'Investor Exit List'!$A278,Investors!$E:$E,'Investor Exit List'!$C278,Investors!$L:$L,'Investor Exit List'!$B278)</f>
        <v/>
      </c>
      <c r="T278" s="95">
        <f>IF(U278=TRUE,$J278,"")</f>
        <v/>
      </c>
      <c r="U278" s="93" t="b">
        <v>0</v>
      </c>
      <c r="V278" s="94">
        <f>IF(AND(H278=TRUE,OR(K278="",K278&gt;M278)),S278,0)</f>
        <v/>
      </c>
      <c r="W278" s="93" t="n">
        <v>0</v>
      </c>
      <c r="X278" s="93" t="b">
        <v>0</v>
      </c>
    </row>
    <row r="279">
      <c r="A279" s="93" t="inlineStr">
        <is>
          <t>ZSMI02</t>
        </is>
      </c>
      <c r="B279" s="93" t="n">
        <v>2</v>
      </c>
      <c r="C279" s="93" t="inlineStr">
        <is>
          <t>HVG203</t>
        </is>
      </c>
      <c r="D279" s="93" t="inlineStr">
        <is>
          <t>G</t>
        </is>
      </c>
      <c r="E279" s="93" t="inlineStr">
        <is>
          <t>Smit Sophia Catharina</t>
        </is>
      </c>
      <c r="F279" s="94">
        <f>SUMIFS(Investors!$M:$M,Investors!$O:$O,FALSE,Investors!$P:$P,FALSE,Investors!$K:$K,"&gt;"&amp;'NSST Print'!$B$3,Investors!$I:$I,"&lt;="&amp;'NSST Print'!$B$3,Investors!$A:$A,'Investor Exit List'!$A279,Investors!$E:$E,'Investor Exit List'!$C279,Investors!$L:$L,'Investor Exit List'!$B279)-(SUMIFS(Investors!$M:$M,Investors!$I:$I,"&lt;="&amp;'NSST Print'!$B$3,Investors!$J:$J,"&gt;"&amp;'NSST Print'!$B$3,Investors!$A:$A,'Investor Exit List'!$A279,Investors!$E:$E,'Investor Exit List'!$C279,Investors!$L:$L,'Investor Exit List'!$B279)+SUMIFS(Investors!$M:$M,Investors!$I:$I,"&lt;="&amp;'NSST Print'!$B$3,Investors!$J:$J,"",Investors!$A:$A,'Investor Exit List'!$A279,Investors!$E:$E,'Investor Exit List'!$C279,Investors!$L:$L,'Investor Exit List'!$B279))</f>
        <v/>
      </c>
      <c r="G279" s="95" t="n">
        <v>45168</v>
      </c>
      <c r="H279" s="93" t="b">
        <v>0</v>
      </c>
      <c r="I279" s="93" t="b">
        <v>0</v>
      </c>
      <c r="J279" s="95" t="n">
        <v>45532</v>
      </c>
      <c r="K279" s="95">
        <f>IF(I279=TRUE,J279,"")</f>
        <v/>
      </c>
      <c r="L279" s="95">
        <f>G279+730</f>
        <v/>
      </c>
      <c r="M279" s="95" t="n">
        <v>45382</v>
      </c>
      <c r="N279" s="96">
        <f>IFERROR(IF(G279&lt;&gt;"",IF(I279=TRUE,0,IF(U279=TRUE,0,L279-M279)),0),0)</f>
        <v/>
      </c>
      <c r="O279" s="96">
        <f>IF(N279&gt;0,IF(N279&lt;=180,N279,0),0)</f>
        <v/>
      </c>
      <c r="P279" s="94">
        <f>IF(AND(N279&lt;90,N279&gt;0),Q279,0)</f>
        <v/>
      </c>
      <c r="Q279" s="94">
        <f>SUMIFS(Investors!$M:$M,Investors!$O:$O,FALSE,Investors!$P:$P,FALSE,Investors!$K:$K,"&gt;"&amp;'NSST Print'!$B$3,Investors!$I:$I,"&lt;="&amp;'NSST Print'!$B$3,Investors!$A:$A,'Investor Exit List'!$A279,Investors!$E:$E,'Investor Exit List'!$C279,Investors!$L:$L,'Investor Exit List'!$B279)-(SUMIFS(Investors!$M:$M,Investors!$I:$I,"&lt;="&amp;'NSST Print'!$B$3,Investors!$J:$J,"&gt;"&amp;'NSST Print'!$B$3,Investors!$A:$A,'Investor Exit List'!$A279,Investors!$E:$E,'Investor Exit List'!$C279,Investors!$L:$L,'Investor Exit List'!$B279)+SUMIFS(Investors!$M:$M,Investors!$I:$I,"&lt;="&amp;'NSST Print'!$B$3,Investors!$J:$J,"",Investors!$A:$A,'Investor Exit List'!$A279,Investors!$E:$E,'Investor Exit List'!$C279,Investors!$L:$L,'Investor Exit List'!$B279))+SUMIFS(Investors!$S:$S,Investors!$O:$O,FALSE,Investors!$P:$P,FALSE,Investors!$K:$K,"&gt;"&amp;'NSST Print'!$B$3,Investors!$I:$I,"&lt;="&amp;'NSST Print'!$B$3,Investors!$A:$A,'Investor Exit List'!$A279,Investors!$E:$E,'Investor Exit List'!$C279,Investors!$L:$L,'Investor Exit List'!$B279)-(SUMIFS(Investors!$S:$S,Investors!$I:$I,"&lt;="&amp;'NSST Print'!$B$3,Investors!$J:$J,"&gt;"&amp;'NSST Print'!$B$3,Investors!$A:$A,'Investor Exit List'!$A279,Investors!$E:$E,'Investor Exit List'!$C279,Investors!$L:$L,'Investor Exit List'!$B279)+SUMIFS(Investors!$S:$S,Investors!$I:$I,"&lt;="&amp;'NSST Print'!$B$3,Investors!$J:$J,"",Investors!$A:$A,'Investor Exit List'!$A279,Investors!$E:$E,'Investor Exit List'!$C279,Investors!$L:$L,'Investor Exit List'!$B279))</f>
        <v/>
      </c>
      <c r="R279" s="94">
        <f>IF(AND(H279=TRUE,I279=FALSE),Q279,0)</f>
        <v/>
      </c>
      <c r="S279" s="94">
        <f>SUMIFS(Investors!$M:$M,Investors!$O:$O,TRUE,Investors!$A:$A,'Investor Exit List'!$A279,Investors!$E:$E,'Investor Exit List'!$C279,Investors!$L:$L,'Investor Exit List'!$B279)+SUMIFS(Investors!$S:$S,Investors!$O:$O,TRUE,Investors!$A:$A,'Investor Exit List'!$A279,Investors!$E:$E,'Investor Exit List'!$C279,Investors!$L:$L,'Investor Exit List'!$B279)</f>
        <v/>
      </c>
      <c r="T279" s="95">
        <f>IF(U279=TRUE,$J279,"")</f>
        <v/>
      </c>
      <c r="U279" s="93" t="b">
        <v>0</v>
      </c>
      <c r="V279" s="94">
        <f>IF(AND(H279=TRUE,OR(K279="",K279&gt;M279)),S279,0)</f>
        <v/>
      </c>
      <c r="W279" s="93" t="n">
        <v>0</v>
      </c>
      <c r="X279" s="93" t="b">
        <v>0</v>
      </c>
    </row>
    <row r="280">
      <c r="A280" s="93" t="inlineStr">
        <is>
          <t>ZTHA01</t>
        </is>
      </c>
      <c r="B280" s="93" t="n">
        <v>5</v>
      </c>
      <c r="C280" s="93" t="inlineStr">
        <is>
          <t>HVG203</t>
        </is>
      </c>
      <c r="D280" s="93" t="inlineStr">
        <is>
          <t>G</t>
        </is>
      </c>
      <c r="E280" s="93" t="inlineStr">
        <is>
          <t>Matthee Gerald Adriaan Odendal</t>
        </is>
      </c>
      <c r="F280" s="94">
        <f>SUMIFS(Investors!$M:$M,Investors!$O:$O,FALSE,Investors!$P:$P,FALSE,Investors!$K:$K,"&gt;"&amp;'NSST Print'!$B$3,Investors!$I:$I,"&lt;="&amp;'NSST Print'!$B$3,Investors!$A:$A,'Investor Exit List'!$A280,Investors!$E:$E,'Investor Exit List'!$C280,Investors!$L:$L,'Investor Exit List'!$B280)-(SUMIFS(Investors!$M:$M,Investors!$I:$I,"&lt;="&amp;'NSST Print'!$B$3,Investors!$J:$J,"&gt;"&amp;'NSST Print'!$B$3,Investors!$A:$A,'Investor Exit List'!$A280,Investors!$E:$E,'Investor Exit List'!$C280,Investors!$L:$L,'Investor Exit List'!$B280)+SUMIFS(Investors!$M:$M,Investors!$I:$I,"&lt;="&amp;'NSST Print'!$B$3,Investors!$J:$J,"",Investors!$A:$A,'Investor Exit List'!$A280,Investors!$E:$E,'Investor Exit List'!$C280,Investors!$L:$L,'Investor Exit List'!$B280))</f>
        <v/>
      </c>
      <c r="G280" s="95" t="n">
        <v>45252</v>
      </c>
      <c r="H280" s="93" t="b">
        <v>0</v>
      </c>
      <c r="I280" s="93" t="b">
        <v>0</v>
      </c>
      <c r="J280" s="95" t="n">
        <v>45532</v>
      </c>
      <c r="K280" s="95">
        <f>IF(I280=TRUE,J280,"")</f>
        <v/>
      </c>
      <c r="L280" s="95">
        <f>G280+730</f>
        <v/>
      </c>
      <c r="M280" s="95" t="n">
        <v>45382</v>
      </c>
      <c r="N280" s="96">
        <f>IFERROR(IF(G280&lt;&gt;"",IF(I280=TRUE,0,IF(U280=TRUE,0,L280-M280)),0),0)</f>
        <v/>
      </c>
      <c r="O280" s="96">
        <f>IF(N280&gt;0,IF(N280&lt;=180,N280,0),0)</f>
        <v/>
      </c>
      <c r="P280" s="94">
        <f>IF(AND(N280&lt;90,N280&gt;0),Q280,0)</f>
        <v/>
      </c>
      <c r="Q280" s="94">
        <f>SUMIFS(Investors!$M:$M,Investors!$O:$O,FALSE,Investors!$P:$P,FALSE,Investors!$K:$K,"&gt;"&amp;'NSST Print'!$B$3,Investors!$I:$I,"&lt;="&amp;'NSST Print'!$B$3,Investors!$A:$A,'Investor Exit List'!$A280,Investors!$E:$E,'Investor Exit List'!$C280,Investors!$L:$L,'Investor Exit List'!$B280)-(SUMIFS(Investors!$M:$M,Investors!$I:$I,"&lt;="&amp;'NSST Print'!$B$3,Investors!$J:$J,"&gt;"&amp;'NSST Print'!$B$3,Investors!$A:$A,'Investor Exit List'!$A280,Investors!$E:$E,'Investor Exit List'!$C280,Investors!$L:$L,'Investor Exit List'!$B280)+SUMIFS(Investors!$M:$M,Investors!$I:$I,"&lt;="&amp;'NSST Print'!$B$3,Investors!$J:$J,"",Investors!$A:$A,'Investor Exit List'!$A280,Investors!$E:$E,'Investor Exit List'!$C280,Investors!$L:$L,'Investor Exit List'!$B280))+SUMIFS(Investors!$S:$S,Investors!$O:$O,FALSE,Investors!$P:$P,FALSE,Investors!$K:$K,"&gt;"&amp;'NSST Print'!$B$3,Investors!$I:$I,"&lt;="&amp;'NSST Print'!$B$3,Investors!$A:$A,'Investor Exit List'!$A280,Investors!$E:$E,'Investor Exit List'!$C280,Investors!$L:$L,'Investor Exit List'!$B280)-(SUMIFS(Investors!$S:$S,Investors!$I:$I,"&lt;="&amp;'NSST Print'!$B$3,Investors!$J:$J,"&gt;"&amp;'NSST Print'!$B$3,Investors!$A:$A,'Investor Exit List'!$A280,Investors!$E:$E,'Investor Exit List'!$C280,Investors!$L:$L,'Investor Exit List'!$B280)+SUMIFS(Investors!$S:$S,Investors!$I:$I,"&lt;="&amp;'NSST Print'!$B$3,Investors!$J:$J,"",Investors!$A:$A,'Investor Exit List'!$A280,Investors!$E:$E,'Investor Exit List'!$C280,Investors!$L:$L,'Investor Exit List'!$B280))</f>
        <v/>
      </c>
      <c r="R280" s="94">
        <f>IF(AND(H280=TRUE,I280=FALSE),Q280,0)</f>
        <v/>
      </c>
      <c r="S280" s="94">
        <f>SUMIFS(Investors!$M:$M,Investors!$O:$O,TRUE,Investors!$A:$A,'Investor Exit List'!$A280,Investors!$E:$E,'Investor Exit List'!$C280,Investors!$L:$L,'Investor Exit List'!$B280)+SUMIFS(Investors!$S:$S,Investors!$O:$O,TRUE,Investors!$A:$A,'Investor Exit List'!$A280,Investors!$E:$E,'Investor Exit List'!$C280,Investors!$L:$L,'Investor Exit List'!$B280)</f>
        <v/>
      </c>
      <c r="T280" s="95">
        <f>IF(U280=TRUE,$J280,"")</f>
        <v/>
      </c>
      <c r="U280" s="93" t="b">
        <v>0</v>
      </c>
      <c r="V280" s="94">
        <f>IF(AND(H280=TRUE,OR(K280="",K280&gt;M280)),S280,0)</f>
        <v/>
      </c>
      <c r="W280" s="93" t="n">
        <v>0</v>
      </c>
      <c r="X280" s="93" t="b">
        <v>0</v>
      </c>
    </row>
    <row r="281">
      <c r="A281" s="93" t="inlineStr">
        <is>
          <t>ZBAS01</t>
        </is>
      </c>
      <c r="B281" s="93" t="n">
        <v>1</v>
      </c>
      <c r="C281" s="93" t="inlineStr">
        <is>
          <t>HVG204</t>
        </is>
      </c>
      <c r="D281" s="93" t="inlineStr">
        <is>
          <t>G</t>
        </is>
      </c>
      <c r="E281" s="93" t="inlineStr">
        <is>
          <t>Basson Nicolaas Johannes (Nico)</t>
        </is>
      </c>
      <c r="F281" s="94">
        <f>SUMIFS(Investors!$M:$M,Investors!$O:$O,FALSE,Investors!$P:$P,FALSE,Investors!$K:$K,"&gt;"&amp;'NSST Print'!$B$3,Investors!$I:$I,"&lt;="&amp;'NSST Print'!$B$3,Investors!$A:$A,'Investor Exit List'!$A281,Investors!$E:$E,'Investor Exit List'!$C281,Investors!$L:$L,'Investor Exit List'!$B281)-(SUMIFS(Investors!$M:$M,Investors!$I:$I,"&lt;="&amp;'NSST Print'!$B$3,Investors!$J:$J,"&gt;"&amp;'NSST Print'!$B$3,Investors!$A:$A,'Investor Exit List'!$A281,Investors!$E:$E,'Investor Exit List'!$C281,Investors!$L:$L,'Investor Exit List'!$B281)+SUMIFS(Investors!$M:$M,Investors!$I:$I,"&lt;="&amp;'NSST Print'!$B$3,Investors!$J:$J,"",Investors!$A:$A,'Investor Exit List'!$A281,Investors!$E:$E,'Investor Exit List'!$C281,Investors!$L:$L,'Investor Exit List'!$B281))</f>
        <v/>
      </c>
      <c r="G281" s="95" t="n">
        <v>45198</v>
      </c>
      <c r="H281" s="93" t="b">
        <v>0</v>
      </c>
      <c r="I281" s="93" t="b">
        <v>0</v>
      </c>
      <c r="J281" s="95" t="n">
        <v>45532</v>
      </c>
      <c r="K281" s="95">
        <f>IF(I281=TRUE,J281,"")</f>
        <v/>
      </c>
      <c r="L281" s="95">
        <f>G281+730</f>
        <v/>
      </c>
      <c r="M281" s="95" t="n">
        <v>45382</v>
      </c>
      <c r="N281" s="96">
        <f>IFERROR(IF(G281&lt;&gt;"",IF(I281=TRUE,0,IF(U281=TRUE,0,L281-M281)),0),0)</f>
        <v/>
      </c>
      <c r="O281" s="96">
        <f>IF(N281&gt;0,IF(N281&lt;=180,N281,0),0)</f>
        <v/>
      </c>
      <c r="P281" s="94">
        <f>IF(AND(N281&lt;90,N281&gt;0),Q281,0)</f>
        <v/>
      </c>
      <c r="Q281" s="94">
        <f>SUMIFS(Investors!$M:$M,Investors!$O:$O,FALSE,Investors!$P:$P,FALSE,Investors!$K:$K,"&gt;"&amp;'NSST Print'!$B$3,Investors!$I:$I,"&lt;="&amp;'NSST Print'!$B$3,Investors!$A:$A,'Investor Exit List'!$A281,Investors!$E:$E,'Investor Exit List'!$C281,Investors!$L:$L,'Investor Exit List'!$B281)-(SUMIFS(Investors!$M:$M,Investors!$I:$I,"&lt;="&amp;'NSST Print'!$B$3,Investors!$J:$J,"&gt;"&amp;'NSST Print'!$B$3,Investors!$A:$A,'Investor Exit List'!$A281,Investors!$E:$E,'Investor Exit List'!$C281,Investors!$L:$L,'Investor Exit List'!$B281)+SUMIFS(Investors!$M:$M,Investors!$I:$I,"&lt;="&amp;'NSST Print'!$B$3,Investors!$J:$J,"",Investors!$A:$A,'Investor Exit List'!$A281,Investors!$E:$E,'Investor Exit List'!$C281,Investors!$L:$L,'Investor Exit List'!$B281))+SUMIFS(Investors!$S:$S,Investors!$O:$O,FALSE,Investors!$P:$P,FALSE,Investors!$K:$K,"&gt;"&amp;'NSST Print'!$B$3,Investors!$I:$I,"&lt;="&amp;'NSST Print'!$B$3,Investors!$A:$A,'Investor Exit List'!$A281,Investors!$E:$E,'Investor Exit List'!$C281,Investors!$L:$L,'Investor Exit List'!$B281)-(SUMIFS(Investors!$S:$S,Investors!$I:$I,"&lt;="&amp;'NSST Print'!$B$3,Investors!$J:$J,"&gt;"&amp;'NSST Print'!$B$3,Investors!$A:$A,'Investor Exit List'!$A281,Investors!$E:$E,'Investor Exit List'!$C281,Investors!$L:$L,'Investor Exit List'!$B281)+SUMIFS(Investors!$S:$S,Investors!$I:$I,"&lt;="&amp;'NSST Print'!$B$3,Investors!$J:$J,"",Investors!$A:$A,'Investor Exit List'!$A281,Investors!$E:$E,'Investor Exit List'!$C281,Investors!$L:$L,'Investor Exit List'!$B281))</f>
        <v/>
      </c>
      <c r="R281" s="94">
        <f>IF(AND(H281=TRUE,I281=FALSE),Q281,0)</f>
        <v/>
      </c>
      <c r="S281" s="94">
        <f>SUMIFS(Investors!$M:$M,Investors!$O:$O,TRUE,Investors!$A:$A,'Investor Exit List'!$A281,Investors!$E:$E,'Investor Exit List'!$C281,Investors!$L:$L,'Investor Exit List'!$B281)+SUMIFS(Investors!$S:$S,Investors!$O:$O,TRUE,Investors!$A:$A,'Investor Exit List'!$A281,Investors!$E:$E,'Investor Exit List'!$C281,Investors!$L:$L,'Investor Exit List'!$B281)</f>
        <v/>
      </c>
      <c r="T281" s="95">
        <f>IF(U281=TRUE,$J281,"")</f>
        <v/>
      </c>
      <c r="U281" s="93" t="b">
        <v>0</v>
      </c>
      <c r="V281" s="94">
        <f>IF(AND(H281=TRUE,OR(K281="",K281&gt;M281)),S281,0)</f>
        <v/>
      </c>
      <c r="W281" s="93" t="n">
        <v>0</v>
      </c>
      <c r="X281" s="93" t="b">
        <v>0</v>
      </c>
    </row>
    <row r="282">
      <c r="A282" s="93" t="inlineStr">
        <is>
          <t>ZBEL01</t>
        </is>
      </c>
      <c r="B282" s="93" t="n">
        <v>7</v>
      </c>
      <c r="C282" s="93" t="inlineStr">
        <is>
          <t>HVG204</t>
        </is>
      </c>
      <c r="D282" s="93" t="inlineStr">
        <is>
          <t>G</t>
        </is>
      </c>
      <c r="E282" s="93" t="inlineStr">
        <is>
          <t>Belford Helen Constance</t>
        </is>
      </c>
      <c r="F282" s="94">
        <f>SUMIFS(Investors!$M:$M,Investors!$O:$O,FALSE,Investors!$P:$P,FALSE,Investors!$K:$K,"&gt;"&amp;'NSST Print'!$B$3,Investors!$I:$I,"&lt;="&amp;'NSST Print'!$B$3,Investors!$A:$A,'Investor Exit List'!$A282,Investors!$E:$E,'Investor Exit List'!$C282,Investors!$L:$L,'Investor Exit List'!$B282)-(SUMIFS(Investors!$M:$M,Investors!$I:$I,"&lt;="&amp;'NSST Print'!$B$3,Investors!$J:$J,"&gt;"&amp;'NSST Print'!$B$3,Investors!$A:$A,'Investor Exit List'!$A282,Investors!$E:$E,'Investor Exit List'!$C282,Investors!$L:$L,'Investor Exit List'!$B282)+SUMIFS(Investors!$M:$M,Investors!$I:$I,"&lt;="&amp;'NSST Print'!$B$3,Investors!$J:$J,"",Investors!$A:$A,'Investor Exit List'!$A282,Investors!$E:$E,'Investor Exit List'!$C282,Investors!$L:$L,'Investor Exit List'!$B282))</f>
        <v/>
      </c>
      <c r="G282" s="95" t="n">
        <v>45252</v>
      </c>
      <c r="H282" s="93" t="b">
        <v>0</v>
      </c>
      <c r="I282" s="93" t="b">
        <v>0</v>
      </c>
      <c r="J282" s="95" t="n">
        <v>45532</v>
      </c>
      <c r="K282" s="95">
        <f>IF(I282=TRUE,J282,"")</f>
        <v/>
      </c>
      <c r="L282" s="95">
        <f>G282+730</f>
        <v/>
      </c>
      <c r="M282" s="95" t="n">
        <v>45382</v>
      </c>
      <c r="N282" s="96">
        <f>IFERROR(IF(G282&lt;&gt;"",IF(I282=TRUE,0,IF(U282=TRUE,0,L282-M282)),0),0)</f>
        <v/>
      </c>
      <c r="O282" s="96">
        <f>IF(N282&gt;0,IF(N282&lt;=180,N282,0),0)</f>
        <v/>
      </c>
      <c r="P282" s="94">
        <f>IF(AND(N282&lt;90,N282&gt;0),Q282,0)</f>
        <v/>
      </c>
      <c r="Q282" s="94">
        <f>SUMIFS(Investors!$M:$M,Investors!$O:$O,FALSE,Investors!$P:$P,FALSE,Investors!$K:$K,"&gt;"&amp;'NSST Print'!$B$3,Investors!$I:$I,"&lt;="&amp;'NSST Print'!$B$3,Investors!$A:$A,'Investor Exit List'!$A282,Investors!$E:$E,'Investor Exit List'!$C282,Investors!$L:$L,'Investor Exit List'!$B282)-(SUMIFS(Investors!$M:$M,Investors!$I:$I,"&lt;="&amp;'NSST Print'!$B$3,Investors!$J:$J,"&gt;"&amp;'NSST Print'!$B$3,Investors!$A:$A,'Investor Exit List'!$A282,Investors!$E:$E,'Investor Exit List'!$C282,Investors!$L:$L,'Investor Exit List'!$B282)+SUMIFS(Investors!$M:$M,Investors!$I:$I,"&lt;="&amp;'NSST Print'!$B$3,Investors!$J:$J,"",Investors!$A:$A,'Investor Exit List'!$A282,Investors!$E:$E,'Investor Exit List'!$C282,Investors!$L:$L,'Investor Exit List'!$B282))+SUMIFS(Investors!$S:$S,Investors!$O:$O,FALSE,Investors!$P:$P,FALSE,Investors!$K:$K,"&gt;"&amp;'NSST Print'!$B$3,Investors!$I:$I,"&lt;="&amp;'NSST Print'!$B$3,Investors!$A:$A,'Investor Exit List'!$A282,Investors!$E:$E,'Investor Exit List'!$C282,Investors!$L:$L,'Investor Exit List'!$B282)-(SUMIFS(Investors!$S:$S,Investors!$I:$I,"&lt;="&amp;'NSST Print'!$B$3,Investors!$J:$J,"&gt;"&amp;'NSST Print'!$B$3,Investors!$A:$A,'Investor Exit List'!$A282,Investors!$E:$E,'Investor Exit List'!$C282,Investors!$L:$L,'Investor Exit List'!$B282)+SUMIFS(Investors!$S:$S,Investors!$I:$I,"&lt;="&amp;'NSST Print'!$B$3,Investors!$J:$J,"",Investors!$A:$A,'Investor Exit List'!$A282,Investors!$E:$E,'Investor Exit List'!$C282,Investors!$L:$L,'Investor Exit List'!$B282))</f>
        <v/>
      </c>
      <c r="R282" s="94">
        <f>IF(AND(H282=TRUE,I282=FALSE),Q282,0)</f>
        <v/>
      </c>
      <c r="S282" s="94">
        <f>SUMIFS(Investors!$M:$M,Investors!$O:$O,TRUE,Investors!$A:$A,'Investor Exit List'!$A282,Investors!$E:$E,'Investor Exit List'!$C282,Investors!$L:$L,'Investor Exit List'!$B282)+SUMIFS(Investors!$S:$S,Investors!$O:$O,TRUE,Investors!$A:$A,'Investor Exit List'!$A282,Investors!$E:$E,'Investor Exit List'!$C282,Investors!$L:$L,'Investor Exit List'!$B282)</f>
        <v/>
      </c>
      <c r="T282" s="95">
        <f>IF(U282=TRUE,$J282,"")</f>
        <v/>
      </c>
      <c r="U282" s="93" t="b">
        <v>0</v>
      </c>
      <c r="V282" s="94">
        <f>IF(AND(H282=TRUE,OR(K282="",K282&gt;M282)),S282,0)</f>
        <v/>
      </c>
      <c r="W282" s="93" t="n">
        <v>0</v>
      </c>
      <c r="X282" s="93" t="b">
        <v>0</v>
      </c>
    </row>
    <row r="283">
      <c r="A283" s="93" t="inlineStr">
        <is>
          <t>ZMOS01</t>
        </is>
      </c>
      <c r="B283" s="93" t="n">
        <v>1</v>
      </c>
      <c r="C283" s="93" t="inlineStr">
        <is>
          <t>HVG204</t>
        </is>
      </c>
      <c r="D283" s="93" t="inlineStr">
        <is>
          <t>G</t>
        </is>
      </c>
      <c r="E283" s="93" t="inlineStr">
        <is>
          <t>Mosca Colin Giovanni</t>
        </is>
      </c>
      <c r="F283" s="94">
        <f>SUMIFS(Investors!$M:$M,Investors!$O:$O,FALSE,Investors!$P:$P,FALSE,Investors!$K:$K,"&gt;"&amp;'NSST Print'!$B$3,Investors!$I:$I,"&lt;="&amp;'NSST Print'!$B$3,Investors!$A:$A,'Investor Exit List'!$A283,Investors!$E:$E,'Investor Exit List'!$C283,Investors!$L:$L,'Investor Exit List'!$B283)-(SUMIFS(Investors!$M:$M,Investors!$I:$I,"&lt;="&amp;'NSST Print'!$B$3,Investors!$J:$J,"&gt;"&amp;'NSST Print'!$B$3,Investors!$A:$A,'Investor Exit List'!$A283,Investors!$E:$E,'Investor Exit List'!$C283,Investors!$L:$L,'Investor Exit List'!$B283)+SUMIFS(Investors!$M:$M,Investors!$I:$I,"&lt;="&amp;'NSST Print'!$B$3,Investors!$J:$J,"",Investors!$A:$A,'Investor Exit List'!$A283,Investors!$E:$E,'Investor Exit List'!$C283,Investors!$L:$L,'Investor Exit List'!$B283))</f>
        <v/>
      </c>
      <c r="G283" s="95" t="n">
        <v>45198</v>
      </c>
      <c r="H283" s="93" t="b">
        <v>0</v>
      </c>
      <c r="I283" s="93" t="b">
        <v>0</v>
      </c>
      <c r="J283" s="95" t="n">
        <v>45532</v>
      </c>
      <c r="K283" s="95">
        <f>IF(I283=TRUE,J283,"")</f>
        <v/>
      </c>
      <c r="L283" s="95">
        <f>G283+730</f>
        <v/>
      </c>
      <c r="M283" s="95" t="n">
        <v>45382</v>
      </c>
      <c r="N283" s="96">
        <f>IFERROR(IF(G283&lt;&gt;"",IF(I283=TRUE,0,IF(U283=TRUE,0,L283-M283)),0),0)</f>
        <v/>
      </c>
      <c r="O283" s="96">
        <f>IF(N283&gt;0,IF(N283&lt;=180,N283,0),0)</f>
        <v/>
      </c>
      <c r="P283" s="94">
        <f>IF(AND(N283&lt;90,N283&gt;0),Q283,0)</f>
        <v/>
      </c>
      <c r="Q283" s="94">
        <f>SUMIFS(Investors!$M:$M,Investors!$O:$O,FALSE,Investors!$P:$P,FALSE,Investors!$K:$K,"&gt;"&amp;'NSST Print'!$B$3,Investors!$I:$I,"&lt;="&amp;'NSST Print'!$B$3,Investors!$A:$A,'Investor Exit List'!$A283,Investors!$E:$E,'Investor Exit List'!$C283,Investors!$L:$L,'Investor Exit List'!$B283)-(SUMIFS(Investors!$M:$M,Investors!$I:$I,"&lt;="&amp;'NSST Print'!$B$3,Investors!$J:$J,"&gt;"&amp;'NSST Print'!$B$3,Investors!$A:$A,'Investor Exit List'!$A283,Investors!$E:$E,'Investor Exit List'!$C283,Investors!$L:$L,'Investor Exit List'!$B283)+SUMIFS(Investors!$M:$M,Investors!$I:$I,"&lt;="&amp;'NSST Print'!$B$3,Investors!$J:$J,"",Investors!$A:$A,'Investor Exit List'!$A283,Investors!$E:$E,'Investor Exit List'!$C283,Investors!$L:$L,'Investor Exit List'!$B283))+SUMIFS(Investors!$S:$S,Investors!$O:$O,FALSE,Investors!$P:$P,FALSE,Investors!$K:$K,"&gt;"&amp;'NSST Print'!$B$3,Investors!$I:$I,"&lt;="&amp;'NSST Print'!$B$3,Investors!$A:$A,'Investor Exit List'!$A283,Investors!$E:$E,'Investor Exit List'!$C283,Investors!$L:$L,'Investor Exit List'!$B283)-(SUMIFS(Investors!$S:$S,Investors!$I:$I,"&lt;="&amp;'NSST Print'!$B$3,Investors!$J:$J,"&gt;"&amp;'NSST Print'!$B$3,Investors!$A:$A,'Investor Exit List'!$A283,Investors!$E:$E,'Investor Exit List'!$C283,Investors!$L:$L,'Investor Exit List'!$B283)+SUMIFS(Investors!$S:$S,Investors!$I:$I,"&lt;="&amp;'NSST Print'!$B$3,Investors!$J:$J,"",Investors!$A:$A,'Investor Exit List'!$A283,Investors!$E:$E,'Investor Exit List'!$C283,Investors!$L:$L,'Investor Exit List'!$B283))</f>
        <v/>
      </c>
      <c r="R283" s="94">
        <f>IF(AND(H283=TRUE,I283=FALSE),Q283,0)</f>
        <v/>
      </c>
      <c r="S283" s="94">
        <f>SUMIFS(Investors!$M:$M,Investors!$O:$O,TRUE,Investors!$A:$A,'Investor Exit List'!$A283,Investors!$E:$E,'Investor Exit List'!$C283,Investors!$L:$L,'Investor Exit List'!$B283)+SUMIFS(Investors!$S:$S,Investors!$O:$O,TRUE,Investors!$A:$A,'Investor Exit List'!$A283,Investors!$E:$E,'Investor Exit List'!$C283,Investors!$L:$L,'Investor Exit List'!$B283)</f>
        <v/>
      </c>
      <c r="T283" s="95">
        <f>IF(U283=TRUE,$J283,"")</f>
        <v/>
      </c>
      <c r="U283" s="93" t="b">
        <v>0</v>
      </c>
      <c r="V283" s="94">
        <f>IF(AND(H283=TRUE,OR(K283="",K283&gt;M283)),S283,0)</f>
        <v/>
      </c>
      <c r="W283" s="93" t="n">
        <v>0</v>
      </c>
      <c r="X283" s="93" t="b">
        <v>0</v>
      </c>
    </row>
    <row r="284">
      <c r="A284" s="93" t="inlineStr">
        <is>
          <t>ZHAR02</t>
        </is>
      </c>
      <c r="B284" s="93" t="n">
        <v>1</v>
      </c>
      <c r="C284" s="93" t="inlineStr">
        <is>
          <t>HVG301</t>
        </is>
      </c>
      <c r="D284" s="93" t="inlineStr">
        <is>
          <t>G</t>
        </is>
      </c>
      <c r="E284" s="93" t="inlineStr">
        <is>
          <t>Harrington Lionel Carl</t>
        </is>
      </c>
      <c r="F284" s="94">
        <f>SUMIFS(Investors!$M:$M,Investors!$O:$O,FALSE,Investors!$P:$P,FALSE,Investors!$K:$K,"&gt;"&amp;'NSST Print'!$B$3,Investors!$I:$I,"&lt;="&amp;'NSST Print'!$B$3,Investors!$A:$A,'Investor Exit List'!$A284,Investors!$E:$E,'Investor Exit List'!$C284,Investors!$L:$L,'Investor Exit List'!$B284)-(SUMIFS(Investors!$M:$M,Investors!$I:$I,"&lt;="&amp;'NSST Print'!$B$3,Investors!$J:$J,"&gt;"&amp;'NSST Print'!$B$3,Investors!$A:$A,'Investor Exit List'!$A284,Investors!$E:$E,'Investor Exit List'!$C284,Investors!$L:$L,'Investor Exit List'!$B284)+SUMIFS(Investors!$M:$M,Investors!$I:$I,"&lt;="&amp;'NSST Print'!$B$3,Investors!$J:$J,"",Investors!$A:$A,'Investor Exit List'!$A284,Investors!$E:$E,'Investor Exit List'!$C284,Investors!$L:$L,'Investor Exit List'!$B284))</f>
        <v/>
      </c>
      <c r="G284" s="95" t="n">
        <v>45198</v>
      </c>
      <c r="H284" s="93" t="b">
        <v>0</v>
      </c>
      <c r="I284" s="93" t="b">
        <v>0</v>
      </c>
      <c r="J284" s="95" t="n">
        <v>45532</v>
      </c>
      <c r="K284" s="95">
        <f>IF(I284=TRUE,J284,"")</f>
        <v/>
      </c>
      <c r="L284" s="95">
        <f>G284+730</f>
        <v/>
      </c>
      <c r="M284" s="95" t="n">
        <v>45382</v>
      </c>
      <c r="N284" s="96">
        <f>IFERROR(IF(G284&lt;&gt;"",IF(I284=TRUE,0,IF(U284=TRUE,0,L284-M284)),0),0)</f>
        <v/>
      </c>
      <c r="O284" s="96">
        <f>IF(N284&gt;0,IF(N284&lt;=180,N284,0),0)</f>
        <v/>
      </c>
      <c r="P284" s="94">
        <f>IF(AND(N284&lt;90,N284&gt;0),Q284,0)</f>
        <v/>
      </c>
      <c r="Q284" s="94">
        <f>SUMIFS(Investors!$M:$M,Investors!$O:$O,FALSE,Investors!$P:$P,FALSE,Investors!$K:$K,"&gt;"&amp;'NSST Print'!$B$3,Investors!$I:$I,"&lt;="&amp;'NSST Print'!$B$3,Investors!$A:$A,'Investor Exit List'!$A284,Investors!$E:$E,'Investor Exit List'!$C284,Investors!$L:$L,'Investor Exit List'!$B284)-(SUMIFS(Investors!$M:$M,Investors!$I:$I,"&lt;="&amp;'NSST Print'!$B$3,Investors!$J:$J,"&gt;"&amp;'NSST Print'!$B$3,Investors!$A:$A,'Investor Exit List'!$A284,Investors!$E:$E,'Investor Exit List'!$C284,Investors!$L:$L,'Investor Exit List'!$B284)+SUMIFS(Investors!$M:$M,Investors!$I:$I,"&lt;="&amp;'NSST Print'!$B$3,Investors!$J:$J,"",Investors!$A:$A,'Investor Exit List'!$A284,Investors!$E:$E,'Investor Exit List'!$C284,Investors!$L:$L,'Investor Exit List'!$B284))+SUMIFS(Investors!$S:$S,Investors!$O:$O,FALSE,Investors!$P:$P,FALSE,Investors!$K:$K,"&gt;"&amp;'NSST Print'!$B$3,Investors!$I:$I,"&lt;="&amp;'NSST Print'!$B$3,Investors!$A:$A,'Investor Exit List'!$A284,Investors!$E:$E,'Investor Exit List'!$C284,Investors!$L:$L,'Investor Exit List'!$B284)-(SUMIFS(Investors!$S:$S,Investors!$I:$I,"&lt;="&amp;'NSST Print'!$B$3,Investors!$J:$J,"&gt;"&amp;'NSST Print'!$B$3,Investors!$A:$A,'Investor Exit List'!$A284,Investors!$E:$E,'Investor Exit List'!$C284,Investors!$L:$L,'Investor Exit List'!$B284)+SUMIFS(Investors!$S:$S,Investors!$I:$I,"&lt;="&amp;'NSST Print'!$B$3,Investors!$J:$J,"",Investors!$A:$A,'Investor Exit List'!$A284,Investors!$E:$E,'Investor Exit List'!$C284,Investors!$L:$L,'Investor Exit List'!$B284))</f>
        <v/>
      </c>
      <c r="R284" s="94">
        <f>IF(AND(H284=TRUE,I284=FALSE),Q284,0)</f>
        <v/>
      </c>
      <c r="S284" s="94">
        <f>SUMIFS(Investors!$M:$M,Investors!$O:$O,TRUE,Investors!$A:$A,'Investor Exit List'!$A284,Investors!$E:$E,'Investor Exit List'!$C284,Investors!$L:$L,'Investor Exit List'!$B284)+SUMIFS(Investors!$S:$S,Investors!$O:$O,TRUE,Investors!$A:$A,'Investor Exit List'!$A284,Investors!$E:$E,'Investor Exit List'!$C284,Investors!$L:$L,'Investor Exit List'!$B284)</f>
        <v/>
      </c>
      <c r="T284" s="95">
        <f>IF(U284=TRUE,$J284,"")</f>
        <v/>
      </c>
      <c r="U284" s="93" t="b">
        <v>0</v>
      </c>
      <c r="V284" s="94">
        <f>IF(AND(H284=TRUE,OR(K284="",K284&gt;M284)),S284,0)</f>
        <v/>
      </c>
      <c r="W284" s="93" t="n">
        <v>0</v>
      </c>
      <c r="X284" s="93" t="b">
        <v>0</v>
      </c>
    </row>
    <row r="285">
      <c r="A285" s="93" t="inlineStr">
        <is>
          <t>ZNIE01</t>
        </is>
      </c>
      <c r="B285" s="93" t="n">
        <v>5</v>
      </c>
      <c r="C285" s="93" t="inlineStr">
        <is>
          <t>HVG301</t>
        </is>
      </c>
      <c r="D285" s="93" t="inlineStr">
        <is>
          <t>G</t>
        </is>
      </c>
      <c r="E285" s="93" t="inlineStr">
        <is>
          <t>van Niekerk Grant Richard</t>
        </is>
      </c>
      <c r="F285" s="94">
        <f>SUMIFS(Investors!$M:$M,Investors!$O:$O,FALSE,Investors!$P:$P,FALSE,Investors!$K:$K,"&gt;"&amp;'NSST Print'!$B$3,Investors!$I:$I,"&lt;="&amp;'NSST Print'!$B$3,Investors!$A:$A,'Investor Exit List'!$A285,Investors!$E:$E,'Investor Exit List'!$C285,Investors!$L:$L,'Investor Exit List'!$B285)-(SUMIFS(Investors!$M:$M,Investors!$I:$I,"&lt;="&amp;'NSST Print'!$B$3,Investors!$J:$J,"&gt;"&amp;'NSST Print'!$B$3,Investors!$A:$A,'Investor Exit List'!$A285,Investors!$E:$E,'Investor Exit List'!$C285,Investors!$L:$L,'Investor Exit List'!$B285)+SUMIFS(Investors!$M:$M,Investors!$I:$I,"&lt;="&amp;'NSST Print'!$B$3,Investors!$J:$J,"",Investors!$A:$A,'Investor Exit List'!$A285,Investors!$E:$E,'Investor Exit List'!$C285,Investors!$L:$L,'Investor Exit List'!$B285))</f>
        <v/>
      </c>
      <c r="G285" s="95" t="n">
        <v>45198</v>
      </c>
      <c r="H285" s="93" t="b">
        <v>0</v>
      </c>
      <c r="I285" s="93" t="b">
        <v>0</v>
      </c>
      <c r="J285" s="95" t="n">
        <v>45532</v>
      </c>
      <c r="K285" s="95">
        <f>IF(I285=TRUE,J285,"")</f>
        <v/>
      </c>
      <c r="L285" s="95">
        <f>G285+730</f>
        <v/>
      </c>
      <c r="M285" s="95" t="n">
        <v>45382</v>
      </c>
      <c r="N285" s="96">
        <f>IFERROR(IF(G285&lt;&gt;"",IF(I285=TRUE,0,IF(U285=TRUE,0,L285-M285)),0),0)</f>
        <v/>
      </c>
      <c r="O285" s="96">
        <f>IF(N285&gt;0,IF(N285&lt;=180,N285,0),0)</f>
        <v/>
      </c>
      <c r="P285" s="94">
        <f>IF(AND(N285&lt;90,N285&gt;0),Q285,0)</f>
        <v/>
      </c>
      <c r="Q285" s="94">
        <f>SUMIFS(Investors!$M:$M,Investors!$O:$O,FALSE,Investors!$P:$P,FALSE,Investors!$K:$K,"&gt;"&amp;'NSST Print'!$B$3,Investors!$I:$I,"&lt;="&amp;'NSST Print'!$B$3,Investors!$A:$A,'Investor Exit List'!$A285,Investors!$E:$E,'Investor Exit List'!$C285,Investors!$L:$L,'Investor Exit List'!$B285)-(SUMIFS(Investors!$M:$M,Investors!$I:$I,"&lt;="&amp;'NSST Print'!$B$3,Investors!$J:$J,"&gt;"&amp;'NSST Print'!$B$3,Investors!$A:$A,'Investor Exit List'!$A285,Investors!$E:$E,'Investor Exit List'!$C285,Investors!$L:$L,'Investor Exit List'!$B285)+SUMIFS(Investors!$M:$M,Investors!$I:$I,"&lt;="&amp;'NSST Print'!$B$3,Investors!$J:$J,"",Investors!$A:$A,'Investor Exit List'!$A285,Investors!$E:$E,'Investor Exit List'!$C285,Investors!$L:$L,'Investor Exit List'!$B285))+SUMIFS(Investors!$S:$S,Investors!$O:$O,FALSE,Investors!$P:$P,FALSE,Investors!$K:$K,"&gt;"&amp;'NSST Print'!$B$3,Investors!$I:$I,"&lt;="&amp;'NSST Print'!$B$3,Investors!$A:$A,'Investor Exit List'!$A285,Investors!$E:$E,'Investor Exit List'!$C285,Investors!$L:$L,'Investor Exit List'!$B285)-(SUMIFS(Investors!$S:$S,Investors!$I:$I,"&lt;="&amp;'NSST Print'!$B$3,Investors!$J:$J,"&gt;"&amp;'NSST Print'!$B$3,Investors!$A:$A,'Investor Exit List'!$A285,Investors!$E:$E,'Investor Exit List'!$C285,Investors!$L:$L,'Investor Exit List'!$B285)+SUMIFS(Investors!$S:$S,Investors!$I:$I,"&lt;="&amp;'NSST Print'!$B$3,Investors!$J:$J,"",Investors!$A:$A,'Investor Exit List'!$A285,Investors!$E:$E,'Investor Exit List'!$C285,Investors!$L:$L,'Investor Exit List'!$B285))</f>
        <v/>
      </c>
      <c r="R285" s="94">
        <f>IF(AND(H285=TRUE,I285=FALSE),Q285,0)</f>
        <v/>
      </c>
      <c r="S285" s="94">
        <f>SUMIFS(Investors!$M:$M,Investors!$O:$O,TRUE,Investors!$A:$A,'Investor Exit List'!$A285,Investors!$E:$E,'Investor Exit List'!$C285,Investors!$L:$L,'Investor Exit List'!$B285)+SUMIFS(Investors!$S:$S,Investors!$O:$O,TRUE,Investors!$A:$A,'Investor Exit List'!$A285,Investors!$E:$E,'Investor Exit List'!$C285,Investors!$L:$L,'Investor Exit List'!$B285)</f>
        <v/>
      </c>
      <c r="T285" s="95">
        <f>IF(U285=TRUE,$J285,"")</f>
        <v/>
      </c>
      <c r="U285" s="93" t="b">
        <v>0</v>
      </c>
      <c r="V285" s="94">
        <f>IF(AND(H285=TRUE,OR(K285="",K285&gt;M285)),S285,0)</f>
        <v/>
      </c>
      <c r="W285" s="93" t="n">
        <v>0</v>
      </c>
      <c r="X285" s="93" t="b">
        <v>0</v>
      </c>
    </row>
    <row r="286">
      <c r="A286" s="93" t="inlineStr">
        <is>
          <t>ZVAN05</t>
        </is>
      </c>
      <c r="B286" s="93" t="n">
        <v>10</v>
      </c>
      <c r="C286" s="93" t="inlineStr">
        <is>
          <t>HVG301</t>
        </is>
      </c>
      <c r="D286" s="93" t="inlineStr">
        <is>
          <t>G</t>
        </is>
      </c>
      <c r="E286" s="93" t="inlineStr">
        <is>
          <t>van der Sandt Hermanus</t>
        </is>
      </c>
      <c r="F286" s="94">
        <f>SUMIFS(Investors!$M:$M,Investors!$O:$O,FALSE,Investors!$P:$P,FALSE,Investors!$K:$K,"&gt;"&amp;'NSST Print'!$B$3,Investors!$I:$I,"&lt;="&amp;'NSST Print'!$B$3,Investors!$A:$A,'Investor Exit List'!$A286,Investors!$E:$E,'Investor Exit List'!$C286,Investors!$L:$L,'Investor Exit List'!$B286)-(SUMIFS(Investors!$M:$M,Investors!$I:$I,"&lt;="&amp;'NSST Print'!$B$3,Investors!$J:$J,"&gt;"&amp;'NSST Print'!$B$3,Investors!$A:$A,'Investor Exit List'!$A286,Investors!$E:$E,'Investor Exit List'!$C286,Investors!$L:$L,'Investor Exit List'!$B286)+SUMIFS(Investors!$M:$M,Investors!$I:$I,"&lt;="&amp;'NSST Print'!$B$3,Investors!$J:$J,"",Investors!$A:$A,'Investor Exit List'!$A286,Investors!$E:$E,'Investor Exit List'!$C286,Investors!$L:$L,'Investor Exit List'!$B286))</f>
        <v/>
      </c>
      <c r="G286" s="95" t="n">
        <v>45198</v>
      </c>
      <c r="H286" s="93" t="b">
        <v>0</v>
      </c>
      <c r="I286" s="93" t="b">
        <v>0</v>
      </c>
      <c r="J286" s="95" t="n">
        <v>45532</v>
      </c>
      <c r="K286" s="95">
        <f>IF(I286=TRUE,J286,"")</f>
        <v/>
      </c>
      <c r="L286" s="95">
        <f>G286+730</f>
        <v/>
      </c>
      <c r="M286" s="95" t="n">
        <v>45382</v>
      </c>
      <c r="N286" s="96">
        <f>IFERROR(IF(G286&lt;&gt;"",IF(I286=TRUE,0,IF(U286=TRUE,0,L286-M286)),0),0)</f>
        <v/>
      </c>
      <c r="O286" s="96">
        <f>IF(N286&gt;0,IF(N286&lt;=180,N286,0),0)</f>
        <v/>
      </c>
      <c r="P286" s="94">
        <f>IF(AND(N286&lt;90,N286&gt;0),Q286,0)</f>
        <v/>
      </c>
      <c r="Q286" s="94">
        <f>SUMIFS(Investors!$M:$M,Investors!$O:$O,FALSE,Investors!$P:$P,FALSE,Investors!$K:$K,"&gt;"&amp;'NSST Print'!$B$3,Investors!$I:$I,"&lt;="&amp;'NSST Print'!$B$3,Investors!$A:$A,'Investor Exit List'!$A286,Investors!$E:$E,'Investor Exit List'!$C286,Investors!$L:$L,'Investor Exit List'!$B286)-(SUMIFS(Investors!$M:$M,Investors!$I:$I,"&lt;="&amp;'NSST Print'!$B$3,Investors!$J:$J,"&gt;"&amp;'NSST Print'!$B$3,Investors!$A:$A,'Investor Exit List'!$A286,Investors!$E:$E,'Investor Exit List'!$C286,Investors!$L:$L,'Investor Exit List'!$B286)+SUMIFS(Investors!$M:$M,Investors!$I:$I,"&lt;="&amp;'NSST Print'!$B$3,Investors!$J:$J,"",Investors!$A:$A,'Investor Exit List'!$A286,Investors!$E:$E,'Investor Exit List'!$C286,Investors!$L:$L,'Investor Exit List'!$B286))+SUMIFS(Investors!$S:$S,Investors!$O:$O,FALSE,Investors!$P:$P,FALSE,Investors!$K:$K,"&gt;"&amp;'NSST Print'!$B$3,Investors!$I:$I,"&lt;="&amp;'NSST Print'!$B$3,Investors!$A:$A,'Investor Exit List'!$A286,Investors!$E:$E,'Investor Exit List'!$C286,Investors!$L:$L,'Investor Exit List'!$B286)-(SUMIFS(Investors!$S:$S,Investors!$I:$I,"&lt;="&amp;'NSST Print'!$B$3,Investors!$J:$J,"&gt;"&amp;'NSST Print'!$B$3,Investors!$A:$A,'Investor Exit List'!$A286,Investors!$E:$E,'Investor Exit List'!$C286,Investors!$L:$L,'Investor Exit List'!$B286)+SUMIFS(Investors!$S:$S,Investors!$I:$I,"&lt;="&amp;'NSST Print'!$B$3,Investors!$J:$J,"",Investors!$A:$A,'Investor Exit List'!$A286,Investors!$E:$E,'Investor Exit List'!$C286,Investors!$L:$L,'Investor Exit List'!$B286))</f>
        <v/>
      </c>
      <c r="R286" s="94">
        <f>IF(AND(H286=TRUE,I286=FALSE),Q286,0)</f>
        <v/>
      </c>
      <c r="S286" s="94">
        <f>SUMIFS(Investors!$M:$M,Investors!$O:$O,TRUE,Investors!$A:$A,'Investor Exit List'!$A286,Investors!$E:$E,'Investor Exit List'!$C286,Investors!$L:$L,'Investor Exit List'!$B286)+SUMIFS(Investors!$S:$S,Investors!$O:$O,TRUE,Investors!$A:$A,'Investor Exit List'!$A286,Investors!$E:$E,'Investor Exit List'!$C286,Investors!$L:$L,'Investor Exit List'!$B286)</f>
        <v/>
      </c>
      <c r="T286" s="95">
        <f>IF(U286=TRUE,$J286,"")</f>
        <v/>
      </c>
      <c r="U286" s="93" t="b">
        <v>0</v>
      </c>
      <c r="V286" s="94">
        <f>IF(AND(H286=TRUE,OR(K286="",K286&gt;M286)),S286,0)</f>
        <v/>
      </c>
      <c r="W286" s="93" t="n">
        <v>0</v>
      </c>
      <c r="X286" s="93" t="b">
        <v>0</v>
      </c>
    </row>
    <row r="287">
      <c r="A287" s="93" t="inlineStr">
        <is>
          <t>ZDAD01</t>
        </is>
      </c>
      <c r="B287" s="93" t="n">
        <v>4</v>
      </c>
      <c r="C287" s="93" t="inlineStr">
        <is>
          <t>HVG302</t>
        </is>
      </c>
      <c r="D287" s="93" t="inlineStr">
        <is>
          <t>G</t>
        </is>
      </c>
      <c r="E287" s="93" t="inlineStr">
        <is>
          <t>Dadoo Feroz</t>
        </is>
      </c>
      <c r="F287" s="94">
        <f>SUMIFS(Investors!$M:$M,Investors!$O:$O,FALSE,Investors!$P:$P,FALSE,Investors!$K:$K,"&gt;"&amp;'NSST Print'!$B$3,Investors!$I:$I,"&lt;="&amp;'NSST Print'!$B$3,Investors!$A:$A,'Investor Exit List'!$A287,Investors!$E:$E,'Investor Exit List'!$C287,Investors!$L:$L,'Investor Exit List'!$B287)-(SUMIFS(Investors!$M:$M,Investors!$I:$I,"&lt;="&amp;'NSST Print'!$B$3,Investors!$J:$J,"&gt;"&amp;'NSST Print'!$B$3,Investors!$A:$A,'Investor Exit List'!$A287,Investors!$E:$E,'Investor Exit List'!$C287,Investors!$L:$L,'Investor Exit List'!$B287)+SUMIFS(Investors!$M:$M,Investors!$I:$I,"&lt;="&amp;'NSST Print'!$B$3,Investors!$J:$J,"",Investors!$A:$A,'Investor Exit List'!$A287,Investors!$E:$E,'Investor Exit List'!$C287,Investors!$L:$L,'Investor Exit List'!$B287))</f>
        <v/>
      </c>
      <c r="G287" s="95" t="n">
        <v>45198</v>
      </c>
      <c r="H287" s="93" t="b">
        <v>0</v>
      </c>
      <c r="I287" s="93" t="b">
        <v>0</v>
      </c>
      <c r="J287" s="95" t="n">
        <v>45532</v>
      </c>
      <c r="K287" s="95">
        <f>IF(I287=TRUE,J287,"")</f>
        <v/>
      </c>
      <c r="L287" s="95">
        <f>G287+730</f>
        <v/>
      </c>
      <c r="M287" s="95" t="n">
        <v>45382</v>
      </c>
      <c r="N287" s="96">
        <f>IFERROR(IF(G287&lt;&gt;"",IF(I287=TRUE,0,IF(U287=TRUE,0,L287-M287)),0),0)</f>
        <v/>
      </c>
      <c r="O287" s="96">
        <f>IF(N287&gt;0,IF(N287&lt;=180,N287,0),0)</f>
        <v/>
      </c>
      <c r="P287" s="94">
        <f>IF(AND(N287&lt;90,N287&gt;0),Q287,0)</f>
        <v/>
      </c>
      <c r="Q287" s="94">
        <f>SUMIFS(Investors!$M:$M,Investors!$O:$O,FALSE,Investors!$P:$P,FALSE,Investors!$K:$K,"&gt;"&amp;'NSST Print'!$B$3,Investors!$I:$I,"&lt;="&amp;'NSST Print'!$B$3,Investors!$A:$A,'Investor Exit List'!$A287,Investors!$E:$E,'Investor Exit List'!$C287,Investors!$L:$L,'Investor Exit List'!$B287)-(SUMIFS(Investors!$M:$M,Investors!$I:$I,"&lt;="&amp;'NSST Print'!$B$3,Investors!$J:$J,"&gt;"&amp;'NSST Print'!$B$3,Investors!$A:$A,'Investor Exit List'!$A287,Investors!$E:$E,'Investor Exit List'!$C287,Investors!$L:$L,'Investor Exit List'!$B287)+SUMIFS(Investors!$M:$M,Investors!$I:$I,"&lt;="&amp;'NSST Print'!$B$3,Investors!$J:$J,"",Investors!$A:$A,'Investor Exit List'!$A287,Investors!$E:$E,'Investor Exit List'!$C287,Investors!$L:$L,'Investor Exit List'!$B287))+SUMIFS(Investors!$S:$S,Investors!$O:$O,FALSE,Investors!$P:$P,FALSE,Investors!$K:$K,"&gt;"&amp;'NSST Print'!$B$3,Investors!$I:$I,"&lt;="&amp;'NSST Print'!$B$3,Investors!$A:$A,'Investor Exit List'!$A287,Investors!$E:$E,'Investor Exit List'!$C287,Investors!$L:$L,'Investor Exit List'!$B287)-(SUMIFS(Investors!$S:$S,Investors!$I:$I,"&lt;="&amp;'NSST Print'!$B$3,Investors!$J:$J,"&gt;"&amp;'NSST Print'!$B$3,Investors!$A:$A,'Investor Exit List'!$A287,Investors!$E:$E,'Investor Exit List'!$C287,Investors!$L:$L,'Investor Exit List'!$B287)+SUMIFS(Investors!$S:$S,Investors!$I:$I,"&lt;="&amp;'NSST Print'!$B$3,Investors!$J:$J,"",Investors!$A:$A,'Investor Exit List'!$A287,Investors!$E:$E,'Investor Exit List'!$C287,Investors!$L:$L,'Investor Exit List'!$B287))</f>
        <v/>
      </c>
      <c r="R287" s="94">
        <f>IF(AND(H287=TRUE,I287=FALSE),Q287,0)</f>
        <v/>
      </c>
      <c r="S287" s="94">
        <f>SUMIFS(Investors!$M:$M,Investors!$O:$O,TRUE,Investors!$A:$A,'Investor Exit List'!$A287,Investors!$E:$E,'Investor Exit List'!$C287,Investors!$L:$L,'Investor Exit List'!$B287)+SUMIFS(Investors!$S:$S,Investors!$O:$O,TRUE,Investors!$A:$A,'Investor Exit List'!$A287,Investors!$E:$E,'Investor Exit List'!$C287,Investors!$L:$L,'Investor Exit List'!$B287)</f>
        <v/>
      </c>
      <c r="T287" s="95">
        <f>IF(U287=TRUE,$J287,"")</f>
        <v/>
      </c>
      <c r="U287" s="93" t="b">
        <v>0</v>
      </c>
      <c r="V287" s="94">
        <f>IF(AND(H287=TRUE,OR(K287="",K287&gt;M287)),S287,0)</f>
        <v/>
      </c>
      <c r="W287" s="93" t="n">
        <v>0</v>
      </c>
      <c r="X287" s="93" t="b">
        <v>0</v>
      </c>
    </row>
    <row r="288">
      <c r="A288" s="93" t="inlineStr">
        <is>
          <t>ZEDE01</t>
        </is>
      </c>
      <c r="B288" s="93" t="n">
        <v>2</v>
      </c>
      <c r="C288" s="93" t="inlineStr">
        <is>
          <t>HVG302</t>
        </is>
      </c>
      <c r="D288" s="93" t="inlineStr">
        <is>
          <t>G</t>
        </is>
      </c>
      <c r="E288" s="93" t="inlineStr">
        <is>
          <t>van Eden JP</t>
        </is>
      </c>
      <c r="F288" s="94">
        <f>SUMIFS(Investors!$M:$M,Investors!$O:$O,FALSE,Investors!$P:$P,FALSE,Investors!$K:$K,"&gt;"&amp;'NSST Print'!$B$3,Investors!$I:$I,"&lt;="&amp;'NSST Print'!$B$3,Investors!$A:$A,'Investor Exit List'!$A288,Investors!$E:$E,'Investor Exit List'!$C288,Investors!$L:$L,'Investor Exit List'!$B288)-(SUMIFS(Investors!$M:$M,Investors!$I:$I,"&lt;="&amp;'NSST Print'!$B$3,Investors!$J:$J,"&gt;"&amp;'NSST Print'!$B$3,Investors!$A:$A,'Investor Exit List'!$A288,Investors!$E:$E,'Investor Exit List'!$C288,Investors!$L:$L,'Investor Exit List'!$B288)+SUMIFS(Investors!$M:$M,Investors!$I:$I,"&lt;="&amp;'NSST Print'!$B$3,Investors!$J:$J,"",Investors!$A:$A,'Investor Exit List'!$A288,Investors!$E:$E,'Investor Exit List'!$C288,Investors!$L:$L,'Investor Exit List'!$B288))</f>
        <v/>
      </c>
      <c r="G288" s="95" t="n">
        <v>45224</v>
      </c>
      <c r="H288" s="93" t="b">
        <v>0</v>
      </c>
      <c r="I288" s="93" t="b">
        <v>0</v>
      </c>
      <c r="J288" s="95" t="n">
        <v>45532</v>
      </c>
      <c r="K288" s="95">
        <f>IF(I288=TRUE,J288,"")</f>
        <v/>
      </c>
      <c r="L288" s="95">
        <f>G288+730</f>
        <v/>
      </c>
      <c r="M288" s="95" t="n">
        <v>45382</v>
      </c>
      <c r="N288" s="96">
        <f>IFERROR(IF(G288&lt;&gt;"",IF(I288=TRUE,0,IF(U288=TRUE,0,L288-M288)),0),0)</f>
        <v/>
      </c>
      <c r="O288" s="96">
        <f>IF(N288&gt;0,IF(N288&lt;=180,N288,0),0)</f>
        <v/>
      </c>
      <c r="P288" s="94">
        <f>IF(AND(N288&lt;90,N288&gt;0),Q288,0)</f>
        <v/>
      </c>
      <c r="Q288" s="94">
        <f>SUMIFS(Investors!$M:$M,Investors!$O:$O,FALSE,Investors!$P:$P,FALSE,Investors!$K:$K,"&gt;"&amp;'NSST Print'!$B$3,Investors!$I:$I,"&lt;="&amp;'NSST Print'!$B$3,Investors!$A:$A,'Investor Exit List'!$A288,Investors!$E:$E,'Investor Exit List'!$C288,Investors!$L:$L,'Investor Exit List'!$B288)-(SUMIFS(Investors!$M:$M,Investors!$I:$I,"&lt;="&amp;'NSST Print'!$B$3,Investors!$J:$J,"&gt;"&amp;'NSST Print'!$B$3,Investors!$A:$A,'Investor Exit List'!$A288,Investors!$E:$E,'Investor Exit List'!$C288,Investors!$L:$L,'Investor Exit List'!$B288)+SUMIFS(Investors!$M:$M,Investors!$I:$I,"&lt;="&amp;'NSST Print'!$B$3,Investors!$J:$J,"",Investors!$A:$A,'Investor Exit List'!$A288,Investors!$E:$E,'Investor Exit List'!$C288,Investors!$L:$L,'Investor Exit List'!$B288))+SUMIFS(Investors!$S:$S,Investors!$O:$O,FALSE,Investors!$P:$P,FALSE,Investors!$K:$K,"&gt;"&amp;'NSST Print'!$B$3,Investors!$I:$I,"&lt;="&amp;'NSST Print'!$B$3,Investors!$A:$A,'Investor Exit List'!$A288,Investors!$E:$E,'Investor Exit List'!$C288,Investors!$L:$L,'Investor Exit List'!$B288)-(SUMIFS(Investors!$S:$S,Investors!$I:$I,"&lt;="&amp;'NSST Print'!$B$3,Investors!$J:$J,"&gt;"&amp;'NSST Print'!$B$3,Investors!$A:$A,'Investor Exit List'!$A288,Investors!$E:$E,'Investor Exit List'!$C288,Investors!$L:$L,'Investor Exit List'!$B288)+SUMIFS(Investors!$S:$S,Investors!$I:$I,"&lt;="&amp;'NSST Print'!$B$3,Investors!$J:$J,"",Investors!$A:$A,'Investor Exit List'!$A288,Investors!$E:$E,'Investor Exit List'!$C288,Investors!$L:$L,'Investor Exit List'!$B288))</f>
        <v/>
      </c>
      <c r="R288" s="94">
        <f>IF(AND(H288=TRUE,I288=FALSE),Q288,0)</f>
        <v/>
      </c>
      <c r="S288" s="94">
        <f>SUMIFS(Investors!$M:$M,Investors!$O:$O,TRUE,Investors!$A:$A,'Investor Exit List'!$A288,Investors!$E:$E,'Investor Exit List'!$C288,Investors!$L:$L,'Investor Exit List'!$B288)+SUMIFS(Investors!$S:$S,Investors!$O:$O,TRUE,Investors!$A:$A,'Investor Exit List'!$A288,Investors!$E:$E,'Investor Exit List'!$C288,Investors!$L:$L,'Investor Exit List'!$B288)</f>
        <v/>
      </c>
      <c r="T288" s="95">
        <f>IF(U288=TRUE,$J288,"")</f>
        <v/>
      </c>
      <c r="U288" s="93" t="b">
        <v>0</v>
      </c>
      <c r="V288" s="94">
        <f>IF(AND(H288=TRUE,OR(K288="",K288&gt;M288)),S288,0)</f>
        <v/>
      </c>
      <c r="W288" s="93" t="n">
        <v>0</v>
      </c>
      <c r="X288" s="93" t="b">
        <v>0</v>
      </c>
    </row>
    <row r="289">
      <c r="A289" s="93" t="inlineStr">
        <is>
          <t>ZAFR01</t>
        </is>
      </c>
      <c r="B289" s="93" t="n">
        <v>6</v>
      </c>
      <c r="C289" s="93" t="inlineStr">
        <is>
          <t>HVG303</t>
        </is>
      </c>
      <c r="D289" s="93" t="inlineStr">
        <is>
          <t>G</t>
        </is>
      </c>
      <c r="E289" s="93" t="inlineStr">
        <is>
          <t>Zylstra John Robert</t>
        </is>
      </c>
      <c r="F289" s="94">
        <f>SUMIFS(Investors!$M:$M,Investors!$O:$O,FALSE,Investors!$P:$P,FALSE,Investors!$K:$K,"&gt;"&amp;'NSST Print'!$B$3,Investors!$I:$I,"&lt;="&amp;'NSST Print'!$B$3,Investors!$A:$A,'Investor Exit List'!$A289,Investors!$E:$E,'Investor Exit List'!$C289,Investors!$L:$L,'Investor Exit List'!$B289)-(SUMIFS(Investors!$M:$M,Investors!$I:$I,"&lt;="&amp;'NSST Print'!$B$3,Investors!$J:$J,"&gt;"&amp;'NSST Print'!$B$3,Investors!$A:$A,'Investor Exit List'!$A289,Investors!$E:$E,'Investor Exit List'!$C289,Investors!$L:$L,'Investor Exit List'!$B289)+SUMIFS(Investors!$M:$M,Investors!$I:$I,"&lt;="&amp;'NSST Print'!$B$3,Investors!$J:$J,"",Investors!$A:$A,'Investor Exit List'!$A289,Investors!$E:$E,'Investor Exit List'!$C289,Investors!$L:$L,'Investor Exit List'!$B289))</f>
        <v/>
      </c>
      <c r="G289" s="95" t="n">
        <v>45224</v>
      </c>
      <c r="H289" s="93" t="b">
        <v>0</v>
      </c>
      <c r="I289" s="93" t="b">
        <v>0</v>
      </c>
      <c r="J289" s="95" t="n">
        <v>45532</v>
      </c>
      <c r="K289" s="95">
        <f>IF(I289=TRUE,J289,"")</f>
        <v/>
      </c>
      <c r="L289" s="95">
        <f>G289+730</f>
        <v/>
      </c>
      <c r="M289" s="95" t="n">
        <v>45382</v>
      </c>
      <c r="N289" s="96">
        <f>IFERROR(IF(G289&lt;&gt;"",IF(I289=TRUE,0,IF(U289=TRUE,0,L289-M289)),0),0)</f>
        <v/>
      </c>
      <c r="O289" s="96">
        <f>IF(N289&gt;0,IF(N289&lt;=180,N289,0),0)</f>
        <v/>
      </c>
      <c r="P289" s="94">
        <f>IF(AND(N289&lt;90,N289&gt;0),Q289,0)</f>
        <v/>
      </c>
      <c r="Q289" s="94">
        <f>SUMIFS(Investors!$M:$M,Investors!$O:$O,FALSE,Investors!$P:$P,FALSE,Investors!$K:$K,"&gt;"&amp;'NSST Print'!$B$3,Investors!$I:$I,"&lt;="&amp;'NSST Print'!$B$3,Investors!$A:$A,'Investor Exit List'!$A289,Investors!$E:$E,'Investor Exit List'!$C289,Investors!$L:$L,'Investor Exit List'!$B289)-(SUMIFS(Investors!$M:$M,Investors!$I:$I,"&lt;="&amp;'NSST Print'!$B$3,Investors!$J:$J,"&gt;"&amp;'NSST Print'!$B$3,Investors!$A:$A,'Investor Exit List'!$A289,Investors!$E:$E,'Investor Exit List'!$C289,Investors!$L:$L,'Investor Exit List'!$B289)+SUMIFS(Investors!$M:$M,Investors!$I:$I,"&lt;="&amp;'NSST Print'!$B$3,Investors!$J:$J,"",Investors!$A:$A,'Investor Exit List'!$A289,Investors!$E:$E,'Investor Exit List'!$C289,Investors!$L:$L,'Investor Exit List'!$B289))+SUMIFS(Investors!$S:$S,Investors!$O:$O,FALSE,Investors!$P:$P,FALSE,Investors!$K:$K,"&gt;"&amp;'NSST Print'!$B$3,Investors!$I:$I,"&lt;="&amp;'NSST Print'!$B$3,Investors!$A:$A,'Investor Exit List'!$A289,Investors!$E:$E,'Investor Exit List'!$C289,Investors!$L:$L,'Investor Exit List'!$B289)-(SUMIFS(Investors!$S:$S,Investors!$I:$I,"&lt;="&amp;'NSST Print'!$B$3,Investors!$J:$J,"&gt;"&amp;'NSST Print'!$B$3,Investors!$A:$A,'Investor Exit List'!$A289,Investors!$E:$E,'Investor Exit List'!$C289,Investors!$L:$L,'Investor Exit List'!$B289)+SUMIFS(Investors!$S:$S,Investors!$I:$I,"&lt;="&amp;'NSST Print'!$B$3,Investors!$J:$J,"",Investors!$A:$A,'Investor Exit List'!$A289,Investors!$E:$E,'Investor Exit List'!$C289,Investors!$L:$L,'Investor Exit List'!$B289))</f>
        <v/>
      </c>
      <c r="R289" s="94">
        <f>IF(AND(H289=TRUE,I289=FALSE),Q289,0)</f>
        <v/>
      </c>
      <c r="S289" s="94">
        <f>SUMIFS(Investors!$M:$M,Investors!$O:$O,TRUE,Investors!$A:$A,'Investor Exit List'!$A289,Investors!$E:$E,'Investor Exit List'!$C289,Investors!$L:$L,'Investor Exit List'!$B289)+SUMIFS(Investors!$S:$S,Investors!$O:$O,TRUE,Investors!$A:$A,'Investor Exit List'!$A289,Investors!$E:$E,'Investor Exit List'!$C289,Investors!$L:$L,'Investor Exit List'!$B289)</f>
        <v/>
      </c>
      <c r="T289" s="95">
        <f>IF(U289=TRUE,$J289,"")</f>
        <v/>
      </c>
      <c r="U289" s="93" t="b">
        <v>0</v>
      </c>
      <c r="V289" s="94">
        <f>IF(AND(H289=TRUE,OR(K289="",K289&gt;M289)),S289,0)</f>
        <v/>
      </c>
      <c r="W289" s="93" t="n">
        <v>0</v>
      </c>
      <c r="X289" s="93" t="b">
        <v>0</v>
      </c>
    </row>
    <row r="290">
      <c r="A290" s="93" t="inlineStr">
        <is>
          <t>ZVER02</t>
        </is>
      </c>
      <c r="B290" s="93" t="n">
        <v>6</v>
      </c>
      <c r="C290" s="93" t="inlineStr">
        <is>
          <t>HVG303</t>
        </is>
      </c>
      <c r="D290" s="93" t="inlineStr">
        <is>
          <t>G</t>
        </is>
      </c>
      <c r="E290" s="93" t="inlineStr">
        <is>
          <t>Verhaeghe Jean-Jacques EP</t>
        </is>
      </c>
      <c r="F290" s="94">
        <f>SUMIFS(Investors!$M:$M,Investors!$O:$O,FALSE,Investors!$P:$P,FALSE,Investors!$K:$K,"&gt;"&amp;'NSST Print'!$B$3,Investors!$I:$I,"&lt;="&amp;'NSST Print'!$B$3,Investors!$A:$A,'Investor Exit List'!$A290,Investors!$E:$E,'Investor Exit List'!$C290,Investors!$L:$L,'Investor Exit List'!$B290)-(SUMIFS(Investors!$M:$M,Investors!$I:$I,"&lt;="&amp;'NSST Print'!$B$3,Investors!$J:$J,"&gt;"&amp;'NSST Print'!$B$3,Investors!$A:$A,'Investor Exit List'!$A290,Investors!$E:$E,'Investor Exit List'!$C290,Investors!$L:$L,'Investor Exit List'!$B290)+SUMIFS(Investors!$M:$M,Investors!$I:$I,"&lt;="&amp;'NSST Print'!$B$3,Investors!$J:$J,"",Investors!$A:$A,'Investor Exit List'!$A290,Investors!$E:$E,'Investor Exit List'!$C290,Investors!$L:$L,'Investor Exit List'!$B290))</f>
        <v/>
      </c>
      <c r="G290" s="95" t="n">
        <v>45259</v>
      </c>
      <c r="H290" s="93" t="b">
        <v>0</v>
      </c>
      <c r="I290" s="93" t="b">
        <v>0</v>
      </c>
      <c r="J290" s="95" t="n">
        <v>45532</v>
      </c>
      <c r="K290" s="95">
        <f>IF(I290=TRUE,J290,"")</f>
        <v/>
      </c>
      <c r="L290" s="95">
        <f>G290+730</f>
        <v/>
      </c>
      <c r="M290" s="95" t="n">
        <v>45382</v>
      </c>
      <c r="N290" s="96">
        <f>IFERROR(IF(G290&lt;&gt;"",IF(I290=TRUE,0,IF(U290=TRUE,0,L290-M290)),0),0)</f>
        <v/>
      </c>
      <c r="O290" s="96">
        <f>IF(N290&gt;0,IF(N290&lt;=180,N290,0),0)</f>
        <v/>
      </c>
      <c r="P290" s="94">
        <f>IF(AND(N290&lt;90,N290&gt;0),Q290,0)</f>
        <v/>
      </c>
      <c r="Q290" s="94">
        <f>SUMIFS(Investors!$M:$M,Investors!$O:$O,FALSE,Investors!$P:$P,FALSE,Investors!$K:$K,"&gt;"&amp;'NSST Print'!$B$3,Investors!$I:$I,"&lt;="&amp;'NSST Print'!$B$3,Investors!$A:$A,'Investor Exit List'!$A290,Investors!$E:$E,'Investor Exit List'!$C290,Investors!$L:$L,'Investor Exit List'!$B290)-(SUMIFS(Investors!$M:$M,Investors!$I:$I,"&lt;="&amp;'NSST Print'!$B$3,Investors!$J:$J,"&gt;"&amp;'NSST Print'!$B$3,Investors!$A:$A,'Investor Exit List'!$A290,Investors!$E:$E,'Investor Exit List'!$C290,Investors!$L:$L,'Investor Exit List'!$B290)+SUMIFS(Investors!$M:$M,Investors!$I:$I,"&lt;="&amp;'NSST Print'!$B$3,Investors!$J:$J,"",Investors!$A:$A,'Investor Exit List'!$A290,Investors!$E:$E,'Investor Exit List'!$C290,Investors!$L:$L,'Investor Exit List'!$B290))+SUMIFS(Investors!$S:$S,Investors!$O:$O,FALSE,Investors!$P:$P,FALSE,Investors!$K:$K,"&gt;"&amp;'NSST Print'!$B$3,Investors!$I:$I,"&lt;="&amp;'NSST Print'!$B$3,Investors!$A:$A,'Investor Exit List'!$A290,Investors!$E:$E,'Investor Exit List'!$C290,Investors!$L:$L,'Investor Exit List'!$B290)-(SUMIFS(Investors!$S:$S,Investors!$I:$I,"&lt;="&amp;'NSST Print'!$B$3,Investors!$J:$J,"&gt;"&amp;'NSST Print'!$B$3,Investors!$A:$A,'Investor Exit List'!$A290,Investors!$E:$E,'Investor Exit List'!$C290,Investors!$L:$L,'Investor Exit List'!$B290)+SUMIFS(Investors!$S:$S,Investors!$I:$I,"&lt;="&amp;'NSST Print'!$B$3,Investors!$J:$J,"",Investors!$A:$A,'Investor Exit List'!$A290,Investors!$E:$E,'Investor Exit List'!$C290,Investors!$L:$L,'Investor Exit List'!$B290))</f>
        <v/>
      </c>
      <c r="R290" s="94">
        <f>IF(AND(H290=TRUE,I290=FALSE),Q290,0)</f>
        <v/>
      </c>
      <c r="S290" s="94">
        <f>SUMIFS(Investors!$M:$M,Investors!$O:$O,TRUE,Investors!$A:$A,'Investor Exit List'!$A290,Investors!$E:$E,'Investor Exit List'!$C290,Investors!$L:$L,'Investor Exit List'!$B290)+SUMIFS(Investors!$S:$S,Investors!$O:$O,TRUE,Investors!$A:$A,'Investor Exit List'!$A290,Investors!$E:$E,'Investor Exit List'!$C290,Investors!$L:$L,'Investor Exit List'!$B290)</f>
        <v/>
      </c>
      <c r="T290" s="95">
        <f>IF(U290=TRUE,$J290,"")</f>
        <v/>
      </c>
      <c r="U290" s="93" t="b">
        <v>0</v>
      </c>
      <c r="V290" s="94">
        <f>IF(AND(H290=TRUE,OR(K290="",K290&gt;M290)),S290,0)</f>
        <v/>
      </c>
      <c r="W290" s="93" t="n">
        <v>0</v>
      </c>
      <c r="X290" s="93" t="b">
        <v>0</v>
      </c>
    </row>
    <row r="291">
      <c r="A291" s="93" t="inlineStr">
        <is>
          <t>ZJOS01</t>
        </is>
      </c>
      <c r="B291" s="93" t="n">
        <v>1</v>
      </c>
      <c r="C291" s="93" t="inlineStr">
        <is>
          <t>HVG304</t>
        </is>
      </c>
      <c r="D291" s="93" t="inlineStr">
        <is>
          <t>G</t>
        </is>
      </c>
      <c r="E291" s="93" t="inlineStr">
        <is>
          <t>Joseph Justin</t>
        </is>
      </c>
      <c r="F291" s="94">
        <f>SUMIFS(Investors!$M:$M,Investors!$O:$O,FALSE,Investors!$P:$P,FALSE,Investors!$K:$K,"&gt;"&amp;'NSST Print'!$B$3,Investors!$I:$I,"&lt;="&amp;'NSST Print'!$B$3,Investors!$A:$A,'Investor Exit List'!$A291,Investors!$E:$E,'Investor Exit List'!$C291,Investors!$L:$L,'Investor Exit List'!$B291)-(SUMIFS(Investors!$M:$M,Investors!$I:$I,"&lt;="&amp;'NSST Print'!$B$3,Investors!$J:$J,"&gt;"&amp;'NSST Print'!$B$3,Investors!$A:$A,'Investor Exit List'!$A291,Investors!$E:$E,'Investor Exit List'!$C291,Investors!$L:$L,'Investor Exit List'!$B291)+SUMIFS(Investors!$M:$M,Investors!$I:$I,"&lt;="&amp;'NSST Print'!$B$3,Investors!$J:$J,"",Investors!$A:$A,'Investor Exit List'!$A291,Investors!$E:$E,'Investor Exit List'!$C291,Investors!$L:$L,'Investor Exit List'!$B291))</f>
        <v/>
      </c>
      <c r="G291" s="95" t="n">
        <v>45252</v>
      </c>
      <c r="H291" s="93" t="b">
        <v>0</v>
      </c>
      <c r="I291" s="93" t="b">
        <v>0</v>
      </c>
      <c r="J291" s="95" t="n">
        <v>45532</v>
      </c>
      <c r="K291" s="95">
        <f>IF(I291=TRUE,J291,"")</f>
        <v/>
      </c>
      <c r="L291" s="95">
        <f>G291+730</f>
        <v/>
      </c>
      <c r="M291" s="95" t="n">
        <v>45382</v>
      </c>
      <c r="N291" s="96">
        <f>IFERROR(IF(G291&lt;&gt;"",IF(I291=TRUE,0,IF(U291=TRUE,0,L291-M291)),0),0)</f>
        <v/>
      </c>
      <c r="O291" s="96">
        <f>IF(N291&gt;0,IF(N291&lt;=180,N291,0),0)</f>
        <v/>
      </c>
      <c r="P291" s="94">
        <f>IF(AND(N291&lt;90,N291&gt;0),Q291,0)</f>
        <v/>
      </c>
      <c r="Q291" s="94">
        <f>SUMIFS(Investors!$M:$M,Investors!$O:$O,FALSE,Investors!$P:$P,FALSE,Investors!$K:$K,"&gt;"&amp;'NSST Print'!$B$3,Investors!$I:$I,"&lt;="&amp;'NSST Print'!$B$3,Investors!$A:$A,'Investor Exit List'!$A291,Investors!$E:$E,'Investor Exit List'!$C291,Investors!$L:$L,'Investor Exit List'!$B291)-(SUMIFS(Investors!$M:$M,Investors!$I:$I,"&lt;="&amp;'NSST Print'!$B$3,Investors!$J:$J,"&gt;"&amp;'NSST Print'!$B$3,Investors!$A:$A,'Investor Exit List'!$A291,Investors!$E:$E,'Investor Exit List'!$C291,Investors!$L:$L,'Investor Exit List'!$B291)+SUMIFS(Investors!$M:$M,Investors!$I:$I,"&lt;="&amp;'NSST Print'!$B$3,Investors!$J:$J,"",Investors!$A:$A,'Investor Exit List'!$A291,Investors!$E:$E,'Investor Exit List'!$C291,Investors!$L:$L,'Investor Exit List'!$B291))+SUMIFS(Investors!$S:$S,Investors!$O:$O,FALSE,Investors!$P:$P,FALSE,Investors!$K:$K,"&gt;"&amp;'NSST Print'!$B$3,Investors!$I:$I,"&lt;="&amp;'NSST Print'!$B$3,Investors!$A:$A,'Investor Exit List'!$A291,Investors!$E:$E,'Investor Exit List'!$C291,Investors!$L:$L,'Investor Exit List'!$B291)-(SUMIFS(Investors!$S:$S,Investors!$I:$I,"&lt;="&amp;'NSST Print'!$B$3,Investors!$J:$J,"&gt;"&amp;'NSST Print'!$B$3,Investors!$A:$A,'Investor Exit List'!$A291,Investors!$E:$E,'Investor Exit List'!$C291,Investors!$L:$L,'Investor Exit List'!$B291)+SUMIFS(Investors!$S:$S,Investors!$I:$I,"&lt;="&amp;'NSST Print'!$B$3,Investors!$J:$J,"",Investors!$A:$A,'Investor Exit List'!$A291,Investors!$E:$E,'Investor Exit List'!$C291,Investors!$L:$L,'Investor Exit List'!$B291))</f>
        <v/>
      </c>
      <c r="R291" s="94">
        <f>IF(AND(H291=TRUE,I291=FALSE),Q291,0)</f>
        <v/>
      </c>
      <c r="S291" s="94">
        <f>SUMIFS(Investors!$M:$M,Investors!$O:$O,TRUE,Investors!$A:$A,'Investor Exit List'!$A291,Investors!$E:$E,'Investor Exit List'!$C291,Investors!$L:$L,'Investor Exit List'!$B291)+SUMIFS(Investors!$S:$S,Investors!$O:$O,TRUE,Investors!$A:$A,'Investor Exit List'!$A291,Investors!$E:$E,'Investor Exit List'!$C291,Investors!$L:$L,'Investor Exit List'!$B291)</f>
        <v/>
      </c>
      <c r="T291" s="95">
        <f>IF(U291=TRUE,$J291,"")</f>
        <v/>
      </c>
      <c r="U291" s="93" t="b">
        <v>0</v>
      </c>
      <c r="V291" s="94">
        <f>IF(AND(H291=TRUE,OR(K291="",K291&gt;M291)),S291,0)</f>
        <v/>
      </c>
      <c r="W291" s="93" t="n">
        <v>0</v>
      </c>
      <c r="X291" s="93" t="b">
        <v>0</v>
      </c>
    </row>
    <row r="292">
      <c r="A292" s="93" t="inlineStr">
        <is>
          <t>ZREN01</t>
        </is>
      </c>
      <c r="B292" s="93" t="n">
        <v>5</v>
      </c>
      <c r="C292" s="93" t="inlineStr">
        <is>
          <t>HVG304</t>
        </is>
      </c>
      <c r="D292" s="93" t="inlineStr">
        <is>
          <t>G</t>
        </is>
      </c>
      <c r="E292" s="93" t="inlineStr">
        <is>
          <t>van Rensburg Marlene Ann</t>
        </is>
      </c>
      <c r="F292" s="94">
        <f>SUMIFS(Investors!$M:$M,Investors!$O:$O,FALSE,Investors!$P:$P,FALSE,Investors!$K:$K,"&gt;"&amp;'NSST Print'!$B$3,Investors!$I:$I,"&lt;="&amp;'NSST Print'!$B$3,Investors!$A:$A,'Investor Exit List'!$A292,Investors!$E:$E,'Investor Exit List'!$C292,Investors!$L:$L,'Investor Exit List'!$B292)-(SUMIFS(Investors!$M:$M,Investors!$I:$I,"&lt;="&amp;'NSST Print'!$B$3,Investors!$J:$J,"&gt;"&amp;'NSST Print'!$B$3,Investors!$A:$A,'Investor Exit List'!$A292,Investors!$E:$E,'Investor Exit List'!$C292,Investors!$L:$L,'Investor Exit List'!$B292)+SUMIFS(Investors!$M:$M,Investors!$I:$I,"&lt;="&amp;'NSST Print'!$B$3,Investors!$J:$J,"",Investors!$A:$A,'Investor Exit List'!$A292,Investors!$E:$E,'Investor Exit List'!$C292,Investors!$L:$L,'Investor Exit List'!$B292))</f>
        <v/>
      </c>
      <c r="G292" s="95" t="n">
        <v>45198</v>
      </c>
      <c r="H292" s="93" t="b">
        <v>0</v>
      </c>
      <c r="I292" s="93" t="b">
        <v>0</v>
      </c>
      <c r="J292" s="95" t="n">
        <v>45532</v>
      </c>
      <c r="K292" s="95">
        <f>IF(I292=TRUE,J292,"")</f>
        <v/>
      </c>
      <c r="L292" s="95">
        <f>G292+730</f>
        <v/>
      </c>
      <c r="M292" s="95" t="n">
        <v>45382</v>
      </c>
      <c r="N292" s="96">
        <f>IFERROR(IF(G292&lt;&gt;"",IF(I292=TRUE,0,IF(U292=TRUE,0,L292-M292)),0),0)</f>
        <v/>
      </c>
      <c r="O292" s="96">
        <f>IF(N292&gt;0,IF(N292&lt;=180,N292,0),0)</f>
        <v/>
      </c>
      <c r="P292" s="94">
        <f>IF(AND(N292&lt;90,N292&gt;0),Q292,0)</f>
        <v/>
      </c>
      <c r="Q292" s="94">
        <f>SUMIFS(Investors!$M:$M,Investors!$O:$O,FALSE,Investors!$P:$P,FALSE,Investors!$K:$K,"&gt;"&amp;'NSST Print'!$B$3,Investors!$I:$I,"&lt;="&amp;'NSST Print'!$B$3,Investors!$A:$A,'Investor Exit List'!$A292,Investors!$E:$E,'Investor Exit List'!$C292,Investors!$L:$L,'Investor Exit List'!$B292)-(SUMIFS(Investors!$M:$M,Investors!$I:$I,"&lt;="&amp;'NSST Print'!$B$3,Investors!$J:$J,"&gt;"&amp;'NSST Print'!$B$3,Investors!$A:$A,'Investor Exit List'!$A292,Investors!$E:$E,'Investor Exit List'!$C292,Investors!$L:$L,'Investor Exit List'!$B292)+SUMIFS(Investors!$M:$M,Investors!$I:$I,"&lt;="&amp;'NSST Print'!$B$3,Investors!$J:$J,"",Investors!$A:$A,'Investor Exit List'!$A292,Investors!$E:$E,'Investor Exit List'!$C292,Investors!$L:$L,'Investor Exit List'!$B292))+SUMIFS(Investors!$S:$S,Investors!$O:$O,FALSE,Investors!$P:$P,FALSE,Investors!$K:$K,"&gt;"&amp;'NSST Print'!$B$3,Investors!$I:$I,"&lt;="&amp;'NSST Print'!$B$3,Investors!$A:$A,'Investor Exit List'!$A292,Investors!$E:$E,'Investor Exit List'!$C292,Investors!$L:$L,'Investor Exit List'!$B292)-(SUMIFS(Investors!$S:$S,Investors!$I:$I,"&lt;="&amp;'NSST Print'!$B$3,Investors!$J:$J,"&gt;"&amp;'NSST Print'!$B$3,Investors!$A:$A,'Investor Exit List'!$A292,Investors!$E:$E,'Investor Exit List'!$C292,Investors!$L:$L,'Investor Exit List'!$B292)+SUMIFS(Investors!$S:$S,Investors!$I:$I,"&lt;="&amp;'NSST Print'!$B$3,Investors!$J:$J,"",Investors!$A:$A,'Investor Exit List'!$A292,Investors!$E:$E,'Investor Exit List'!$C292,Investors!$L:$L,'Investor Exit List'!$B292))</f>
        <v/>
      </c>
      <c r="R292" s="94">
        <f>IF(AND(H292=TRUE,I292=FALSE),Q292,0)</f>
        <v/>
      </c>
      <c r="S292" s="94">
        <f>SUMIFS(Investors!$M:$M,Investors!$O:$O,TRUE,Investors!$A:$A,'Investor Exit List'!$A292,Investors!$E:$E,'Investor Exit List'!$C292,Investors!$L:$L,'Investor Exit List'!$B292)+SUMIFS(Investors!$S:$S,Investors!$O:$O,TRUE,Investors!$A:$A,'Investor Exit List'!$A292,Investors!$E:$E,'Investor Exit List'!$C292,Investors!$L:$L,'Investor Exit List'!$B292)</f>
        <v/>
      </c>
      <c r="T292" s="95">
        <f>IF(U292=TRUE,$J292,"")</f>
        <v/>
      </c>
      <c r="U292" s="93" t="b">
        <v>0</v>
      </c>
      <c r="V292" s="94">
        <f>IF(AND(H292=TRUE,OR(K292="",K292&gt;M292)),S292,0)</f>
        <v/>
      </c>
      <c r="W292" s="93" t="n">
        <v>0</v>
      </c>
      <c r="X292" s="93" t="b">
        <v>0</v>
      </c>
    </row>
    <row r="293">
      <c r="A293" s="93" t="inlineStr">
        <is>
          <t>ZSCA02</t>
        </is>
      </c>
      <c r="B293" s="93" t="n">
        <v>4</v>
      </c>
      <c r="C293" s="93" t="inlineStr">
        <is>
          <t>HVG304</t>
        </is>
      </c>
      <c r="D293" s="93" t="inlineStr">
        <is>
          <t>G</t>
        </is>
      </c>
      <c r="E293" s="93" t="inlineStr">
        <is>
          <t>Scalzini Chad</t>
        </is>
      </c>
      <c r="F293" s="94">
        <f>SUMIFS(Investors!$M:$M,Investors!$O:$O,FALSE,Investors!$P:$P,FALSE,Investors!$K:$K,"&gt;"&amp;'NSST Print'!$B$3,Investors!$I:$I,"&lt;="&amp;'NSST Print'!$B$3,Investors!$A:$A,'Investor Exit List'!$A293,Investors!$E:$E,'Investor Exit List'!$C293,Investors!$L:$L,'Investor Exit List'!$B293)-(SUMIFS(Investors!$M:$M,Investors!$I:$I,"&lt;="&amp;'NSST Print'!$B$3,Investors!$J:$J,"&gt;"&amp;'NSST Print'!$B$3,Investors!$A:$A,'Investor Exit List'!$A293,Investors!$E:$E,'Investor Exit List'!$C293,Investors!$L:$L,'Investor Exit List'!$B293)+SUMIFS(Investors!$M:$M,Investors!$I:$I,"&lt;="&amp;'NSST Print'!$B$3,Investors!$J:$J,"",Investors!$A:$A,'Investor Exit List'!$A293,Investors!$E:$E,'Investor Exit List'!$C293,Investors!$L:$L,'Investor Exit List'!$B293))</f>
        <v/>
      </c>
      <c r="G293" s="95" t="n">
        <v>45224</v>
      </c>
      <c r="H293" s="93" t="b">
        <v>0</v>
      </c>
      <c r="I293" s="93" t="b">
        <v>0</v>
      </c>
      <c r="J293" s="95" t="n">
        <v>45532</v>
      </c>
      <c r="K293" s="95">
        <f>IF(I293=TRUE,J293,"")</f>
        <v/>
      </c>
      <c r="L293" s="95">
        <f>G293+730</f>
        <v/>
      </c>
      <c r="M293" s="95" t="n">
        <v>45382</v>
      </c>
      <c r="N293" s="96">
        <f>IFERROR(IF(G293&lt;&gt;"",IF(I293=TRUE,0,IF(U293=TRUE,0,L293-M293)),0),0)</f>
        <v/>
      </c>
      <c r="O293" s="96">
        <f>IF(N293&gt;0,IF(N293&lt;=180,N293,0),0)</f>
        <v/>
      </c>
      <c r="P293" s="94">
        <f>IF(AND(N293&lt;90,N293&gt;0),Q293,0)</f>
        <v/>
      </c>
      <c r="Q293" s="94">
        <f>SUMIFS(Investors!$M:$M,Investors!$O:$O,FALSE,Investors!$P:$P,FALSE,Investors!$K:$K,"&gt;"&amp;'NSST Print'!$B$3,Investors!$I:$I,"&lt;="&amp;'NSST Print'!$B$3,Investors!$A:$A,'Investor Exit List'!$A293,Investors!$E:$E,'Investor Exit List'!$C293,Investors!$L:$L,'Investor Exit List'!$B293)-(SUMIFS(Investors!$M:$M,Investors!$I:$I,"&lt;="&amp;'NSST Print'!$B$3,Investors!$J:$J,"&gt;"&amp;'NSST Print'!$B$3,Investors!$A:$A,'Investor Exit List'!$A293,Investors!$E:$E,'Investor Exit List'!$C293,Investors!$L:$L,'Investor Exit List'!$B293)+SUMIFS(Investors!$M:$M,Investors!$I:$I,"&lt;="&amp;'NSST Print'!$B$3,Investors!$J:$J,"",Investors!$A:$A,'Investor Exit List'!$A293,Investors!$E:$E,'Investor Exit List'!$C293,Investors!$L:$L,'Investor Exit List'!$B293))+SUMIFS(Investors!$S:$S,Investors!$O:$O,FALSE,Investors!$P:$P,FALSE,Investors!$K:$K,"&gt;"&amp;'NSST Print'!$B$3,Investors!$I:$I,"&lt;="&amp;'NSST Print'!$B$3,Investors!$A:$A,'Investor Exit List'!$A293,Investors!$E:$E,'Investor Exit List'!$C293,Investors!$L:$L,'Investor Exit List'!$B293)-(SUMIFS(Investors!$S:$S,Investors!$I:$I,"&lt;="&amp;'NSST Print'!$B$3,Investors!$J:$J,"&gt;"&amp;'NSST Print'!$B$3,Investors!$A:$A,'Investor Exit List'!$A293,Investors!$E:$E,'Investor Exit List'!$C293,Investors!$L:$L,'Investor Exit List'!$B293)+SUMIFS(Investors!$S:$S,Investors!$I:$I,"&lt;="&amp;'NSST Print'!$B$3,Investors!$J:$J,"",Investors!$A:$A,'Investor Exit List'!$A293,Investors!$E:$E,'Investor Exit List'!$C293,Investors!$L:$L,'Investor Exit List'!$B293))</f>
        <v/>
      </c>
      <c r="R293" s="94">
        <f>IF(AND(H293=TRUE,I293=FALSE),Q293,0)</f>
        <v/>
      </c>
      <c r="S293" s="94">
        <f>SUMIFS(Investors!$M:$M,Investors!$O:$O,TRUE,Investors!$A:$A,'Investor Exit List'!$A293,Investors!$E:$E,'Investor Exit List'!$C293,Investors!$L:$L,'Investor Exit List'!$B293)+SUMIFS(Investors!$S:$S,Investors!$O:$O,TRUE,Investors!$A:$A,'Investor Exit List'!$A293,Investors!$E:$E,'Investor Exit List'!$C293,Investors!$L:$L,'Investor Exit List'!$B293)</f>
        <v/>
      </c>
      <c r="T293" s="95">
        <f>IF(U293=TRUE,$J293,"")</f>
        <v/>
      </c>
      <c r="U293" s="93" t="b">
        <v>0</v>
      </c>
      <c r="V293" s="94">
        <f>IF(AND(H293=TRUE,OR(K293="",K293&gt;M293)),S293,0)</f>
        <v/>
      </c>
      <c r="W293" s="93" t="n">
        <v>0</v>
      </c>
      <c r="X293" s="93" t="b">
        <v>0</v>
      </c>
    </row>
    <row r="294">
      <c r="A294" s="97" t="inlineStr">
        <is>
          <t>ZHAN07</t>
        </is>
      </c>
      <c r="B294" s="97" t="n">
        <v>1</v>
      </c>
      <c r="C294" s="97" t="inlineStr">
        <is>
          <t>HVH101</t>
        </is>
      </c>
      <c r="D294" s="97" t="inlineStr">
        <is>
          <t>H</t>
        </is>
      </c>
      <c r="E294" s="97" t="inlineStr">
        <is>
          <t>Hanekom Johannes Hendrik (Hans)</t>
        </is>
      </c>
      <c r="F294" s="98">
        <f>SUMIFS(Investors!$M:$M,Investors!$O:$O,FALSE,Investors!$P:$P,FALSE,Investors!$K:$K,"&gt;"&amp;'NSST Print'!$B$3,Investors!$I:$I,"&lt;="&amp;'NSST Print'!$B$3,Investors!$A:$A,'Investor Exit List'!$A294,Investors!$E:$E,'Investor Exit List'!$C294,Investors!$L:$L,'Investor Exit List'!$B294)-(SUMIFS(Investors!$M:$M,Investors!$I:$I,"&lt;="&amp;'NSST Print'!$B$3,Investors!$J:$J,"&gt;"&amp;'NSST Print'!$B$3,Investors!$A:$A,'Investor Exit List'!$A294,Investors!$E:$E,'Investor Exit List'!$C294,Investors!$L:$L,'Investor Exit List'!$B294)+SUMIFS(Investors!$M:$M,Investors!$I:$I,"&lt;="&amp;'NSST Print'!$B$3,Investors!$J:$J,"",Investors!$A:$A,'Investor Exit List'!$A294,Investors!$E:$E,'Investor Exit List'!$C294,Investors!$L:$L,'Investor Exit List'!$B294))</f>
        <v/>
      </c>
      <c r="G294" s="99" t="n">
        <v>45224</v>
      </c>
      <c r="H294" s="97" t="b">
        <v>1</v>
      </c>
      <c r="I294" s="97" t="b">
        <v>0</v>
      </c>
      <c r="J294" s="99" t="n">
        <v>45490</v>
      </c>
      <c r="K294" s="99">
        <f>IF(I294=TRUE,J294,"")</f>
        <v/>
      </c>
      <c r="L294" s="99">
        <f>G294+730</f>
        <v/>
      </c>
      <c r="M294" s="99" t="n">
        <v>45382</v>
      </c>
      <c r="N294" s="100">
        <f>IFERROR(IF(G294&lt;&gt;"",IF(I294=TRUE,0,IF(U294=TRUE,0,L294-M294)),0),0)</f>
        <v/>
      </c>
      <c r="O294" s="100">
        <f>IF(N294&gt;0,IF(N294&lt;=180,N294,0),0)</f>
        <v/>
      </c>
      <c r="P294" s="98">
        <f>IF(AND(N294&lt;90,N294&gt;0),Q294,0)</f>
        <v/>
      </c>
      <c r="Q294" s="98">
        <f>SUMIFS(Investors!$M:$M,Investors!$O:$O,FALSE,Investors!$P:$P,FALSE,Investors!$K:$K,"&gt;"&amp;'NSST Print'!$B$3,Investors!$I:$I,"&lt;="&amp;'NSST Print'!$B$3,Investors!$A:$A,'Investor Exit List'!$A294,Investors!$E:$E,'Investor Exit List'!$C294,Investors!$L:$L,'Investor Exit List'!$B294)-(SUMIFS(Investors!$M:$M,Investors!$I:$I,"&lt;="&amp;'NSST Print'!$B$3,Investors!$J:$J,"&gt;"&amp;'NSST Print'!$B$3,Investors!$A:$A,'Investor Exit List'!$A294,Investors!$E:$E,'Investor Exit List'!$C294,Investors!$L:$L,'Investor Exit List'!$B294)+SUMIFS(Investors!$M:$M,Investors!$I:$I,"&lt;="&amp;'NSST Print'!$B$3,Investors!$J:$J,"",Investors!$A:$A,'Investor Exit List'!$A294,Investors!$E:$E,'Investor Exit List'!$C294,Investors!$L:$L,'Investor Exit List'!$B294))+SUMIFS(Investors!$S:$S,Investors!$O:$O,FALSE,Investors!$P:$P,FALSE,Investors!$K:$K,"&gt;"&amp;'NSST Print'!$B$3,Investors!$I:$I,"&lt;="&amp;'NSST Print'!$B$3,Investors!$A:$A,'Investor Exit List'!$A294,Investors!$E:$E,'Investor Exit List'!$C294,Investors!$L:$L,'Investor Exit List'!$B294)-(SUMIFS(Investors!$S:$S,Investors!$I:$I,"&lt;="&amp;'NSST Print'!$B$3,Investors!$J:$J,"&gt;"&amp;'NSST Print'!$B$3,Investors!$A:$A,'Investor Exit List'!$A294,Investors!$E:$E,'Investor Exit List'!$C294,Investors!$L:$L,'Investor Exit List'!$B294)+SUMIFS(Investors!$S:$S,Investors!$I:$I,"&lt;="&amp;'NSST Print'!$B$3,Investors!$J:$J,"",Investors!$A:$A,'Investor Exit List'!$A294,Investors!$E:$E,'Investor Exit List'!$C294,Investors!$L:$L,'Investor Exit List'!$B294))</f>
        <v/>
      </c>
      <c r="R294" s="98">
        <f>IF(AND(H294=TRUE,I294=FALSE),Q294,0)</f>
        <v/>
      </c>
      <c r="S294" s="98">
        <f>SUMIFS(Investors!$M:$M,Investors!$O:$O,TRUE,Investors!$A:$A,'Investor Exit List'!$A294,Investors!$E:$E,'Investor Exit List'!$C294,Investors!$L:$L,'Investor Exit List'!$B294)+SUMIFS(Investors!$S:$S,Investors!$O:$O,TRUE,Investors!$A:$A,'Investor Exit List'!$A294,Investors!$E:$E,'Investor Exit List'!$C294,Investors!$L:$L,'Investor Exit List'!$B294)</f>
        <v/>
      </c>
      <c r="T294" s="99">
        <f>IF(U294=TRUE,$J294,"")</f>
        <v/>
      </c>
      <c r="U294" s="97" t="b">
        <v>0</v>
      </c>
      <c r="V294" s="98">
        <f>IF(AND(H294=TRUE,OR(K294="",K294&gt;M294)),S294,0)</f>
        <v/>
      </c>
      <c r="W294" s="97" t="n">
        <v>0</v>
      </c>
      <c r="X294" s="97" t="b">
        <v>0</v>
      </c>
    </row>
    <row r="295">
      <c r="A295" s="97" t="inlineStr">
        <is>
          <t>ZHAN07</t>
        </is>
      </c>
      <c r="B295" s="97" t="n">
        <v>2</v>
      </c>
      <c r="C295" s="97" t="inlineStr">
        <is>
          <t>HVH102</t>
        </is>
      </c>
      <c r="D295" s="97" t="inlineStr">
        <is>
          <t>H</t>
        </is>
      </c>
      <c r="E295" s="97" t="inlineStr">
        <is>
          <t>Hanekom Johannes Hendrik (Hans)</t>
        </is>
      </c>
      <c r="F295" s="98">
        <f>SUMIFS(Investors!$M:$M,Investors!$O:$O,FALSE,Investors!$P:$P,FALSE,Investors!$K:$K,"&gt;"&amp;'NSST Print'!$B$3,Investors!$I:$I,"&lt;="&amp;'NSST Print'!$B$3,Investors!$A:$A,'Investor Exit List'!$A295,Investors!$E:$E,'Investor Exit List'!$C295,Investors!$L:$L,'Investor Exit List'!$B295)-(SUMIFS(Investors!$M:$M,Investors!$I:$I,"&lt;="&amp;'NSST Print'!$B$3,Investors!$J:$J,"&gt;"&amp;'NSST Print'!$B$3,Investors!$A:$A,'Investor Exit List'!$A295,Investors!$E:$E,'Investor Exit List'!$C295,Investors!$L:$L,'Investor Exit List'!$B295)+SUMIFS(Investors!$M:$M,Investors!$I:$I,"&lt;="&amp;'NSST Print'!$B$3,Investors!$J:$J,"",Investors!$A:$A,'Investor Exit List'!$A295,Investors!$E:$E,'Investor Exit List'!$C295,Investors!$L:$L,'Investor Exit List'!$B295))</f>
        <v/>
      </c>
      <c r="G295" s="99" t="n">
        <v>45224</v>
      </c>
      <c r="H295" s="97" t="b">
        <v>1</v>
      </c>
      <c r="I295" s="97" t="b">
        <v>0</v>
      </c>
      <c r="J295" s="99" t="n">
        <v>45490</v>
      </c>
      <c r="K295" s="99">
        <f>IF(I295=TRUE,J295,"")</f>
        <v/>
      </c>
      <c r="L295" s="99">
        <f>G295+730</f>
        <v/>
      </c>
      <c r="M295" s="99" t="n">
        <v>45382</v>
      </c>
      <c r="N295" s="100">
        <f>IFERROR(IF(G295&lt;&gt;"",IF(I295=TRUE,0,IF(U295=TRUE,0,L295-M295)),0),0)</f>
        <v/>
      </c>
      <c r="O295" s="100">
        <f>IF(N295&gt;0,IF(N295&lt;=180,N295,0),0)</f>
        <v/>
      </c>
      <c r="P295" s="98">
        <f>IF(AND(N295&lt;90,N295&gt;0),Q295,0)</f>
        <v/>
      </c>
      <c r="Q295" s="98">
        <f>SUMIFS(Investors!$M:$M,Investors!$O:$O,FALSE,Investors!$P:$P,FALSE,Investors!$K:$K,"&gt;"&amp;'NSST Print'!$B$3,Investors!$I:$I,"&lt;="&amp;'NSST Print'!$B$3,Investors!$A:$A,'Investor Exit List'!$A295,Investors!$E:$E,'Investor Exit List'!$C295,Investors!$L:$L,'Investor Exit List'!$B295)-(SUMIFS(Investors!$M:$M,Investors!$I:$I,"&lt;="&amp;'NSST Print'!$B$3,Investors!$J:$J,"&gt;"&amp;'NSST Print'!$B$3,Investors!$A:$A,'Investor Exit List'!$A295,Investors!$E:$E,'Investor Exit List'!$C295,Investors!$L:$L,'Investor Exit List'!$B295)+SUMIFS(Investors!$M:$M,Investors!$I:$I,"&lt;="&amp;'NSST Print'!$B$3,Investors!$J:$J,"",Investors!$A:$A,'Investor Exit List'!$A295,Investors!$E:$E,'Investor Exit List'!$C295,Investors!$L:$L,'Investor Exit List'!$B295))+SUMIFS(Investors!$S:$S,Investors!$O:$O,FALSE,Investors!$P:$P,FALSE,Investors!$K:$K,"&gt;"&amp;'NSST Print'!$B$3,Investors!$I:$I,"&lt;="&amp;'NSST Print'!$B$3,Investors!$A:$A,'Investor Exit List'!$A295,Investors!$E:$E,'Investor Exit List'!$C295,Investors!$L:$L,'Investor Exit List'!$B295)-(SUMIFS(Investors!$S:$S,Investors!$I:$I,"&lt;="&amp;'NSST Print'!$B$3,Investors!$J:$J,"&gt;"&amp;'NSST Print'!$B$3,Investors!$A:$A,'Investor Exit List'!$A295,Investors!$E:$E,'Investor Exit List'!$C295,Investors!$L:$L,'Investor Exit List'!$B295)+SUMIFS(Investors!$S:$S,Investors!$I:$I,"&lt;="&amp;'NSST Print'!$B$3,Investors!$J:$J,"",Investors!$A:$A,'Investor Exit List'!$A295,Investors!$E:$E,'Investor Exit List'!$C295,Investors!$L:$L,'Investor Exit List'!$B295))</f>
        <v/>
      </c>
      <c r="R295" s="98">
        <f>IF(AND(H295=TRUE,I295=FALSE),Q295,0)</f>
        <v/>
      </c>
      <c r="S295" s="98">
        <f>SUMIFS(Investors!$M:$M,Investors!$O:$O,TRUE,Investors!$A:$A,'Investor Exit List'!$A295,Investors!$E:$E,'Investor Exit List'!$C295,Investors!$L:$L,'Investor Exit List'!$B295)+SUMIFS(Investors!$S:$S,Investors!$O:$O,TRUE,Investors!$A:$A,'Investor Exit List'!$A295,Investors!$E:$E,'Investor Exit List'!$C295,Investors!$L:$L,'Investor Exit List'!$B295)</f>
        <v/>
      </c>
      <c r="T295" s="99">
        <f>IF(U295=TRUE,$J295,"")</f>
        <v/>
      </c>
      <c r="U295" s="97" t="b">
        <v>0</v>
      </c>
      <c r="V295" s="98">
        <f>IF(AND(H295=TRUE,OR(K295="",K295&gt;M295)),S295,0)</f>
        <v/>
      </c>
      <c r="W295" s="97" t="n">
        <v>0</v>
      </c>
      <c r="X295" s="97" t="b">
        <v>0</v>
      </c>
    </row>
    <row r="296">
      <c r="A296" s="97" t="inlineStr">
        <is>
          <t>ZHAN07</t>
        </is>
      </c>
      <c r="B296" s="97" t="n">
        <v>3</v>
      </c>
      <c r="C296" s="97" t="inlineStr">
        <is>
          <t>HVH103</t>
        </is>
      </c>
      <c r="D296" s="97" t="inlineStr">
        <is>
          <t>H</t>
        </is>
      </c>
      <c r="E296" s="97" t="inlineStr">
        <is>
          <t>Hanekom Johannes Hendrik (Hans)</t>
        </is>
      </c>
      <c r="F296" s="98">
        <f>SUMIFS(Investors!$M:$M,Investors!$O:$O,FALSE,Investors!$P:$P,FALSE,Investors!$K:$K,"&gt;"&amp;'NSST Print'!$B$3,Investors!$I:$I,"&lt;="&amp;'NSST Print'!$B$3,Investors!$A:$A,'Investor Exit List'!$A296,Investors!$E:$E,'Investor Exit List'!$C296,Investors!$L:$L,'Investor Exit List'!$B296)-(SUMIFS(Investors!$M:$M,Investors!$I:$I,"&lt;="&amp;'NSST Print'!$B$3,Investors!$J:$J,"&gt;"&amp;'NSST Print'!$B$3,Investors!$A:$A,'Investor Exit List'!$A296,Investors!$E:$E,'Investor Exit List'!$C296,Investors!$L:$L,'Investor Exit List'!$B296)+SUMIFS(Investors!$M:$M,Investors!$I:$I,"&lt;="&amp;'NSST Print'!$B$3,Investors!$J:$J,"",Investors!$A:$A,'Investor Exit List'!$A296,Investors!$E:$E,'Investor Exit List'!$C296,Investors!$L:$L,'Investor Exit List'!$B296))</f>
        <v/>
      </c>
      <c r="G296" s="99" t="n">
        <v>45224</v>
      </c>
      <c r="H296" s="97" t="b">
        <v>1</v>
      </c>
      <c r="I296" s="97" t="b">
        <v>0</v>
      </c>
      <c r="J296" s="99" t="n">
        <v>45490</v>
      </c>
      <c r="K296" s="99">
        <f>IF(I296=TRUE,J296,"")</f>
        <v/>
      </c>
      <c r="L296" s="99">
        <f>G296+730</f>
        <v/>
      </c>
      <c r="M296" s="99" t="n">
        <v>45382</v>
      </c>
      <c r="N296" s="100">
        <f>IFERROR(IF(G296&lt;&gt;"",IF(I296=TRUE,0,IF(U296=TRUE,0,L296-M296)),0),0)</f>
        <v/>
      </c>
      <c r="O296" s="100">
        <f>IF(N296&gt;0,IF(N296&lt;=180,N296,0),0)</f>
        <v/>
      </c>
      <c r="P296" s="98">
        <f>IF(AND(N296&lt;90,N296&gt;0),Q296,0)</f>
        <v/>
      </c>
      <c r="Q296" s="98">
        <f>SUMIFS(Investors!$M:$M,Investors!$O:$O,FALSE,Investors!$P:$P,FALSE,Investors!$K:$K,"&gt;"&amp;'NSST Print'!$B$3,Investors!$I:$I,"&lt;="&amp;'NSST Print'!$B$3,Investors!$A:$A,'Investor Exit List'!$A296,Investors!$E:$E,'Investor Exit List'!$C296,Investors!$L:$L,'Investor Exit List'!$B296)-(SUMIFS(Investors!$M:$M,Investors!$I:$I,"&lt;="&amp;'NSST Print'!$B$3,Investors!$J:$J,"&gt;"&amp;'NSST Print'!$B$3,Investors!$A:$A,'Investor Exit List'!$A296,Investors!$E:$E,'Investor Exit List'!$C296,Investors!$L:$L,'Investor Exit List'!$B296)+SUMIFS(Investors!$M:$M,Investors!$I:$I,"&lt;="&amp;'NSST Print'!$B$3,Investors!$J:$J,"",Investors!$A:$A,'Investor Exit List'!$A296,Investors!$E:$E,'Investor Exit List'!$C296,Investors!$L:$L,'Investor Exit List'!$B296))+SUMIFS(Investors!$S:$S,Investors!$O:$O,FALSE,Investors!$P:$P,FALSE,Investors!$K:$K,"&gt;"&amp;'NSST Print'!$B$3,Investors!$I:$I,"&lt;="&amp;'NSST Print'!$B$3,Investors!$A:$A,'Investor Exit List'!$A296,Investors!$E:$E,'Investor Exit List'!$C296,Investors!$L:$L,'Investor Exit List'!$B296)-(SUMIFS(Investors!$S:$S,Investors!$I:$I,"&lt;="&amp;'NSST Print'!$B$3,Investors!$J:$J,"&gt;"&amp;'NSST Print'!$B$3,Investors!$A:$A,'Investor Exit List'!$A296,Investors!$E:$E,'Investor Exit List'!$C296,Investors!$L:$L,'Investor Exit List'!$B296)+SUMIFS(Investors!$S:$S,Investors!$I:$I,"&lt;="&amp;'NSST Print'!$B$3,Investors!$J:$J,"",Investors!$A:$A,'Investor Exit List'!$A296,Investors!$E:$E,'Investor Exit List'!$C296,Investors!$L:$L,'Investor Exit List'!$B296))</f>
        <v/>
      </c>
      <c r="R296" s="98">
        <f>IF(AND(H296=TRUE,I296=FALSE),Q296,0)</f>
        <v/>
      </c>
      <c r="S296" s="98">
        <f>SUMIFS(Investors!$M:$M,Investors!$O:$O,TRUE,Investors!$A:$A,'Investor Exit List'!$A296,Investors!$E:$E,'Investor Exit List'!$C296,Investors!$L:$L,'Investor Exit List'!$B296)+SUMIFS(Investors!$S:$S,Investors!$O:$O,TRUE,Investors!$A:$A,'Investor Exit List'!$A296,Investors!$E:$E,'Investor Exit List'!$C296,Investors!$L:$L,'Investor Exit List'!$B296)</f>
        <v/>
      </c>
      <c r="T296" s="99">
        <f>IF(U296=TRUE,$J296,"")</f>
        <v/>
      </c>
      <c r="U296" s="97" t="b">
        <v>0</v>
      </c>
      <c r="V296" s="98">
        <f>IF(AND(H296=TRUE,OR(K296="",K296&gt;M296)),S296,0)</f>
        <v/>
      </c>
      <c r="W296" s="97" t="n">
        <v>0</v>
      </c>
      <c r="X296" s="97" t="b">
        <v>0</v>
      </c>
    </row>
    <row r="297">
      <c r="A297" s="97" t="inlineStr">
        <is>
          <t>ZHAN07</t>
        </is>
      </c>
      <c r="B297" s="97" t="n">
        <v>4</v>
      </c>
      <c r="C297" s="97" t="inlineStr">
        <is>
          <t>HVH104</t>
        </is>
      </c>
      <c r="D297" s="97" t="inlineStr">
        <is>
          <t>H</t>
        </is>
      </c>
      <c r="E297" s="97" t="inlineStr">
        <is>
          <t>Hanekom Johannes Hendrik (Hans)</t>
        </is>
      </c>
      <c r="F297" s="98">
        <f>SUMIFS(Investors!$M:$M,Investors!$O:$O,FALSE,Investors!$P:$P,FALSE,Investors!$K:$K,"&gt;"&amp;'NSST Print'!$B$3,Investors!$I:$I,"&lt;="&amp;'NSST Print'!$B$3,Investors!$A:$A,'Investor Exit List'!$A297,Investors!$E:$E,'Investor Exit List'!$C297,Investors!$L:$L,'Investor Exit List'!$B297)-(SUMIFS(Investors!$M:$M,Investors!$I:$I,"&lt;="&amp;'NSST Print'!$B$3,Investors!$J:$J,"&gt;"&amp;'NSST Print'!$B$3,Investors!$A:$A,'Investor Exit List'!$A297,Investors!$E:$E,'Investor Exit List'!$C297,Investors!$L:$L,'Investor Exit List'!$B297)+SUMIFS(Investors!$M:$M,Investors!$I:$I,"&lt;="&amp;'NSST Print'!$B$3,Investors!$J:$J,"",Investors!$A:$A,'Investor Exit List'!$A297,Investors!$E:$E,'Investor Exit List'!$C297,Investors!$L:$L,'Investor Exit List'!$B297))</f>
        <v/>
      </c>
      <c r="G297" s="99" t="n">
        <v>45224</v>
      </c>
      <c r="H297" s="97" t="b">
        <v>1</v>
      </c>
      <c r="I297" s="97" t="b">
        <v>0</v>
      </c>
      <c r="J297" s="99" t="n">
        <v>45490</v>
      </c>
      <c r="K297" s="99">
        <f>IF(I297=TRUE,J297,"")</f>
        <v/>
      </c>
      <c r="L297" s="99">
        <f>G297+730</f>
        <v/>
      </c>
      <c r="M297" s="99" t="n">
        <v>45382</v>
      </c>
      <c r="N297" s="100">
        <f>IFERROR(IF(G297&lt;&gt;"",IF(I297=TRUE,0,IF(U297=TRUE,0,L297-M297)),0),0)</f>
        <v/>
      </c>
      <c r="O297" s="100">
        <f>IF(N297&gt;0,IF(N297&lt;=180,N297,0),0)</f>
        <v/>
      </c>
      <c r="P297" s="98">
        <f>IF(AND(N297&lt;90,N297&gt;0),Q297,0)</f>
        <v/>
      </c>
      <c r="Q297" s="98">
        <f>SUMIFS(Investors!$M:$M,Investors!$O:$O,FALSE,Investors!$P:$P,FALSE,Investors!$K:$K,"&gt;"&amp;'NSST Print'!$B$3,Investors!$I:$I,"&lt;="&amp;'NSST Print'!$B$3,Investors!$A:$A,'Investor Exit List'!$A297,Investors!$E:$E,'Investor Exit List'!$C297,Investors!$L:$L,'Investor Exit List'!$B297)-(SUMIFS(Investors!$M:$M,Investors!$I:$I,"&lt;="&amp;'NSST Print'!$B$3,Investors!$J:$J,"&gt;"&amp;'NSST Print'!$B$3,Investors!$A:$A,'Investor Exit List'!$A297,Investors!$E:$E,'Investor Exit List'!$C297,Investors!$L:$L,'Investor Exit List'!$B297)+SUMIFS(Investors!$M:$M,Investors!$I:$I,"&lt;="&amp;'NSST Print'!$B$3,Investors!$J:$J,"",Investors!$A:$A,'Investor Exit List'!$A297,Investors!$E:$E,'Investor Exit List'!$C297,Investors!$L:$L,'Investor Exit List'!$B297))+SUMIFS(Investors!$S:$S,Investors!$O:$O,FALSE,Investors!$P:$P,FALSE,Investors!$K:$K,"&gt;"&amp;'NSST Print'!$B$3,Investors!$I:$I,"&lt;="&amp;'NSST Print'!$B$3,Investors!$A:$A,'Investor Exit List'!$A297,Investors!$E:$E,'Investor Exit List'!$C297,Investors!$L:$L,'Investor Exit List'!$B297)-(SUMIFS(Investors!$S:$S,Investors!$I:$I,"&lt;="&amp;'NSST Print'!$B$3,Investors!$J:$J,"&gt;"&amp;'NSST Print'!$B$3,Investors!$A:$A,'Investor Exit List'!$A297,Investors!$E:$E,'Investor Exit List'!$C297,Investors!$L:$L,'Investor Exit List'!$B297)+SUMIFS(Investors!$S:$S,Investors!$I:$I,"&lt;="&amp;'NSST Print'!$B$3,Investors!$J:$J,"",Investors!$A:$A,'Investor Exit List'!$A297,Investors!$E:$E,'Investor Exit List'!$C297,Investors!$L:$L,'Investor Exit List'!$B297))</f>
        <v/>
      </c>
      <c r="R297" s="98">
        <f>IF(AND(H297=TRUE,I297=FALSE),Q297,0)</f>
        <v/>
      </c>
      <c r="S297" s="98">
        <f>SUMIFS(Investors!$M:$M,Investors!$O:$O,TRUE,Investors!$A:$A,'Investor Exit List'!$A297,Investors!$E:$E,'Investor Exit List'!$C297,Investors!$L:$L,'Investor Exit List'!$B297)+SUMIFS(Investors!$S:$S,Investors!$O:$O,TRUE,Investors!$A:$A,'Investor Exit List'!$A297,Investors!$E:$E,'Investor Exit List'!$C297,Investors!$L:$L,'Investor Exit List'!$B297)</f>
        <v/>
      </c>
      <c r="T297" s="99">
        <f>IF(U297=TRUE,$J297,"")</f>
        <v/>
      </c>
      <c r="U297" s="97" t="b">
        <v>0</v>
      </c>
      <c r="V297" s="98">
        <f>IF(AND(H297=TRUE,OR(K297="",K297&gt;M297)),S297,0)</f>
        <v/>
      </c>
      <c r="W297" s="97" t="n">
        <v>0</v>
      </c>
      <c r="X297" s="97" t="b">
        <v>0</v>
      </c>
    </row>
    <row r="298">
      <c r="A298" s="97" t="inlineStr">
        <is>
          <t>ZHAN07</t>
        </is>
      </c>
      <c r="B298" s="97" t="n">
        <v>5</v>
      </c>
      <c r="C298" s="97" t="inlineStr">
        <is>
          <t>HVH201</t>
        </is>
      </c>
      <c r="D298" s="97" t="inlineStr">
        <is>
          <t>H</t>
        </is>
      </c>
      <c r="E298" s="97" t="inlineStr">
        <is>
          <t>Hanekom Johannes Hendrik (Hans)</t>
        </is>
      </c>
      <c r="F298" s="98">
        <f>SUMIFS(Investors!$M:$M,Investors!$O:$O,FALSE,Investors!$P:$P,FALSE,Investors!$K:$K,"&gt;"&amp;'NSST Print'!$B$3,Investors!$I:$I,"&lt;="&amp;'NSST Print'!$B$3,Investors!$A:$A,'Investor Exit List'!$A298,Investors!$E:$E,'Investor Exit List'!$C298,Investors!$L:$L,'Investor Exit List'!$B298)-(SUMIFS(Investors!$M:$M,Investors!$I:$I,"&lt;="&amp;'NSST Print'!$B$3,Investors!$J:$J,"&gt;"&amp;'NSST Print'!$B$3,Investors!$A:$A,'Investor Exit List'!$A298,Investors!$E:$E,'Investor Exit List'!$C298,Investors!$L:$L,'Investor Exit List'!$B298)+SUMIFS(Investors!$M:$M,Investors!$I:$I,"&lt;="&amp;'NSST Print'!$B$3,Investors!$J:$J,"",Investors!$A:$A,'Investor Exit List'!$A298,Investors!$E:$E,'Investor Exit List'!$C298,Investors!$L:$L,'Investor Exit List'!$B298))</f>
        <v/>
      </c>
      <c r="G298" s="99" t="n">
        <v>45259</v>
      </c>
      <c r="H298" s="97" t="b">
        <v>1</v>
      </c>
      <c r="I298" s="97" t="b">
        <v>0</v>
      </c>
      <c r="J298" s="99" t="n">
        <v>45490</v>
      </c>
      <c r="K298" s="99">
        <f>IF(I298=TRUE,J298,"")</f>
        <v/>
      </c>
      <c r="L298" s="99">
        <f>G298+730</f>
        <v/>
      </c>
      <c r="M298" s="99" t="n">
        <v>45382</v>
      </c>
      <c r="N298" s="100">
        <f>IFERROR(IF(G298&lt;&gt;"",IF(I298=TRUE,0,IF(U298=TRUE,0,L298-M298)),0),0)</f>
        <v/>
      </c>
      <c r="O298" s="100">
        <f>IF(N298&gt;0,IF(N298&lt;=180,N298,0),0)</f>
        <v/>
      </c>
      <c r="P298" s="98">
        <f>IF(AND(N298&lt;90,N298&gt;0),Q298,0)</f>
        <v/>
      </c>
      <c r="Q298" s="98">
        <f>SUMIFS(Investors!$M:$M,Investors!$O:$O,FALSE,Investors!$P:$P,FALSE,Investors!$K:$K,"&gt;"&amp;'NSST Print'!$B$3,Investors!$I:$I,"&lt;="&amp;'NSST Print'!$B$3,Investors!$A:$A,'Investor Exit List'!$A298,Investors!$E:$E,'Investor Exit List'!$C298,Investors!$L:$L,'Investor Exit List'!$B298)-(SUMIFS(Investors!$M:$M,Investors!$I:$I,"&lt;="&amp;'NSST Print'!$B$3,Investors!$J:$J,"&gt;"&amp;'NSST Print'!$B$3,Investors!$A:$A,'Investor Exit List'!$A298,Investors!$E:$E,'Investor Exit List'!$C298,Investors!$L:$L,'Investor Exit List'!$B298)+SUMIFS(Investors!$M:$M,Investors!$I:$I,"&lt;="&amp;'NSST Print'!$B$3,Investors!$J:$J,"",Investors!$A:$A,'Investor Exit List'!$A298,Investors!$E:$E,'Investor Exit List'!$C298,Investors!$L:$L,'Investor Exit List'!$B298))+SUMIFS(Investors!$S:$S,Investors!$O:$O,FALSE,Investors!$P:$P,FALSE,Investors!$K:$K,"&gt;"&amp;'NSST Print'!$B$3,Investors!$I:$I,"&lt;="&amp;'NSST Print'!$B$3,Investors!$A:$A,'Investor Exit List'!$A298,Investors!$E:$E,'Investor Exit List'!$C298,Investors!$L:$L,'Investor Exit List'!$B298)-(SUMIFS(Investors!$S:$S,Investors!$I:$I,"&lt;="&amp;'NSST Print'!$B$3,Investors!$J:$J,"&gt;"&amp;'NSST Print'!$B$3,Investors!$A:$A,'Investor Exit List'!$A298,Investors!$E:$E,'Investor Exit List'!$C298,Investors!$L:$L,'Investor Exit List'!$B298)+SUMIFS(Investors!$S:$S,Investors!$I:$I,"&lt;="&amp;'NSST Print'!$B$3,Investors!$J:$J,"",Investors!$A:$A,'Investor Exit List'!$A298,Investors!$E:$E,'Investor Exit List'!$C298,Investors!$L:$L,'Investor Exit List'!$B298))</f>
        <v/>
      </c>
      <c r="R298" s="98">
        <f>IF(AND(H298=TRUE,I298=FALSE),Q298,0)</f>
        <v/>
      </c>
      <c r="S298" s="98">
        <f>SUMIFS(Investors!$M:$M,Investors!$O:$O,TRUE,Investors!$A:$A,'Investor Exit List'!$A298,Investors!$E:$E,'Investor Exit List'!$C298,Investors!$L:$L,'Investor Exit List'!$B298)+SUMIFS(Investors!$S:$S,Investors!$O:$O,TRUE,Investors!$A:$A,'Investor Exit List'!$A298,Investors!$E:$E,'Investor Exit List'!$C298,Investors!$L:$L,'Investor Exit List'!$B298)</f>
        <v/>
      </c>
      <c r="T298" s="99">
        <f>IF(U298=TRUE,$J298,"")</f>
        <v/>
      </c>
      <c r="U298" s="97" t="b">
        <v>0</v>
      </c>
      <c r="V298" s="98">
        <f>IF(AND(H298=TRUE,OR(K298="",K298&gt;M298)),S298,0)</f>
        <v/>
      </c>
      <c r="W298" s="97" t="n">
        <v>0</v>
      </c>
      <c r="X298" s="97" t="b">
        <v>0</v>
      </c>
    </row>
    <row r="299">
      <c r="A299" s="97" t="inlineStr">
        <is>
          <t>ZHAN07</t>
        </is>
      </c>
      <c r="B299" s="97" t="n">
        <v>6</v>
      </c>
      <c r="C299" s="97" t="inlineStr">
        <is>
          <t>HVH202</t>
        </is>
      </c>
      <c r="D299" s="97" t="inlineStr">
        <is>
          <t>H</t>
        </is>
      </c>
      <c r="E299" s="97" t="inlineStr">
        <is>
          <t>Hanekom Johannes Hendrik (Hans)</t>
        </is>
      </c>
      <c r="F299" s="98">
        <f>SUMIFS(Investors!$M:$M,Investors!$O:$O,FALSE,Investors!$P:$P,FALSE,Investors!$K:$K,"&gt;"&amp;'NSST Print'!$B$3,Investors!$I:$I,"&lt;="&amp;'NSST Print'!$B$3,Investors!$A:$A,'Investor Exit List'!$A299,Investors!$E:$E,'Investor Exit List'!$C299,Investors!$L:$L,'Investor Exit List'!$B299)-(SUMIFS(Investors!$M:$M,Investors!$I:$I,"&lt;="&amp;'NSST Print'!$B$3,Investors!$J:$J,"&gt;"&amp;'NSST Print'!$B$3,Investors!$A:$A,'Investor Exit List'!$A299,Investors!$E:$E,'Investor Exit List'!$C299,Investors!$L:$L,'Investor Exit List'!$B299)+SUMIFS(Investors!$M:$M,Investors!$I:$I,"&lt;="&amp;'NSST Print'!$B$3,Investors!$J:$J,"",Investors!$A:$A,'Investor Exit List'!$A299,Investors!$E:$E,'Investor Exit List'!$C299,Investors!$L:$L,'Investor Exit List'!$B299))</f>
        <v/>
      </c>
      <c r="G299" s="99" t="n">
        <v>45273</v>
      </c>
      <c r="H299" s="97" t="b">
        <v>1</v>
      </c>
      <c r="I299" s="97" t="b">
        <v>0</v>
      </c>
      <c r="J299" s="99" t="n">
        <v>45490</v>
      </c>
      <c r="K299" s="99">
        <f>IF(I299=TRUE,J299,"")</f>
        <v/>
      </c>
      <c r="L299" s="99">
        <f>G299+730</f>
        <v/>
      </c>
      <c r="M299" s="99" t="n">
        <v>45382</v>
      </c>
      <c r="N299" s="100">
        <f>IFERROR(IF(G299&lt;&gt;"",IF(I299=TRUE,0,IF(U299=TRUE,0,L299-M299)),0),0)</f>
        <v/>
      </c>
      <c r="O299" s="100">
        <f>IF(N299&gt;0,IF(N299&lt;=180,N299,0),0)</f>
        <v/>
      </c>
      <c r="P299" s="98">
        <f>IF(AND(N299&lt;90,N299&gt;0),Q299,0)</f>
        <v/>
      </c>
      <c r="Q299" s="98">
        <f>SUMIFS(Investors!$M:$M,Investors!$O:$O,FALSE,Investors!$P:$P,FALSE,Investors!$K:$K,"&gt;"&amp;'NSST Print'!$B$3,Investors!$I:$I,"&lt;="&amp;'NSST Print'!$B$3,Investors!$A:$A,'Investor Exit List'!$A299,Investors!$E:$E,'Investor Exit List'!$C299,Investors!$L:$L,'Investor Exit List'!$B299)-(SUMIFS(Investors!$M:$M,Investors!$I:$I,"&lt;="&amp;'NSST Print'!$B$3,Investors!$J:$J,"&gt;"&amp;'NSST Print'!$B$3,Investors!$A:$A,'Investor Exit List'!$A299,Investors!$E:$E,'Investor Exit List'!$C299,Investors!$L:$L,'Investor Exit List'!$B299)+SUMIFS(Investors!$M:$M,Investors!$I:$I,"&lt;="&amp;'NSST Print'!$B$3,Investors!$J:$J,"",Investors!$A:$A,'Investor Exit List'!$A299,Investors!$E:$E,'Investor Exit List'!$C299,Investors!$L:$L,'Investor Exit List'!$B299))+SUMIFS(Investors!$S:$S,Investors!$O:$O,FALSE,Investors!$P:$P,FALSE,Investors!$K:$K,"&gt;"&amp;'NSST Print'!$B$3,Investors!$I:$I,"&lt;="&amp;'NSST Print'!$B$3,Investors!$A:$A,'Investor Exit List'!$A299,Investors!$E:$E,'Investor Exit List'!$C299,Investors!$L:$L,'Investor Exit List'!$B299)-(SUMIFS(Investors!$S:$S,Investors!$I:$I,"&lt;="&amp;'NSST Print'!$B$3,Investors!$J:$J,"&gt;"&amp;'NSST Print'!$B$3,Investors!$A:$A,'Investor Exit List'!$A299,Investors!$E:$E,'Investor Exit List'!$C299,Investors!$L:$L,'Investor Exit List'!$B299)+SUMIFS(Investors!$S:$S,Investors!$I:$I,"&lt;="&amp;'NSST Print'!$B$3,Investors!$J:$J,"",Investors!$A:$A,'Investor Exit List'!$A299,Investors!$E:$E,'Investor Exit List'!$C299,Investors!$L:$L,'Investor Exit List'!$B299))</f>
        <v/>
      </c>
      <c r="R299" s="98">
        <f>IF(AND(H299=TRUE,I299=FALSE),Q299,0)</f>
        <v/>
      </c>
      <c r="S299" s="98">
        <f>SUMIFS(Investors!$M:$M,Investors!$O:$O,TRUE,Investors!$A:$A,'Investor Exit List'!$A299,Investors!$E:$E,'Investor Exit List'!$C299,Investors!$L:$L,'Investor Exit List'!$B299)+SUMIFS(Investors!$S:$S,Investors!$O:$O,TRUE,Investors!$A:$A,'Investor Exit List'!$A299,Investors!$E:$E,'Investor Exit List'!$C299,Investors!$L:$L,'Investor Exit List'!$B299)</f>
        <v/>
      </c>
      <c r="T299" s="99">
        <f>IF(U299=TRUE,$J299,"")</f>
        <v/>
      </c>
      <c r="U299" s="97" t="b">
        <v>0</v>
      </c>
      <c r="V299" s="98">
        <f>IF(AND(H299=TRUE,OR(K299="",K299&gt;M299)),S299,0)</f>
        <v/>
      </c>
      <c r="W299" s="97" t="n">
        <v>0</v>
      </c>
      <c r="X299" s="97" t="b">
        <v>0</v>
      </c>
    </row>
    <row r="300">
      <c r="A300" s="97" t="inlineStr">
        <is>
          <t>ZHAN07</t>
        </is>
      </c>
      <c r="B300" s="97" t="n">
        <v>7</v>
      </c>
      <c r="C300" s="97" t="inlineStr">
        <is>
          <t>HVH203</t>
        </is>
      </c>
      <c r="D300" s="97" t="inlineStr">
        <is>
          <t>H</t>
        </is>
      </c>
      <c r="E300" s="97" t="inlineStr">
        <is>
          <t>Hanekom Johannes Hendrik (Hans)</t>
        </is>
      </c>
      <c r="F300" s="98">
        <f>SUMIFS(Investors!$M:$M,Investors!$O:$O,FALSE,Investors!$P:$P,FALSE,Investors!$K:$K,"&gt;"&amp;'NSST Print'!$B$3,Investors!$I:$I,"&lt;="&amp;'NSST Print'!$B$3,Investors!$A:$A,'Investor Exit List'!$A300,Investors!$E:$E,'Investor Exit List'!$C300,Investors!$L:$L,'Investor Exit List'!$B300)-(SUMIFS(Investors!$M:$M,Investors!$I:$I,"&lt;="&amp;'NSST Print'!$B$3,Investors!$J:$J,"&gt;"&amp;'NSST Print'!$B$3,Investors!$A:$A,'Investor Exit List'!$A300,Investors!$E:$E,'Investor Exit List'!$C300,Investors!$L:$L,'Investor Exit List'!$B300)+SUMIFS(Investors!$M:$M,Investors!$I:$I,"&lt;="&amp;'NSST Print'!$B$3,Investors!$J:$J,"",Investors!$A:$A,'Investor Exit List'!$A300,Investors!$E:$E,'Investor Exit List'!$C300,Investors!$L:$L,'Investor Exit List'!$B300))</f>
        <v/>
      </c>
      <c r="G300" s="99" t="n">
        <v>45273</v>
      </c>
      <c r="H300" s="97" t="b">
        <v>1</v>
      </c>
      <c r="I300" s="97" t="b">
        <v>0</v>
      </c>
      <c r="J300" s="99" t="n">
        <v>45490</v>
      </c>
      <c r="K300" s="99">
        <f>IF(I300=TRUE,J300,"")</f>
        <v/>
      </c>
      <c r="L300" s="99">
        <f>G300+730</f>
        <v/>
      </c>
      <c r="M300" s="99" t="n">
        <v>45382</v>
      </c>
      <c r="N300" s="100">
        <f>IFERROR(IF(G300&lt;&gt;"",IF(I300=TRUE,0,IF(U300=TRUE,0,L300-M300)),0),0)</f>
        <v/>
      </c>
      <c r="O300" s="100">
        <f>IF(N300&gt;0,IF(N300&lt;=180,N300,0),0)</f>
        <v/>
      </c>
      <c r="P300" s="98">
        <f>IF(AND(N300&lt;90,N300&gt;0),Q300,0)</f>
        <v/>
      </c>
      <c r="Q300" s="98">
        <f>SUMIFS(Investors!$M:$M,Investors!$O:$O,FALSE,Investors!$P:$P,FALSE,Investors!$K:$K,"&gt;"&amp;'NSST Print'!$B$3,Investors!$I:$I,"&lt;="&amp;'NSST Print'!$B$3,Investors!$A:$A,'Investor Exit List'!$A300,Investors!$E:$E,'Investor Exit List'!$C300,Investors!$L:$L,'Investor Exit List'!$B300)-(SUMIFS(Investors!$M:$M,Investors!$I:$I,"&lt;="&amp;'NSST Print'!$B$3,Investors!$J:$J,"&gt;"&amp;'NSST Print'!$B$3,Investors!$A:$A,'Investor Exit List'!$A300,Investors!$E:$E,'Investor Exit List'!$C300,Investors!$L:$L,'Investor Exit List'!$B300)+SUMIFS(Investors!$M:$M,Investors!$I:$I,"&lt;="&amp;'NSST Print'!$B$3,Investors!$J:$J,"",Investors!$A:$A,'Investor Exit List'!$A300,Investors!$E:$E,'Investor Exit List'!$C300,Investors!$L:$L,'Investor Exit List'!$B300))+SUMIFS(Investors!$S:$S,Investors!$O:$O,FALSE,Investors!$P:$P,FALSE,Investors!$K:$K,"&gt;"&amp;'NSST Print'!$B$3,Investors!$I:$I,"&lt;="&amp;'NSST Print'!$B$3,Investors!$A:$A,'Investor Exit List'!$A300,Investors!$E:$E,'Investor Exit List'!$C300,Investors!$L:$L,'Investor Exit List'!$B300)-(SUMIFS(Investors!$S:$S,Investors!$I:$I,"&lt;="&amp;'NSST Print'!$B$3,Investors!$J:$J,"&gt;"&amp;'NSST Print'!$B$3,Investors!$A:$A,'Investor Exit List'!$A300,Investors!$E:$E,'Investor Exit List'!$C300,Investors!$L:$L,'Investor Exit List'!$B300)+SUMIFS(Investors!$S:$S,Investors!$I:$I,"&lt;="&amp;'NSST Print'!$B$3,Investors!$J:$J,"",Investors!$A:$A,'Investor Exit List'!$A300,Investors!$E:$E,'Investor Exit List'!$C300,Investors!$L:$L,'Investor Exit List'!$B300))</f>
        <v/>
      </c>
      <c r="R300" s="98">
        <f>IF(AND(H300=TRUE,I300=FALSE),Q300,0)</f>
        <v/>
      </c>
      <c r="S300" s="98">
        <f>SUMIFS(Investors!$M:$M,Investors!$O:$O,TRUE,Investors!$A:$A,'Investor Exit List'!$A300,Investors!$E:$E,'Investor Exit List'!$C300,Investors!$L:$L,'Investor Exit List'!$B300)+SUMIFS(Investors!$S:$S,Investors!$O:$O,TRUE,Investors!$A:$A,'Investor Exit List'!$A300,Investors!$E:$E,'Investor Exit List'!$C300,Investors!$L:$L,'Investor Exit List'!$B300)</f>
        <v/>
      </c>
      <c r="T300" s="99">
        <f>IF(U300=TRUE,$J300,"")</f>
        <v/>
      </c>
      <c r="U300" s="97" t="b">
        <v>0</v>
      </c>
      <c r="V300" s="98">
        <f>IF(AND(H300=TRUE,OR(K300="",K300&gt;M300)),S300,0)</f>
        <v/>
      </c>
      <c r="W300" s="97" t="n">
        <v>0</v>
      </c>
      <c r="X300" s="97" t="b">
        <v>0</v>
      </c>
    </row>
    <row r="301">
      <c r="A301" s="97" t="inlineStr">
        <is>
          <t>ZHAN07</t>
        </is>
      </c>
      <c r="B301" s="97" t="n">
        <v>8</v>
      </c>
      <c r="C301" s="97" t="inlineStr">
        <is>
          <t>HVH204</t>
        </is>
      </c>
      <c r="D301" s="97" t="inlineStr">
        <is>
          <t>H</t>
        </is>
      </c>
      <c r="E301" s="97" t="inlineStr">
        <is>
          <t>Hanekom Johannes Hendrik (Hans)</t>
        </is>
      </c>
      <c r="F301" s="98">
        <f>SUMIFS(Investors!$M:$M,Investors!$O:$O,FALSE,Investors!$P:$P,FALSE,Investors!$K:$K,"&gt;"&amp;'NSST Print'!$B$3,Investors!$I:$I,"&lt;="&amp;'NSST Print'!$B$3,Investors!$A:$A,'Investor Exit List'!$A301,Investors!$E:$E,'Investor Exit List'!$C301,Investors!$L:$L,'Investor Exit List'!$B301)-(SUMIFS(Investors!$M:$M,Investors!$I:$I,"&lt;="&amp;'NSST Print'!$B$3,Investors!$J:$J,"&gt;"&amp;'NSST Print'!$B$3,Investors!$A:$A,'Investor Exit List'!$A301,Investors!$E:$E,'Investor Exit List'!$C301,Investors!$L:$L,'Investor Exit List'!$B301)+SUMIFS(Investors!$M:$M,Investors!$I:$I,"&lt;="&amp;'NSST Print'!$B$3,Investors!$J:$J,"",Investors!$A:$A,'Investor Exit List'!$A301,Investors!$E:$E,'Investor Exit List'!$C301,Investors!$L:$L,'Investor Exit List'!$B301))</f>
        <v/>
      </c>
      <c r="G301" s="99" t="n">
        <v>45273</v>
      </c>
      <c r="H301" s="97" t="b">
        <v>1</v>
      </c>
      <c r="I301" s="97" t="b">
        <v>0</v>
      </c>
      <c r="J301" s="99" t="n">
        <v>45490</v>
      </c>
      <c r="K301" s="99">
        <f>IF(I301=TRUE,J301,"")</f>
        <v/>
      </c>
      <c r="L301" s="99">
        <f>G301+730</f>
        <v/>
      </c>
      <c r="M301" s="99" t="n">
        <v>45382</v>
      </c>
      <c r="N301" s="100">
        <f>IFERROR(IF(G301&lt;&gt;"",IF(I301=TRUE,0,IF(U301=TRUE,0,L301-M301)),0),0)</f>
        <v/>
      </c>
      <c r="O301" s="100">
        <f>IF(N301&gt;0,IF(N301&lt;=180,N301,0),0)</f>
        <v/>
      </c>
      <c r="P301" s="98">
        <f>IF(AND(N301&lt;90,N301&gt;0),Q301,0)</f>
        <v/>
      </c>
      <c r="Q301" s="98">
        <f>SUMIFS(Investors!$M:$M,Investors!$O:$O,FALSE,Investors!$P:$P,FALSE,Investors!$K:$K,"&gt;"&amp;'NSST Print'!$B$3,Investors!$I:$I,"&lt;="&amp;'NSST Print'!$B$3,Investors!$A:$A,'Investor Exit List'!$A301,Investors!$E:$E,'Investor Exit List'!$C301,Investors!$L:$L,'Investor Exit List'!$B301)-(SUMIFS(Investors!$M:$M,Investors!$I:$I,"&lt;="&amp;'NSST Print'!$B$3,Investors!$J:$J,"&gt;"&amp;'NSST Print'!$B$3,Investors!$A:$A,'Investor Exit List'!$A301,Investors!$E:$E,'Investor Exit List'!$C301,Investors!$L:$L,'Investor Exit List'!$B301)+SUMIFS(Investors!$M:$M,Investors!$I:$I,"&lt;="&amp;'NSST Print'!$B$3,Investors!$J:$J,"",Investors!$A:$A,'Investor Exit List'!$A301,Investors!$E:$E,'Investor Exit List'!$C301,Investors!$L:$L,'Investor Exit List'!$B301))+SUMIFS(Investors!$S:$S,Investors!$O:$O,FALSE,Investors!$P:$P,FALSE,Investors!$K:$K,"&gt;"&amp;'NSST Print'!$B$3,Investors!$I:$I,"&lt;="&amp;'NSST Print'!$B$3,Investors!$A:$A,'Investor Exit List'!$A301,Investors!$E:$E,'Investor Exit List'!$C301,Investors!$L:$L,'Investor Exit List'!$B301)-(SUMIFS(Investors!$S:$S,Investors!$I:$I,"&lt;="&amp;'NSST Print'!$B$3,Investors!$J:$J,"&gt;"&amp;'NSST Print'!$B$3,Investors!$A:$A,'Investor Exit List'!$A301,Investors!$E:$E,'Investor Exit List'!$C301,Investors!$L:$L,'Investor Exit List'!$B301)+SUMIFS(Investors!$S:$S,Investors!$I:$I,"&lt;="&amp;'NSST Print'!$B$3,Investors!$J:$J,"",Investors!$A:$A,'Investor Exit List'!$A301,Investors!$E:$E,'Investor Exit List'!$C301,Investors!$L:$L,'Investor Exit List'!$B301))</f>
        <v/>
      </c>
      <c r="R301" s="98">
        <f>IF(AND(H301=TRUE,I301=FALSE),Q301,0)</f>
        <v/>
      </c>
      <c r="S301" s="98">
        <f>SUMIFS(Investors!$M:$M,Investors!$O:$O,TRUE,Investors!$A:$A,'Investor Exit List'!$A301,Investors!$E:$E,'Investor Exit List'!$C301,Investors!$L:$L,'Investor Exit List'!$B301)+SUMIFS(Investors!$S:$S,Investors!$O:$O,TRUE,Investors!$A:$A,'Investor Exit List'!$A301,Investors!$E:$E,'Investor Exit List'!$C301,Investors!$L:$L,'Investor Exit List'!$B301)</f>
        <v/>
      </c>
      <c r="T301" s="99">
        <f>IF(U301=TRUE,$J301,"")</f>
        <v/>
      </c>
      <c r="U301" s="97" t="b">
        <v>0</v>
      </c>
      <c r="V301" s="98">
        <f>IF(AND(H301=TRUE,OR(K301="",K301&gt;M301)),S301,0)</f>
        <v/>
      </c>
      <c r="W301" s="97" t="n">
        <v>0</v>
      </c>
      <c r="X301" s="97" t="b">
        <v>0</v>
      </c>
    </row>
    <row r="302">
      <c r="A302" s="93" t="inlineStr">
        <is>
          <t>ZDEB01</t>
        </is>
      </c>
      <c r="B302" s="93" t="n">
        <v>9</v>
      </c>
      <c r="C302" s="93" t="inlineStr">
        <is>
          <t>HVI101</t>
        </is>
      </c>
      <c r="D302" s="93" t="inlineStr">
        <is>
          <t>I</t>
        </is>
      </c>
      <c r="E302" s="93" t="inlineStr">
        <is>
          <t>De Beer William Henry</t>
        </is>
      </c>
      <c r="F302" s="94">
        <f>SUMIFS(Investors!$M:$M,Investors!$O:$O,FALSE,Investors!$P:$P,FALSE,Investors!$K:$K,"&gt;"&amp;'NSST Print'!$B$3,Investors!$I:$I,"&lt;="&amp;'NSST Print'!$B$3,Investors!$A:$A,'Investor Exit List'!$A302,Investors!$E:$E,'Investor Exit List'!$C302,Investors!$L:$L,'Investor Exit List'!$B302)-(SUMIFS(Investors!$M:$M,Investors!$I:$I,"&lt;="&amp;'NSST Print'!$B$3,Investors!$J:$J,"&gt;"&amp;'NSST Print'!$B$3,Investors!$A:$A,'Investor Exit List'!$A302,Investors!$E:$E,'Investor Exit List'!$C302,Investors!$L:$L,'Investor Exit List'!$B302)+SUMIFS(Investors!$M:$M,Investors!$I:$I,"&lt;="&amp;'NSST Print'!$B$3,Investors!$J:$J,"",Investors!$A:$A,'Investor Exit List'!$A302,Investors!$E:$E,'Investor Exit List'!$C302,Investors!$L:$L,'Investor Exit List'!$B302))</f>
        <v/>
      </c>
      <c r="G302" s="95" t="n">
        <v>45224</v>
      </c>
      <c r="H302" s="93" t="b">
        <v>0</v>
      </c>
      <c r="I302" s="93" t="b">
        <v>0</v>
      </c>
      <c r="J302" s="95" t="n">
        <v>45516</v>
      </c>
      <c r="K302" s="95">
        <f>IF(I302=TRUE,J302,"")</f>
        <v/>
      </c>
      <c r="L302" s="95">
        <f>G302+730</f>
        <v/>
      </c>
      <c r="M302" s="95" t="n">
        <v>45382</v>
      </c>
      <c r="N302" s="96">
        <f>IFERROR(IF(G302&lt;&gt;"",IF(I302=TRUE,0,IF(U302=TRUE,0,L302-M302)),0),0)</f>
        <v/>
      </c>
      <c r="O302" s="96">
        <f>IF(N302&gt;0,IF(N302&lt;=180,N302,0),0)</f>
        <v/>
      </c>
      <c r="P302" s="94">
        <f>IF(AND(N302&lt;90,N302&gt;0),Q302,0)</f>
        <v/>
      </c>
      <c r="Q302" s="94">
        <f>SUMIFS(Investors!$M:$M,Investors!$O:$O,FALSE,Investors!$P:$P,FALSE,Investors!$K:$K,"&gt;"&amp;'NSST Print'!$B$3,Investors!$I:$I,"&lt;="&amp;'NSST Print'!$B$3,Investors!$A:$A,'Investor Exit List'!$A302,Investors!$E:$E,'Investor Exit List'!$C302,Investors!$L:$L,'Investor Exit List'!$B302)-(SUMIFS(Investors!$M:$M,Investors!$I:$I,"&lt;="&amp;'NSST Print'!$B$3,Investors!$J:$J,"&gt;"&amp;'NSST Print'!$B$3,Investors!$A:$A,'Investor Exit List'!$A302,Investors!$E:$E,'Investor Exit List'!$C302,Investors!$L:$L,'Investor Exit List'!$B302)+SUMIFS(Investors!$M:$M,Investors!$I:$I,"&lt;="&amp;'NSST Print'!$B$3,Investors!$J:$J,"",Investors!$A:$A,'Investor Exit List'!$A302,Investors!$E:$E,'Investor Exit List'!$C302,Investors!$L:$L,'Investor Exit List'!$B302))+SUMIFS(Investors!$S:$S,Investors!$O:$O,FALSE,Investors!$P:$P,FALSE,Investors!$K:$K,"&gt;"&amp;'NSST Print'!$B$3,Investors!$I:$I,"&lt;="&amp;'NSST Print'!$B$3,Investors!$A:$A,'Investor Exit List'!$A302,Investors!$E:$E,'Investor Exit List'!$C302,Investors!$L:$L,'Investor Exit List'!$B302)-(SUMIFS(Investors!$S:$S,Investors!$I:$I,"&lt;="&amp;'NSST Print'!$B$3,Investors!$J:$J,"&gt;"&amp;'NSST Print'!$B$3,Investors!$A:$A,'Investor Exit List'!$A302,Investors!$E:$E,'Investor Exit List'!$C302,Investors!$L:$L,'Investor Exit List'!$B302)+SUMIFS(Investors!$S:$S,Investors!$I:$I,"&lt;="&amp;'NSST Print'!$B$3,Investors!$J:$J,"",Investors!$A:$A,'Investor Exit List'!$A302,Investors!$E:$E,'Investor Exit List'!$C302,Investors!$L:$L,'Investor Exit List'!$B302))</f>
        <v/>
      </c>
      <c r="R302" s="94">
        <f>IF(AND(H302=TRUE,I302=FALSE),Q302,0)</f>
        <v/>
      </c>
      <c r="S302" s="94">
        <f>SUMIFS(Investors!$M:$M,Investors!$O:$O,TRUE,Investors!$A:$A,'Investor Exit List'!$A302,Investors!$E:$E,'Investor Exit List'!$C302,Investors!$L:$L,'Investor Exit List'!$B302)+SUMIFS(Investors!$S:$S,Investors!$O:$O,TRUE,Investors!$A:$A,'Investor Exit List'!$A302,Investors!$E:$E,'Investor Exit List'!$C302,Investors!$L:$L,'Investor Exit List'!$B302)</f>
        <v/>
      </c>
      <c r="T302" s="95">
        <f>IF(U302=TRUE,$J302,"")</f>
        <v/>
      </c>
      <c r="U302" s="93" t="b">
        <v>0</v>
      </c>
      <c r="V302" s="94">
        <f>IF(AND(H302=TRUE,OR(K302="",K302&gt;M302)),S302,0)</f>
        <v/>
      </c>
      <c r="W302" s="93" t="n">
        <v>0</v>
      </c>
      <c r="X302" s="93" t="b">
        <v>0</v>
      </c>
    </row>
    <row r="303">
      <c r="A303" s="93" t="inlineStr">
        <is>
          <t>ZBEL01</t>
        </is>
      </c>
      <c r="B303" s="93" t="n">
        <v>6</v>
      </c>
      <c r="C303" s="93" t="inlineStr">
        <is>
          <t>HVI102</t>
        </is>
      </c>
      <c r="D303" s="93" t="inlineStr">
        <is>
          <t>I</t>
        </is>
      </c>
      <c r="E303" s="93" t="inlineStr">
        <is>
          <t>Belford Helen Constance</t>
        </is>
      </c>
      <c r="F303" s="94">
        <f>SUMIFS(Investors!$M:$M,Investors!$O:$O,FALSE,Investors!$P:$P,FALSE,Investors!$K:$K,"&gt;"&amp;'NSST Print'!$B$3,Investors!$I:$I,"&lt;="&amp;'NSST Print'!$B$3,Investors!$A:$A,'Investor Exit List'!$A303,Investors!$E:$E,'Investor Exit List'!$C303,Investors!$L:$L,'Investor Exit List'!$B303)-(SUMIFS(Investors!$M:$M,Investors!$I:$I,"&lt;="&amp;'NSST Print'!$B$3,Investors!$J:$J,"&gt;"&amp;'NSST Print'!$B$3,Investors!$A:$A,'Investor Exit List'!$A303,Investors!$E:$E,'Investor Exit List'!$C303,Investors!$L:$L,'Investor Exit List'!$B303)+SUMIFS(Investors!$M:$M,Investors!$I:$I,"&lt;="&amp;'NSST Print'!$B$3,Investors!$J:$J,"",Investors!$A:$A,'Investor Exit List'!$A303,Investors!$E:$E,'Investor Exit List'!$C303,Investors!$L:$L,'Investor Exit List'!$B303))</f>
        <v/>
      </c>
      <c r="G303" s="95" t="n">
        <v>45252</v>
      </c>
      <c r="H303" s="93" t="b">
        <v>0</v>
      </c>
      <c r="I303" s="93" t="b">
        <v>0</v>
      </c>
      <c r="J303" s="95" t="n">
        <v>45516</v>
      </c>
      <c r="K303" s="95">
        <f>IF(I303=TRUE,J303,"")</f>
        <v/>
      </c>
      <c r="L303" s="95">
        <f>G303+730</f>
        <v/>
      </c>
      <c r="M303" s="95" t="n">
        <v>45382</v>
      </c>
      <c r="N303" s="96">
        <f>IFERROR(IF(G303&lt;&gt;"",IF(I303=TRUE,0,IF(U303=TRUE,0,L303-M303)),0),0)</f>
        <v/>
      </c>
      <c r="O303" s="96">
        <f>IF(N303&gt;0,IF(N303&lt;=180,N303,0),0)</f>
        <v/>
      </c>
      <c r="P303" s="94">
        <f>IF(AND(N303&lt;90,N303&gt;0),Q303,0)</f>
        <v/>
      </c>
      <c r="Q303" s="94">
        <f>SUMIFS(Investors!$M:$M,Investors!$O:$O,FALSE,Investors!$P:$P,FALSE,Investors!$K:$K,"&gt;"&amp;'NSST Print'!$B$3,Investors!$I:$I,"&lt;="&amp;'NSST Print'!$B$3,Investors!$A:$A,'Investor Exit List'!$A303,Investors!$E:$E,'Investor Exit List'!$C303,Investors!$L:$L,'Investor Exit List'!$B303)-(SUMIFS(Investors!$M:$M,Investors!$I:$I,"&lt;="&amp;'NSST Print'!$B$3,Investors!$J:$J,"&gt;"&amp;'NSST Print'!$B$3,Investors!$A:$A,'Investor Exit List'!$A303,Investors!$E:$E,'Investor Exit List'!$C303,Investors!$L:$L,'Investor Exit List'!$B303)+SUMIFS(Investors!$M:$M,Investors!$I:$I,"&lt;="&amp;'NSST Print'!$B$3,Investors!$J:$J,"",Investors!$A:$A,'Investor Exit List'!$A303,Investors!$E:$E,'Investor Exit List'!$C303,Investors!$L:$L,'Investor Exit List'!$B303))+SUMIFS(Investors!$S:$S,Investors!$O:$O,FALSE,Investors!$P:$P,FALSE,Investors!$K:$K,"&gt;"&amp;'NSST Print'!$B$3,Investors!$I:$I,"&lt;="&amp;'NSST Print'!$B$3,Investors!$A:$A,'Investor Exit List'!$A303,Investors!$E:$E,'Investor Exit List'!$C303,Investors!$L:$L,'Investor Exit List'!$B303)-(SUMIFS(Investors!$S:$S,Investors!$I:$I,"&lt;="&amp;'NSST Print'!$B$3,Investors!$J:$J,"&gt;"&amp;'NSST Print'!$B$3,Investors!$A:$A,'Investor Exit List'!$A303,Investors!$E:$E,'Investor Exit List'!$C303,Investors!$L:$L,'Investor Exit List'!$B303)+SUMIFS(Investors!$S:$S,Investors!$I:$I,"&lt;="&amp;'NSST Print'!$B$3,Investors!$J:$J,"",Investors!$A:$A,'Investor Exit List'!$A303,Investors!$E:$E,'Investor Exit List'!$C303,Investors!$L:$L,'Investor Exit List'!$B303))</f>
        <v/>
      </c>
      <c r="R303" s="94">
        <f>IF(AND(H303=TRUE,I303=FALSE),Q303,0)</f>
        <v/>
      </c>
      <c r="S303" s="94">
        <f>SUMIFS(Investors!$M:$M,Investors!$O:$O,TRUE,Investors!$A:$A,'Investor Exit List'!$A303,Investors!$E:$E,'Investor Exit List'!$C303,Investors!$L:$L,'Investor Exit List'!$B303)+SUMIFS(Investors!$S:$S,Investors!$O:$O,TRUE,Investors!$A:$A,'Investor Exit List'!$A303,Investors!$E:$E,'Investor Exit List'!$C303,Investors!$L:$L,'Investor Exit List'!$B303)</f>
        <v/>
      </c>
      <c r="T303" s="95">
        <f>IF(U303=TRUE,$J303,"")</f>
        <v/>
      </c>
      <c r="U303" s="93" t="b">
        <v>0</v>
      </c>
      <c r="V303" s="94">
        <f>IF(AND(H303=TRUE,OR(K303="",K303&gt;M303)),S303,0)</f>
        <v/>
      </c>
      <c r="W303" s="93" t="n">
        <v>0</v>
      </c>
      <c r="X303" s="93" t="b">
        <v>0</v>
      </c>
    </row>
    <row r="304">
      <c r="A304" s="93" t="inlineStr">
        <is>
          <t>ZCAR01</t>
        </is>
      </c>
      <c r="B304" s="93" t="n">
        <v>1</v>
      </c>
      <c r="C304" s="93" t="inlineStr">
        <is>
          <t>HVI102</t>
        </is>
      </c>
      <c r="D304" s="93" t="inlineStr">
        <is>
          <t>I</t>
        </is>
      </c>
      <c r="E304" s="93" t="inlineStr">
        <is>
          <t>Carolus Martin Michael</t>
        </is>
      </c>
      <c r="F304" s="94">
        <f>SUMIFS(Investors!$M:$M,Investors!$O:$O,FALSE,Investors!$P:$P,FALSE,Investors!$K:$K,"&gt;"&amp;'NSST Print'!$B$3,Investors!$I:$I,"&lt;="&amp;'NSST Print'!$B$3,Investors!$A:$A,'Investor Exit List'!$A304,Investors!$E:$E,'Investor Exit List'!$C304,Investors!$L:$L,'Investor Exit List'!$B304)-(SUMIFS(Investors!$M:$M,Investors!$I:$I,"&lt;="&amp;'NSST Print'!$B$3,Investors!$J:$J,"&gt;"&amp;'NSST Print'!$B$3,Investors!$A:$A,'Investor Exit List'!$A304,Investors!$E:$E,'Investor Exit List'!$C304,Investors!$L:$L,'Investor Exit List'!$B304)+SUMIFS(Investors!$M:$M,Investors!$I:$I,"&lt;="&amp;'NSST Print'!$B$3,Investors!$J:$J,"",Investors!$A:$A,'Investor Exit List'!$A304,Investors!$E:$E,'Investor Exit List'!$C304,Investors!$L:$L,'Investor Exit List'!$B304))</f>
        <v/>
      </c>
      <c r="G304" s="95" t="n">
        <v>45259</v>
      </c>
      <c r="H304" s="93" t="b">
        <v>0</v>
      </c>
      <c r="I304" s="93" t="b">
        <v>0</v>
      </c>
      <c r="J304" s="95" t="n">
        <v>45516</v>
      </c>
      <c r="K304" s="95">
        <f>IF(I304=TRUE,J304,"")</f>
        <v/>
      </c>
      <c r="L304" s="95">
        <f>G304+730</f>
        <v/>
      </c>
      <c r="M304" s="95" t="n">
        <v>45382</v>
      </c>
      <c r="N304" s="96">
        <f>IFERROR(IF(G304&lt;&gt;"",IF(I304=TRUE,0,IF(U304=TRUE,0,L304-M304)),0),0)</f>
        <v/>
      </c>
      <c r="O304" s="96">
        <f>IF(N304&gt;0,IF(N304&lt;=180,N304,0),0)</f>
        <v/>
      </c>
      <c r="P304" s="94">
        <f>IF(AND(N304&lt;90,N304&gt;0),Q304,0)</f>
        <v/>
      </c>
      <c r="Q304" s="94">
        <f>SUMIFS(Investors!$M:$M,Investors!$O:$O,FALSE,Investors!$P:$P,FALSE,Investors!$K:$K,"&gt;"&amp;'NSST Print'!$B$3,Investors!$I:$I,"&lt;="&amp;'NSST Print'!$B$3,Investors!$A:$A,'Investor Exit List'!$A304,Investors!$E:$E,'Investor Exit List'!$C304,Investors!$L:$L,'Investor Exit List'!$B304)-(SUMIFS(Investors!$M:$M,Investors!$I:$I,"&lt;="&amp;'NSST Print'!$B$3,Investors!$J:$J,"&gt;"&amp;'NSST Print'!$B$3,Investors!$A:$A,'Investor Exit List'!$A304,Investors!$E:$E,'Investor Exit List'!$C304,Investors!$L:$L,'Investor Exit List'!$B304)+SUMIFS(Investors!$M:$M,Investors!$I:$I,"&lt;="&amp;'NSST Print'!$B$3,Investors!$J:$J,"",Investors!$A:$A,'Investor Exit List'!$A304,Investors!$E:$E,'Investor Exit List'!$C304,Investors!$L:$L,'Investor Exit List'!$B304))+SUMIFS(Investors!$S:$S,Investors!$O:$O,FALSE,Investors!$P:$P,FALSE,Investors!$K:$K,"&gt;"&amp;'NSST Print'!$B$3,Investors!$I:$I,"&lt;="&amp;'NSST Print'!$B$3,Investors!$A:$A,'Investor Exit List'!$A304,Investors!$E:$E,'Investor Exit List'!$C304,Investors!$L:$L,'Investor Exit List'!$B304)-(SUMIFS(Investors!$S:$S,Investors!$I:$I,"&lt;="&amp;'NSST Print'!$B$3,Investors!$J:$J,"&gt;"&amp;'NSST Print'!$B$3,Investors!$A:$A,'Investor Exit List'!$A304,Investors!$E:$E,'Investor Exit List'!$C304,Investors!$L:$L,'Investor Exit List'!$B304)+SUMIFS(Investors!$S:$S,Investors!$I:$I,"&lt;="&amp;'NSST Print'!$B$3,Investors!$J:$J,"",Investors!$A:$A,'Investor Exit List'!$A304,Investors!$E:$E,'Investor Exit List'!$C304,Investors!$L:$L,'Investor Exit List'!$B304))</f>
        <v/>
      </c>
      <c r="R304" s="94">
        <f>IF(AND(H304=TRUE,I304=FALSE),Q304,0)</f>
        <v/>
      </c>
      <c r="S304" s="94">
        <f>SUMIFS(Investors!$M:$M,Investors!$O:$O,TRUE,Investors!$A:$A,'Investor Exit List'!$A304,Investors!$E:$E,'Investor Exit List'!$C304,Investors!$L:$L,'Investor Exit List'!$B304)+SUMIFS(Investors!$S:$S,Investors!$O:$O,TRUE,Investors!$A:$A,'Investor Exit List'!$A304,Investors!$E:$E,'Investor Exit List'!$C304,Investors!$L:$L,'Investor Exit List'!$B304)</f>
        <v/>
      </c>
      <c r="T304" s="95">
        <f>IF(U304=TRUE,$J304,"")</f>
        <v/>
      </c>
      <c r="U304" s="93" t="b">
        <v>0</v>
      </c>
      <c r="V304" s="94">
        <f>IF(AND(H304=TRUE,OR(K304="",K304&gt;M304)),S304,0)</f>
        <v/>
      </c>
      <c r="W304" s="93" t="n">
        <v>0</v>
      </c>
      <c r="X304" s="93" t="b">
        <v>0</v>
      </c>
    </row>
    <row r="305">
      <c r="A305" s="93" t="inlineStr">
        <is>
          <t>ZCOE02</t>
        </is>
      </c>
      <c r="B305" s="93" t="n">
        <v>1</v>
      </c>
      <c r="C305" s="93" t="inlineStr">
        <is>
          <t>HVI102</t>
        </is>
      </c>
      <c r="D305" s="93" t="inlineStr">
        <is>
          <t>I</t>
        </is>
      </c>
      <c r="E305" s="93" t="inlineStr">
        <is>
          <t>Coetzee Hugo Amos</t>
        </is>
      </c>
      <c r="F305" s="94">
        <f>SUMIFS(Investors!$M:$M,Investors!$O:$O,FALSE,Investors!$P:$P,FALSE,Investors!$K:$K,"&gt;"&amp;'NSST Print'!$B$3,Investors!$I:$I,"&lt;="&amp;'NSST Print'!$B$3,Investors!$A:$A,'Investor Exit List'!$A305,Investors!$E:$E,'Investor Exit List'!$C305,Investors!$L:$L,'Investor Exit List'!$B305)-(SUMIFS(Investors!$M:$M,Investors!$I:$I,"&lt;="&amp;'NSST Print'!$B$3,Investors!$J:$J,"&gt;"&amp;'NSST Print'!$B$3,Investors!$A:$A,'Investor Exit List'!$A305,Investors!$E:$E,'Investor Exit List'!$C305,Investors!$L:$L,'Investor Exit List'!$B305)+SUMIFS(Investors!$M:$M,Investors!$I:$I,"&lt;="&amp;'NSST Print'!$B$3,Investors!$J:$J,"",Investors!$A:$A,'Investor Exit List'!$A305,Investors!$E:$E,'Investor Exit List'!$C305,Investors!$L:$L,'Investor Exit List'!$B305))</f>
        <v/>
      </c>
      <c r="G305" s="95" t="n">
        <v>45224</v>
      </c>
      <c r="H305" s="93" t="b">
        <v>0</v>
      </c>
      <c r="I305" s="93" t="b">
        <v>0</v>
      </c>
      <c r="J305" s="95" t="n">
        <v>45516</v>
      </c>
      <c r="K305" s="95">
        <f>IF(I305=TRUE,J305,"")</f>
        <v/>
      </c>
      <c r="L305" s="95">
        <f>G305+730</f>
        <v/>
      </c>
      <c r="M305" s="95" t="n">
        <v>45382</v>
      </c>
      <c r="N305" s="96">
        <f>IFERROR(IF(G305&lt;&gt;"",IF(I305=TRUE,0,IF(U305=TRUE,0,L305-M305)),0),0)</f>
        <v/>
      </c>
      <c r="O305" s="96">
        <f>IF(N305&gt;0,IF(N305&lt;=180,N305,0),0)</f>
        <v/>
      </c>
      <c r="P305" s="94">
        <f>IF(AND(N305&lt;90,N305&gt;0),Q305,0)</f>
        <v/>
      </c>
      <c r="Q305" s="94">
        <f>SUMIFS(Investors!$M:$M,Investors!$O:$O,FALSE,Investors!$P:$P,FALSE,Investors!$K:$K,"&gt;"&amp;'NSST Print'!$B$3,Investors!$I:$I,"&lt;="&amp;'NSST Print'!$B$3,Investors!$A:$A,'Investor Exit List'!$A305,Investors!$E:$E,'Investor Exit List'!$C305,Investors!$L:$L,'Investor Exit List'!$B305)-(SUMIFS(Investors!$M:$M,Investors!$I:$I,"&lt;="&amp;'NSST Print'!$B$3,Investors!$J:$J,"&gt;"&amp;'NSST Print'!$B$3,Investors!$A:$A,'Investor Exit List'!$A305,Investors!$E:$E,'Investor Exit List'!$C305,Investors!$L:$L,'Investor Exit List'!$B305)+SUMIFS(Investors!$M:$M,Investors!$I:$I,"&lt;="&amp;'NSST Print'!$B$3,Investors!$J:$J,"",Investors!$A:$A,'Investor Exit List'!$A305,Investors!$E:$E,'Investor Exit List'!$C305,Investors!$L:$L,'Investor Exit List'!$B305))+SUMIFS(Investors!$S:$S,Investors!$O:$O,FALSE,Investors!$P:$P,FALSE,Investors!$K:$K,"&gt;"&amp;'NSST Print'!$B$3,Investors!$I:$I,"&lt;="&amp;'NSST Print'!$B$3,Investors!$A:$A,'Investor Exit List'!$A305,Investors!$E:$E,'Investor Exit List'!$C305,Investors!$L:$L,'Investor Exit List'!$B305)-(SUMIFS(Investors!$S:$S,Investors!$I:$I,"&lt;="&amp;'NSST Print'!$B$3,Investors!$J:$J,"&gt;"&amp;'NSST Print'!$B$3,Investors!$A:$A,'Investor Exit List'!$A305,Investors!$E:$E,'Investor Exit List'!$C305,Investors!$L:$L,'Investor Exit List'!$B305)+SUMIFS(Investors!$S:$S,Investors!$I:$I,"&lt;="&amp;'NSST Print'!$B$3,Investors!$J:$J,"",Investors!$A:$A,'Investor Exit List'!$A305,Investors!$E:$E,'Investor Exit List'!$C305,Investors!$L:$L,'Investor Exit List'!$B305))</f>
        <v/>
      </c>
      <c r="R305" s="94">
        <f>IF(AND(H305=TRUE,I305=FALSE),Q305,0)</f>
        <v/>
      </c>
      <c r="S305" s="94">
        <f>SUMIFS(Investors!$M:$M,Investors!$O:$O,TRUE,Investors!$A:$A,'Investor Exit List'!$A305,Investors!$E:$E,'Investor Exit List'!$C305,Investors!$L:$L,'Investor Exit List'!$B305)+SUMIFS(Investors!$S:$S,Investors!$O:$O,TRUE,Investors!$A:$A,'Investor Exit List'!$A305,Investors!$E:$E,'Investor Exit List'!$C305,Investors!$L:$L,'Investor Exit List'!$B305)</f>
        <v/>
      </c>
      <c r="T305" s="95">
        <f>IF(U305=TRUE,$J305,"")</f>
        <v/>
      </c>
      <c r="U305" s="93" t="b">
        <v>0</v>
      </c>
      <c r="V305" s="94">
        <f>IF(AND(H305=TRUE,OR(K305="",K305&gt;M305)),S305,0)</f>
        <v/>
      </c>
      <c r="W305" s="93" t="n">
        <v>0</v>
      </c>
      <c r="X305" s="93" t="b">
        <v>0</v>
      </c>
    </row>
    <row r="306">
      <c r="A306" s="93" t="inlineStr">
        <is>
          <t>ZNEL01</t>
        </is>
      </c>
      <c r="B306" s="93" t="n">
        <v>1</v>
      </c>
      <c r="C306" s="93" t="inlineStr">
        <is>
          <t>HVI102</t>
        </is>
      </c>
      <c r="D306" s="93" t="inlineStr">
        <is>
          <t>I</t>
        </is>
      </c>
      <c r="E306" s="93" t="inlineStr">
        <is>
          <t>Nel Lambertus Renier (Bertie)</t>
        </is>
      </c>
      <c r="F306" s="94">
        <f>SUMIFS(Investors!$M:$M,Investors!$O:$O,FALSE,Investors!$P:$P,FALSE,Investors!$K:$K,"&gt;"&amp;'NSST Print'!$B$3,Investors!$I:$I,"&lt;="&amp;'NSST Print'!$B$3,Investors!$A:$A,'Investor Exit List'!$A306,Investors!$E:$E,'Investor Exit List'!$C306,Investors!$L:$L,'Investor Exit List'!$B306)-(SUMIFS(Investors!$M:$M,Investors!$I:$I,"&lt;="&amp;'NSST Print'!$B$3,Investors!$J:$J,"&gt;"&amp;'NSST Print'!$B$3,Investors!$A:$A,'Investor Exit List'!$A306,Investors!$E:$E,'Investor Exit List'!$C306,Investors!$L:$L,'Investor Exit List'!$B306)+SUMIFS(Investors!$M:$M,Investors!$I:$I,"&lt;="&amp;'NSST Print'!$B$3,Investors!$J:$J,"",Investors!$A:$A,'Investor Exit List'!$A306,Investors!$E:$E,'Investor Exit List'!$C306,Investors!$L:$L,'Investor Exit List'!$B306))</f>
        <v/>
      </c>
      <c r="G306" s="95" t="n">
        <v>45259</v>
      </c>
      <c r="H306" s="93" t="b">
        <v>0</v>
      </c>
      <c r="I306" s="93" t="b">
        <v>0</v>
      </c>
      <c r="J306" s="95" t="n">
        <v>45516</v>
      </c>
      <c r="K306" s="95">
        <f>IF(I306=TRUE,J306,"")</f>
        <v/>
      </c>
      <c r="L306" s="95">
        <f>G306+730</f>
        <v/>
      </c>
      <c r="M306" s="95" t="n">
        <v>45382</v>
      </c>
      <c r="N306" s="96">
        <f>IFERROR(IF(G306&lt;&gt;"",IF(I306=TRUE,0,IF(U306=TRUE,0,L306-M306)),0),0)</f>
        <v/>
      </c>
      <c r="O306" s="96">
        <f>IF(N306&gt;0,IF(N306&lt;=180,N306,0),0)</f>
        <v/>
      </c>
      <c r="P306" s="94">
        <f>IF(AND(N306&lt;90,N306&gt;0),Q306,0)</f>
        <v/>
      </c>
      <c r="Q306" s="94">
        <f>SUMIFS(Investors!$M:$M,Investors!$O:$O,FALSE,Investors!$P:$P,FALSE,Investors!$K:$K,"&gt;"&amp;'NSST Print'!$B$3,Investors!$I:$I,"&lt;="&amp;'NSST Print'!$B$3,Investors!$A:$A,'Investor Exit List'!$A306,Investors!$E:$E,'Investor Exit List'!$C306,Investors!$L:$L,'Investor Exit List'!$B306)-(SUMIFS(Investors!$M:$M,Investors!$I:$I,"&lt;="&amp;'NSST Print'!$B$3,Investors!$J:$J,"&gt;"&amp;'NSST Print'!$B$3,Investors!$A:$A,'Investor Exit List'!$A306,Investors!$E:$E,'Investor Exit List'!$C306,Investors!$L:$L,'Investor Exit List'!$B306)+SUMIFS(Investors!$M:$M,Investors!$I:$I,"&lt;="&amp;'NSST Print'!$B$3,Investors!$J:$J,"",Investors!$A:$A,'Investor Exit List'!$A306,Investors!$E:$E,'Investor Exit List'!$C306,Investors!$L:$L,'Investor Exit List'!$B306))+SUMIFS(Investors!$S:$S,Investors!$O:$O,FALSE,Investors!$P:$P,FALSE,Investors!$K:$K,"&gt;"&amp;'NSST Print'!$B$3,Investors!$I:$I,"&lt;="&amp;'NSST Print'!$B$3,Investors!$A:$A,'Investor Exit List'!$A306,Investors!$E:$E,'Investor Exit List'!$C306,Investors!$L:$L,'Investor Exit List'!$B306)-(SUMIFS(Investors!$S:$S,Investors!$I:$I,"&lt;="&amp;'NSST Print'!$B$3,Investors!$J:$J,"&gt;"&amp;'NSST Print'!$B$3,Investors!$A:$A,'Investor Exit List'!$A306,Investors!$E:$E,'Investor Exit List'!$C306,Investors!$L:$L,'Investor Exit List'!$B306)+SUMIFS(Investors!$S:$S,Investors!$I:$I,"&lt;="&amp;'NSST Print'!$B$3,Investors!$J:$J,"",Investors!$A:$A,'Investor Exit List'!$A306,Investors!$E:$E,'Investor Exit List'!$C306,Investors!$L:$L,'Investor Exit List'!$B306))</f>
        <v/>
      </c>
      <c r="R306" s="94">
        <f>IF(AND(H306=TRUE,I306=FALSE),Q306,0)</f>
        <v/>
      </c>
      <c r="S306" s="94">
        <f>SUMIFS(Investors!$M:$M,Investors!$O:$O,TRUE,Investors!$A:$A,'Investor Exit List'!$A306,Investors!$E:$E,'Investor Exit List'!$C306,Investors!$L:$L,'Investor Exit List'!$B306)+SUMIFS(Investors!$S:$S,Investors!$O:$O,TRUE,Investors!$A:$A,'Investor Exit List'!$A306,Investors!$E:$E,'Investor Exit List'!$C306,Investors!$L:$L,'Investor Exit List'!$B306)</f>
        <v/>
      </c>
      <c r="T306" s="95">
        <f>IF(U306=TRUE,$J306,"")</f>
        <v/>
      </c>
      <c r="U306" s="93" t="b">
        <v>0</v>
      </c>
      <c r="V306" s="94">
        <f>IF(AND(H306=TRUE,OR(K306="",K306&gt;M306)),S306,0)</f>
        <v/>
      </c>
      <c r="W306" s="93" t="n">
        <v>0</v>
      </c>
      <c r="X306" s="93" t="b">
        <v>0</v>
      </c>
    </row>
    <row r="307">
      <c r="A307" s="93" t="inlineStr">
        <is>
          <t>ZSWA02</t>
        </is>
      </c>
      <c r="B307" s="93" t="n">
        <v>1</v>
      </c>
      <c r="C307" s="93" t="inlineStr">
        <is>
          <t>HVI103</t>
        </is>
      </c>
      <c r="D307" s="93" t="inlineStr">
        <is>
          <t>I</t>
        </is>
      </c>
      <c r="E307" s="93" t="inlineStr">
        <is>
          <t>Swanepoel Daniel Christiaan De Wet</t>
        </is>
      </c>
      <c r="F307" s="94">
        <f>SUMIFS(Investors!$M:$M,Investors!$O:$O,FALSE,Investors!$P:$P,FALSE,Investors!$K:$K,"&gt;"&amp;'NSST Print'!$B$3,Investors!$I:$I,"&lt;="&amp;'NSST Print'!$B$3,Investors!$A:$A,'Investor Exit List'!$A307,Investors!$E:$E,'Investor Exit List'!$C307,Investors!$L:$L,'Investor Exit List'!$B307)-(SUMIFS(Investors!$M:$M,Investors!$I:$I,"&lt;="&amp;'NSST Print'!$B$3,Investors!$J:$J,"&gt;"&amp;'NSST Print'!$B$3,Investors!$A:$A,'Investor Exit List'!$A307,Investors!$E:$E,'Investor Exit List'!$C307,Investors!$L:$L,'Investor Exit List'!$B307)+SUMIFS(Investors!$M:$M,Investors!$I:$I,"&lt;="&amp;'NSST Print'!$B$3,Investors!$J:$J,"",Investors!$A:$A,'Investor Exit List'!$A307,Investors!$E:$E,'Investor Exit List'!$C307,Investors!$L:$L,'Investor Exit List'!$B307))</f>
        <v/>
      </c>
      <c r="G307" s="95" t="n">
        <v>45259</v>
      </c>
      <c r="H307" s="93" t="b">
        <v>0</v>
      </c>
      <c r="I307" s="93" t="b">
        <v>0</v>
      </c>
      <c r="J307" s="95" t="n">
        <v>45516</v>
      </c>
      <c r="K307" s="95">
        <f>IF(I307=TRUE,J307,"")</f>
        <v/>
      </c>
      <c r="L307" s="95">
        <f>G307+730</f>
        <v/>
      </c>
      <c r="M307" s="95" t="n">
        <v>45382</v>
      </c>
      <c r="N307" s="96">
        <f>IFERROR(IF(G307&lt;&gt;"",IF(I307=TRUE,0,IF(U307=TRUE,0,L307-M307)),0),0)</f>
        <v/>
      </c>
      <c r="O307" s="96">
        <f>IF(N307&gt;0,IF(N307&lt;=180,N307,0),0)</f>
        <v/>
      </c>
      <c r="P307" s="94">
        <f>IF(AND(N307&lt;90,N307&gt;0),Q307,0)</f>
        <v/>
      </c>
      <c r="Q307" s="94">
        <f>SUMIFS(Investors!$M:$M,Investors!$O:$O,FALSE,Investors!$P:$P,FALSE,Investors!$K:$K,"&gt;"&amp;'NSST Print'!$B$3,Investors!$I:$I,"&lt;="&amp;'NSST Print'!$B$3,Investors!$A:$A,'Investor Exit List'!$A307,Investors!$E:$E,'Investor Exit List'!$C307,Investors!$L:$L,'Investor Exit List'!$B307)-(SUMIFS(Investors!$M:$M,Investors!$I:$I,"&lt;="&amp;'NSST Print'!$B$3,Investors!$J:$J,"&gt;"&amp;'NSST Print'!$B$3,Investors!$A:$A,'Investor Exit List'!$A307,Investors!$E:$E,'Investor Exit List'!$C307,Investors!$L:$L,'Investor Exit List'!$B307)+SUMIFS(Investors!$M:$M,Investors!$I:$I,"&lt;="&amp;'NSST Print'!$B$3,Investors!$J:$J,"",Investors!$A:$A,'Investor Exit List'!$A307,Investors!$E:$E,'Investor Exit List'!$C307,Investors!$L:$L,'Investor Exit List'!$B307))+SUMIFS(Investors!$S:$S,Investors!$O:$O,FALSE,Investors!$P:$P,FALSE,Investors!$K:$K,"&gt;"&amp;'NSST Print'!$B$3,Investors!$I:$I,"&lt;="&amp;'NSST Print'!$B$3,Investors!$A:$A,'Investor Exit List'!$A307,Investors!$E:$E,'Investor Exit List'!$C307,Investors!$L:$L,'Investor Exit List'!$B307)-(SUMIFS(Investors!$S:$S,Investors!$I:$I,"&lt;="&amp;'NSST Print'!$B$3,Investors!$J:$J,"&gt;"&amp;'NSST Print'!$B$3,Investors!$A:$A,'Investor Exit List'!$A307,Investors!$E:$E,'Investor Exit List'!$C307,Investors!$L:$L,'Investor Exit List'!$B307)+SUMIFS(Investors!$S:$S,Investors!$I:$I,"&lt;="&amp;'NSST Print'!$B$3,Investors!$J:$J,"",Investors!$A:$A,'Investor Exit List'!$A307,Investors!$E:$E,'Investor Exit List'!$C307,Investors!$L:$L,'Investor Exit List'!$B307))</f>
        <v/>
      </c>
      <c r="R307" s="94">
        <f>IF(AND(H307=TRUE,I307=FALSE),Q307,0)</f>
        <v/>
      </c>
      <c r="S307" s="94">
        <f>SUMIFS(Investors!$M:$M,Investors!$O:$O,TRUE,Investors!$A:$A,'Investor Exit List'!$A307,Investors!$E:$E,'Investor Exit List'!$C307,Investors!$L:$L,'Investor Exit List'!$B307)+SUMIFS(Investors!$S:$S,Investors!$O:$O,TRUE,Investors!$A:$A,'Investor Exit List'!$A307,Investors!$E:$E,'Investor Exit List'!$C307,Investors!$L:$L,'Investor Exit List'!$B307)</f>
        <v/>
      </c>
      <c r="T307" s="95">
        <f>IF(U307=TRUE,$J307,"")</f>
        <v/>
      </c>
      <c r="U307" s="93" t="b">
        <v>0</v>
      </c>
      <c r="V307" s="94">
        <f>IF(AND(H307=TRUE,OR(K307="",K307&gt;M307)),S307,0)</f>
        <v/>
      </c>
      <c r="W307" s="93" t="n">
        <v>0</v>
      </c>
      <c r="X307" s="93" t="b">
        <v>0</v>
      </c>
    </row>
    <row r="308">
      <c r="A308" s="93" t="inlineStr">
        <is>
          <t>ZVDM01</t>
        </is>
      </c>
      <c r="B308" s="93" t="n">
        <v>6</v>
      </c>
      <c r="C308" s="93" t="inlineStr">
        <is>
          <t>HVI103</t>
        </is>
      </c>
      <c r="D308" s="93" t="inlineStr">
        <is>
          <t>I</t>
        </is>
      </c>
      <c r="E308" s="93" t="inlineStr">
        <is>
          <t>van der Mescht Paula</t>
        </is>
      </c>
      <c r="F308" s="94">
        <f>SUMIFS(Investors!$M:$M,Investors!$O:$O,FALSE,Investors!$P:$P,FALSE,Investors!$K:$K,"&gt;"&amp;'NSST Print'!$B$3,Investors!$I:$I,"&lt;="&amp;'NSST Print'!$B$3,Investors!$A:$A,'Investor Exit List'!$A308,Investors!$E:$E,'Investor Exit List'!$C308,Investors!$L:$L,'Investor Exit List'!$B308)-(SUMIFS(Investors!$M:$M,Investors!$I:$I,"&lt;="&amp;'NSST Print'!$B$3,Investors!$J:$J,"&gt;"&amp;'NSST Print'!$B$3,Investors!$A:$A,'Investor Exit List'!$A308,Investors!$E:$E,'Investor Exit List'!$C308,Investors!$L:$L,'Investor Exit List'!$B308)+SUMIFS(Investors!$M:$M,Investors!$I:$I,"&lt;="&amp;'NSST Print'!$B$3,Investors!$J:$J,"",Investors!$A:$A,'Investor Exit List'!$A308,Investors!$E:$E,'Investor Exit List'!$C308,Investors!$L:$L,'Investor Exit List'!$B308))</f>
        <v/>
      </c>
      <c r="G308" s="95" t="n">
        <v>45371</v>
      </c>
      <c r="H308" s="93" t="b">
        <v>0</v>
      </c>
      <c r="I308" s="93" t="b">
        <v>0</v>
      </c>
      <c r="J308" s="95" t="n">
        <v>45516</v>
      </c>
      <c r="K308" s="95">
        <f>IF(I308=TRUE,J308,"")</f>
        <v/>
      </c>
      <c r="L308" s="95">
        <f>G308+730</f>
        <v/>
      </c>
      <c r="M308" s="95" t="n">
        <v>45382</v>
      </c>
      <c r="N308" s="96">
        <f>IFERROR(IF(G308&lt;&gt;"",IF(I308=TRUE,0,IF(U308=TRUE,0,L308-M308)),0),0)</f>
        <v/>
      </c>
      <c r="O308" s="96">
        <f>IF(N308&gt;0,IF(N308&lt;=180,N308,0),0)</f>
        <v/>
      </c>
      <c r="P308" s="94">
        <f>IF(AND(N308&lt;90,N308&gt;0),Q308,0)</f>
        <v/>
      </c>
      <c r="Q308" s="94">
        <f>SUMIFS(Investors!$M:$M,Investors!$O:$O,FALSE,Investors!$P:$P,FALSE,Investors!$K:$K,"&gt;"&amp;'NSST Print'!$B$3,Investors!$I:$I,"&lt;="&amp;'NSST Print'!$B$3,Investors!$A:$A,'Investor Exit List'!$A308,Investors!$E:$E,'Investor Exit List'!$C308,Investors!$L:$L,'Investor Exit List'!$B308)-(SUMIFS(Investors!$M:$M,Investors!$I:$I,"&lt;="&amp;'NSST Print'!$B$3,Investors!$J:$J,"&gt;"&amp;'NSST Print'!$B$3,Investors!$A:$A,'Investor Exit List'!$A308,Investors!$E:$E,'Investor Exit List'!$C308,Investors!$L:$L,'Investor Exit List'!$B308)+SUMIFS(Investors!$M:$M,Investors!$I:$I,"&lt;="&amp;'NSST Print'!$B$3,Investors!$J:$J,"",Investors!$A:$A,'Investor Exit List'!$A308,Investors!$E:$E,'Investor Exit List'!$C308,Investors!$L:$L,'Investor Exit List'!$B308))+SUMIFS(Investors!$S:$S,Investors!$O:$O,FALSE,Investors!$P:$P,FALSE,Investors!$K:$K,"&gt;"&amp;'NSST Print'!$B$3,Investors!$I:$I,"&lt;="&amp;'NSST Print'!$B$3,Investors!$A:$A,'Investor Exit List'!$A308,Investors!$E:$E,'Investor Exit List'!$C308,Investors!$L:$L,'Investor Exit List'!$B308)-(SUMIFS(Investors!$S:$S,Investors!$I:$I,"&lt;="&amp;'NSST Print'!$B$3,Investors!$J:$J,"&gt;"&amp;'NSST Print'!$B$3,Investors!$A:$A,'Investor Exit List'!$A308,Investors!$E:$E,'Investor Exit List'!$C308,Investors!$L:$L,'Investor Exit List'!$B308)+SUMIFS(Investors!$S:$S,Investors!$I:$I,"&lt;="&amp;'NSST Print'!$B$3,Investors!$J:$J,"",Investors!$A:$A,'Investor Exit List'!$A308,Investors!$E:$E,'Investor Exit List'!$C308,Investors!$L:$L,'Investor Exit List'!$B308))</f>
        <v/>
      </c>
      <c r="R308" s="94">
        <f>IF(AND(H308=TRUE,I308=FALSE),Q308,0)</f>
        <v/>
      </c>
      <c r="S308" s="94">
        <f>SUMIFS(Investors!$M:$M,Investors!$O:$O,TRUE,Investors!$A:$A,'Investor Exit List'!$A308,Investors!$E:$E,'Investor Exit List'!$C308,Investors!$L:$L,'Investor Exit List'!$B308)+SUMIFS(Investors!$S:$S,Investors!$O:$O,TRUE,Investors!$A:$A,'Investor Exit List'!$A308,Investors!$E:$E,'Investor Exit List'!$C308,Investors!$L:$L,'Investor Exit List'!$B308)</f>
        <v/>
      </c>
      <c r="T308" s="95">
        <f>IF(U308=TRUE,$J308,"")</f>
        <v/>
      </c>
      <c r="U308" s="93" t="b">
        <v>0</v>
      </c>
      <c r="V308" s="94">
        <f>IF(AND(H308=TRUE,OR(K308="",K308&gt;M308)),S308,0)</f>
        <v/>
      </c>
      <c r="W308" s="93" t="n">
        <v>0</v>
      </c>
      <c r="X308" s="93" t="b">
        <v>0</v>
      </c>
    </row>
    <row r="309">
      <c r="A309" s="93" t="inlineStr">
        <is>
          <t>ZDUP01</t>
        </is>
      </c>
      <c r="B309" s="93" t="n">
        <v>2</v>
      </c>
      <c r="C309" s="93" t="inlineStr">
        <is>
          <t>HVI104</t>
        </is>
      </c>
      <c r="D309" s="93" t="inlineStr">
        <is>
          <t>I</t>
        </is>
      </c>
      <c r="E309" s="93" t="inlineStr">
        <is>
          <t>Du Plooy Georgina</t>
        </is>
      </c>
      <c r="F309" s="94">
        <f>SUMIFS(Investors!$M:$M,Investors!$O:$O,FALSE,Investors!$P:$P,FALSE,Investors!$K:$K,"&gt;"&amp;'NSST Print'!$B$3,Investors!$I:$I,"&lt;="&amp;'NSST Print'!$B$3,Investors!$A:$A,'Investor Exit List'!$A309,Investors!$E:$E,'Investor Exit List'!$C309,Investors!$L:$L,'Investor Exit List'!$B309)-(SUMIFS(Investors!$M:$M,Investors!$I:$I,"&lt;="&amp;'NSST Print'!$B$3,Investors!$J:$J,"&gt;"&amp;'NSST Print'!$B$3,Investors!$A:$A,'Investor Exit List'!$A309,Investors!$E:$E,'Investor Exit List'!$C309,Investors!$L:$L,'Investor Exit List'!$B309)+SUMIFS(Investors!$M:$M,Investors!$I:$I,"&lt;="&amp;'NSST Print'!$B$3,Investors!$J:$J,"",Investors!$A:$A,'Investor Exit List'!$A309,Investors!$E:$E,'Investor Exit List'!$C309,Investors!$L:$L,'Investor Exit List'!$B309))</f>
        <v/>
      </c>
      <c r="G309" s="95" t="n">
        <v>45259</v>
      </c>
      <c r="H309" s="93" t="b">
        <v>0</v>
      </c>
      <c r="I309" s="93" t="b">
        <v>0</v>
      </c>
      <c r="J309" s="95" t="n">
        <v>45516</v>
      </c>
      <c r="K309" s="95">
        <f>IF(I309=TRUE,J309,"")</f>
        <v/>
      </c>
      <c r="L309" s="95">
        <f>G309+730</f>
        <v/>
      </c>
      <c r="M309" s="95" t="n">
        <v>45382</v>
      </c>
      <c r="N309" s="96">
        <f>IFERROR(IF(G309&lt;&gt;"",IF(I309=TRUE,0,IF(U309=TRUE,0,L309-M309)),0),0)</f>
        <v/>
      </c>
      <c r="O309" s="96">
        <f>IF(N309&gt;0,IF(N309&lt;=180,N309,0),0)</f>
        <v/>
      </c>
      <c r="P309" s="94">
        <f>IF(AND(N309&lt;90,N309&gt;0),Q309,0)</f>
        <v/>
      </c>
      <c r="Q309" s="94">
        <f>SUMIFS(Investors!$M:$M,Investors!$O:$O,FALSE,Investors!$P:$P,FALSE,Investors!$K:$K,"&gt;"&amp;'NSST Print'!$B$3,Investors!$I:$I,"&lt;="&amp;'NSST Print'!$B$3,Investors!$A:$A,'Investor Exit List'!$A309,Investors!$E:$E,'Investor Exit List'!$C309,Investors!$L:$L,'Investor Exit List'!$B309)-(SUMIFS(Investors!$M:$M,Investors!$I:$I,"&lt;="&amp;'NSST Print'!$B$3,Investors!$J:$J,"&gt;"&amp;'NSST Print'!$B$3,Investors!$A:$A,'Investor Exit List'!$A309,Investors!$E:$E,'Investor Exit List'!$C309,Investors!$L:$L,'Investor Exit List'!$B309)+SUMIFS(Investors!$M:$M,Investors!$I:$I,"&lt;="&amp;'NSST Print'!$B$3,Investors!$J:$J,"",Investors!$A:$A,'Investor Exit List'!$A309,Investors!$E:$E,'Investor Exit List'!$C309,Investors!$L:$L,'Investor Exit List'!$B309))+SUMIFS(Investors!$S:$S,Investors!$O:$O,FALSE,Investors!$P:$P,FALSE,Investors!$K:$K,"&gt;"&amp;'NSST Print'!$B$3,Investors!$I:$I,"&lt;="&amp;'NSST Print'!$B$3,Investors!$A:$A,'Investor Exit List'!$A309,Investors!$E:$E,'Investor Exit List'!$C309,Investors!$L:$L,'Investor Exit List'!$B309)-(SUMIFS(Investors!$S:$S,Investors!$I:$I,"&lt;="&amp;'NSST Print'!$B$3,Investors!$J:$J,"&gt;"&amp;'NSST Print'!$B$3,Investors!$A:$A,'Investor Exit List'!$A309,Investors!$E:$E,'Investor Exit List'!$C309,Investors!$L:$L,'Investor Exit List'!$B309)+SUMIFS(Investors!$S:$S,Investors!$I:$I,"&lt;="&amp;'NSST Print'!$B$3,Investors!$J:$J,"",Investors!$A:$A,'Investor Exit List'!$A309,Investors!$E:$E,'Investor Exit List'!$C309,Investors!$L:$L,'Investor Exit List'!$B309))</f>
        <v/>
      </c>
      <c r="R309" s="94">
        <f>IF(AND(H309=TRUE,I309=FALSE),Q309,0)</f>
        <v/>
      </c>
      <c r="S309" s="94">
        <f>SUMIFS(Investors!$M:$M,Investors!$O:$O,TRUE,Investors!$A:$A,'Investor Exit List'!$A309,Investors!$E:$E,'Investor Exit List'!$C309,Investors!$L:$L,'Investor Exit List'!$B309)+SUMIFS(Investors!$S:$S,Investors!$O:$O,TRUE,Investors!$A:$A,'Investor Exit List'!$A309,Investors!$E:$E,'Investor Exit List'!$C309,Investors!$L:$L,'Investor Exit List'!$B309)</f>
        <v/>
      </c>
      <c r="T309" s="95">
        <f>IF(U309=TRUE,$J309,"")</f>
        <v/>
      </c>
      <c r="U309" s="93" t="b">
        <v>0</v>
      </c>
      <c r="V309" s="94">
        <f>IF(AND(H309=TRUE,OR(K309="",K309&gt;M309)),S309,0)</f>
        <v/>
      </c>
      <c r="W309" s="93" t="n">
        <v>0</v>
      </c>
      <c r="X309" s="93" t="b">
        <v>0</v>
      </c>
    </row>
    <row r="310">
      <c r="A310" s="93" t="inlineStr">
        <is>
          <t>ZRUS01</t>
        </is>
      </c>
      <c r="B310" s="93" t="n">
        <v>2</v>
      </c>
      <c r="C310" s="93" t="inlineStr">
        <is>
          <t>HVI104</t>
        </is>
      </c>
      <c r="D310" s="93" t="inlineStr">
        <is>
          <t>I</t>
        </is>
      </c>
      <c r="E310" s="93" t="inlineStr">
        <is>
          <t>Rust Izak Cornelius</t>
        </is>
      </c>
      <c r="F310" s="94">
        <f>SUMIFS(Investors!$M:$M,Investors!$O:$O,FALSE,Investors!$P:$P,FALSE,Investors!$K:$K,"&gt;"&amp;'NSST Print'!$B$3,Investors!$I:$I,"&lt;="&amp;'NSST Print'!$B$3,Investors!$A:$A,'Investor Exit List'!$A310,Investors!$E:$E,'Investor Exit List'!$C310,Investors!$L:$L,'Investor Exit List'!$B310)-(SUMIFS(Investors!$M:$M,Investors!$I:$I,"&lt;="&amp;'NSST Print'!$B$3,Investors!$J:$J,"&gt;"&amp;'NSST Print'!$B$3,Investors!$A:$A,'Investor Exit List'!$A310,Investors!$E:$E,'Investor Exit List'!$C310,Investors!$L:$L,'Investor Exit List'!$B310)+SUMIFS(Investors!$M:$M,Investors!$I:$I,"&lt;="&amp;'NSST Print'!$B$3,Investors!$J:$J,"",Investors!$A:$A,'Investor Exit List'!$A310,Investors!$E:$E,'Investor Exit List'!$C310,Investors!$L:$L,'Investor Exit List'!$B310))</f>
        <v/>
      </c>
      <c r="G310" s="95" t="n">
        <v>45259</v>
      </c>
      <c r="H310" s="93" t="b">
        <v>0</v>
      </c>
      <c r="I310" s="93" t="b">
        <v>0</v>
      </c>
      <c r="J310" s="95" t="n">
        <v>45516</v>
      </c>
      <c r="K310" s="95">
        <f>IF(I310=TRUE,J310,"")</f>
        <v/>
      </c>
      <c r="L310" s="95">
        <f>G310+730</f>
        <v/>
      </c>
      <c r="M310" s="95" t="n">
        <v>45382</v>
      </c>
      <c r="N310" s="96">
        <f>IFERROR(IF(G310&lt;&gt;"",IF(I310=TRUE,0,IF(U310=TRUE,0,L310-M310)),0),0)</f>
        <v/>
      </c>
      <c r="O310" s="96">
        <f>IF(N310&gt;0,IF(N310&lt;=180,N310,0),0)</f>
        <v/>
      </c>
      <c r="P310" s="94">
        <f>IF(AND(N310&lt;90,N310&gt;0),Q310,0)</f>
        <v/>
      </c>
      <c r="Q310" s="94">
        <f>SUMIFS(Investors!$M:$M,Investors!$O:$O,FALSE,Investors!$P:$P,FALSE,Investors!$K:$K,"&gt;"&amp;'NSST Print'!$B$3,Investors!$I:$I,"&lt;="&amp;'NSST Print'!$B$3,Investors!$A:$A,'Investor Exit List'!$A310,Investors!$E:$E,'Investor Exit List'!$C310,Investors!$L:$L,'Investor Exit List'!$B310)-(SUMIFS(Investors!$M:$M,Investors!$I:$I,"&lt;="&amp;'NSST Print'!$B$3,Investors!$J:$J,"&gt;"&amp;'NSST Print'!$B$3,Investors!$A:$A,'Investor Exit List'!$A310,Investors!$E:$E,'Investor Exit List'!$C310,Investors!$L:$L,'Investor Exit List'!$B310)+SUMIFS(Investors!$M:$M,Investors!$I:$I,"&lt;="&amp;'NSST Print'!$B$3,Investors!$J:$J,"",Investors!$A:$A,'Investor Exit List'!$A310,Investors!$E:$E,'Investor Exit List'!$C310,Investors!$L:$L,'Investor Exit List'!$B310))+SUMIFS(Investors!$S:$S,Investors!$O:$O,FALSE,Investors!$P:$P,FALSE,Investors!$K:$K,"&gt;"&amp;'NSST Print'!$B$3,Investors!$I:$I,"&lt;="&amp;'NSST Print'!$B$3,Investors!$A:$A,'Investor Exit List'!$A310,Investors!$E:$E,'Investor Exit List'!$C310,Investors!$L:$L,'Investor Exit List'!$B310)-(SUMIFS(Investors!$S:$S,Investors!$I:$I,"&lt;="&amp;'NSST Print'!$B$3,Investors!$J:$J,"&gt;"&amp;'NSST Print'!$B$3,Investors!$A:$A,'Investor Exit List'!$A310,Investors!$E:$E,'Investor Exit List'!$C310,Investors!$L:$L,'Investor Exit List'!$B310)+SUMIFS(Investors!$S:$S,Investors!$I:$I,"&lt;="&amp;'NSST Print'!$B$3,Investors!$J:$J,"",Investors!$A:$A,'Investor Exit List'!$A310,Investors!$E:$E,'Investor Exit List'!$C310,Investors!$L:$L,'Investor Exit List'!$B310))</f>
        <v/>
      </c>
      <c r="R310" s="94">
        <f>IF(AND(H310=TRUE,I310=FALSE),Q310,0)</f>
        <v/>
      </c>
      <c r="S310" s="94">
        <f>SUMIFS(Investors!$M:$M,Investors!$O:$O,TRUE,Investors!$A:$A,'Investor Exit List'!$A310,Investors!$E:$E,'Investor Exit List'!$C310,Investors!$L:$L,'Investor Exit List'!$B310)+SUMIFS(Investors!$S:$S,Investors!$O:$O,TRUE,Investors!$A:$A,'Investor Exit List'!$A310,Investors!$E:$E,'Investor Exit List'!$C310,Investors!$L:$L,'Investor Exit List'!$B310)</f>
        <v/>
      </c>
      <c r="T310" s="95">
        <f>IF(U310=TRUE,$J310,"")</f>
        <v/>
      </c>
      <c r="U310" s="93" t="b">
        <v>0</v>
      </c>
      <c r="V310" s="94">
        <f>IF(AND(H310=TRUE,OR(K310="",K310&gt;M310)),S310,0)</f>
        <v/>
      </c>
      <c r="W310" s="93" t="n">
        <v>0</v>
      </c>
      <c r="X310" s="93" t="b">
        <v>0</v>
      </c>
    </row>
    <row r="311">
      <c r="A311" s="93" t="inlineStr">
        <is>
          <t>ZDEL01</t>
        </is>
      </c>
      <c r="B311" s="93" t="n">
        <v>11</v>
      </c>
      <c r="C311" s="93" t="inlineStr">
        <is>
          <t>HVI201</t>
        </is>
      </c>
      <c r="D311" s="93" t="inlineStr">
        <is>
          <t>I</t>
        </is>
      </c>
      <c r="E311" s="93" t="inlineStr">
        <is>
          <t>Jansen van Vuuren Pieter</t>
        </is>
      </c>
      <c r="F311" s="94">
        <f>SUMIFS(Investors!$M:$M,Investors!$O:$O,FALSE,Investors!$P:$P,FALSE,Investors!$K:$K,"&gt;"&amp;'NSST Print'!$B$3,Investors!$I:$I,"&lt;="&amp;'NSST Print'!$B$3,Investors!$A:$A,'Investor Exit List'!$A311,Investors!$E:$E,'Investor Exit List'!$C311,Investors!$L:$L,'Investor Exit List'!$B311)-(SUMIFS(Investors!$M:$M,Investors!$I:$I,"&lt;="&amp;'NSST Print'!$B$3,Investors!$J:$J,"&gt;"&amp;'NSST Print'!$B$3,Investors!$A:$A,'Investor Exit List'!$A311,Investors!$E:$E,'Investor Exit List'!$C311,Investors!$L:$L,'Investor Exit List'!$B311)+SUMIFS(Investors!$M:$M,Investors!$I:$I,"&lt;="&amp;'NSST Print'!$B$3,Investors!$J:$J,"",Investors!$A:$A,'Investor Exit List'!$A311,Investors!$E:$E,'Investor Exit List'!$C311,Investors!$L:$L,'Investor Exit List'!$B311))</f>
        <v/>
      </c>
      <c r="G311" s="95" t="n">
        <v>45259</v>
      </c>
      <c r="H311" s="93" t="b">
        <v>0</v>
      </c>
      <c r="I311" s="93" t="b">
        <v>0</v>
      </c>
      <c r="J311" s="95" t="n">
        <v>45516</v>
      </c>
      <c r="K311" s="95">
        <f>IF(I311=TRUE,J311,"")</f>
        <v/>
      </c>
      <c r="L311" s="95">
        <f>G311+730</f>
        <v/>
      </c>
      <c r="M311" s="95" t="n">
        <v>45382</v>
      </c>
      <c r="N311" s="96">
        <f>IFERROR(IF(G311&lt;&gt;"",IF(I311=TRUE,0,IF(U311=TRUE,0,L311-M311)),0),0)</f>
        <v/>
      </c>
      <c r="O311" s="96">
        <f>IF(N311&gt;0,IF(N311&lt;=180,N311,0),0)</f>
        <v/>
      </c>
      <c r="P311" s="94">
        <f>IF(AND(N311&lt;90,N311&gt;0),Q311,0)</f>
        <v/>
      </c>
      <c r="Q311" s="94">
        <f>SUMIFS(Investors!$M:$M,Investors!$O:$O,FALSE,Investors!$P:$P,FALSE,Investors!$K:$K,"&gt;"&amp;'NSST Print'!$B$3,Investors!$I:$I,"&lt;="&amp;'NSST Print'!$B$3,Investors!$A:$A,'Investor Exit List'!$A311,Investors!$E:$E,'Investor Exit List'!$C311,Investors!$L:$L,'Investor Exit List'!$B311)-(SUMIFS(Investors!$M:$M,Investors!$I:$I,"&lt;="&amp;'NSST Print'!$B$3,Investors!$J:$J,"&gt;"&amp;'NSST Print'!$B$3,Investors!$A:$A,'Investor Exit List'!$A311,Investors!$E:$E,'Investor Exit List'!$C311,Investors!$L:$L,'Investor Exit List'!$B311)+SUMIFS(Investors!$M:$M,Investors!$I:$I,"&lt;="&amp;'NSST Print'!$B$3,Investors!$J:$J,"",Investors!$A:$A,'Investor Exit List'!$A311,Investors!$E:$E,'Investor Exit List'!$C311,Investors!$L:$L,'Investor Exit List'!$B311))+SUMIFS(Investors!$S:$S,Investors!$O:$O,FALSE,Investors!$P:$P,FALSE,Investors!$K:$K,"&gt;"&amp;'NSST Print'!$B$3,Investors!$I:$I,"&lt;="&amp;'NSST Print'!$B$3,Investors!$A:$A,'Investor Exit List'!$A311,Investors!$E:$E,'Investor Exit List'!$C311,Investors!$L:$L,'Investor Exit List'!$B311)-(SUMIFS(Investors!$S:$S,Investors!$I:$I,"&lt;="&amp;'NSST Print'!$B$3,Investors!$J:$J,"&gt;"&amp;'NSST Print'!$B$3,Investors!$A:$A,'Investor Exit List'!$A311,Investors!$E:$E,'Investor Exit List'!$C311,Investors!$L:$L,'Investor Exit List'!$B311)+SUMIFS(Investors!$S:$S,Investors!$I:$I,"&lt;="&amp;'NSST Print'!$B$3,Investors!$J:$J,"",Investors!$A:$A,'Investor Exit List'!$A311,Investors!$E:$E,'Investor Exit List'!$C311,Investors!$L:$L,'Investor Exit List'!$B311))</f>
        <v/>
      </c>
      <c r="R311" s="94">
        <f>IF(AND(H311=TRUE,I311=FALSE),Q311,0)</f>
        <v/>
      </c>
      <c r="S311" s="94">
        <f>SUMIFS(Investors!$M:$M,Investors!$O:$O,TRUE,Investors!$A:$A,'Investor Exit List'!$A311,Investors!$E:$E,'Investor Exit List'!$C311,Investors!$L:$L,'Investor Exit List'!$B311)+SUMIFS(Investors!$S:$S,Investors!$O:$O,TRUE,Investors!$A:$A,'Investor Exit List'!$A311,Investors!$E:$E,'Investor Exit List'!$C311,Investors!$L:$L,'Investor Exit List'!$B311)</f>
        <v/>
      </c>
      <c r="T311" s="95">
        <f>IF(U311=TRUE,$J311,"")</f>
        <v/>
      </c>
      <c r="U311" s="93" t="b">
        <v>0</v>
      </c>
      <c r="V311" s="94">
        <f>IF(AND(H311=TRUE,OR(K311="",K311&gt;M311)),S311,0)</f>
        <v/>
      </c>
      <c r="W311" s="93" t="n">
        <v>0</v>
      </c>
      <c r="X311" s="93" t="b">
        <v>0</v>
      </c>
    </row>
    <row r="312">
      <c r="A312" s="93" t="inlineStr">
        <is>
          <t>ZESP01</t>
        </is>
      </c>
      <c r="B312" s="93" t="n">
        <v>2</v>
      </c>
      <c r="C312" s="93" t="inlineStr">
        <is>
          <t>HVI201</t>
        </is>
      </c>
      <c r="D312" s="93" t="inlineStr">
        <is>
          <t>I</t>
        </is>
      </c>
      <c r="E312" s="93" t="inlineStr">
        <is>
          <t>Espag Etienne</t>
        </is>
      </c>
      <c r="F312" s="94">
        <f>SUMIFS(Investors!$M:$M,Investors!$O:$O,FALSE,Investors!$P:$P,FALSE,Investors!$K:$K,"&gt;"&amp;'NSST Print'!$B$3,Investors!$I:$I,"&lt;="&amp;'NSST Print'!$B$3,Investors!$A:$A,'Investor Exit List'!$A312,Investors!$E:$E,'Investor Exit List'!$C312,Investors!$L:$L,'Investor Exit List'!$B312)-(SUMIFS(Investors!$M:$M,Investors!$I:$I,"&lt;="&amp;'NSST Print'!$B$3,Investors!$J:$J,"&gt;"&amp;'NSST Print'!$B$3,Investors!$A:$A,'Investor Exit List'!$A312,Investors!$E:$E,'Investor Exit List'!$C312,Investors!$L:$L,'Investor Exit List'!$B312)+SUMIFS(Investors!$M:$M,Investors!$I:$I,"&lt;="&amp;'NSST Print'!$B$3,Investors!$J:$J,"",Investors!$A:$A,'Investor Exit List'!$A312,Investors!$E:$E,'Investor Exit List'!$C312,Investors!$L:$L,'Investor Exit List'!$B312))</f>
        <v/>
      </c>
      <c r="G312" s="95" t="n">
        <v>45252</v>
      </c>
      <c r="H312" s="93" t="b">
        <v>0</v>
      </c>
      <c r="I312" s="93" t="b">
        <v>0</v>
      </c>
      <c r="J312" s="95" t="n">
        <v>45516</v>
      </c>
      <c r="K312" s="95">
        <f>IF(I312=TRUE,J312,"")</f>
        <v/>
      </c>
      <c r="L312" s="95">
        <f>G312+730</f>
        <v/>
      </c>
      <c r="M312" s="95" t="n">
        <v>45382</v>
      </c>
      <c r="N312" s="96">
        <f>IFERROR(IF(G312&lt;&gt;"",IF(I312=TRUE,0,IF(U312=TRUE,0,L312-M312)),0),0)</f>
        <v/>
      </c>
      <c r="O312" s="96">
        <f>IF(N312&gt;0,IF(N312&lt;=180,N312,0),0)</f>
        <v/>
      </c>
      <c r="P312" s="94">
        <f>IF(AND(N312&lt;90,N312&gt;0),Q312,0)</f>
        <v/>
      </c>
      <c r="Q312" s="94">
        <f>SUMIFS(Investors!$M:$M,Investors!$O:$O,FALSE,Investors!$P:$P,FALSE,Investors!$K:$K,"&gt;"&amp;'NSST Print'!$B$3,Investors!$I:$I,"&lt;="&amp;'NSST Print'!$B$3,Investors!$A:$A,'Investor Exit List'!$A312,Investors!$E:$E,'Investor Exit List'!$C312,Investors!$L:$L,'Investor Exit List'!$B312)-(SUMIFS(Investors!$M:$M,Investors!$I:$I,"&lt;="&amp;'NSST Print'!$B$3,Investors!$J:$J,"&gt;"&amp;'NSST Print'!$B$3,Investors!$A:$A,'Investor Exit List'!$A312,Investors!$E:$E,'Investor Exit List'!$C312,Investors!$L:$L,'Investor Exit List'!$B312)+SUMIFS(Investors!$M:$M,Investors!$I:$I,"&lt;="&amp;'NSST Print'!$B$3,Investors!$J:$J,"",Investors!$A:$A,'Investor Exit List'!$A312,Investors!$E:$E,'Investor Exit List'!$C312,Investors!$L:$L,'Investor Exit List'!$B312))+SUMIFS(Investors!$S:$S,Investors!$O:$O,FALSE,Investors!$P:$P,FALSE,Investors!$K:$K,"&gt;"&amp;'NSST Print'!$B$3,Investors!$I:$I,"&lt;="&amp;'NSST Print'!$B$3,Investors!$A:$A,'Investor Exit List'!$A312,Investors!$E:$E,'Investor Exit List'!$C312,Investors!$L:$L,'Investor Exit List'!$B312)-(SUMIFS(Investors!$S:$S,Investors!$I:$I,"&lt;="&amp;'NSST Print'!$B$3,Investors!$J:$J,"&gt;"&amp;'NSST Print'!$B$3,Investors!$A:$A,'Investor Exit List'!$A312,Investors!$E:$E,'Investor Exit List'!$C312,Investors!$L:$L,'Investor Exit List'!$B312)+SUMIFS(Investors!$S:$S,Investors!$I:$I,"&lt;="&amp;'NSST Print'!$B$3,Investors!$J:$J,"",Investors!$A:$A,'Investor Exit List'!$A312,Investors!$E:$E,'Investor Exit List'!$C312,Investors!$L:$L,'Investor Exit List'!$B312))</f>
        <v/>
      </c>
      <c r="R312" s="94">
        <f>IF(AND(H312=TRUE,I312=FALSE),Q312,0)</f>
        <v/>
      </c>
      <c r="S312" s="94">
        <f>SUMIFS(Investors!$M:$M,Investors!$O:$O,TRUE,Investors!$A:$A,'Investor Exit List'!$A312,Investors!$E:$E,'Investor Exit List'!$C312,Investors!$L:$L,'Investor Exit List'!$B312)+SUMIFS(Investors!$S:$S,Investors!$O:$O,TRUE,Investors!$A:$A,'Investor Exit List'!$A312,Investors!$E:$E,'Investor Exit List'!$C312,Investors!$L:$L,'Investor Exit List'!$B312)</f>
        <v/>
      </c>
      <c r="T312" s="95">
        <f>IF(U312=TRUE,$J312,"")</f>
        <v/>
      </c>
      <c r="U312" s="93" t="b">
        <v>0</v>
      </c>
      <c r="V312" s="94">
        <f>IF(AND(H312=TRUE,OR(K312="",K312&gt;M312)),S312,0)</f>
        <v/>
      </c>
      <c r="W312" s="93" t="n">
        <v>0</v>
      </c>
      <c r="X312" s="93" t="b">
        <v>0</v>
      </c>
    </row>
    <row r="313">
      <c r="A313" s="93" t="inlineStr">
        <is>
          <t>ZKRO01</t>
        </is>
      </c>
      <c r="B313" s="93" t="n">
        <v>5</v>
      </c>
      <c r="C313" s="93" t="inlineStr">
        <is>
          <t>HVI201</t>
        </is>
      </c>
      <c r="D313" s="93" t="inlineStr">
        <is>
          <t>I</t>
        </is>
      </c>
      <c r="E313" s="93" t="inlineStr">
        <is>
          <t>van der Merwe Frans</t>
        </is>
      </c>
      <c r="F313" s="94">
        <f>SUMIFS(Investors!$M:$M,Investors!$O:$O,FALSE,Investors!$P:$P,FALSE,Investors!$K:$K,"&gt;"&amp;'NSST Print'!$B$3,Investors!$I:$I,"&lt;="&amp;'NSST Print'!$B$3,Investors!$A:$A,'Investor Exit List'!$A313,Investors!$E:$E,'Investor Exit List'!$C313,Investors!$L:$L,'Investor Exit List'!$B313)-(SUMIFS(Investors!$M:$M,Investors!$I:$I,"&lt;="&amp;'NSST Print'!$B$3,Investors!$J:$J,"&gt;"&amp;'NSST Print'!$B$3,Investors!$A:$A,'Investor Exit List'!$A313,Investors!$E:$E,'Investor Exit List'!$C313,Investors!$L:$L,'Investor Exit List'!$B313)+SUMIFS(Investors!$M:$M,Investors!$I:$I,"&lt;="&amp;'NSST Print'!$B$3,Investors!$J:$J,"",Investors!$A:$A,'Investor Exit List'!$A313,Investors!$E:$E,'Investor Exit List'!$C313,Investors!$L:$L,'Investor Exit List'!$B313))</f>
        <v/>
      </c>
      <c r="G313" s="95" t="n">
        <v>45273</v>
      </c>
      <c r="H313" s="93" t="b">
        <v>0</v>
      </c>
      <c r="I313" s="93" t="b">
        <v>0</v>
      </c>
      <c r="J313" s="95" t="n">
        <v>45516</v>
      </c>
      <c r="K313" s="95">
        <f>IF(I313=TRUE,J313,"")</f>
        <v/>
      </c>
      <c r="L313" s="95">
        <f>G313+730</f>
        <v/>
      </c>
      <c r="M313" s="95" t="n">
        <v>45382</v>
      </c>
      <c r="N313" s="96">
        <f>IFERROR(IF(G313&lt;&gt;"",IF(I313=TRUE,0,IF(U313=TRUE,0,L313-M313)),0),0)</f>
        <v/>
      </c>
      <c r="O313" s="96">
        <f>IF(N313&gt;0,IF(N313&lt;=180,N313,0),0)</f>
        <v/>
      </c>
      <c r="P313" s="94">
        <f>IF(AND(N313&lt;90,N313&gt;0),Q313,0)</f>
        <v/>
      </c>
      <c r="Q313" s="94">
        <f>SUMIFS(Investors!$M:$M,Investors!$O:$O,FALSE,Investors!$P:$P,FALSE,Investors!$K:$K,"&gt;"&amp;'NSST Print'!$B$3,Investors!$I:$I,"&lt;="&amp;'NSST Print'!$B$3,Investors!$A:$A,'Investor Exit List'!$A313,Investors!$E:$E,'Investor Exit List'!$C313,Investors!$L:$L,'Investor Exit List'!$B313)-(SUMIFS(Investors!$M:$M,Investors!$I:$I,"&lt;="&amp;'NSST Print'!$B$3,Investors!$J:$J,"&gt;"&amp;'NSST Print'!$B$3,Investors!$A:$A,'Investor Exit List'!$A313,Investors!$E:$E,'Investor Exit List'!$C313,Investors!$L:$L,'Investor Exit List'!$B313)+SUMIFS(Investors!$M:$M,Investors!$I:$I,"&lt;="&amp;'NSST Print'!$B$3,Investors!$J:$J,"",Investors!$A:$A,'Investor Exit List'!$A313,Investors!$E:$E,'Investor Exit List'!$C313,Investors!$L:$L,'Investor Exit List'!$B313))+SUMIFS(Investors!$S:$S,Investors!$O:$O,FALSE,Investors!$P:$P,FALSE,Investors!$K:$K,"&gt;"&amp;'NSST Print'!$B$3,Investors!$I:$I,"&lt;="&amp;'NSST Print'!$B$3,Investors!$A:$A,'Investor Exit List'!$A313,Investors!$E:$E,'Investor Exit List'!$C313,Investors!$L:$L,'Investor Exit List'!$B313)-(SUMIFS(Investors!$S:$S,Investors!$I:$I,"&lt;="&amp;'NSST Print'!$B$3,Investors!$J:$J,"&gt;"&amp;'NSST Print'!$B$3,Investors!$A:$A,'Investor Exit List'!$A313,Investors!$E:$E,'Investor Exit List'!$C313,Investors!$L:$L,'Investor Exit List'!$B313)+SUMIFS(Investors!$S:$S,Investors!$I:$I,"&lt;="&amp;'NSST Print'!$B$3,Investors!$J:$J,"",Investors!$A:$A,'Investor Exit List'!$A313,Investors!$E:$E,'Investor Exit List'!$C313,Investors!$L:$L,'Investor Exit List'!$B313))</f>
        <v/>
      </c>
      <c r="R313" s="94">
        <f>IF(AND(H313=TRUE,I313=FALSE),Q313,0)</f>
        <v/>
      </c>
      <c r="S313" s="94">
        <f>SUMIFS(Investors!$M:$M,Investors!$O:$O,TRUE,Investors!$A:$A,'Investor Exit List'!$A313,Investors!$E:$E,'Investor Exit List'!$C313,Investors!$L:$L,'Investor Exit List'!$B313)+SUMIFS(Investors!$S:$S,Investors!$O:$O,TRUE,Investors!$A:$A,'Investor Exit List'!$A313,Investors!$E:$E,'Investor Exit List'!$C313,Investors!$L:$L,'Investor Exit List'!$B313)</f>
        <v/>
      </c>
      <c r="T313" s="95">
        <f>IF(U313=TRUE,$J313,"")</f>
        <v/>
      </c>
      <c r="U313" s="93" t="b">
        <v>0</v>
      </c>
      <c r="V313" s="94">
        <f>IF(AND(H313=TRUE,OR(K313="",K313&gt;M313)),S313,0)</f>
        <v/>
      </c>
      <c r="W313" s="93" t="n">
        <v>0</v>
      </c>
      <c r="X313" s="93" t="b">
        <v>0</v>
      </c>
    </row>
    <row r="314">
      <c r="A314" s="93" t="inlineStr">
        <is>
          <t>ZKRI02</t>
        </is>
      </c>
      <c r="B314" s="93" t="n">
        <v>5</v>
      </c>
      <c r="C314" s="93" t="inlineStr">
        <is>
          <t>HVI202</t>
        </is>
      </c>
      <c r="D314" s="93" t="inlineStr">
        <is>
          <t>I</t>
        </is>
      </c>
      <c r="E314" s="93" t="inlineStr">
        <is>
          <t>Kriel Hermanus Johannes</t>
        </is>
      </c>
      <c r="F314" s="94">
        <f>SUMIFS(Investors!$M:$M,Investors!$O:$O,FALSE,Investors!$P:$P,FALSE,Investors!$K:$K,"&gt;"&amp;'NSST Print'!$B$3,Investors!$I:$I,"&lt;="&amp;'NSST Print'!$B$3,Investors!$A:$A,'Investor Exit List'!$A314,Investors!$E:$E,'Investor Exit List'!$C314,Investors!$L:$L,'Investor Exit List'!$B314)-(SUMIFS(Investors!$M:$M,Investors!$I:$I,"&lt;="&amp;'NSST Print'!$B$3,Investors!$J:$J,"&gt;"&amp;'NSST Print'!$B$3,Investors!$A:$A,'Investor Exit List'!$A314,Investors!$E:$E,'Investor Exit List'!$C314,Investors!$L:$L,'Investor Exit List'!$B314)+SUMIFS(Investors!$M:$M,Investors!$I:$I,"&lt;="&amp;'NSST Print'!$B$3,Investors!$J:$J,"",Investors!$A:$A,'Investor Exit List'!$A314,Investors!$E:$E,'Investor Exit List'!$C314,Investors!$L:$L,'Investor Exit List'!$B314))</f>
        <v/>
      </c>
      <c r="G314" s="95" t="n">
        <v>45259</v>
      </c>
      <c r="H314" s="93" t="b">
        <v>0</v>
      </c>
      <c r="I314" s="93" t="b">
        <v>0</v>
      </c>
      <c r="J314" s="95" t="n">
        <v>45516</v>
      </c>
      <c r="K314" s="95">
        <f>IF(I314=TRUE,J314,"")</f>
        <v/>
      </c>
      <c r="L314" s="95">
        <f>G314+730</f>
        <v/>
      </c>
      <c r="M314" s="95" t="n">
        <v>45382</v>
      </c>
      <c r="N314" s="96">
        <f>IFERROR(IF(G314&lt;&gt;"",IF(I314=TRUE,0,IF(U314=TRUE,0,L314-M314)),0),0)</f>
        <v/>
      </c>
      <c r="O314" s="96">
        <f>IF(N314&gt;0,IF(N314&lt;=180,N314,0),0)</f>
        <v/>
      </c>
      <c r="P314" s="94">
        <f>IF(AND(N314&lt;90,N314&gt;0),Q314,0)</f>
        <v/>
      </c>
      <c r="Q314" s="94">
        <f>SUMIFS(Investors!$M:$M,Investors!$O:$O,FALSE,Investors!$P:$P,FALSE,Investors!$K:$K,"&gt;"&amp;'NSST Print'!$B$3,Investors!$I:$I,"&lt;="&amp;'NSST Print'!$B$3,Investors!$A:$A,'Investor Exit List'!$A314,Investors!$E:$E,'Investor Exit List'!$C314,Investors!$L:$L,'Investor Exit List'!$B314)-(SUMIFS(Investors!$M:$M,Investors!$I:$I,"&lt;="&amp;'NSST Print'!$B$3,Investors!$J:$J,"&gt;"&amp;'NSST Print'!$B$3,Investors!$A:$A,'Investor Exit List'!$A314,Investors!$E:$E,'Investor Exit List'!$C314,Investors!$L:$L,'Investor Exit List'!$B314)+SUMIFS(Investors!$M:$M,Investors!$I:$I,"&lt;="&amp;'NSST Print'!$B$3,Investors!$J:$J,"",Investors!$A:$A,'Investor Exit List'!$A314,Investors!$E:$E,'Investor Exit List'!$C314,Investors!$L:$L,'Investor Exit List'!$B314))+SUMIFS(Investors!$S:$S,Investors!$O:$O,FALSE,Investors!$P:$P,FALSE,Investors!$K:$K,"&gt;"&amp;'NSST Print'!$B$3,Investors!$I:$I,"&lt;="&amp;'NSST Print'!$B$3,Investors!$A:$A,'Investor Exit List'!$A314,Investors!$E:$E,'Investor Exit List'!$C314,Investors!$L:$L,'Investor Exit List'!$B314)-(SUMIFS(Investors!$S:$S,Investors!$I:$I,"&lt;="&amp;'NSST Print'!$B$3,Investors!$J:$J,"&gt;"&amp;'NSST Print'!$B$3,Investors!$A:$A,'Investor Exit List'!$A314,Investors!$E:$E,'Investor Exit List'!$C314,Investors!$L:$L,'Investor Exit List'!$B314)+SUMIFS(Investors!$S:$S,Investors!$I:$I,"&lt;="&amp;'NSST Print'!$B$3,Investors!$J:$J,"",Investors!$A:$A,'Investor Exit List'!$A314,Investors!$E:$E,'Investor Exit List'!$C314,Investors!$L:$L,'Investor Exit List'!$B314))</f>
        <v/>
      </c>
      <c r="R314" s="94">
        <f>IF(AND(H314=TRUE,I314=FALSE),Q314,0)</f>
        <v/>
      </c>
      <c r="S314" s="94">
        <f>SUMIFS(Investors!$M:$M,Investors!$O:$O,TRUE,Investors!$A:$A,'Investor Exit List'!$A314,Investors!$E:$E,'Investor Exit List'!$C314,Investors!$L:$L,'Investor Exit List'!$B314)+SUMIFS(Investors!$S:$S,Investors!$O:$O,TRUE,Investors!$A:$A,'Investor Exit List'!$A314,Investors!$E:$E,'Investor Exit List'!$C314,Investors!$L:$L,'Investor Exit List'!$B314)</f>
        <v/>
      </c>
      <c r="T314" s="95">
        <f>IF(U314=TRUE,$J314,"")</f>
        <v/>
      </c>
      <c r="U314" s="93" t="b">
        <v>0</v>
      </c>
      <c r="V314" s="94">
        <f>IF(AND(H314=TRUE,OR(K314="",K314&gt;M314)),S314,0)</f>
        <v/>
      </c>
      <c r="W314" s="93" t="n">
        <v>0</v>
      </c>
      <c r="X314" s="93" t="b">
        <v>0</v>
      </c>
    </row>
    <row r="315">
      <c r="A315" s="93" t="inlineStr">
        <is>
          <t>ZKRI02</t>
        </is>
      </c>
      <c r="B315" s="93" t="n">
        <v>6</v>
      </c>
      <c r="C315" s="93" t="inlineStr">
        <is>
          <t>HVI203</t>
        </is>
      </c>
      <c r="D315" s="93" t="inlineStr">
        <is>
          <t>I</t>
        </is>
      </c>
      <c r="E315" s="93" t="inlineStr">
        <is>
          <t>Kriel Hermanus Johannes</t>
        </is>
      </c>
      <c r="F315" s="94">
        <f>SUMIFS(Investors!$M:$M,Investors!$O:$O,FALSE,Investors!$P:$P,FALSE,Investors!$K:$K,"&gt;"&amp;'NSST Print'!$B$3,Investors!$I:$I,"&lt;="&amp;'NSST Print'!$B$3,Investors!$A:$A,'Investor Exit List'!$A315,Investors!$E:$E,'Investor Exit List'!$C315,Investors!$L:$L,'Investor Exit List'!$B315)-(SUMIFS(Investors!$M:$M,Investors!$I:$I,"&lt;="&amp;'NSST Print'!$B$3,Investors!$J:$J,"&gt;"&amp;'NSST Print'!$B$3,Investors!$A:$A,'Investor Exit List'!$A315,Investors!$E:$E,'Investor Exit List'!$C315,Investors!$L:$L,'Investor Exit List'!$B315)+SUMIFS(Investors!$M:$M,Investors!$I:$I,"&lt;="&amp;'NSST Print'!$B$3,Investors!$J:$J,"",Investors!$A:$A,'Investor Exit List'!$A315,Investors!$E:$E,'Investor Exit List'!$C315,Investors!$L:$L,'Investor Exit List'!$B315))</f>
        <v/>
      </c>
      <c r="G315" s="95" t="n">
        <v>45259</v>
      </c>
      <c r="H315" s="93" t="b">
        <v>0</v>
      </c>
      <c r="I315" s="93" t="b">
        <v>0</v>
      </c>
      <c r="J315" s="95" t="n">
        <v>45516</v>
      </c>
      <c r="K315" s="95">
        <f>IF(I315=TRUE,J315,"")</f>
        <v/>
      </c>
      <c r="L315" s="95">
        <f>G315+730</f>
        <v/>
      </c>
      <c r="M315" s="95" t="n">
        <v>45382</v>
      </c>
      <c r="N315" s="96">
        <f>IFERROR(IF(G315&lt;&gt;"",IF(I315=TRUE,0,IF(U315=TRUE,0,L315-M315)),0),0)</f>
        <v/>
      </c>
      <c r="O315" s="96">
        <f>IF(N315&gt;0,IF(N315&lt;=180,N315,0),0)</f>
        <v/>
      </c>
      <c r="P315" s="94">
        <f>IF(AND(N315&lt;90,N315&gt;0),Q315,0)</f>
        <v/>
      </c>
      <c r="Q315" s="94">
        <f>SUMIFS(Investors!$M:$M,Investors!$O:$O,FALSE,Investors!$P:$P,FALSE,Investors!$K:$K,"&gt;"&amp;'NSST Print'!$B$3,Investors!$I:$I,"&lt;="&amp;'NSST Print'!$B$3,Investors!$A:$A,'Investor Exit List'!$A315,Investors!$E:$E,'Investor Exit List'!$C315,Investors!$L:$L,'Investor Exit List'!$B315)-(SUMIFS(Investors!$M:$M,Investors!$I:$I,"&lt;="&amp;'NSST Print'!$B$3,Investors!$J:$J,"&gt;"&amp;'NSST Print'!$B$3,Investors!$A:$A,'Investor Exit List'!$A315,Investors!$E:$E,'Investor Exit List'!$C315,Investors!$L:$L,'Investor Exit List'!$B315)+SUMIFS(Investors!$M:$M,Investors!$I:$I,"&lt;="&amp;'NSST Print'!$B$3,Investors!$J:$J,"",Investors!$A:$A,'Investor Exit List'!$A315,Investors!$E:$E,'Investor Exit List'!$C315,Investors!$L:$L,'Investor Exit List'!$B315))+SUMIFS(Investors!$S:$S,Investors!$O:$O,FALSE,Investors!$P:$P,FALSE,Investors!$K:$K,"&gt;"&amp;'NSST Print'!$B$3,Investors!$I:$I,"&lt;="&amp;'NSST Print'!$B$3,Investors!$A:$A,'Investor Exit List'!$A315,Investors!$E:$E,'Investor Exit List'!$C315,Investors!$L:$L,'Investor Exit List'!$B315)-(SUMIFS(Investors!$S:$S,Investors!$I:$I,"&lt;="&amp;'NSST Print'!$B$3,Investors!$J:$J,"&gt;"&amp;'NSST Print'!$B$3,Investors!$A:$A,'Investor Exit List'!$A315,Investors!$E:$E,'Investor Exit List'!$C315,Investors!$L:$L,'Investor Exit List'!$B315)+SUMIFS(Investors!$S:$S,Investors!$I:$I,"&lt;="&amp;'NSST Print'!$B$3,Investors!$J:$J,"",Investors!$A:$A,'Investor Exit List'!$A315,Investors!$E:$E,'Investor Exit List'!$C315,Investors!$L:$L,'Investor Exit List'!$B315))</f>
        <v/>
      </c>
      <c r="R315" s="94">
        <f>IF(AND(H315=TRUE,I315=FALSE),Q315,0)</f>
        <v/>
      </c>
      <c r="S315" s="94">
        <f>SUMIFS(Investors!$M:$M,Investors!$O:$O,TRUE,Investors!$A:$A,'Investor Exit List'!$A315,Investors!$E:$E,'Investor Exit List'!$C315,Investors!$L:$L,'Investor Exit List'!$B315)+SUMIFS(Investors!$S:$S,Investors!$O:$O,TRUE,Investors!$A:$A,'Investor Exit List'!$A315,Investors!$E:$E,'Investor Exit List'!$C315,Investors!$L:$L,'Investor Exit List'!$B315)</f>
        <v/>
      </c>
      <c r="T315" s="95">
        <f>IF(U315=TRUE,$J315,"")</f>
        <v/>
      </c>
      <c r="U315" s="93" t="b">
        <v>0</v>
      </c>
      <c r="V315" s="94">
        <f>IF(AND(H315=TRUE,OR(K315="",K315&gt;M315)),S315,0)</f>
        <v/>
      </c>
      <c r="W315" s="93" t="n">
        <v>0</v>
      </c>
      <c r="X315" s="93" t="b">
        <v>0</v>
      </c>
    </row>
    <row r="316">
      <c r="A316" s="93" t="inlineStr">
        <is>
          <t>ZMYB01</t>
        </is>
      </c>
      <c r="B316" s="93" t="n">
        <v>2</v>
      </c>
      <c r="C316" s="93" t="inlineStr">
        <is>
          <t>HVI204</t>
        </is>
      </c>
      <c r="D316" s="93" t="inlineStr">
        <is>
          <t>I</t>
        </is>
      </c>
      <c r="E316" s="93" t="inlineStr">
        <is>
          <t>Myburgh Hermanus Carel</t>
        </is>
      </c>
      <c r="F316" s="94">
        <f>SUMIFS(Investors!$M:$M,Investors!$O:$O,FALSE,Investors!$P:$P,FALSE,Investors!$K:$K,"&gt;"&amp;'NSST Print'!$B$3,Investors!$I:$I,"&lt;="&amp;'NSST Print'!$B$3,Investors!$A:$A,'Investor Exit List'!$A316,Investors!$E:$E,'Investor Exit List'!$C316,Investors!$L:$L,'Investor Exit List'!$B316)-(SUMIFS(Investors!$M:$M,Investors!$I:$I,"&lt;="&amp;'NSST Print'!$B$3,Investors!$J:$J,"&gt;"&amp;'NSST Print'!$B$3,Investors!$A:$A,'Investor Exit List'!$A316,Investors!$E:$E,'Investor Exit List'!$C316,Investors!$L:$L,'Investor Exit List'!$B316)+SUMIFS(Investors!$M:$M,Investors!$I:$I,"&lt;="&amp;'NSST Print'!$B$3,Investors!$J:$J,"",Investors!$A:$A,'Investor Exit List'!$A316,Investors!$E:$E,'Investor Exit List'!$C316,Investors!$L:$L,'Investor Exit List'!$B316))</f>
        <v/>
      </c>
      <c r="G316" s="95" t="n">
        <v>45280</v>
      </c>
      <c r="H316" s="93" t="b">
        <v>0</v>
      </c>
      <c r="I316" s="93" t="b">
        <v>0</v>
      </c>
      <c r="J316" s="95" t="n">
        <v>45516</v>
      </c>
      <c r="K316" s="95">
        <f>IF(I316=TRUE,J316,"")</f>
        <v/>
      </c>
      <c r="L316" s="95">
        <f>G316+730</f>
        <v/>
      </c>
      <c r="M316" s="95" t="n">
        <v>45382</v>
      </c>
      <c r="N316" s="96">
        <f>IFERROR(IF(G316&lt;&gt;"",IF(I316=TRUE,0,IF(U316=TRUE,0,L316-M316)),0),0)</f>
        <v/>
      </c>
      <c r="O316" s="96">
        <f>IF(N316&gt;0,IF(N316&lt;=180,N316,0),0)</f>
        <v/>
      </c>
      <c r="P316" s="94">
        <f>IF(AND(N316&lt;90,N316&gt;0),Q316,0)</f>
        <v/>
      </c>
      <c r="Q316" s="94">
        <f>SUMIFS(Investors!$M:$M,Investors!$O:$O,FALSE,Investors!$P:$P,FALSE,Investors!$K:$K,"&gt;"&amp;'NSST Print'!$B$3,Investors!$I:$I,"&lt;="&amp;'NSST Print'!$B$3,Investors!$A:$A,'Investor Exit List'!$A316,Investors!$E:$E,'Investor Exit List'!$C316,Investors!$L:$L,'Investor Exit List'!$B316)-(SUMIFS(Investors!$M:$M,Investors!$I:$I,"&lt;="&amp;'NSST Print'!$B$3,Investors!$J:$J,"&gt;"&amp;'NSST Print'!$B$3,Investors!$A:$A,'Investor Exit List'!$A316,Investors!$E:$E,'Investor Exit List'!$C316,Investors!$L:$L,'Investor Exit List'!$B316)+SUMIFS(Investors!$M:$M,Investors!$I:$I,"&lt;="&amp;'NSST Print'!$B$3,Investors!$J:$J,"",Investors!$A:$A,'Investor Exit List'!$A316,Investors!$E:$E,'Investor Exit List'!$C316,Investors!$L:$L,'Investor Exit List'!$B316))+SUMIFS(Investors!$S:$S,Investors!$O:$O,FALSE,Investors!$P:$P,FALSE,Investors!$K:$K,"&gt;"&amp;'NSST Print'!$B$3,Investors!$I:$I,"&lt;="&amp;'NSST Print'!$B$3,Investors!$A:$A,'Investor Exit List'!$A316,Investors!$E:$E,'Investor Exit List'!$C316,Investors!$L:$L,'Investor Exit List'!$B316)-(SUMIFS(Investors!$S:$S,Investors!$I:$I,"&lt;="&amp;'NSST Print'!$B$3,Investors!$J:$J,"&gt;"&amp;'NSST Print'!$B$3,Investors!$A:$A,'Investor Exit List'!$A316,Investors!$E:$E,'Investor Exit List'!$C316,Investors!$L:$L,'Investor Exit List'!$B316)+SUMIFS(Investors!$S:$S,Investors!$I:$I,"&lt;="&amp;'NSST Print'!$B$3,Investors!$J:$J,"",Investors!$A:$A,'Investor Exit List'!$A316,Investors!$E:$E,'Investor Exit List'!$C316,Investors!$L:$L,'Investor Exit List'!$B316))</f>
        <v/>
      </c>
      <c r="R316" s="94">
        <f>IF(AND(H316=TRUE,I316=FALSE),Q316,0)</f>
        <v/>
      </c>
      <c r="S316" s="94">
        <f>SUMIFS(Investors!$M:$M,Investors!$O:$O,TRUE,Investors!$A:$A,'Investor Exit List'!$A316,Investors!$E:$E,'Investor Exit List'!$C316,Investors!$L:$L,'Investor Exit List'!$B316)+SUMIFS(Investors!$S:$S,Investors!$O:$O,TRUE,Investors!$A:$A,'Investor Exit List'!$A316,Investors!$E:$E,'Investor Exit List'!$C316,Investors!$L:$L,'Investor Exit List'!$B316)</f>
        <v/>
      </c>
      <c r="T316" s="95">
        <f>IF(U316=TRUE,$J316,"")</f>
        <v/>
      </c>
      <c r="U316" s="93" t="b">
        <v>0</v>
      </c>
      <c r="V316" s="94">
        <f>IF(AND(H316=TRUE,OR(K316="",K316&gt;M316)),S316,0)</f>
        <v/>
      </c>
      <c r="W316" s="93" t="n">
        <v>0</v>
      </c>
      <c r="X316" s="93" t="b">
        <v>0</v>
      </c>
    </row>
    <row r="317">
      <c r="A317" s="97" t="inlineStr">
        <is>
          <t>ZOLI01</t>
        </is>
      </c>
      <c r="B317" s="97" t="n">
        <v>2</v>
      </c>
      <c r="C317" s="97" t="inlineStr">
        <is>
          <t>HVJ101</t>
        </is>
      </c>
      <c r="D317" s="97" t="inlineStr">
        <is>
          <t>J</t>
        </is>
      </c>
      <c r="E317" s="97" t="inlineStr">
        <is>
          <t>Olivier Jan Lukas Cornelus</t>
        </is>
      </c>
      <c r="F317" s="98">
        <f>SUMIFS(Investors!$M:$M,Investors!$O:$O,FALSE,Investors!$P:$P,FALSE,Investors!$K:$K,"&gt;"&amp;'NSST Print'!$B$3,Investors!$I:$I,"&lt;="&amp;'NSST Print'!$B$3,Investors!$A:$A,'Investor Exit List'!$A317,Investors!$E:$E,'Investor Exit List'!$C317,Investors!$L:$L,'Investor Exit List'!$B317)-(SUMIFS(Investors!$M:$M,Investors!$I:$I,"&lt;="&amp;'NSST Print'!$B$3,Investors!$J:$J,"&gt;"&amp;'NSST Print'!$B$3,Investors!$A:$A,'Investor Exit List'!$A317,Investors!$E:$E,'Investor Exit List'!$C317,Investors!$L:$L,'Investor Exit List'!$B317)+SUMIFS(Investors!$M:$M,Investors!$I:$I,"&lt;="&amp;'NSST Print'!$B$3,Investors!$J:$J,"",Investors!$A:$A,'Investor Exit List'!$A317,Investors!$E:$E,'Investor Exit List'!$C317,Investors!$L:$L,'Investor Exit List'!$B317))</f>
        <v/>
      </c>
      <c r="G317" s="99" t="n">
        <v>44779</v>
      </c>
      <c r="H317" s="97" t="b">
        <v>1</v>
      </c>
      <c r="I317" s="97" t="b">
        <v>0</v>
      </c>
      <c r="J317" s="99" t="n">
        <v>45552</v>
      </c>
      <c r="K317" s="99">
        <f>IF(I317=TRUE,J317,"")</f>
        <v/>
      </c>
      <c r="L317" s="99">
        <f>G317+730</f>
        <v/>
      </c>
      <c r="M317" s="99" t="n">
        <v>45382</v>
      </c>
      <c r="N317" s="100">
        <f>IFERROR(IF(G317&lt;&gt;"",IF(I317=TRUE,0,IF(U317=TRUE,0,L317-M317)),0),0)</f>
        <v/>
      </c>
      <c r="O317" s="100">
        <f>IF(N317&gt;0,IF(N317&lt;=180,N317,0),0)</f>
        <v/>
      </c>
      <c r="P317" s="98">
        <f>IF(AND(N317&lt;90,N317&gt;0),Q317,0)</f>
        <v/>
      </c>
      <c r="Q317" s="98">
        <f>SUMIFS(Investors!$M:$M,Investors!$O:$O,FALSE,Investors!$P:$P,FALSE,Investors!$K:$K,"&gt;"&amp;'NSST Print'!$B$3,Investors!$I:$I,"&lt;="&amp;'NSST Print'!$B$3,Investors!$A:$A,'Investor Exit List'!$A317,Investors!$E:$E,'Investor Exit List'!$C317,Investors!$L:$L,'Investor Exit List'!$B317)-(SUMIFS(Investors!$M:$M,Investors!$I:$I,"&lt;="&amp;'NSST Print'!$B$3,Investors!$J:$J,"&gt;"&amp;'NSST Print'!$B$3,Investors!$A:$A,'Investor Exit List'!$A317,Investors!$E:$E,'Investor Exit List'!$C317,Investors!$L:$L,'Investor Exit List'!$B317)+SUMIFS(Investors!$M:$M,Investors!$I:$I,"&lt;="&amp;'NSST Print'!$B$3,Investors!$J:$J,"",Investors!$A:$A,'Investor Exit List'!$A317,Investors!$E:$E,'Investor Exit List'!$C317,Investors!$L:$L,'Investor Exit List'!$B317))+SUMIFS(Investors!$S:$S,Investors!$O:$O,FALSE,Investors!$P:$P,FALSE,Investors!$K:$K,"&gt;"&amp;'NSST Print'!$B$3,Investors!$I:$I,"&lt;="&amp;'NSST Print'!$B$3,Investors!$A:$A,'Investor Exit List'!$A317,Investors!$E:$E,'Investor Exit List'!$C317,Investors!$L:$L,'Investor Exit List'!$B317)-(SUMIFS(Investors!$S:$S,Investors!$I:$I,"&lt;="&amp;'NSST Print'!$B$3,Investors!$J:$J,"&gt;"&amp;'NSST Print'!$B$3,Investors!$A:$A,'Investor Exit List'!$A317,Investors!$E:$E,'Investor Exit List'!$C317,Investors!$L:$L,'Investor Exit List'!$B317)+SUMIFS(Investors!$S:$S,Investors!$I:$I,"&lt;="&amp;'NSST Print'!$B$3,Investors!$J:$J,"",Investors!$A:$A,'Investor Exit List'!$A317,Investors!$E:$E,'Investor Exit List'!$C317,Investors!$L:$L,'Investor Exit List'!$B317))</f>
        <v/>
      </c>
      <c r="R317" s="98">
        <f>IF(AND(H317=TRUE,I317=FALSE),Q317,0)</f>
        <v/>
      </c>
      <c r="S317" s="98">
        <f>SUMIFS(Investors!$M:$M,Investors!$O:$O,TRUE,Investors!$A:$A,'Investor Exit List'!$A317,Investors!$E:$E,'Investor Exit List'!$C317,Investors!$L:$L,'Investor Exit List'!$B317)+SUMIFS(Investors!$S:$S,Investors!$O:$O,TRUE,Investors!$A:$A,'Investor Exit List'!$A317,Investors!$E:$E,'Investor Exit List'!$C317,Investors!$L:$L,'Investor Exit List'!$B317)</f>
        <v/>
      </c>
      <c r="T317" s="99">
        <f>IF(U317=TRUE,$J317,"")</f>
        <v/>
      </c>
      <c r="U317" s="97" t="b">
        <v>0</v>
      </c>
      <c r="V317" s="98">
        <f>IF(AND(H317=TRUE,OR(K317="",K317&gt;M317)),S317,0)</f>
        <v/>
      </c>
      <c r="W317" s="97" t="n">
        <v>0</v>
      </c>
      <c r="X317" s="97" t="b">
        <v>0</v>
      </c>
    </row>
    <row r="318">
      <c r="A318" s="97" t="inlineStr">
        <is>
          <t>ZVAN05</t>
        </is>
      </c>
      <c r="B318" s="97" t="n">
        <v>2</v>
      </c>
      <c r="C318" s="97" t="inlineStr">
        <is>
          <t>HVJ101</t>
        </is>
      </c>
      <c r="D318" s="97" t="inlineStr">
        <is>
          <t>J</t>
        </is>
      </c>
      <c r="E318" s="97" t="inlineStr">
        <is>
          <t>van der Sandt Hermanus</t>
        </is>
      </c>
      <c r="F318" s="98">
        <f>SUMIFS(Investors!$M:$M,Investors!$O:$O,FALSE,Investors!$P:$P,FALSE,Investors!$K:$K,"&gt;"&amp;'NSST Print'!$B$3,Investors!$I:$I,"&lt;="&amp;'NSST Print'!$B$3,Investors!$A:$A,'Investor Exit List'!$A318,Investors!$E:$E,'Investor Exit List'!$C318,Investors!$L:$L,'Investor Exit List'!$B318)-(SUMIFS(Investors!$M:$M,Investors!$I:$I,"&lt;="&amp;'NSST Print'!$B$3,Investors!$J:$J,"&gt;"&amp;'NSST Print'!$B$3,Investors!$A:$A,'Investor Exit List'!$A318,Investors!$E:$E,'Investor Exit List'!$C318,Investors!$L:$L,'Investor Exit List'!$B318)+SUMIFS(Investors!$M:$M,Investors!$I:$I,"&lt;="&amp;'NSST Print'!$B$3,Investors!$J:$J,"",Investors!$A:$A,'Investor Exit List'!$A318,Investors!$E:$E,'Investor Exit List'!$C318,Investors!$L:$L,'Investor Exit List'!$B318))</f>
        <v/>
      </c>
      <c r="G318" s="99" t="n">
        <v>44777</v>
      </c>
      <c r="H318" s="97" t="b">
        <v>1</v>
      </c>
      <c r="I318" s="97" t="b">
        <v>0</v>
      </c>
      <c r="J318" s="99" t="n">
        <v>45552</v>
      </c>
      <c r="K318" s="99">
        <f>IF(I318=TRUE,J318,"")</f>
        <v/>
      </c>
      <c r="L318" s="99">
        <f>G318+730</f>
        <v/>
      </c>
      <c r="M318" s="99" t="n">
        <v>45382</v>
      </c>
      <c r="N318" s="100">
        <f>IFERROR(IF(G318&lt;&gt;"",IF(I318=TRUE,0,IF(U318=TRUE,0,L318-M318)),0),0)</f>
        <v/>
      </c>
      <c r="O318" s="100">
        <f>IF(N318&gt;0,IF(N318&lt;=180,N318,0),0)</f>
        <v/>
      </c>
      <c r="P318" s="98">
        <f>IF(AND(N318&lt;90,N318&gt;0),Q318,0)</f>
        <v/>
      </c>
      <c r="Q318" s="98">
        <f>SUMIFS(Investors!$M:$M,Investors!$O:$O,FALSE,Investors!$P:$P,FALSE,Investors!$K:$K,"&gt;"&amp;'NSST Print'!$B$3,Investors!$I:$I,"&lt;="&amp;'NSST Print'!$B$3,Investors!$A:$A,'Investor Exit List'!$A318,Investors!$E:$E,'Investor Exit List'!$C318,Investors!$L:$L,'Investor Exit List'!$B318)-(SUMIFS(Investors!$M:$M,Investors!$I:$I,"&lt;="&amp;'NSST Print'!$B$3,Investors!$J:$J,"&gt;"&amp;'NSST Print'!$B$3,Investors!$A:$A,'Investor Exit List'!$A318,Investors!$E:$E,'Investor Exit List'!$C318,Investors!$L:$L,'Investor Exit List'!$B318)+SUMIFS(Investors!$M:$M,Investors!$I:$I,"&lt;="&amp;'NSST Print'!$B$3,Investors!$J:$J,"",Investors!$A:$A,'Investor Exit List'!$A318,Investors!$E:$E,'Investor Exit List'!$C318,Investors!$L:$L,'Investor Exit List'!$B318))+SUMIFS(Investors!$S:$S,Investors!$O:$O,FALSE,Investors!$P:$P,FALSE,Investors!$K:$K,"&gt;"&amp;'NSST Print'!$B$3,Investors!$I:$I,"&lt;="&amp;'NSST Print'!$B$3,Investors!$A:$A,'Investor Exit List'!$A318,Investors!$E:$E,'Investor Exit List'!$C318,Investors!$L:$L,'Investor Exit List'!$B318)-(SUMIFS(Investors!$S:$S,Investors!$I:$I,"&lt;="&amp;'NSST Print'!$B$3,Investors!$J:$J,"&gt;"&amp;'NSST Print'!$B$3,Investors!$A:$A,'Investor Exit List'!$A318,Investors!$E:$E,'Investor Exit List'!$C318,Investors!$L:$L,'Investor Exit List'!$B318)+SUMIFS(Investors!$S:$S,Investors!$I:$I,"&lt;="&amp;'NSST Print'!$B$3,Investors!$J:$J,"",Investors!$A:$A,'Investor Exit List'!$A318,Investors!$E:$E,'Investor Exit List'!$C318,Investors!$L:$L,'Investor Exit List'!$B318))</f>
        <v/>
      </c>
      <c r="R318" s="98">
        <f>IF(AND(H318=TRUE,I318=FALSE),Q318,0)</f>
        <v/>
      </c>
      <c r="S318" s="98">
        <f>SUMIFS(Investors!$M:$M,Investors!$O:$O,TRUE,Investors!$A:$A,'Investor Exit List'!$A318,Investors!$E:$E,'Investor Exit List'!$C318,Investors!$L:$L,'Investor Exit List'!$B318)+SUMIFS(Investors!$S:$S,Investors!$O:$O,TRUE,Investors!$A:$A,'Investor Exit List'!$A318,Investors!$E:$E,'Investor Exit List'!$C318,Investors!$L:$L,'Investor Exit List'!$B318)</f>
        <v/>
      </c>
      <c r="T318" s="99">
        <f>IF(U318=TRUE,$J318,"")</f>
        <v/>
      </c>
      <c r="U318" s="97" t="b">
        <v>0</v>
      </c>
      <c r="V318" s="98">
        <f>IF(AND(H318=TRUE,OR(K318="",K318&gt;M318)),S318,0)</f>
        <v/>
      </c>
      <c r="W318" s="97" t="n">
        <v>0</v>
      </c>
      <c r="X318" s="97" t="b">
        <v>0</v>
      </c>
    </row>
    <row r="319">
      <c r="A319" s="93" t="inlineStr">
        <is>
          <t>ZKUS03</t>
        </is>
      </c>
      <c r="B319" s="93" t="n">
        <v>3</v>
      </c>
      <c r="C319" s="93" t="inlineStr">
        <is>
          <t>HVJ102</t>
        </is>
      </c>
      <c r="D319" s="93" t="inlineStr">
        <is>
          <t>J</t>
        </is>
      </c>
      <c r="E319" s="93" t="inlineStr">
        <is>
          <t>Kuster Joanne Tracy</t>
        </is>
      </c>
      <c r="F319" s="94">
        <f>SUMIFS(Investors!$M:$M,Investors!$O:$O,FALSE,Investors!$P:$P,FALSE,Investors!$K:$K,"&gt;"&amp;'NSST Print'!$B$3,Investors!$I:$I,"&lt;="&amp;'NSST Print'!$B$3,Investors!$A:$A,'Investor Exit List'!$A319,Investors!$E:$E,'Investor Exit List'!$C319,Investors!$L:$L,'Investor Exit List'!$B319)-(SUMIFS(Investors!$M:$M,Investors!$I:$I,"&lt;="&amp;'NSST Print'!$B$3,Investors!$J:$J,"&gt;"&amp;'NSST Print'!$B$3,Investors!$A:$A,'Investor Exit List'!$A319,Investors!$E:$E,'Investor Exit List'!$C319,Investors!$L:$L,'Investor Exit List'!$B319)+SUMIFS(Investors!$M:$M,Investors!$I:$I,"&lt;="&amp;'NSST Print'!$B$3,Investors!$J:$J,"",Investors!$A:$A,'Investor Exit List'!$A319,Investors!$E:$E,'Investor Exit List'!$C319,Investors!$L:$L,'Investor Exit List'!$B319))</f>
        <v/>
      </c>
      <c r="G319" s="95" t="n">
        <v>44743</v>
      </c>
      <c r="H319" s="93" t="b">
        <v>0</v>
      </c>
      <c r="I319" s="93" t="b">
        <v>0</v>
      </c>
      <c r="J319" s="95" t="n">
        <v>45552</v>
      </c>
      <c r="K319" s="95">
        <f>IF(I319=TRUE,J319,"")</f>
        <v/>
      </c>
      <c r="L319" s="95">
        <f>G319+730</f>
        <v/>
      </c>
      <c r="M319" s="95" t="n">
        <v>45382</v>
      </c>
      <c r="N319" s="96">
        <f>IFERROR(IF(G319&lt;&gt;"",IF(I319=TRUE,0,IF(U319=TRUE,0,L319-M319)),0),0)</f>
        <v/>
      </c>
      <c r="O319" s="96">
        <f>IF(N319&gt;0,IF(N319&lt;=180,N319,0),0)</f>
        <v/>
      </c>
      <c r="P319" s="94">
        <f>IF(AND(N319&lt;90,N319&gt;0),Q319,0)</f>
        <v/>
      </c>
      <c r="Q319" s="94">
        <f>SUMIFS(Investors!$M:$M,Investors!$O:$O,FALSE,Investors!$P:$P,FALSE,Investors!$K:$K,"&gt;"&amp;'NSST Print'!$B$3,Investors!$I:$I,"&lt;="&amp;'NSST Print'!$B$3,Investors!$A:$A,'Investor Exit List'!$A319,Investors!$E:$E,'Investor Exit List'!$C319,Investors!$L:$L,'Investor Exit List'!$B319)-(SUMIFS(Investors!$M:$M,Investors!$I:$I,"&lt;="&amp;'NSST Print'!$B$3,Investors!$J:$J,"&gt;"&amp;'NSST Print'!$B$3,Investors!$A:$A,'Investor Exit List'!$A319,Investors!$E:$E,'Investor Exit List'!$C319,Investors!$L:$L,'Investor Exit List'!$B319)+SUMIFS(Investors!$M:$M,Investors!$I:$I,"&lt;="&amp;'NSST Print'!$B$3,Investors!$J:$J,"",Investors!$A:$A,'Investor Exit List'!$A319,Investors!$E:$E,'Investor Exit List'!$C319,Investors!$L:$L,'Investor Exit List'!$B319))+SUMIFS(Investors!$S:$S,Investors!$O:$O,FALSE,Investors!$P:$P,FALSE,Investors!$K:$K,"&gt;"&amp;'NSST Print'!$B$3,Investors!$I:$I,"&lt;="&amp;'NSST Print'!$B$3,Investors!$A:$A,'Investor Exit List'!$A319,Investors!$E:$E,'Investor Exit List'!$C319,Investors!$L:$L,'Investor Exit List'!$B319)-(SUMIFS(Investors!$S:$S,Investors!$I:$I,"&lt;="&amp;'NSST Print'!$B$3,Investors!$J:$J,"&gt;"&amp;'NSST Print'!$B$3,Investors!$A:$A,'Investor Exit List'!$A319,Investors!$E:$E,'Investor Exit List'!$C319,Investors!$L:$L,'Investor Exit List'!$B319)+SUMIFS(Investors!$S:$S,Investors!$I:$I,"&lt;="&amp;'NSST Print'!$B$3,Investors!$J:$J,"",Investors!$A:$A,'Investor Exit List'!$A319,Investors!$E:$E,'Investor Exit List'!$C319,Investors!$L:$L,'Investor Exit List'!$B319))</f>
        <v/>
      </c>
      <c r="R319" s="94">
        <f>IF(AND(H319=TRUE,I319=FALSE),Q319,0)</f>
        <v/>
      </c>
      <c r="S319" s="94">
        <f>SUMIFS(Investors!$M:$M,Investors!$O:$O,TRUE,Investors!$A:$A,'Investor Exit List'!$A319,Investors!$E:$E,'Investor Exit List'!$C319,Investors!$L:$L,'Investor Exit List'!$B319)+SUMIFS(Investors!$S:$S,Investors!$O:$O,TRUE,Investors!$A:$A,'Investor Exit List'!$A319,Investors!$E:$E,'Investor Exit List'!$C319,Investors!$L:$L,'Investor Exit List'!$B319)</f>
        <v/>
      </c>
      <c r="T319" s="95">
        <f>IF(U319=TRUE,$J319,"")</f>
        <v/>
      </c>
      <c r="U319" s="93" t="b">
        <v>0</v>
      </c>
      <c r="V319" s="94">
        <f>IF(AND(H319=TRUE,OR(K319="",K319&gt;M319)),S319,0)</f>
        <v/>
      </c>
      <c r="W319" s="93" t="n">
        <v>0</v>
      </c>
      <c r="X319" s="93" t="b">
        <v>0</v>
      </c>
    </row>
    <row r="320">
      <c r="A320" s="93" t="inlineStr">
        <is>
          <t>ZMCD02</t>
        </is>
      </c>
      <c r="B320" s="93" t="n">
        <v>3</v>
      </c>
      <c r="C320" s="93" t="inlineStr">
        <is>
          <t>HVJ102</t>
        </is>
      </c>
      <c r="D320" s="93" t="inlineStr">
        <is>
          <t>J</t>
        </is>
      </c>
      <c r="E320" s="93" t="inlineStr">
        <is>
          <t>McDonald Andre (Josias Andreas)</t>
        </is>
      </c>
      <c r="F320" s="94">
        <f>SUMIFS(Investors!$M:$M,Investors!$O:$O,FALSE,Investors!$P:$P,FALSE,Investors!$K:$K,"&gt;"&amp;'NSST Print'!$B$3,Investors!$I:$I,"&lt;="&amp;'NSST Print'!$B$3,Investors!$A:$A,'Investor Exit List'!$A320,Investors!$E:$E,'Investor Exit List'!$C320,Investors!$L:$L,'Investor Exit List'!$B320)-(SUMIFS(Investors!$M:$M,Investors!$I:$I,"&lt;="&amp;'NSST Print'!$B$3,Investors!$J:$J,"&gt;"&amp;'NSST Print'!$B$3,Investors!$A:$A,'Investor Exit List'!$A320,Investors!$E:$E,'Investor Exit List'!$C320,Investors!$L:$L,'Investor Exit List'!$B320)+SUMIFS(Investors!$M:$M,Investors!$I:$I,"&lt;="&amp;'NSST Print'!$B$3,Investors!$J:$J,"",Investors!$A:$A,'Investor Exit List'!$A320,Investors!$E:$E,'Investor Exit List'!$C320,Investors!$L:$L,'Investor Exit List'!$B320))</f>
        <v/>
      </c>
      <c r="G320" s="95" t="n">
        <v>44743</v>
      </c>
      <c r="H320" s="93" t="b">
        <v>0</v>
      </c>
      <c r="I320" s="93" t="b">
        <v>0</v>
      </c>
      <c r="J320" s="95" t="n">
        <v>45552</v>
      </c>
      <c r="K320" s="95">
        <f>IF(I320=TRUE,J320,"")</f>
        <v/>
      </c>
      <c r="L320" s="95">
        <f>G320+730</f>
        <v/>
      </c>
      <c r="M320" s="95" t="n">
        <v>45382</v>
      </c>
      <c r="N320" s="96">
        <f>IFERROR(IF(G320&lt;&gt;"",IF(I320=TRUE,0,IF(U320=TRUE,0,L320-M320)),0),0)</f>
        <v/>
      </c>
      <c r="O320" s="96">
        <f>IF(N320&gt;0,IF(N320&lt;=180,N320,0),0)</f>
        <v/>
      </c>
      <c r="P320" s="94">
        <f>IF(AND(N320&lt;90,N320&gt;0),Q320,0)</f>
        <v/>
      </c>
      <c r="Q320" s="94">
        <f>SUMIFS(Investors!$M:$M,Investors!$O:$O,FALSE,Investors!$P:$P,FALSE,Investors!$K:$K,"&gt;"&amp;'NSST Print'!$B$3,Investors!$I:$I,"&lt;="&amp;'NSST Print'!$B$3,Investors!$A:$A,'Investor Exit List'!$A320,Investors!$E:$E,'Investor Exit List'!$C320,Investors!$L:$L,'Investor Exit List'!$B320)-(SUMIFS(Investors!$M:$M,Investors!$I:$I,"&lt;="&amp;'NSST Print'!$B$3,Investors!$J:$J,"&gt;"&amp;'NSST Print'!$B$3,Investors!$A:$A,'Investor Exit List'!$A320,Investors!$E:$E,'Investor Exit List'!$C320,Investors!$L:$L,'Investor Exit List'!$B320)+SUMIFS(Investors!$M:$M,Investors!$I:$I,"&lt;="&amp;'NSST Print'!$B$3,Investors!$J:$J,"",Investors!$A:$A,'Investor Exit List'!$A320,Investors!$E:$E,'Investor Exit List'!$C320,Investors!$L:$L,'Investor Exit List'!$B320))+SUMIFS(Investors!$S:$S,Investors!$O:$O,FALSE,Investors!$P:$P,FALSE,Investors!$K:$K,"&gt;"&amp;'NSST Print'!$B$3,Investors!$I:$I,"&lt;="&amp;'NSST Print'!$B$3,Investors!$A:$A,'Investor Exit List'!$A320,Investors!$E:$E,'Investor Exit List'!$C320,Investors!$L:$L,'Investor Exit List'!$B320)-(SUMIFS(Investors!$S:$S,Investors!$I:$I,"&lt;="&amp;'NSST Print'!$B$3,Investors!$J:$J,"&gt;"&amp;'NSST Print'!$B$3,Investors!$A:$A,'Investor Exit List'!$A320,Investors!$E:$E,'Investor Exit List'!$C320,Investors!$L:$L,'Investor Exit List'!$B320)+SUMIFS(Investors!$S:$S,Investors!$I:$I,"&lt;="&amp;'NSST Print'!$B$3,Investors!$J:$J,"",Investors!$A:$A,'Investor Exit List'!$A320,Investors!$E:$E,'Investor Exit List'!$C320,Investors!$L:$L,'Investor Exit List'!$B320))</f>
        <v/>
      </c>
      <c r="R320" s="94">
        <f>IF(AND(H320=TRUE,I320=FALSE),Q320,0)</f>
        <v/>
      </c>
      <c r="S320" s="94">
        <f>SUMIFS(Investors!$M:$M,Investors!$O:$O,TRUE,Investors!$A:$A,'Investor Exit List'!$A320,Investors!$E:$E,'Investor Exit List'!$C320,Investors!$L:$L,'Investor Exit List'!$B320)+SUMIFS(Investors!$S:$S,Investors!$O:$O,TRUE,Investors!$A:$A,'Investor Exit List'!$A320,Investors!$E:$E,'Investor Exit List'!$C320,Investors!$L:$L,'Investor Exit List'!$B320)</f>
        <v/>
      </c>
      <c r="T320" s="95">
        <f>IF(U320=TRUE,$J320,"")</f>
        <v/>
      </c>
      <c r="U320" s="93" t="b">
        <v>0</v>
      </c>
      <c r="V320" s="94">
        <f>IF(AND(H320=TRUE,OR(K320="",K320&gt;M320)),S320,0)</f>
        <v/>
      </c>
      <c r="W320" s="93" t="n">
        <v>0</v>
      </c>
      <c r="X320" s="93" t="b">
        <v>0</v>
      </c>
    </row>
    <row r="321">
      <c r="A321" s="93" t="inlineStr">
        <is>
          <t>ZSCH01</t>
        </is>
      </c>
      <c r="B321" s="93" t="n">
        <v>14</v>
      </c>
      <c r="C321" s="93" t="inlineStr">
        <is>
          <t>HVJ102</t>
        </is>
      </c>
      <c r="D321" s="93" t="inlineStr">
        <is>
          <t>J</t>
        </is>
      </c>
      <c r="E321" s="93" t="inlineStr">
        <is>
          <t>Schubert Inge</t>
        </is>
      </c>
      <c r="F321" s="94">
        <f>SUMIFS(Investors!$M:$M,Investors!$O:$O,FALSE,Investors!$P:$P,FALSE,Investors!$K:$K,"&gt;"&amp;'NSST Print'!$B$3,Investors!$I:$I,"&lt;="&amp;'NSST Print'!$B$3,Investors!$A:$A,'Investor Exit List'!$A321,Investors!$E:$E,'Investor Exit List'!$C321,Investors!$L:$L,'Investor Exit List'!$B321)-(SUMIFS(Investors!$M:$M,Investors!$I:$I,"&lt;="&amp;'NSST Print'!$B$3,Investors!$J:$J,"&gt;"&amp;'NSST Print'!$B$3,Investors!$A:$A,'Investor Exit List'!$A321,Investors!$E:$E,'Investor Exit List'!$C321,Investors!$L:$L,'Investor Exit List'!$B321)+SUMIFS(Investors!$M:$M,Investors!$I:$I,"&lt;="&amp;'NSST Print'!$B$3,Investors!$J:$J,"",Investors!$A:$A,'Investor Exit List'!$A321,Investors!$E:$E,'Investor Exit List'!$C321,Investors!$L:$L,'Investor Exit List'!$B321))</f>
        <v/>
      </c>
      <c r="G321" s="95" t="n">
        <v>44757</v>
      </c>
      <c r="H321" s="93" t="b">
        <v>0</v>
      </c>
      <c r="I321" s="93" t="b">
        <v>0</v>
      </c>
      <c r="J321" s="95" t="n">
        <v>45552</v>
      </c>
      <c r="K321" s="95">
        <f>IF(I321=TRUE,J321,"")</f>
        <v/>
      </c>
      <c r="L321" s="95">
        <f>G321+730</f>
        <v/>
      </c>
      <c r="M321" s="95" t="n">
        <v>45382</v>
      </c>
      <c r="N321" s="96">
        <f>IFERROR(IF(G321&lt;&gt;"",IF(I321=TRUE,0,IF(U321=TRUE,0,L321-M321)),0),0)</f>
        <v/>
      </c>
      <c r="O321" s="96">
        <f>IF(N321&gt;0,IF(N321&lt;=180,N321,0),0)</f>
        <v/>
      </c>
      <c r="P321" s="94">
        <f>IF(AND(N321&lt;90,N321&gt;0),Q321,0)</f>
        <v/>
      </c>
      <c r="Q321" s="94">
        <f>SUMIFS(Investors!$M:$M,Investors!$O:$O,FALSE,Investors!$P:$P,FALSE,Investors!$K:$K,"&gt;"&amp;'NSST Print'!$B$3,Investors!$I:$I,"&lt;="&amp;'NSST Print'!$B$3,Investors!$A:$A,'Investor Exit List'!$A321,Investors!$E:$E,'Investor Exit List'!$C321,Investors!$L:$L,'Investor Exit List'!$B321)-(SUMIFS(Investors!$M:$M,Investors!$I:$I,"&lt;="&amp;'NSST Print'!$B$3,Investors!$J:$J,"&gt;"&amp;'NSST Print'!$B$3,Investors!$A:$A,'Investor Exit List'!$A321,Investors!$E:$E,'Investor Exit List'!$C321,Investors!$L:$L,'Investor Exit List'!$B321)+SUMIFS(Investors!$M:$M,Investors!$I:$I,"&lt;="&amp;'NSST Print'!$B$3,Investors!$J:$J,"",Investors!$A:$A,'Investor Exit List'!$A321,Investors!$E:$E,'Investor Exit List'!$C321,Investors!$L:$L,'Investor Exit List'!$B321))+SUMIFS(Investors!$S:$S,Investors!$O:$O,FALSE,Investors!$P:$P,FALSE,Investors!$K:$K,"&gt;"&amp;'NSST Print'!$B$3,Investors!$I:$I,"&lt;="&amp;'NSST Print'!$B$3,Investors!$A:$A,'Investor Exit List'!$A321,Investors!$E:$E,'Investor Exit List'!$C321,Investors!$L:$L,'Investor Exit List'!$B321)-(SUMIFS(Investors!$S:$S,Investors!$I:$I,"&lt;="&amp;'NSST Print'!$B$3,Investors!$J:$J,"&gt;"&amp;'NSST Print'!$B$3,Investors!$A:$A,'Investor Exit List'!$A321,Investors!$E:$E,'Investor Exit List'!$C321,Investors!$L:$L,'Investor Exit List'!$B321)+SUMIFS(Investors!$S:$S,Investors!$I:$I,"&lt;="&amp;'NSST Print'!$B$3,Investors!$J:$J,"",Investors!$A:$A,'Investor Exit List'!$A321,Investors!$E:$E,'Investor Exit List'!$C321,Investors!$L:$L,'Investor Exit List'!$B321))</f>
        <v/>
      </c>
      <c r="R321" s="94">
        <f>IF(AND(H321=TRUE,I321=FALSE),Q321,0)</f>
        <v/>
      </c>
      <c r="S321" s="94">
        <f>SUMIFS(Investors!$M:$M,Investors!$O:$O,TRUE,Investors!$A:$A,'Investor Exit List'!$A321,Investors!$E:$E,'Investor Exit List'!$C321,Investors!$L:$L,'Investor Exit List'!$B321)+SUMIFS(Investors!$S:$S,Investors!$O:$O,TRUE,Investors!$A:$A,'Investor Exit List'!$A321,Investors!$E:$E,'Investor Exit List'!$C321,Investors!$L:$L,'Investor Exit List'!$B321)</f>
        <v/>
      </c>
      <c r="T321" s="95">
        <f>IF(U321=TRUE,$J321,"")</f>
        <v/>
      </c>
      <c r="U321" s="93" t="b">
        <v>0</v>
      </c>
      <c r="V321" s="94">
        <f>IF(AND(H321=TRUE,OR(K321="",K321&gt;M321)),S321,0)</f>
        <v/>
      </c>
      <c r="W321" s="93" t="n">
        <v>0</v>
      </c>
      <c r="X321" s="93" t="b">
        <v>0</v>
      </c>
    </row>
    <row r="322">
      <c r="A322" s="93" t="inlineStr">
        <is>
          <t>ZWAL02</t>
        </is>
      </c>
      <c r="B322" s="93" t="n">
        <v>3</v>
      </c>
      <c r="C322" s="93" t="inlineStr">
        <is>
          <t>HVJ102</t>
        </is>
      </c>
      <c r="D322" s="93" t="inlineStr">
        <is>
          <t>J</t>
        </is>
      </c>
      <c r="E322" s="93" t="inlineStr">
        <is>
          <t>Wallander Johann</t>
        </is>
      </c>
      <c r="F322" s="94">
        <f>SUMIFS(Investors!$M:$M,Investors!$O:$O,FALSE,Investors!$P:$P,FALSE,Investors!$K:$K,"&gt;"&amp;'NSST Print'!$B$3,Investors!$I:$I,"&lt;="&amp;'NSST Print'!$B$3,Investors!$A:$A,'Investor Exit List'!$A322,Investors!$E:$E,'Investor Exit List'!$C322,Investors!$L:$L,'Investor Exit List'!$B322)-(SUMIFS(Investors!$M:$M,Investors!$I:$I,"&lt;="&amp;'NSST Print'!$B$3,Investors!$J:$J,"&gt;"&amp;'NSST Print'!$B$3,Investors!$A:$A,'Investor Exit List'!$A322,Investors!$E:$E,'Investor Exit List'!$C322,Investors!$L:$L,'Investor Exit List'!$B322)+SUMIFS(Investors!$M:$M,Investors!$I:$I,"&lt;="&amp;'NSST Print'!$B$3,Investors!$J:$J,"",Investors!$A:$A,'Investor Exit List'!$A322,Investors!$E:$E,'Investor Exit List'!$C322,Investors!$L:$L,'Investor Exit List'!$B322))</f>
        <v/>
      </c>
      <c r="G322" s="95" t="n">
        <v>44903</v>
      </c>
      <c r="H322" s="93" t="b">
        <v>0</v>
      </c>
      <c r="I322" s="93" t="b">
        <v>0</v>
      </c>
      <c r="J322" s="95" t="n">
        <v>45552</v>
      </c>
      <c r="K322" s="95">
        <f>IF(I322=TRUE,J322,"")</f>
        <v/>
      </c>
      <c r="L322" s="95">
        <f>G322+730</f>
        <v/>
      </c>
      <c r="M322" s="95" t="n">
        <v>45382</v>
      </c>
      <c r="N322" s="96">
        <f>IFERROR(IF(G322&lt;&gt;"",IF(I322=TRUE,0,IF(U322=TRUE,0,L322-M322)),0),0)</f>
        <v/>
      </c>
      <c r="O322" s="96">
        <f>IF(N322&gt;0,IF(N322&lt;=180,N322,0),0)</f>
        <v/>
      </c>
      <c r="P322" s="94">
        <f>IF(AND(N322&lt;90,N322&gt;0),Q322,0)</f>
        <v/>
      </c>
      <c r="Q322" s="94">
        <f>SUMIFS(Investors!$M:$M,Investors!$O:$O,FALSE,Investors!$P:$P,FALSE,Investors!$K:$K,"&gt;"&amp;'NSST Print'!$B$3,Investors!$I:$I,"&lt;="&amp;'NSST Print'!$B$3,Investors!$A:$A,'Investor Exit List'!$A322,Investors!$E:$E,'Investor Exit List'!$C322,Investors!$L:$L,'Investor Exit List'!$B322)-(SUMIFS(Investors!$M:$M,Investors!$I:$I,"&lt;="&amp;'NSST Print'!$B$3,Investors!$J:$J,"&gt;"&amp;'NSST Print'!$B$3,Investors!$A:$A,'Investor Exit List'!$A322,Investors!$E:$E,'Investor Exit List'!$C322,Investors!$L:$L,'Investor Exit List'!$B322)+SUMIFS(Investors!$M:$M,Investors!$I:$I,"&lt;="&amp;'NSST Print'!$B$3,Investors!$J:$J,"",Investors!$A:$A,'Investor Exit List'!$A322,Investors!$E:$E,'Investor Exit List'!$C322,Investors!$L:$L,'Investor Exit List'!$B322))+SUMIFS(Investors!$S:$S,Investors!$O:$O,FALSE,Investors!$P:$P,FALSE,Investors!$K:$K,"&gt;"&amp;'NSST Print'!$B$3,Investors!$I:$I,"&lt;="&amp;'NSST Print'!$B$3,Investors!$A:$A,'Investor Exit List'!$A322,Investors!$E:$E,'Investor Exit List'!$C322,Investors!$L:$L,'Investor Exit List'!$B322)-(SUMIFS(Investors!$S:$S,Investors!$I:$I,"&lt;="&amp;'NSST Print'!$B$3,Investors!$J:$J,"&gt;"&amp;'NSST Print'!$B$3,Investors!$A:$A,'Investor Exit List'!$A322,Investors!$E:$E,'Investor Exit List'!$C322,Investors!$L:$L,'Investor Exit List'!$B322)+SUMIFS(Investors!$S:$S,Investors!$I:$I,"&lt;="&amp;'NSST Print'!$B$3,Investors!$J:$J,"",Investors!$A:$A,'Investor Exit List'!$A322,Investors!$E:$E,'Investor Exit List'!$C322,Investors!$L:$L,'Investor Exit List'!$B322))</f>
        <v/>
      </c>
      <c r="R322" s="94">
        <f>IF(AND(H322=TRUE,I322=FALSE),Q322,0)</f>
        <v/>
      </c>
      <c r="S322" s="94">
        <f>SUMIFS(Investors!$M:$M,Investors!$O:$O,TRUE,Investors!$A:$A,'Investor Exit List'!$A322,Investors!$E:$E,'Investor Exit List'!$C322,Investors!$L:$L,'Investor Exit List'!$B322)+SUMIFS(Investors!$S:$S,Investors!$O:$O,TRUE,Investors!$A:$A,'Investor Exit List'!$A322,Investors!$E:$E,'Investor Exit List'!$C322,Investors!$L:$L,'Investor Exit List'!$B322)</f>
        <v/>
      </c>
      <c r="T322" s="95">
        <f>IF(U322=TRUE,$J322,"")</f>
        <v/>
      </c>
      <c r="U322" s="93" t="b">
        <v>0</v>
      </c>
      <c r="V322" s="94">
        <f>IF(AND(H322=TRUE,OR(K322="",K322&gt;M322)),S322,0)</f>
        <v/>
      </c>
      <c r="W322" s="93" t="n">
        <v>0</v>
      </c>
      <c r="X322" s="93" t="b">
        <v>0</v>
      </c>
    </row>
    <row r="323">
      <c r="A323" s="93" t="inlineStr">
        <is>
          <t>ZDIC01</t>
        </is>
      </c>
      <c r="B323" s="93" t="n">
        <v>10</v>
      </c>
      <c r="C323" s="93" t="inlineStr">
        <is>
          <t>HVJ103</t>
        </is>
      </c>
      <c r="D323" s="93" t="inlineStr">
        <is>
          <t>J</t>
        </is>
      </c>
      <c r="E323" s="93" t="inlineStr">
        <is>
          <t>Dickinson Grant Allan</t>
        </is>
      </c>
      <c r="F323" s="94">
        <f>SUMIFS(Investors!$M:$M,Investors!$O:$O,FALSE,Investors!$P:$P,FALSE,Investors!$K:$K,"&gt;"&amp;'NSST Print'!$B$3,Investors!$I:$I,"&lt;="&amp;'NSST Print'!$B$3,Investors!$A:$A,'Investor Exit List'!$A323,Investors!$E:$E,'Investor Exit List'!$C323,Investors!$L:$L,'Investor Exit List'!$B323)-(SUMIFS(Investors!$M:$M,Investors!$I:$I,"&lt;="&amp;'NSST Print'!$B$3,Investors!$J:$J,"&gt;"&amp;'NSST Print'!$B$3,Investors!$A:$A,'Investor Exit List'!$A323,Investors!$E:$E,'Investor Exit List'!$C323,Investors!$L:$L,'Investor Exit List'!$B323)+SUMIFS(Investors!$M:$M,Investors!$I:$I,"&lt;="&amp;'NSST Print'!$B$3,Investors!$J:$J,"",Investors!$A:$A,'Investor Exit List'!$A323,Investors!$E:$E,'Investor Exit List'!$C323,Investors!$L:$L,'Investor Exit List'!$B323))</f>
        <v/>
      </c>
      <c r="G323" s="95" t="n">
        <v>44783</v>
      </c>
      <c r="H323" s="93" t="b">
        <v>0</v>
      </c>
      <c r="I323" s="93" t="b">
        <v>0</v>
      </c>
      <c r="J323" s="95" t="n">
        <v>45552</v>
      </c>
      <c r="K323" s="95">
        <f>IF(I323=TRUE,J323,"")</f>
        <v/>
      </c>
      <c r="L323" s="95">
        <f>G323+730</f>
        <v/>
      </c>
      <c r="M323" s="95" t="n">
        <v>45382</v>
      </c>
      <c r="N323" s="96">
        <f>IFERROR(IF(G323&lt;&gt;"",IF(I323=TRUE,0,IF(U323=TRUE,0,L323-M323)),0),0)</f>
        <v/>
      </c>
      <c r="O323" s="96">
        <f>IF(N323&gt;0,IF(N323&lt;=180,N323,0),0)</f>
        <v/>
      </c>
      <c r="P323" s="94">
        <f>IF(AND(N323&lt;90,N323&gt;0),Q323,0)</f>
        <v/>
      </c>
      <c r="Q323" s="94">
        <f>SUMIFS(Investors!$M:$M,Investors!$O:$O,FALSE,Investors!$P:$P,FALSE,Investors!$K:$K,"&gt;"&amp;'NSST Print'!$B$3,Investors!$I:$I,"&lt;="&amp;'NSST Print'!$B$3,Investors!$A:$A,'Investor Exit List'!$A323,Investors!$E:$E,'Investor Exit List'!$C323,Investors!$L:$L,'Investor Exit List'!$B323)-(SUMIFS(Investors!$M:$M,Investors!$I:$I,"&lt;="&amp;'NSST Print'!$B$3,Investors!$J:$J,"&gt;"&amp;'NSST Print'!$B$3,Investors!$A:$A,'Investor Exit List'!$A323,Investors!$E:$E,'Investor Exit List'!$C323,Investors!$L:$L,'Investor Exit List'!$B323)+SUMIFS(Investors!$M:$M,Investors!$I:$I,"&lt;="&amp;'NSST Print'!$B$3,Investors!$J:$J,"",Investors!$A:$A,'Investor Exit List'!$A323,Investors!$E:$E,'Investor Exit List'!$C323,Investors!$L:$L,'Investor Exit List'!$B323))+SUMIFS(Investors!$S:$S,Investors!$O:$O,FALSE,Investors!$P:$P,FALSE,Investors!$K:$K,"&gt;"&amp;'NSST Print'!$B$3,Investors!$I:$I,"&lt;="&amp;'NSST Print'!$B$3,Investors!$A:$A,'Investor Exit List'!$A323,Investors!$E:$E,'Investor Exit List'!$C323,Investors!$L:$L,'Investor Exit List'!$B323)-(SUMIFS(Investors!$S:$S,Investors!$I:$I,"&lt;="&amp;'NSST Print'!$B$3,Investors!$J:$J,"&gt;"&amp;'NSST Print'!$B$3,Investors!$A:$A,'Investor Exit List'!$A323,Investors!$E:$E,'Investor Exit List'!$C323,Investors!$L:$L,'Investor Exit List'!$B323)+SUMIFS(Investors!$S:$S,Investors!$I:$I,"&lt;="&amp;'NSST Print'!$B$3,Investors!$J:$J,"",Investors!$A:$A,'Investor Exit List'!$A323,Investors!$E:$E,'Investor Exit List'!$C323,Investors!$L:$L,'Investor Exit List'!$B323))</f>
        <v/>
      </c>
      <c r="R323" s="94">
        <f>IF(AND(H323=TRUE,I323=FALSE),Q323,0)</f>
        <v/>
      </c>
      <c r="S323" s="94">
        <f>SUMIFS(Investors!$M:$M,Investors!$O:$O,TRUE,Investors!$A:$A,'Investor Exit List'!$A323,Investors!$E:$E,'Investor Exit List'!$C323,Investors!$L:$L,'Investor Exit List'!$B323)+SUMIFS(Investors!$S:$S,Investors!$O:$O,TRUE,Investors!$A:$A,'Investor Exit List'!$A323,Investors!$E:$E,'Investor Exit List'!$C323,Investors!$L:$L,'Investor Exit List'!$B323)</f>
        <v/>
      </c>
      <c r="T323" s="95">
        <f>IF(U323=TRUE,$J323,"")</f>
        <v/>
      </c>
      <c r="U323" s="93" t="b">
        <v>0</v>
      </c>
      <c r="V323" s="94">
        <f>IF(AND(H323=TRUE,OR(K323="",K323&gt;M323)),S323,0)</f>
        <v/>
      </c>
      <c r="W323" s="93" t="n">
        <v>0</v>
      </c>
      <c r="X323" s="93" t="b">
        <v>0</v>
      </c>
    </row>
    <row r="324">
      <c r="A324" s="93" t="inlineStr">
        <is>
          <t>ZJER01</t>
        </is>
      </c>
      <c r="B324" s="93" t="n">
        <v>3</v>
      </c>
      <c r="C324" s="93" t="inlineStr">
        <is>
          <t>HVJ103</t>
        </is>
      </c>
      <c r="D324" s="93" t="inlineStr">
        <is>
          <t>J</t>
        </is>
      </c>
      <c r="E324" s="93" t="inlineStr">
        <is>
          <t>Jere Towela Patricia Rosemarie</t>
        </is>
      </c>
      <c r="F324" s="94">
        <f>SUMIFS(Investors!$M:$M,Investors!$O:$O,FALSE,Investors!$P:$P,FALSE,Investors!$K:$K,"&gt;"&amp;'NSST Print'!$B$3,Investors!$I:$I,"&lt;="&amp;'NSST Print'!$B$3,Investors!$A:$A,'Investor Exit List'!$A324,Investors!$E:$E,'Investor Exit List'!$C324,Investors!$L:$L,'Investor Exit List'!$B324)-(SUMIFS(Investors!$M:$M,Investors!$I:$I,"&lt;="&amp;'NSST Print'!$B$3,Investors!$J:$J,"&gt;"&amp;'NSST Print'!$B$3,Investors!$A:$A,'Investor Exit List'!$A324,Investors!$E:$E,'Investor Exit List'!$C324,Investors!$L:$L,'Investor Exit List'!$B324)+SUMIFS(Investors!$M:$M,Investors!$I:$I,"&lt;="&amp;'NSST Print'!$B$3,Investors!$J:$J,"",Investors!$A:$A,'Investor Exit List'!$A324,Investors!$E:$E,'Investor Exit List'!$C324,Investors!$L:$L,'Investor Exit List'!$B324))</f>
        <v/>
      </c>
      <c r="G324" s="95" t="n">
        <v>44798</v>
      </c>
      <c r="H324" s="93" t="b">
        <v>0</v>
      </c>
      <c r="I324" s="93" t="b">
        <v>0</v>
      </c>
      <c r="J324" s="95" t="n">
        <v>45552</v>
      </c>
      <c r="K324" s="95">
        <f>IF(I324=TRUE,J324,"")</f>
        <v/>
      </c>
      <c r="L324" s="95">
        <f>G324+730</f>
        <v/>
      </c>
      <c r="M324" s="95" t="n">
        <v>45382</v>
      </c>
      <c r="N324" s="96">
        <f>IFERROR(IF(G324&lt;&gt;"",IF(I324=TRUE,0,IF(U324=TRUE,0,L324-M324)),0),0)</f>
        <v/>
      </c>
      <c r="O324" s="96">
        <f>IF(N324&gt;0,IF(N324&lt;=180,N324,0),0)</f>
        <v/>
      </c>
      <c r="P324" s="94">
        <f>IF(AND(N324&lt;90,N324&gt;0),Q324,0)</f>
        <v/>
      </c>
      <c r="Q324" s="94">
        <f>SUMIFS(Investors!$M:$M,Investors!$O:$O,FALSE,Investors!$P:$P,FALSE,Investors!$K:$K,"&gt;"&amp;'NSST Print'!$B$3,Investors!$I:$I,"&lt;="&amp;'NSST Print'!$B$3,Investors!$A:$A,'Investor Exit List'!$A324,Investors!$E:$E,'Investor Exit List'!$C324,Investors!$L:$L,'Investor Exit List'!$B324)-(SUMIFS(Investors!$M:$M,Investors!$I:$I,"&lt;="&amp;'NSST Print'!$B$3,Investors!$J:$J,"&gt;"&amp;'NSST Print'!$B$3,Investors!$A:$A,'Investor Exit List'!$A324,Investors!$E:$E,'Investor Exit List'!$C324,Investors!$L:$L,'Investor Exit List'!$B324)+SUMIFS(Investors!$M:$M,Investors!$I:$I,"&lt;="&amp;'NSST Print'!$B$3,Investors!$J:$J,"",Investors!$A:$A,'Investor Exit List'!$A324,Investors!$E:$E,'Investor Exit List'!$C324,Investors!$L:$L,'Investor Exit List'!$B324))+SUMIFS(Investors!$S:$S,Investors!$O:$O,FALSE,Investors!$P:$P,FALSE,Investors!$K:$K,"&gt;"&amp;'NSST Print'!$B$3,Investors!$I:$I,"&lt;="&amp;'NSST Print'!$B$3,Investors!$A:$A,'Investor Exit List'!$A324,Investors!$E:$E,'Investor Exit List'!$C324,Investors!$L:$L,'Investor Exit List'!$B324)-(SUMIFS(Investors!$S:$S,Investors!$I:$I,"&lt;="&amp;'NSST Print'!$B$3,Investors!$J:$J,"&gt;"&amp;'NSST Print'!$B$3,Investors!$A:$A,'Investor Exit List'!$A324,Investors!$E:$E,'Investor Exit List'!$C324,Investors!$L:$L,'Investor Exit List'!$B324)+SUMIFS(Investors!$S:$S,Investors!$I:$I,"&lt;="&amp;'NSST Print'!$B$3,Investors!$J:$J,"",Investors!$A:$A,'Investor Exit List'!$A324,Investors!$E:$E,'Investor Exit List'!$C324,Investors!$L:$L,'Investor Exit List'!$B324))</f>
        <v/>
      </c>
      <c r="R324" s="94">
        <f>IF(AND(H324=TRUE,I324=FALSE),Q324,0)</f>
        <v/>
      </c>
      <c r="S324" s="94">
        <f>SUMIFS(Investors!$M:$M,Investors!$O:$O,TRUE,Investors!$A:$A,'Investor Exit List'!$A324,Investors!$E:$E,'Investor Exit List'!$C324,Investors!$L:$L,'Investor Exit List'!$B324)+SUMIFS(Investors!$S:$S,Investors!$O:$O,TRUE,Investors!$A:$A,'Investor Exit List'!$A324,Investors!$E:$E,'Investor Exit List'!$C324,Investors!$L:$L,'Investor Exit List'!$B324)</f>
        <v/>
      </c>
      <c r="T324" s="95">
        <f>IF(U324=TRUE,$J324,"")</f>
        <v/>
      </c>
      <c r="U324" s="93" t="b">
        <v>0</v>
      </c>
      <c r="V324" s="94">
        <f>IF(AND(H324=TRUE,OR(K324="",K324&gt;M324)),S324,0)</f>
        <v/>
      </c>
      <c r="W324" s="93" t="n">
        <v>0</v>
      </c>
      <c r="X324" s="93" t="b">
        <v>0</v>
      </c>
    </row>
    <row r="325">
      <c r="A325" s="93" t="inlineStr">
        <is>
          <t>ZZYL05</t>
        </is>
      </c>
      <c r="B325" s="93" t="n">
        <v>1</v>
      </c>
      <c r="C325" s="93" t="inlineStr">
        <is>
          <t>HVJ103</t>
        </is>
      </c>
      <c r="D325" s="93" t="inlineStr">
        <is>
          <t>J</t>
        </is>
      </c>
      <c r="E325" s="93" t="inlineStr">
        <is>
          <t>Zylstra Diana Wendy</t>
        </is>
      </c>
      <c r="F325" s="94">
        <f>SUMIFS(Investors!$M:$M,Investors!$O:$O,FALSE,Investors!$P:$P,FALSE,Investors!$K:$K,"&gt;"&amp;'NSST Print'!$B$3,Investors!$I:$I,"&lt;="&amp;'NSST Print'!$B$3,Investors!$A:$A,'Investor Exit List'!$A325,Investors!$E:$E,'Investor Exit List'!$C325,Investors!$L:$L,'Investor Exit List'!$B325)-(SUMIFS(Investors!$M:$M,Investors!$I:$I,"&lt;="&amp;'NSST Print'!$B$3,Investors!$J:$J,"&gt;"&amp;'NSST Print'!$B$3,Investors!$A:$A,'Investor Exit List'!$A325,Investors!$E:$E,'Investor Exit List'!$C325,Investors!$L:$L,'Investor Exit List'!$B325)+SUMIFS(Investors!$M:$M,Investors!$I:$I,"&lt;="&amp;'NSST Print'!$B$3,Investors!$J:$J,"",Investors!$A:$A,'Investor Exit List'!$A325,Investors!$E:$E,'Investor Exit List'!$C325,Investors!$L:$L,'Investor Exit List'!$B325))</f>
        <v/>
      </c>
      <c r="G325" s="95" t="n">
        <v>44777</v>
      </c>
      <c r="H325" s="93" t="b">
        <v>0</v>
      </c>
      <c r="I325" s="93" t="b">
        <v>0</v>
      </c>
      <c r="J325" s="95" t="n">
        <v>45552</v>
      </c>
      <c r="K325" s="95">
        <f>IF(I325=TRUE,J325,"")</f>
        <v/>
      </c>
      <c r="L325" s="95">
        <f>G325+730</f>
        <v/>
      </c>
      <c r="M325" s="95" t="n">
        <v>45382</v>
      </c>
      <c r="N325" s="96">
        <f>IFERROR(IF(G325&lt;&gt;"",IF(I325=TRUE,0,IF(U325=TRUE,0,L325-M325)),0),0)</f>
        <v/>
      </c>
      <c r="O325" s="96">
        <f>IF(N325&gt;0,IF(N325&lt;=180,N325,0),0)</f>
        <v/>
      </c>
      <c r="P325" s="94">
        <f>IF(AND(N325&lt;90,N325&gt;0),Q325,0)</f>
        <v/>
      </c>
      <c r="Q325" s="94">
        <f>SUMIFS(Investors!$M:$M,Investors!$O:$O,FALSE,Investors!$P:$P,FALSE,Investors!$K:$K,"&gt;"&amp;'NSST Print'!$B$3,Investors!$I:$I,"&lt;="&amp;'NSST Print'!$B$3,Investors!$A:$A,'Investor Exit List'!$A325,Investors!$E:$E,'Investor Exit List'!$C325,Investors!$L:$L,'Investor Exit List'!$B325)-(SUMIFS(Investors!$M:$M,Investors!$I:$I,"&lt;="&amp;'NSST Print'!$B$3,Investors!$J:$J,"&gt;"&amp;'NSST Print'!$B$3,Investors!$A:$A,'Investor Exit List'!$A325,Investors!$E:$E,'Investor Exit List'!$C325,Investors!$L:$L,'Investor Exit List'!$B325)+SUMIFS(Investors!$M:$M,Investors!$I:$I,"&lt;="&amp;'NSST Print'!$B$3,Investors!$J:$J,"",Investors!$A:$A,'Investor Exit List'!$A325,Investors!$E:$E,'Investor Exit List'!$C325,Investors!$L:$L,'Investor Exit List'!$B325))+SUMIFS(Investors!$S:$S,Investors!$O:$O,FALSE,Investors!$P:$P,FALSE,Investors!$K:$K,"&gt;"&amp;'NSST Print'!$B$3,Investors!$I:$I,"&lt;="&amp;'NSST Print'!$B$3,Investors!$A:$A,'Investor Exit List'!$A325,Investors!$E:$E,'Investor Exit List'!$C325,Investors!$L:$L,'Investor Exit List'!$B325)-(SUMIFS(Investors!$S:$S,Investors!$I:$I,"&lt;="&amp;'NSST Print'!$B$3,Investors!$J:$J,"&gt;"&amp;'NSST Print'!$B$3,Investors!$A:$A,'Investor Exit List'!$A325,Investors!$E:$E,'Investor Exit List'!$C325,Investors!$L:$L,'Investor Exit List'!$B325)+SUMIFS(Investors!$S:$S,Investors!$I:$I,"&lt;="&amp;'NSST Print'!$B$3,Investors!$J:$J,"",Investors!$A:$A,'Investor Exit List'!$A325,Investors!$E:$E,'Investor Exit List'!$C325,Investors!$L:$L,'Investor Exit List'!$B325))</f>
        <v/>
      </c>
      <c r="R325" s="94">
        <f>IF(AND(H325=TRUE,I325=FALSE),Q325,0)</f>
        <v/>
      </c>
      <c r="S325" s="94">
        <f>SUMIFS(Investors!$M:$M,Investors!$O:$O,TRUE,Investors!$A:$A,'Investor Exit List'!$A325,Investors!$E:$E,'Investor Exit List'!$C325,Investors!$L:$L,'Investor Exit List'!$B325)+SUMIFS(Investors!$S:$S,Investors!$O:$O,TRUE,Investors!$A:$A,'Investor Exit List'!$A325,Investors!$E:$E,'Investor Exit List'!$C325,Investors!$L:$L,'Investor Exit List'!$B325)</f>
        <v/>
      </c>
      <c r="T325" s="95">
        <f>IF(U325=TRUE,$J325,"")</f>
        <v/>
      </c>
      <c r="U325" s="93" t="b">
        <v>0</v>
      </c>
      <c r="V325" s="94">
        <f>IF(AND(H325=TRUE,OR(K325="",K325&gt;M325)),S325,0)</f>
        <v/>
      </c>
      <c r="W325" s="93" t="n">
        <v>0</v>
      </c>
      <c r="X325" s="93" t="b">
        <v>0</v>
      </c>
    </row>
    <row r="326">
      <c r="A326" s="93" t="inlineStr">
        <is>
          <t>ZBUM01</t>
        </is>
      </c>
      <c r="B326" s="93" t="n">
        <v>2</v>
      </c>
      <c r="C326" s="93" t="inlineStr">
        <is>
          <t>HVJ201</t>
        </is>
      </c>
      <c r="D326" s="93" t="inlineStr">
        <is>
          <t>J</t>
        </is>
      </c>
      <c r="E326" s="93" t="inlineStr">
        <is>
          <t>Brummer Andre Gottfried</t>
        </is>
      </c>
      <c r="F326" s="94">
        <f>SUMIFS(Investors!$M:$M,Investors!$O:$O,FALSE,Investors!$P:$P,FALSE,Investors!$K:$K,"&gt;"&amp;'NSST Print'!$B$3,Investors!$I:$I,"&lt;="&amp;'NSST Print'!$B$3,Investors!$A:$A,'Investor Exit List'!$A326,Investors!$E:$E,'Investor Exit List'!$C326,Investors!$L:$L,'Investor Exit List'!$B326)-(SUMIFS(Investors!$M:$M,Investors!$I:$I,"&lt;="&amp;'NSST Print'!$B$3,Investors!$J:$J,"&gt;"&amp;'NSST Print'!$B$3,Investors!$A:$A,'Investor Exit List'!$A326,Investors!$E:$E,'Investor Exit List'!$C326,Investors!$L:$L,'Investor Exit List'!$B326)+SUMIFS(Investors!$M:$M,Investors!$I:$I,"&lt;="&amp;'NSST Print'!$B$3,Investors!$J:$J,"",Investors!$A:$A,'Investor Exit List'!$A326,Investors!$E:$E,'Investor Exit List'!$C326,Investors!$L:$L,'Investor Exit List'!$B326))</f>
        <v/>
      </c>
      <c r="G326" s="95" t="n">
        <v>44783</v>
      </c>
      <c r="H326" s="93" t="b">
        <v>0</v>
      </c>
      <c r="I326" s="93" t="b">
        <v>0</v>
      </c>
      <c r="J326" s="95" t="n">
        <v>45552</v>
      </c>
      <c r="K326" s="95">
        <f>IF(I326=TRUE,J326,"")</f>
        <v/>
      </c>
      <c r="L326" s="95">
        <f>G326+730</f>
        <v/>
      </c>
      <c r="M326" s="95" t="n">
        <v>45382</v>
      </c>
      <c r="N326" s="96">
        <f>IFERROR(IF(G326&lt;&gt;"",IF(I326=TRUE,0,IF(U326=TRUE,0,L326-M326)),0),0)</f>
        <v/>
      </c>
      <c r="O326" s="96">
        <f>IF(N326&gt;0,IF(N326&lt;=180,N326,0),0)</f>
        <v/>
      </c>
      <c r="P326" s="94">
        <f>IF(AND(N326&lt;90,N326&gt;0),Q326,0)</f>
        <v/>
      </c>
      <c r="Q326" s="94">
        <f>SUMIFS(Investors!$M:$M,Investors!$O:$O,FALSE,Investors!$P:$P,FALSE,Investors!$K:$K,"&gt;"&amp;'NSST Print'!$B$3,Investors!$I:$I,"&lt;="&amp;'NSST Print'!$B$3,Investors!$A:$A,'Investor Exit List'!$A326,Investors!$E:$E,'Investor Exit List'!$C326,Investors!$L:$L,'Investor Exit List'!$B326)-(SUMIFS(Investors!$M:$M,Investors!$I:$I,"&lt;="&amp;'NSST Print'!$B$3,Investors!$J:$J,"&gt;"&amp;'NSST Print'!$B$3,Investors!$A:$A,'Investor Exit List'!$A326,Investors!$E:$E,'Investor Exit List'!$C326,Investors!$L:$L,'Investor Exit List'!$B326)+SUMIFS(Investors!$M:$M,Investors!$I:$I,"&lt;="&amp;'NSST Print'!$B$3,Investors!$J:$J,"",Investors!$A:$A,'Investor Exit List'!$A326,Investors!$E:$E,'Investor Exit List'!$C326,Investors!$L:$L,'Investor Exit List'!$B326))+SUMIFS(Investors!$S:$S,Investors!$O:$O,FALSE,Investors!$P:$P,FALSE,Investors!$K:$K,"&gt;"&amp;'NSST Print'!$B$3,Investors!$I:$I,"&lt;="&amp;'NSST Print'!$B$3,Investors!$A:$A,'Investor Exit List'!$A326,Investors!$E:$E,'Investor Exit List'!$C326,Investors!$L:$L,'Investor Exit List'!$B326)-(SUMIFS(Investors!$S:$S,Investors!$I:$I,"&lt;="&amp;'NSST Print'!$B$3,Investors!$J:$J,"&gt;"&amp;'NSST Print'!$B$3,Investors!$A:$A,'Investor Exit List'!$A326,Investors!$E:$E,'Investor Exit List'!$C326,Investors!$L:$L,'Investor Exit List'!$B326)+SUMIFS(Investors!$S:$S,Investors!$I:$I,"&lt;="&amp;'NSST Print'!$B$3,Investors!$J:$J,"",Investors!$A:$A,'Investor Exit List'!$A326,Investors!$E:$E,'Investor Exit List'!$C326,Investors!$L:$L,'Investor Exit List'!$B326))</f>
        <v/>
      </c>
      <c r="R326" s="94">
        <f>IF(AND(H326=TRUE,I326=FALSE),Q326,0)</f>
        <v/>
      </c>
      <c r="S326" s="94">
        <f>SUMIFS(Investors!$M:$M,Investors!$O:$O,TRUE,Investors!$A:$A,'Investor Exit List'!$A326,Investors!$E:$E,'Investor Exit List'!$C326,Investors!$L:$L,'Investor Exit List'!$B326)+SUMIFS(Investors!$S:$S,Investors!$O:$O,TRUE,Investors!$A:$A,'Investor Exit List'!$A326,Investors!$E:$E,'Investor Exit List'!$C326,Investors!$L:$L,'Investor Exit List'!$B326)</f>
        <v/>
      </c>
      <c r="T326" s="95">
        <f>IF(U326=TRUE,$J326,"")</f>
        <v/>
      </c>
      <c r="U326" s="93" t="b">
        <v>0</v>
      </c>
      <c r="V326" s="94">
        <f>IF(AND(H326=TRUE,OR(K326="",K326&gt;M326)),S326,0)</f>
        <v/>
      </c>
      <c r="W326" s="93" t="n">
        <v>0</v>
      </c>
      <c r="X326" s="93" t="b">
        <v>0</v>
      </c>
    </row>
    <row r="327">
      <c r="A327" s="93" t="inlineStr">
        <is>
          <t>ZSMI03</t>
        </is>
      </c>
      <c r="B327" s="93" t="n">
        <v>1</v>
      </c>
      <c r="C327" s="93" t="inlineStr">
        <is>
          <t>HVJ201</t>
        </is>
      </c>
      <c r="D327" s="93" t="inlineStr">
        <is>
          <t>J</t>
        </is>
      </c>
      <c r="E327" s="93" t="inlineStr">
        <is>
          <t>Smit Eugene Patrick</t>
        </is>
      </c>
      <c r="F327" s="94">
        <f>SUMIFS(Investors!$M:$M,Investors!$O:$O,FALSE,Investors!$P:$P,FALSE,Investors!$K:$K,"&gt;"&amp;'NSST Print'!$B$3,Investors!$I:$I,"&lt;="&amp;'NSST Print'!$B$3,Investors!$A:$A,'Investor Exit List'!$A327,Investors!$E:$E,'Investor Exit List'!$C327,Investors!$L:$L,'Investor Exit List'!$B327)-(SUMIFS(Investors!$M:$M,Investors!$I:$I,"&lt;="&amp;'NSST Print'!$B$3,Investors!$J:$J,"&gt;"&amp;'NSST Print'!$B$3,Investors!$A:$A,'Investor Exit List'!$A327,Investors!$E:$E,'Investor Exit List'!$C327,Investors!$L:$L,'Investor Exit List'!$B327)+SUMIFS(Investors!$M:$M,Investors!$I:$I,"&lt;="&amp;'NSST Print'!$B$3,Investors!$J:$J,"",Investors!$A:$A,'Investor Exit List'!$A327,Investors!$E:$E,'Investor Exit List'!$C327,Investors!$L:$L,'Investor Exit List'!$B327))</f>
        <v/>
      </c>
      <c r="G327" s="95" t="n">
        <v>44811</v>
      </c>
      <c r="H327" s="93" t="b">
        <v>0</v>
      </c>
      <c r="I327" s="93" t="b">
        <v>0</v>
      </c>
      <c r="J327" s="95" t="n">
        <v>45552</v>
      </c>
      <c r="K327" s="95">
        <f>IF(I327=TRUE,J327,"")</f>
        <v/>
      </c>
      <c r="L327" s="95">
        <f>G327+730</f>
        <v/>
      </c>
      <c r="M327" s="95" t="n">
        <v>45382</v>
      </c>
      <c r="N327" s="96">
        <f>IFERROR(IF(G327&lt;&gt;"",IF(I327=TRUE,0,IF(U327=TRUE,0,L327-M327)),0),0)</f>
        <v/>
      </c>
      <c r="O327" s="96">
        <f>IF(N327&gt;0,IF(N327&lt;=180,N327,0),0)</f>
        <v/>
      </c>
      <c r="P327" s="94">
        <f>IF(AND(N327&lt;90,N327&gt;0),Q327,0)</f>
        <v/>
      </c>
      <c r="Q327" s="94">
        <f>SUMIFS(Investors!$M:$M,Investors!$O:$O,FALSE,Investors!$P:$P,FALSE,Investors!$K:$K,"&gt;"&amp;'NSST Print'!$B$3,Investors!$I:$I,"&lt;="&amp;'NSST Print'!$B$3,Investors!$A:$A,'Investor Exit List'!$A327,Investors!$E:$E,'Investor Exit List'!$C327,Investors!$L:$L,'Investor Exit List'!$B327)-(SUMIFS(Investors!$M:$M,Investors!$I:$I,"&lt;="&amp;'NSST Print'!$B$3,Investors!$J:$J,"&gt;"&amp;'NSST Print'!$B$3,Investors!$A:$A,'Investor Exit List'!$A327,Investors!$E:$E,'Investor Exit List'!$C327,Investors!$L:$L,'Investor Exit List'!$B327)+SUMIFS(Investors!$M:$M,Investors!$I:$I,"&lt;="&amp;'NSST Print'!$B$3,Investors!$J:$J,"",Investors!$A:$A,'Investor Exit List'!$A327,Investors!$E:$E,'Investor Exit List'!$C327,Investors!$L:$L,'Investor Exit List'!$B327))+SUMIFS(Investors!$S:$S,Investors!$O:$O,FALSE,Investors!$P:$P,FALSE,Investors!$K:$K,"&gt;"&amp;'NSST Print'!$B$3,Investors!$I:$I,"&lt;="&amp;'NSST Print'!$B$3,Investors!$A:$A,'Investor Exit List'!$A327,Investors!$E:$E,'Investor Exit List'!$C327,Investors!$L:$L,'Investor Exit List'!$B327)-(SUMIFS(Investors!$S:$S,Investors!$I:$I,"&lt;="&amp;'NSST Print'!$B$3,Investors!$J:$J,"&gt;"&amp;'NSST Print'!$B$3,Investors!$A:$A,'Investor Exit List'!$A327,Investors!$E:$E,'Investor Exit List'!$C327,Investors!$L:$L,'Investor Exit List'!$B327)+SUMIFS(Investors!$S:$S,Investors!$I:$I,"&lt;="&amp;'NSST Print'!$B$3,Investors!$J:$J,"",Investors!$A:$A,'Investor Exit List'!$A327,Investors!$E:$E,'Investor Exit List'!$C327,Investors!$L:$L,'Investor Exit List'!$B327))</f>
        <v/>
      </c>
      <c r="R327" s="94">
        <f>IF(AND(H327=TRUE,I327=FALSE),Q327,0)</f>
        <v/>
      </c>
      <c r="S327" s="94">
        <f>SUMIFS(Investors!$M:$M,Investors!$O:$O,TRUE,Investors!$A:$A,'Investor Exit List'!$A327,Investors!$E:$E,'Investor Exit List'!$C327,Investors!$L:$L,'Investor Exit List'!$B327)+SUMIFS(Investors!$S:$S,Investors!$O:$O,TRUE,Investors!$A:$A,'Investor Exit List'!$A327,Investors!$E:$E,'Investor Exit List'!$C327,Investors!$L:$L,'Investor Exit List'!$B327)</f>
        <v/>
      </c>
      <c r="T327" s="95">
        <f>IF(U327=TRUE,$J327,"")</f>
        <v/>
      </c>
      <c r="U327" s="93" t="b">
        <v>0</v>
      </c>
      <c r="V327" s="94">
        <f>IF(AND(H327=TRUE,OR(K327="",K327&gt;M327)),S327,0)</f>
        <v/>
      </c>
      <c r="W327" s="93" t="n">
        <v>0</v>
      </c>
      <c r="X327" s="93" t="b">
        <v>0</v>
      </c>
    </row>
    <row r="328">
      <c r="A328" s="93" t="inlineStr">
        <is>
          <t>ZZYL02</t>
        </is>
      </c>
      <c r="B328" s="93" t="n">
        <v>2</v>
      </c>
      <c r="C328" s="93" t="inlineStr">
        <is>
          <t>HVJ201</t>
        </is>
      </c>
      <c r="D328" s="93" t="inlineStr">
        <is>
          <t>J</t>
        </is>
      </c>
      <c r="E328" s="93" t="inlineStr">
        <is>
          <t>Zylstra Petronella Johanna</t>
        </is>
      </c>
      <c r="F328" s="94">
        <f>SUMIFS(Investors!$M:$M,Investors!$O:$O,FALSE,Investors!$P:$P,FALSE,Investors!$K:$K,"&gt;"&amp;'NSST Print'!$B$3,Investors!$I:$I,"&lt;="&amp;'NSST Print'!$B$3,Investors!$A:$A,'Investor Exit List'!$A328,Investors!$E:$E,'Investor Exit List'!$C328,Investors!$L:$L,'Investor Exit List'!$B328)-(SUMIFS(Investors!$M:$M,Investors!$I:$I,"&lt;="&amp;'NSST Print'!$B$3,Investors!$J:$J,"&gt;"&amp;'NSST Print'!$B$3,Investors!$A:$A,'Investor Exit List'!$A328,Investors!$E:$E,'Investor Exit List'!$C328,Investors!$L:$L,'Investor Exit List'!$B328)+SUMIFS(Investors!$M:$M,Investors!$I:$I,"&lt;="&amp;'NSST Print'!$B$3,Investors!$J:$J,"",Investors!$A:$A,'Investor Exit List'!$A328,Investors!$E:$E,'Investor Exit List'!$C328,Investors!$L:$L,'Investor Exit List'!$B328))</f>
        <v/>
      </c>
      <c r="G328" s="95" t="n">
        <v>44916</v>
      </c>
      <c r="H328" s="93" t="b">
        <v>0</v>
      </c>
      <c r="I328" s="93" t="b">
        <v>0</v>
      </c>
      <c r="J328" s="95" t="n">
        <v>45552</v>
      </c>
      <c r="K328" s="95">
        <f>IF(I328=TRUE,J328,"")</f>
        <v/>
      </c>
      <c r="L328" s="95">
        <f>G328+730</f>
        <v/>
      </c>
      <c r="M328" s="95" t="n">
        <v>45382</v>
      </c>
      <c r="N328" s="96">
        <f>IFERROR(IF(G328&lt;&gt;"",IF(I328=TRUE,0,IF(U328=TRUE,0,L328-M328)),0),0)</f>
        <v/>
      </c>
      <c r="O328" s="96">
        <f>IF(N328&gt;0,IF(N328&lt;=180,N328,0),0)</f>
        <v/>
      </c>
      <c r="P328" s="94">
        <f>IF(AND(N328&lt;90,N328&gt;0),Q328,0)</f>
        <v/>
      </c>
      <c r="Q328" s="94">
        <f>SUMIFS(Investors!$M:$M,Investors!$O:$O,FALSE,Investors!$P:$P,FALSE,Investors!$K:$K,"&gt;"&amp;'NSST Print'!$B$3,Investors!$I:$I,"&lt;="&amp;'NSST Print'!$B$3,Investors!$A:$A,'Investor Exit List'!$A328,Investors!$E:$E,'Investor Exit List'!$C328,Investors!$L:$L,'Investor Exit List'!$B328)-(SUMIFS(Investors!$M:$M,Investors!$I:$I,"&lt;="&amp;'NSST Print'!$B$3,Investors!$J:$J,"&gt;"&amp;'NSST Print'!$B$3,Investors!$A:$A,'Investor Exit List'!$A328,Investors!$E:$E,'Investor Exit List'!$C328,Investors!$L:$L,'Investor Exit List'!$B328)+SUMIFS(Investors!$M:$M,Investors!$I:$I,"&lt;="&amp;'NSST Print'!$B$3,Investors!$J:$J,"",Investors!$A:$A,'Investor Exit List'!$A328,Investors!$E:$E,'Investor Exit List'!$C328,Investors!$L:$L,'Investor Exit List'!$B328))+SUMIFS(Investors!$S:$S,Investors!$O:$O,FALSE,Investors!$P:$P,FALSE,Investors!$K:$K,"&gt;"&amp;'NSST Print'!$B$3,Investors!$I:$I,"&lt;="&amp;'NSST Print'!$B$3,Investors!$A:$A,'Investor Exit List'!$A328,Investors!$E:$E,'Investor Exit List'!$C328,Investors!$L:$L,'Investor Exit List'!$B328)-(SUMIFS(Investors!$S:$S,Investors!$I:$I,"&lt;="&amp;'NSST Print'!$B$3,Investors!$J:$J,"&gt;"&amp;'NSST Print'!$B$3,Investors!$A:$A,'Investor Exit List'!$A328,Investors!$E:$E,'Investor Exit List'!$C328,Investors!$L:$L,'Investor Exit List'!$B328)+SUMIFS(Investors!$S:$S,Investors!$I:$I,"&lt;="&amp;'NSST Print'!$B$3,Investors!$J:$J,"",Investors!$A:$A,'Investor Exit List'!$A328,Investors!$E:$E,'Investor Exit List'!$C328,Investors!$L:$L,'Investor Exit List'!$B328))</f>
        <v/>
      </c>
      <c r="R328" s="94">
        <f>IF(AND(H328=TRUE,I328=FALSE),Q328,0)</f>
        <v/>
      </c>
      <c r="S328" s="94">
        <f>SUMIFS(Investors!$M:$M,Investors!$O:$O,TRUE,Investors!$A:$A,'Investor Exit List'!$A328,Investors!$E:$E,'Investor Exit List'!$C328,Investors!$L:$L,'Investor Exit List'!$B328)+SUMIFS(Investors!$S:$S,Investors!$O:$O,TRUE,Investors!$A:$A,'Investor Exit List'!$A328,Investors!$E:$E,'Investor Exit List'!$C328,Investors!$L:$L,'Investor Exit List'!$B328)</f>
        <v/>
      </c>
      <c r="T328" s="95">
        <f>IF(U328=TRUE,$J328,"")</f>
        <v/>
      </c>
      <c r="U328" s="93" t="b">
        <v>0</v>
      </c>
      <c r="V328" s="94">
        <f>IF(AND(H328=TRUE,OR(K328="",K328&gt;M328)),S328,0)</f>
        <v/>
      </c>
      <c r="W328" s="93" t="n">
        <v>0</v>
      </c>
      <c r="X328" s="93" t="b">
        <v>0</v>
      </c>
    </row>
    <row r="329">
      <c r="A329" s="93" t="inlineStr">
        <is>
          <t>ZLAB01</t>
        </is>
      </c>
      <c r="B329" s="93" t="n">
        <v>3</v>
      </c>
      <c r="C329" s="93" t="inlineStr">
        <is>
          <t>HVJ202</t>
        </is>
      </c>
      <c r="D329" s="93" t="inlineStr">
        <is>
          <t>J</t>
        </is>
      </c>
      <c r="E329" s="93" t="inlineStr">
        <is>
          <t>Labuschagne Andre Jan</t>
        </is>
      </c>
      <c r="F329" s="94">
        <f>SUMIFS(Investors!$M:$M,Investors!$O:$O,FALSE,Investors!$P:$P,FALSE,Investors!$K:$K,"&gt;"&amp;'NSST Print'!$B$3,Investors!$I:$I,"&lt;="&amp;'NSST Print'!$B$3,Investors!$A:$A,'Investor Exit List'!$A329,Investors!$E:$E,'Investor Exit List'!$C329,Investors!$L:$L,'Investor Exit List'!$B329)-(SUMIFS(Investors!$M:$M,Investors!$I:$I,"&lt;="&amp;'NSST Print'!$B$3,Investors!$J:$J,"&gt;"&amp;'NSST Print'!$B$3,Investors!$A:$A,'Investor Exit List'!$A329,Investors!$E:$E,'Investor Exit List'!$C329,Investors!$L:$L,'Investor Exit List'!$B329)+SUMIFS(Investors!$M:$M,Investors!$I:$I,"&lt;="&amp;'NSST Print'!$B$3,Investors!$J:$J,"",Investors!$A:$A,'Investor Exit List'!$A329,Investors!$E:$E,'Investor Exit List'!$C329,Investors!$L:$L,'Investor Exit List'!$B329))</f>
        <v/>
      </c>
      <c r="G329" s="95" t="n">
        <v>44811</v>
      </c>
      <c r="H329" s="93" t="b">
        <v>0</v>
      </c>
      <c r="I329" s="93" t="b">
        <v>0</v>
      </c>
      <c r="J329" s="95" t="n">
        <v>45552</v>
      </c>
      <c r="K329" s="95">
        <f>IF(I329=TRUE,J329,"")</f>
        <v/>
      </c>
      <c r="L329" s="95">
        <f>G329+730</f>
        <v/>
      </c>
      <c r="M329" s="95" t="n">
        <v>45382</v>
      </c>
      <c r="N329" s="96">
        <f>IFERROR(IF(G329&lt;&gt;"",IF(I329=TRUE,0,IF(U329=TRUE,0,L329-M329)),0),0)</f>
        <v/>
      </c>
      <c r="O329" s="96">
        <f>IF(N329&gt;0,IF(N329&lt;=180,N329,0),0)</f>
        <v/>
      </c>
      <c r="P329" s="94">
        <f>IF(AND(N329&lt;90,N329&gt;0),Q329,0)</f>
        <v/>
      </c>
      <c r="Q329" s="94">
        <f>SUMIFS(Investors!$M:$M,Investors!$O:$O,FALSE,Investors!$P:$P,FALSE,Investors!$K:$K,"&gt;"&amp;'NSST Print'!$B$3,Investors!$I:$I,"&lt;="&amp;'NSST Print'!$B$3,Investors!$A:$A,'Investor Exit List'!$A329,Investors!$E:$E,'Investor Exit List'!$C329,Investors!$L:$L,'Investor Exit List'!$B329)-(SUMIFS(Investors!$M:$M,Investors!$I:$I,"&lt;="&amp;'NSST Print'!$B$3,Investors!$J:$J,"&gt;"&amp;'NSST Print'!$B$3,Investors!$A:$A,'Investor Exit List'!$A329,Investors!$E:$E,'Investor Exit List'!$C329,Investors!$L:$L,'Investor Exit List'!$B329)+SUMIFS(Investors!$M:$M,Investors!$I:$I,"&lt;="&amp;'NSST Print'!$B$3,Investors!$J:$J,"",Investors!$A:$A,'Investor Exit List'!$A329,Investors!$E:$E,'Investor Exit List'!$C329,Investors!$L:$L,'Investor Exit List'!$B329))+SUMIFS(Investors!$S:$S,Investors!$O:$O,FALSE,Investors!$P:$P,FALSE,Investors!$K:$K,"&gt;"&amp;'NSST Print'!$B$3,Investors!$I:$I,"&lt;="&amp;'NSST Print'!$B$3,Investors!$A:$A,'Investor Exit List'!$A329,Investors!$E:$E,'Investor Exit List'!$C329,Investors!$L:$L,'Investor Exit List'!$B329)-(SUMIFS(Investors!$S:$S,Investors!$I:$I,"&lt;="&amp;'NSST Print'!$B$3,Investors!$J:$J,"&gt;"&amp;'NSST Print'!$B$3,Investors!$A:$A,'Investor Exit List'!$A329,Investors!$E:$E,'Investor Exit List'!$C329,Investors!$L:$L,'Investor Exit List'!$B329)+SUMIFS(Investors!$S:$S,Investors!$I:$I,"&lt;="&amp;'NSST Print'!$B$3,Investors!$J:$J,"",Investors!$A:$A,'Investor Exit List'!$A329,Investors!$E:$E,'Investor Exit List'!$C329,Investors!$L:$L,'Investor Exit List'!$B329))</f>
        <v/>
      </c>
      <c r="R329" s="94">
        <f>IF(AND(H329=TRUE,I329=FALSE),Q329,0)</f>
        <v/>
      </c>
      <c r="S329" s="94">
        <f>SUMIFS(Investors!$M:$M,Investors!$O:$O,TRUE,Investors!$A:$A,'Investor Exit List'!$A329,Investors!$E:$E,'Investor Exit List'!$C329,Investors!$L:$L,'Investor Exit List'!$B329)+SUMIFS(Investors!$S:$S,Investors!$O:$O,TRUE,Investors!$A:$A,'Investor Exit List'!$A329,Investors!$E:$E,'Investor Exit List'!$C329,Investors!$L:$L,'Investor Exit List'!$B329)</f>
        <v/>
      </c>
      <c r="T329" s="95">
        <f>IF(U329=TRUE,$J329,"")</f>
        <v/>
      </c>
      <c r="U329" s="93" t="b">
        <v>0</v>
      </c>
      <c r="V329" s="94">
        <f>IF(AND(H329=TRUE,OR(K329="",K329&gt;M329)),S329,0)</f>
        <v/>
      </c>
      <c r="W329" s="93" t="n">
        <v>0</v>
      </c>
      <c r="X329" s="93" t="b">
        <v>0</v>
      </c>
    </row>
    <row r="330">
      <c r="A330" s="93" t="inlineStr">
        <is>
          <t>ZBUM01</t>
        </is>
      </c>
      <c r="B330" s="93" t="n">
        <v>1</v>
      </c>
      <c r="C330" s="93" t="inlineStr">
        <is>
          <t>HVJ203</t>
        </is>
      </c>
      <c r="D330" s="93" t="inlineStr">
        <is>
          <t>J</t>
        </is>
      </c>
      <c r="E330" s="93" t="inlineStr">
        <is>
          <t>Brummer Andre Gottfried</t>
        </is>
      </c>
      <c r="F330" s="94">
        <f>SUMIFS(Investors!$M:$M,Investors!$O:$O,FALSE,Investors!$P:$P,FALSE,Investors!$K:$K,"&gt;"&amp;'NSST Print'!$B$3,Investors!$I:$I,"&lt;="&amp;'NSST Print'!$B$3,Investors!$A:$A,'Investor Exit List'!$A330,Investors!$E:$E,'Investor Exit List'!$C330,Investors!$L:$L,'Investor Exit List'!$B330)-(SUMIFS(Investors!$M:$M,Investors!$I:$I,"&lt;="&amp;'NSST Print'!$B$3,Investors!$J:$J,"&gt;"&amp;'NSST Print'!$B$3,Investors!$A:$A,'Investor Exit List'!$A330,Investors!$E:$E,'Investor Exit List'!$C330,Investors!$L:$L,'Investor Exit List'!$B330)+SUMIFS(Investors!$M:$M,Investors!$I:$I,"&lt;="&amp;'NSST Print'!$B$3,Investors!$J:$J,"",Investors!$A:$A,'Investor Exit List'!$A330,Investors!$E:$E,'Investor Exit List'!$C330,Investors!$L:$L,'Investor Exit List'!$B330))</f>
        <v/>
      </c>
      <c r="G330" s="95" t="n">
        <v>44791</v>
      </c>
      <c r="H330" s="93" t="b">
        <v>0</v>
      </c>
      <c r="I330" s="93" t="b">
        <v>0</v>
      </c>
      <c r="J330" s="95" t="n">
        <v>45552</v>
      </c>
      <c r="K330" s="95">
        <f>IF(I330=TRUE,J330,"")</f>
        <v/>
      </c>
      <c r="L330" s="95">
        <f>G330+730</f>
        <v/>
      </c>
      <c r="M330" s="95" t="n">
        <v>45382</v>
      </c>
      <c r="N330" s="96">
        <f>IFERROR(IF(G330&lt;&gt;"",IF(I330=TRUE,0,IF(U330=TRUE,0,L330-M330)),0),0)</f>
        <v/>
      </c>
      <c r="O330" s="96">
        <f>IF(N330&gt;0,IF(N330&lt;=180,N330,0),0)</f>
        <v/>
      </c>
      <c r="P330" s="94">
        <f>IF(AND(N330&lt;90,N330&gt;0),Q330,0)</f>
        <v/>
      </c>
      <c r="Q330" s="94">
        <f>SUMIFS(Investors!$M:$M,Investors!$O:$O,FALSE,Investors!$P:$P,FALSE,Investors!$K:$K,"&gt;"&amp;'NSST Print'!$B$3,Investors!$I:$I,"&lt;="&amp;'NSST Print'!$B$3,Investors!$A:$A,'Investor Exit List'!$A330,Investors!$E:$E,'Investor Exit List'!$C330,Investors!$L:$L,'Investor Exit List'!$B330)-(SUMIFS(Investors!$M:$M,Investors!$I:$I,"&lt;="&amp;'NSST Print'!$B$3,Investors!$J:$J,"&gt;"&amp;'NSST Print'!$B$3,Investors!$A:$A,'Investor Exit List'!$A330,Investors!$E:$E,'Investor Exit List'!$C330,Investors!$L:$L,'Investor Exit List'!$B330)+SUMIFS(Investors!$M:$M,Investors!$I:$I,"&lt;="&amp;'NSST Print'!$B$3,Investors!$J:$J,"",Investors!$A:$A,'Investor Exit List'!$A330,Investors!$E:$E,'Investor Exit List'!$C330,Investors!$L:$L,'Investor Exit List'!$B330))+SUMIFS(Investors!$S:$S,Investors!$O:$O,FALSE,Investors!$P:$P,FALSE,Investors!$K:$K,"&gt;"&amp;'NSST Print'!$B$3,Investors!$I:$I,"&lt;="&amp;'NSST Print'!$B$3,Investors!$A:$A,'Investor Exit List'!$A330,Investors!$E:$E,'Investor Exit List'!$C330,Investors!$L:$L,'Investor Exit List'!$B330)-(SUMIFS(Investors!$S:$S,Investors!$I:$I,"&lt;="&amp;'NSST Print'!$B$3,Investors!$J:$J,"&gt;"&amp;'NSST Print'!$B$3,Investors!$A:$A,'Investor Exit List'!$A330,Investors!$E:$E,'Investor Exit List'!$C330,Investors!$L:$L,'Investor Exit List'!$B330)+SUMIFS(Investors!$S:$S,Investors!$I:$I,"&lt;="&amp;'NSST Print'!$B$3,Investors!$J:$J,"",Investors!$A:$A,'Investor Exit List'!$A330,Investors!$E:$E,'Investor Exit List'!$C330,Investors!$L:$L,'Investor Exit List'!$B330))</f>
        <v/>
      </c>
      <c r="R330" s="94">
        <f>IF(AND(H330=TRUE,I330=FALSE),Q330,0)</f>
        <v/>
      </c>
      <c r="S330" s="94">
        <f>SUMIFS(Investors!$M:$M,Investors!$O:$O,TRUE,Investors!$A:$A,'Investor Exit List'!$A330,Investors!$E:$E,'Investor Exit List'!$C330,Investors!$L:$L,'Investor Exit List'!$B330)+SUMIFS(Investors!$S:$S,Investors!$O:$O,TRUE,Investors!$A:$A,'Investor Exit List'!$A330,Investors!$E:$E,'Investor Exit List'!$C330,Investors!$L:$L,'Investor Exit List'!$B330)</f>
        <v/>
      </c>
      <c r="T330" s="95">
        <f>IF(U330=TRUE,$J330,"")</f>
        <v/>
      </c>
      <c r="U330" s="93" t="b">
        <v>0</v>
      </c>
      <c r="V330" s="94">
        <f>IF(AND(H330=TRUE,OR(K330="",K330&gt;M330)),S330,0)</f>
        <v/>
      </c>
      <c r="W330" s="93" t="n">
        <v>0</v>
      </c>
      <c r="X330" s="93" t="b">
        <v>0</v>
      </c>
    </row>
    <row r="331">
      <c r="A331" s="93" t="inlineStr">
        <is>
          <t>ZBRO01</t>
        </is>
      </c>
      <c r="B331" s="93" t="n">
        <v>3</v>
      </c>
      <c r="C331" s="93" t="inlineStr">
        <is>
          <t>HVJ301</t>
        </is>
      </c>
      <c r="D331" s="93" t="inlineStr">
        <is>
          <t>J</t>
        </is>
      </c>
      <c r="E331" s="93" t="inlineStr">
        <is>
          <t>Brown Craig Anthony Richard</t>
        </is>
      </c>
      <c r="F331" s="94">
        <f>SUMIFS(Investors!$M:$M,Investors!$O:$O,FALSE,Investors!$P:$P,FALSE,Investors!$K:$K,"&gt;"&amp;'NSST Print'!$B$3,Investors!$I:$I,"&lt;="&amp;'NSST Print'!$B$3,Investors!$A:$A,'Investor Exit List'!$A331,Investors!$E:$E,'Investor Exit List'!$C331,Investors!$L:$L,'Investor Exit List'!$B331)-(SUMIFS(Investors!$M:$M,Investors!$I:$I,"&lt;="&amp;'NSST Print'!$B$3,Investors!$J:$J,"&gt;"&amp;'NSST Print'!$B$3,Investors!$A:$A,'Investor Exit List'!$A331,Investors!$E:$E,'Investor Exit List'!$C331,Investors!$L:$L,'Investor Exit List'!$B331)+SUMIFS(Investors!$M:$M,Investors!$I:$I,"&lt;="&amp;'NSST Print'!$B$3,Investors!$J:$J,"",Investors!$A:$A,'Investor Exit List'!$A331,Investors!$E:$E,'Investor Exit List'!$C331,Investors!$L:$L,'Investor Exit List'!$B331))</f>
        <v/>
      </c>
      <c r="G331" s="95" t="n">
        <v>44868</v>
      </c>
      <c r="H331" s="93" t="b">
        <v>0</v>
      </c>
      <c r="I331" s="93" t="b">
        <v>0</v>
      </c>
      <c r="J331" s="95" t="n">
        <v>45552</v>
      </c>
      <c r="K331" s="95">
        <f>IF(I331=TRUE,J331,"")</f>
        <v/>
      </c>
      <c r="L331" s="95">
        <f>G331+730</f>
        <v/>
      </c>
      <c r="M331" s="95" t="n">
        <v>45382</v>
      </c>
      <c r="N331" s="96">
        <f>IFERROR(IF(G331&lt;&gt;"",IF(I331=TRUE,0,IF(U331=TRUE,0,L331-M331)),0),0)</f>
        <v/>
      </c>
      <c r="O331" s="96">
        <f>IF(N331&gt;0,IF(N331&lt;=180,N331,0),0)</f>
        <v/>
      </c>
      <c r="P331" s="94">
        <f>IF(AND(N331&lt;90,N331&gt;0),Q331,0)</f>
        <v/>
      </c>
      <c r="Q331" s="94">
        <f>SUMIFS(Investors!$M:$M,Investors!$O:$O,FALSE,Investors!$P:$P,FALSE,Investors!$K:$K,"&gt;"&amp;'NSST Print'!$B$3,Investors!$I:$I,"&lt;="&amp;'NSST Print'!$B$3,Investors!$A:$A,'Investor Exit List'!$A331,Investors!$E:$E,'Investor Exit List'!$C331,Investors!$L:$L,'Investor Exit List'!$B331)-(SUMIFS(Investors!$M:$M,Investors!$I:$I,"&lt;="&amp;'NSST Print'!$B$3,Investors!$J:$J,"&gt;"&amp;'NSST Print'!$B$3,Investors!$A:$A,'Investor Exit List'!$A331,Investors!$E:$E,'Investor Exit List'!$C331,Investors!$L:$L,'Investor Exit List'!$B331)+SUMIFS(Investors!$M:$M,Investors!$I:$I,"&lt;="&amp;'NSST Print'!$B$3,Investors!$J:$J,"",Investors!$A:$A,'Investor Exit List'!$A331,Investors!$E:$E,'Investor Exit List'!$C331,Investors!$L:$L,'Investor Exit List'!$B331))+SUMIFS(Investors!$S:$S,Investors!$O:$O,FALSE,Investors!$P:$P,FALSE,Investors!$K:$K,"&gt;"&amp;'NSST Print'!$B$3,Investors!$I:$I,"&lt;="&amp;'NSST Print'!$B$3,Investors!$A:$A,'Investor Exit List'!$A331,Investors!$E:$E,'Investor Exit List'!$C331,Investors!$L:$L,'Investor Exit List'!$B331)-(SUMIFS(Investors!$S:$S,Investors!$I:$I,"&lt;="&amp;'NSST Print'!$B$3,Investors!$J:$J,"&gt;"&amp;'NSST Print'!$B$3,Investors!$A:$A,'Investor Exit List'!$A331,Investors!$E:$E,'Investor Exit List'!$C331,Investors!$L:$L,'Investor Exit List'!$B331)+SUMIFS(Investors!$S:$S,Investors!$I:$I,"&lt;="&amp;'NSST Print'!$B$3,Investors!$J:$J,"",Investors!$A:$A,'Investor Exit List'!$A331,Investors!$E:$E,'Investor Exit List'!$C331,Investors!$L:$L,'Investor Exit List'!$B331))</f>
        <v/>
      </c>
      <c r="R331" s="94">
        <f>IF(AND(H331=TRUE,I331=FALSE),Q331,0)</f>
        <v/>
      </c>
      <c r="S331" s="94">
        <f>SUMIFS(Investors!$M:$M,Investors!$O:$O,TRUE,Investors!$A:$A,'Investor Exit List'!$A331,Investors!$E:$E,'Investor Exit List'!$C331,Investors!$L:$L,'Investor Exit List'!$B331)+SUMIFS(Investors!$S:$S,Investors!$O:$O,TRUE,Investors!$A:$A,'Investor Exit List'!$A331,Investors!$E:$E,'Investor Exit List'!$C331,Investors!$L:$L,'Investor Exit List'!$B331)</f>
        <v/>
      </c>
      <c r="T331" s="95">
        <f>IF(U331=TRUE,$J331,"")</f>
        <v/>
      </c>
      <c r="U331" s="93" t="b">
        <v>0</v>
      </c>
      <c r="V331" s="94">
        <f>IF(AND(H331=TRUE,OR(K331="",K331&gt;M331)),S331,0)</f>
        <v/>
      </c>
      <c r="W331" s="93" t="n">
        <v>0</v>
      </c>
      <c r="X331" s="93" t="b">
        <v>0</v>
      </c>
    </row>
    <row r="332">
      <c r="A332" s="93" t="inlineStr">
        <is>
          <t>ZMAN02</t>
        </is>
      </c>
      <c r="B332" s="93" t="n">
        <v>1</v>
      </c>
      <c r="C332" s="93" t="inlineStr">
        <is>
          <t>HVJ301</t>
        </is>
      </c>
      <c r="D332" s="93" t="inlineStr">
        <is>
          <t>J</t>
        </is>
      </c>
      <c r="E332" s="93" t="inlineStr">
        <is>
          <t>Mans (Witberg) Ilse</t>
        </is>
      </c>
      <c r="F332" s="94">
        <f>SUMIFS(Investors!$M:$M,Investors!$O:$O,FALSE,Investors!$P:$P,FALSE,Investors!$K:$K,"&gt;"&amp;'NSST Print'!$B$3,Investors!$I:$I,"&lt;="&amp;'NSST Print'!$B$3,Investors!$A:$A,'Investor Exit List'!$A332,Investors!$E:$E,'Investor Exit List'!$C332,Investors!$L:$L,'Investor Exit List'!$B332)-(SUMIFS(Investors!$M:$M,Investors!$I:$I,"&lt;="&amp;'NSST Print'!$B$3,Investors!$J:$J,"&gt;"&amp;'NSST Print'!$B$3,Investors!$A:$A,'Investor Exit List'!$A332,Investors!$E:$E,'Investor Exit List'!$C332,Investors!$L:$L,'Investor Exit List'!$B332)+SUMIFS(Investors!$M:$M,Investors!$I:$I,"&lt;="&amp;'NSST Print'!$B$3,Investors!$J:$J,"",Investors!$A:$A,'Investor Exit List'!$A332,Investors!$E:$E,'Investor Exit List'!$C332,Investors!$L:$L,'Investor Exit List'!$B332))</f>
        <v/>
      </c>
      <c r="G332" s="95" t="n">
        <v>44811</v>
      </c>
      <c r="H332" s="93" t="b">
        <v>0</v>
      </c>
      <c r="I332" s="93" t="b">
        <v>0</v>
      </c>
      <c r="J332" s="95" t="n">
        <v>45552</v>
      </c>
      <c r="K332" s="95">
        <f>IF(I332=TRUE,J332,"")</f>
        <v/>
      </c>
      <c r="L332" s="95">
        <f>G332+730</f>
        <v/>
      </c>
      <c r="M332" s="95" t="n">
        <v>45382</v>
      </c>
      <c r="N332" s="96">
        <f>IFERROR(IF(G332&lt;&gt;"",IF(I332=TRUE,0,IF(U332=TRUE,0,L332-M332)),0),0)</f>
        <v/>
      </c>
      <c r="O332" s="96">
        <f>IF(N332&gt;0,IF(N332&lt;=180,N332,0),0)</f>
        <v/>
      </c>
      <c r="P332" s="94">
        <f>IF(AND(N332&lt;90,N332&gt;0),Q332,0)</f>
        <v/>
      </c>
      <c r="Q332" s="94">
        <f>SUMIFS(Investors!$M:$M,Investors!$O:$O,FALSE,Investors!$P:$P,FALSE,Investors!$K:$K,"&gt;"&amp;'NSST Print'!$B$3,Investors!$I:$I,"&lt;="&amp;'NSST Print'!$B$3,Investors!$A:$A,'Investor Exit List'!$A332,Investors!$E:$E,'Investor Exit List'!$C332,Investors!$L:$L,'Investor Exit List'!$B332)-(SUMIFS(Investors!$M:$M,Investors!$I:$I,"&lt;="&amp;'NSST Print'!$B$3,Investors!$J:$J,"&gt;"&amp;'NSST Print'!$B$3,Investors!$A:$A,'Investor Exit List'!$A332,Investors!$E:$E,'Investor Exit List'!$C332,Investors!$L:$L,'Investor Exit List'!$B332)+SUMIFS(Investors!$M:$M,Investors!$I:$I,"&lt;="&amp;'NSST Print'!$B$3,Investors!$J:$J,"",Investors!$A:$A,'Investor Exit List'!$A332,Investors!$E:$E,'Investor Exit List'!$C332,Investors!$L:$L,'Investor Exit List'!$B332))+SUMIFS(Investors!$S:$S,Investors!$O:$O,FALSE,Investors!$P:$P,FALSE,Investors!$K:$K,"&gt;"&amp;'NSST Print'!$B$3,Investors!$I:$I,"&lt;="&amp;'NSST Print'!$B$3,Investors!$A:$A,'Investor Exit List'!$A332,Investors!$E:$E,'Investor Exit List'!$C332,Investors!$L:$L,'Investor Exit List'!$B332)-(SUMIFS(Investors!$S:$S,Investors!$I:$I,"&lt;="&amp;'NSST Print'!$B$3,Investors!$J:$J,"&gt;"&amp;'NSST Print'!$B$3,Investors!$A:$A,'Investor Exit List'!$A332,Investors!$E:$E,'Investor Exit List'!$C332,Investors!$L:$L,'Investor Exit List'!$B332)+SUMIFS(Investors!$S:$S,Investors!$I:$I,"&lt;="&amp;'NSST Print'!$B$3,Investors!$J:$J,"",Investors!$A:$A,'Investor Exit List'!$A332,Investors!$E:$E,'Investor Exit List'!$C332,Investors!$L:$L,'Investor Exit List'!$B332))</f>
        <v/>
      </c>
      <c r="R332" s="94">
        <f>IF(AND(H332=TRUE,I332=FALSE),Q332,0)</f>
        <v/>
      </c>
      <c r="S332" s="94">
        <f>SUMIFS(Investors!$M:$M,Investors!$O:$O,TRUE,Investors!$A:$A,'Investor Exit List'!$A332,Investors!$E:$E,'Investor Exit List'!$C332,Investors!$L:$L,'Investor Exit List'!$B332)+SUMIFS(Investors!$S:$S,Investors!$O:$O,TRUE,Investors!$A:$A,'Investor Exit List'!$A332,Investors!$E:$E,'Investor Exit List'!$C332,Investors!$L:$L,'Investor Exit List'!$B332)</f>
        <v/>
      </c>
      <c r="T332" s="95">
        <f>IF(U332=TRUE,$J332,"")</f>
        <v/>
      </c>
      <c r="U332" s="93" t="b">
        <v>0</v>
      </c>
      <c r="V332" s="94">
        <f>IF(AND(H332=TRUE,OR(K332="",K332&gt;M332)),S332,0)</f>
        <v/>
      </c>
      <c r="W332" s="93" t="n">
        <v>0</v>
      </c>
      <c r="X332" s="93" t="b">
        <v>0</v>
      </c>
    </row>
    <row r="333">
      <c r="A333" s="93" t="inlineStr">
        <is>
          <t>ZSMI03</t>
        </is>
      </c>
      <c r="B333" s="93" t="n">
        <v>2</v>
      </c>
      <c r="C333" s="93" t="inlineStr">
        <is>
          <t>HVJ301</t>
        </is>
      </c>
      <c r="D333" s="93" t="inlineStr">
        <is>
          <t>J</t>
        </is>
      </c>
      <c r="E333" s="93" t="inlineStr">
        <is>
          <t>Smit Eugene Patrick</t>
        </is>
      </c>
      <c r="F333" s="94">
        <f>SUMIFS(Investors!$M:$M,Investors!$O:$O,FALSE,Investors!$P:$P,FALSE,Investors!$K:$K,"&gt;"&amp;'NSST Print'!$B$3,Investors!$I:$I,"&lt;="&amp;'NSST Print'!$B$3,Investors!$A:$A,'Investor Exit List'!$A333,Investors!$E:$E,'Investor Exit List'!$C333,Investors!$L:$L,'Investor Exit List'!$B333)-(SUMIFS(Investors!$M:$M,Investors!$I:$I,"&lt;="&amp;'NSST Print'!$B$3,Investors!$J:$J,"&gt;"&amp;'NSST Print'!$B$3,Investors!$A:$A,'Investor Exit List'!$A333,Investors!$E:$E,'Investor Exit List'!$C333,Investors!$L:$L,'Investor Exit List'!$B333)+SUMIFS(Investors!$M:$M,Investors!$I:$I,"&lt;="&amp;'NSST Print'!$B$3,Investors!$J:$J,"",Investors!$A:$A,'Investor Exit List'!$A333,Investors!$E:$E,'Investor Exit List'!$C333,Investors!$L:$L,'Investor Exit List'!$B333))</f>
        <v/>
      </c>
      <c r="G333" s="95" t="n">
        <v>44811</v>
      </c>
      <c r="H333" s="93" t="b">
        <v>0</v>
      </c>
      <c r="I333" s="93" t="b">
        <v>0</v>
      </c>
      <c r="J333" s="95" t="n">
        <v>45552</v>
      </c>
      <c r="K333" s="95">
        <f>IF(I333=TRUE,J333,"")</f>
        <v/>
      </c>
      <c r="L333" s="95">
        <f>G333+730</f>
        <v/>
      </c>
      <c r="M333" s="95" t="n">
        <v>45382</v>
      </c>
      <c r="N333" s="96">
        <f>IFERROR(IF(G333&lt;&gt;"",IF(I333=TRUE,0,IF(U333=TRUE,0,L333-M333)),0),0)</f>
        <v/>
      </c>
      <c r="O333" s="96">
        <f>IF(N333&gt;0,IF(N333&lt;=180,N333,0),0)</f>
        <v/>
      </c>
      <c r="P333" s="94">
        <f>IF(AND(N333&lt;90,N333&gt;0),Q333,0)</f>
        <v/>
      </c>
      <c r="Q333" s="94">
        <f>SUMIFS(Investors!$M:$M,Investors!$O:$O,FALSE,Investors!$P:$P,FALSE,Investors!$K:$K,"&gt;"&amp;'NSST Print'!$B$3,Investors!$I:$I,"&lt;="&amp;'NSST Print'!$B$3,Investors!$A:$A,'Investor Exit List'!$A333,Investors!$E:$E,'Investor Exit List'!$C333,Investors!$L:$L,'Investor Exit List'!$B333)-(SUMIFS(Investors!$M:$M,Investors!$I:$I,"&lt;="&amp;'NSST Print'!$B$3,Investors!$J:$J,"&gt;"&amp;'NSST Print'!$B$3,Investors!$A:$A,'Investor Exit List'!$A333,Investors!$E:$E,'Investor Exit List'!$C333,Investors!$L:$L,'Investor Exit List'!$B333)+SUMIFS(Investors!$M:$M,Investors!$I:$I,"&lt;="&amp;'NSST Print'!$B$3,Investors!$J:$J,"",Investors!$A:$A,'Investor Exit List'!$A333,Investors!$E:$E,'Investor Exit List'!$C333,Investors!$L:$L,'Investor Exit List'!$B333))+SUMIFS(Investors!$S:$S,Investors!$O:$O,FALSE,Investors!$P:$P,FALSE,Investors!$K:$K,"&gt;"&amp;'NSST Print'!$B$3,Investors!$I:$I,"&lt;="&amp;'NSST Print'!$B$3,Investors!$A:$A,'Investor Exit List'!$A333,Investors!$E:$E,'Investor Exit List'!$C333,Investors!$L:$L,'Investor Exit List'!$B333)-(SUMIFS(Investors!$S:$S,Investors!$I:$I,"&lt;="&amp;'NSST Print'!$B$3,Investors!$J:$J,"&gt;"&amp;'NSST Print'!$B$3,Investors!$A:$A,'Investor Exit List'!$A333,Investors!$E:$E,'Investor Exit List'!$C333,Investors!$L:$L,'Investor Exit List'!$B333)+SUMIFS(Investors!$S:$S,Investors!$I:$I,"&lt;="&amp;'NSST Print'!$B$3,Investors!$J:$J,"",Investors!$A:$A,'Investor Exit List'!$A333,Investors!$E:$E,'Investor Exit List'!$C333,Investors!$L:$L,'Investor Exit List'!$B333))</f>
        <v/>
      </c>
      <c r="R333" s="94">
        <f>IF(AND(H333=TRUE,I333=FALSE),Q333,0)</f>
        <v/>
      </c>
      <c r="S333" s="94">
        <f>SUMIFS(Investors!$M:$M,Investors!$O:$O,TRUE,Investors!$A:$A,'Investor Exit List'!$A333,Investors!$E:$E,'Investor Exit List'!$C333,Investors!$L:$L,'Investor Exit List'!$B333)+SUMIFS(Investors!$S:$S,Investors!$O:$O,TRUE,Investors!$A:$A,'Investor Exit List'!$A333,Investors!$E:$E,'Investor Exit List'!$C333,Investors!$L:$L,'Investor Exit List'!$B333)</f>
        <v/>
      </c>
      <c r="T333" s="95">
        <f>IF(U333=TRUE,$J333,"")</f>
        <v/>
      </c>
      <c r="U333" s="93" t="b">
        <v>0</v>
      </c>
      <c r="V333" s="94">
        <f>IF(AND(H333=TRUE,OR(K333="",K333&gt;M333)),S333,0)</f>
        <v/>
      </c>
      <c r="W333" s="93" t="n">
        <v>0</v>
      </c>
      <c r="X333" s="93" t="b">
        <v>0</v>
      </c>
    </row>
    <row r="334">
      <c r="A334" s="93" t="inlineStr">
        <is>
          <t>ZMAN02</t>
        </is>
      </c>
      <c r="B334" s="93" t="n">
        <v>2</v>
      </c>
      <c r="C334" s="93" t="inlineStr">
        <is>
          <t>HVJ302</t>
        </is>
      </c>
      <c r="D334" s="93" t="inlineStr">
        <is>
          <t>J</t>
        </is>
      </c>
      <c r="E334" s="93" t="inlineStr">
        <is>
          <t>Mans (Witberg) Ilse</t>
        </is>
      </c>
      <c r="F334" s="94">
        <f>SUMIFS(Investors!$M:$M,Investors!$O:$O,FALSE,Investors!$P:$P,FALSE,Investors!$K:$K,"&gt;"&amp;'NSST Print'!$B$3,Investors!$I:$I,"&lt;="&amp;'NSST Print'!$B$3,Investors!$A:$A,'Investor Exit List'!$A334,Investors!$E:$E,'Investor Exit List'!$C334,Investors!$L:$L,'Investor Exit List'!$B334)-(SUMIFS(Investors!$M:$M,Investors!$I:$I,"&lt;="&amp;'NSST Print'!$B$3,Investors!$J:$J,"&gt;"&amp;'NSST Print'!$B$3,Investors!$A:$A,'Investor Exit List'!$A334,Investors!$E:$E,'Investor Exit List'!$C334,Investors!$L:$L,'Investor Exit List'!$B334)+SUMIFS(Investors!$M:$M,Investors!$I:$I,"&lt;="&amp;'NSST Print'!$B$3,Investors!$J:$J,"",Investors!$A:$A,'Investor Exit List'!$A334,Investors!$E:$E,'Investor Exit List'!$C334,Investors!$L:$L,'Investor Exit List'!$B334))</f>
        <v/>
      </c>
      <c r="G334" s="95" t="n">
        <v>44811</v>
      </c>
      <c r="H334" s="93" t="b">
        <v>0</v>
      </c>
      <c r="I334" s="93" t="b">
        <v>0</v>
      </c>
      <c r="J334" s="95" t="n">
        <v>45552</v>
      </c>
      <c r="K334" s="95">
        <f>IF(I334=TRUE,J334,"")</f>
        <v/>
      </c>
      <c r="L334" s="95">
        <f>G334+730</f>
        <v/>
      </c>
      <c r="M334" s="95" t="n">
        <v>45382</v>
      </c>
      <c r="N334" s="96">
        <f>IFERROR(IF(G334&lt;&gt;"",IF(I334=TRUE,0,IF(U334=TRUE,0,L334-M334)),0),0)</f>
        <v/>
      </c>
      <c r="O334" s="96">
        <f>IF(N334&gt;0,IF(N334&lt;=180,N334,0),0)</f>
        <v/>
      </c>
      <c r="P334" s="94">
        <f>IF(AND(N334&lt;90,N334&gt;0),Q334,0)</f>
        <v/>
      </c>
      <c r="Q334" s="94">
        <f>SUMIFS(Investors!$M:$M,Investors!$O:$O,FALSE,Investors!$P:$P,FALSE,Investors!$K:$K,"&gt;"&amp;'NSST Print'!$B$3,Investors!$I:$I,"&lt;="&amp;'NSST Print'!$B$3,Investors!$A:$A,'Investor Exit List'!$A334,Investors!$E:$E,'Investor Exit List'!$C334,Investors!$L:$L,'Investor Exit List'!$B334)-(SUMIFS(Investors!$M:$M,Investors!$I:$I,"&lt;="&amp;'NSST Print'!$B$3,Investors!$J:$J,"&gt;"&amp;'NSST Print'!$B$3,Investors!$A:$A,'Investor Exit List'!$A334,Investors!$E:$E,'Investor Exit List'!$C334,Investors!$L:$L,'Investor Exit List'!$B334)+SUMIFS(Investors!$M:$M,Investors!$I:$I,"&lt;="&amp;'NSST Print'!$B$3,Investors!$J:$J,"",Investors!$A:$A,'Investor Exit List'!$A334,Investors!$E:$E,'Investor Exit List'!$C334,Investors!$L:$L,'Investor Exit List'!$B334))+SUMIFS(Investors!$S:$S,Investors!$O:$O,FALSE,Investors!$P:$P,FALSE,Investors!$K:$K,"&gt;"&amp;'NSST Print'!$B$3,Investors!$I:$I,"&lt;="&amp;'NSST Print'!$B$3,Investors!$A:$A,'Investor Exit List'!$A334,Investors!$E:$E,'Investor Exit List'!$C334,Investors!$L:$L,'Investor Exit List'!$B334)-(SUMIFS(Investors!$S:$S,Investors!$I:$I,"&lt;="&amp;'NSST Print'!$B$3,Investors!$J:$J,"&gt;"&amp;'NSST Print'!$B$3,Investors!$A:$A,'Investor Exit List'!$A334,Investors!$E:$E,'Investor Exit List'!$C334,Investors!$L:$L,'Investor Exit List'!$B334)+SUMIFS(Investors!$S:$S,Investors!$I:$I,"&lt;="&amp;'NSST Print'!$B$3,Investors!$J:$J,"",Investors!$A:$A,'Investor Exit List'!$A334,Investors!$E:$E,'Investor Exit List'!$C334,Investors!$L:$L,'Investor Exit List'!$B334))</f>
        <v/>
      </c>
      <c r="R334" s="94">
        <f>IF(AND(H334=TRUE,I334=FALSE),Q334,0)</f>
        <v/>
      </c>
      <c r="S334" s="94">
        <f>SUMIFS(Investors!$M:$M,Investors!$O:$O,TRUE,Investors!$A:$A,'Investor Exit List'!$A334,Investors!$E:$E,'Investor Exit List'!$C334,Investors!$L:$L,'Investor Exit List'!$B334)+SUMIFS(Investors!$S:$S,Investors!$O:$O,TRUE,Investors!$A:$A,'Investor Exit List'!$A334,Investors!$E:$E,'Investor Exit List'!$C334,Investors!$L:$L,'Investor Exit List'!$B334)</f>
        <v/>
      </c>
      <c r="T334" s="95">
        <f>IF(U334=TRUE,$J334,"")</f>
        <v/>
      </c>
      <c r="U334" s="93" t="b">
        <v>0</v>
      </c>
      <c r="V334" s="94">
        <f>IF(AND(H334=TRUE,OR(K334="",K334&gt;M334)),S334,0)</f>
        <v/>
      </c>
      <c r="W334" s="93" t="n">
        <v>0</v>
      </c>
      <c r="X334" s="93" t="b">
        <v>0</v>
      </c>
    </row>
    <row r="335">
      <c r="A335" s="93" t="inlineStr">
        <is>
          <t>ZVER04</t>
        </is>
      </c>
      <c r="B335" s="93" t="n">
        <v>1</v>
      </c>
      <c r="C335" s="93" t="inlineStr">
        <is>
          <t>HVJ302</t>
        </is>
      </c>
      <c r="D335" s="93" t="inlineStr">
        <is>
          <t>J</t>
        </is>
      </c>
      <c r="E335" s="93" t="inlineStr">
        <is>
          <t>Vermeulen Floris Nicolaas</t>
        </is>
      </c>
      <c r="F335" s="94">
        <f>SUMIFS(Investors!$M:$M,Investors!$O:$O,FALSE,Investors!$P:$P,FALSE,Investors!$K:$K,"&gt;"&amp;'NSST Print'!$B$3,Investors!$I:$I,"&lt;="&amp;'NSST Print'!$B$3,Investors!$A:$A,'Investor Exit List'!$A335,Investors!$E:$E,'Investor Exit List'!$C335,Investors!$L:$L,'Investor Exit List'!$B335)-(SUMIFS(Investors!$M:$M,Investors!$I:$I,"&lt;="&amp;'NSST Print'!$B$3,Investors!$J:$J,"&gt;"&amp;'NSST Print'!$B$3,Investors!$A:$A,'Investor Exit List'!$A335,Investors!$E:$E,'Investor Exit List'!$C335,Investors!$L:$L,'Investor Exit List'!$B335)+SUMIFS(Investors!$M:$M,Investors!$I:$I,"&lt;="&amp;'NSST Print'!$B$3,Investors!$J:$J,"",Investors!$A:$A,'Investor Exit List'!$A335,Investors!$E:$E,'Investor Exit List'!$C335,Investors!$L:$L,'Investor Exit List'!$B335))</f>
        <v/>
      </c>
      <c r="G335" s="95" t="n">
        <v>44798</v>
      </c>
      <c r="H335" s="93" t="b">
        <v>0</v>
      </c>
      <c r="I335" s="93" t="b">
        <v>0</v>
      </c>
      <c r="J335" s="95" t="n">
        <v>45552</v>
      </c>
      <c r="K335" s="95">
        <f>IF(I335=TRUE,J335,"")</f>
        <v/>
      </c>
      <c r="L335" s="95">
        <f>G335+730</f>
        <v/>
      </c>
      <c r="M335" s="95" t="n">
        <v>45382</v>
      </c>
      <c r="N335" s="96">
        <f>IFERROR(IF(G335&lt;&gt;"",IF(I335=TRUE,0,IF(U335=TRUE,0,L335-M335)),0),0)</f>
        <v/>
      </c>
      <c r="O335" s="96">
        <f>IF(N335&gt;0,IF(N335&lt;=180,N335,0),0)</f>
        <v/>
      </c>
      <c r="P335" s="94">
        <f>IF(AND(N335&lt;90,N335&gt;0),Q335,0)</f>
        <v/>
      </c>
      <c r="Q335" s="94">
        <f>SUMIFS(Investors!$M:$M,Investors!$O:$O,FALSE,Investors!$P:$P,FALSE,Investors!$K:$K,"&gt;"&amp;'NSST Print'!$B$3,Investors!$I:$I,"&lt;="&amp;'NSST Print'!$B$3,Investors!$A:$A,'Investor Exit List'!$A335,Investors!$E:$E,'Investor Exit List'!$C335,Investors!$L:$L,'Investor Exit List'!$B335)-(SUMIFS(Investors!$M:$M,Investors!$I:$I,"&lt;="&amp;'NSST Print'!$B$3,Investors!$J:$J,"&gt;"&amp;'NSST Print'!$B$3,Investors!$A:$A,'Investor Exit List'!$A335,Investors!$E:$E,'Investor Exit List'!$C335,Investors!$L:$L,'Investor Exit List'!$B335)+SUMIFS(Investors!$M:$M,Investors!$I:$I,"&lt;="&amp;'NSST Print'!$B$3,Investors!$J:$J,"",Investors!$A:$A,'Investor Exit List'!$A335,Investors!$E:$E,'Investor Exit List'!$C335,Investors!$L:$L,'Investor Exit List'!$B335))+SUMIFS(Investors!$S:$S,Investors!$O:$O,FALSE,Investors!$P:$P,FALSE,Investors!$K:$K,"&gt;"&amp;'NSST Print'!$B$3,Investors!$I:$I,"&lt;="&amp;'NSST Print'!$B$3,Investors!$A:$A,'Investor Exit List'!$A335,Investors!$E:$E,'Investor Exit List'!$C335,Investors!$L:$L,'Investor Exit List'!$B335)-(SUMIFS(Investors!$S:$S,Investors!$I:$I,"&lt;="&amp;'NSST Print'!$B$3,Investors!$J:$J,"&gt;"&amp;'NSST Print'!$B$3,Investors!$A:$A,'Investor Exit List'!$A335,Investors!$E:$E,'Investor Exit List'!$C335,Investors!$L:$L,'Investor Exit List'!$B335)+SUMIFS(Investors!$S:$S,Investors!$I:$I,"&lt;="&amp;'NSST Print'!$B$3,Investors!$J:$J,"",Investors!$A:$A,'Investor Exit List'!$A335,Investors!$E:$E,'Investor Exit List'!$C335,Investors!$L:$L,'Investor Exit List'!$B335))</f>
        <v/>
      </c>
      <c r="R335" s="94">
        <f>IF(AND(H335=TRUE,I335=FALSE),Q335,0)</f>
        <v/>
      </c>
      <c r="S335" s="94">
        <f>SUMIFS(Investors!$M:$M,Investors!$O:$O,TRUE,Investors!$A:$A,'Investor Exit List'!$A335,Investors!$E:$E,'Investor Exit List'!$C335,Investors!$L:$L,'Investor Exit List'!$B335)+SUMIFS(Investors!$S:$S,Investors!$O:$O,TRUE,Investors!$A:$A,'Investor Exit List'!$A335,Investors!$E:$E,'Investor Exit List'!$C335,Investors!$L:$L,'Investor Exit List'!$B335)</f>
        <v/>
      </c>
      <c r="T335" s="95">
        <f>IF(U335=TRUE,$J335,"")</f>
        <v/>
      </c>
      <c r="U335" s="93" t="b">
        <v>0</v>
      </c>
      <c r="V335" s="94">
        <f>IF(AND(H335=TRUE,OR(K335="",K335&gt;M335)),S335,0)</f>
        <v/>
      </c>
      <c r="W335" s="93" t="n">
        <v>0</v>
      </c>
      <c r="X335" s="93" t="b">
        <v>0</v>
      </c>
    </row>
    <row r="336">
      <c r="A336" s="93" t="inlineStr">
        <is>
          <t>ZVER04</t>
        </is>
      </c>
      <c r="B336" s="93" t="n">
        <v>2</v>
      </c>
      <c r="C336" s="93" t="inlineStr">
        <is>
          <t>HVJ303</t>
        </is>
      </c>
      <c r="D336" s="93" t="inlineStr">
        <is>
          <t>J</t>
        </is>
      </c>
      <c r="E336" s="93" t="inlineStr">
        <is>
          <t>Vermeulen Floris Nicolaas</t>
        </is>
      </c>
      <c r="F336" s="94">
        <f>SUMIFS(Investors!$M:$M,Investors!$O:$O,FALSE,Investors!$P:$P,FALSE,Investors!$K:$K,"&gt;"&amp;'NSST Print'!$B$3,Investors!$I:$I,"&lt;="&amp;'NSST Print'!$B$3,Investors!$A:$A,'Investor Exit List'!$A336,Investors!$E:$E,'Investor Exit List'!$C336,Investors!$L:$L,'Investor Exit List'!$B336)-(SUMIFS(Investors!$M:$M,Investors!$I:$I,"&lt;="&amp;'NSST Print'!$B$3,Investors!$J:$J,"&gt;"&amp;'NSST Print'!$B$3,Investors!$A:$A,'Investor Exit List'!$A336,Investors!$E:$E,'Investor Exit List'!$C336,Investors!$L:$L,'Investor Exit List'!$B336)+SUMIFS(Investors!$M:$M,Investors!$I:$I,"&lt;="&amp;'NSST Print'!$B$3,Investors!$J:$J,"",Investors!$A:$A,'Investor Exit List'!$A336,Investors!$E:$E,'Investor Exit List'!$C336,Investors!$L:$L,'Investor Exit List'!$B336))</f>
        <v/>
      </c>
      <c r="G336" s="95" t="n">
        <v>44798</v>
      </c>
      <c r="H336" s="93" t="b">
        <v>0</v>
      </c>
      <c r="I336" s="93" t="b">
        <v>0</v>
      </c>
      <c r="J336" s="95" t="n">
        <v>45552</v>
      </c>
      <c r="K336" s="95">
        <f>IF(I336=TRUE,J336,"")</f>
        <v/>
      </c>
      <c r="L336" s="95">
        <f>G336+730</f>
        <v/>
      </c>
      <c r="M336" s="95" t="n">
        <v>45382</v>
      </c>
      <c r="N336" s="96">
        <f>IFERROR(IF(G336&lt;&gt;"",IF(I336=TRUE,0,IF(U336=TRUE,0,L336-M336)),0),0)</f>
        <v/>
      </c>
      <c r="O336" s="96">
        <f>IF(N336&gt;0,IF(N336&lt;=180,N336,0),0)</f>
        <v/>
      </c>
      <c r="P336" s="94">
        <f>IF(AND(N336&lt;90,N336&gt;0),Q336,0)</f>
        <v/>
      </c>
      <c r="Q336" s="94">
        <f>SUMIFS(Investors!$M:$M,Investors!$O:$O,FALSE,Investors!$P:$P,FALSE,Investors!$K:$K,"&gt;"&amp;'NSST Print'!$B$3,Investors!$I:$I,"&lt;="&amp;'NSST Print'!$B$3,Investors!$A:$A,'Investor Exit List'!$A336,Investors!$E:$E,'Investor Exit List'!$C336,Investors!$L:$L,'Investor Exit List'!$B336)-(SUMIFS(Investors!$M:$M,Investors!$I:$I,"&lt;="&amp;'NSST Print'!$B$3,Investors!$J:$J,"&gt;"&amp;'NSST Print'!$B$3,Investors!$A:$A,'Investor Exit List'!$A336,Investors!$E:$E,'Investor Exit List'!$C336,Investors!$L:$L,'Investor Exit List'!$B336)+SUMIFS(Investors!$M:$M,Investors!$I:$I,"&lt;="&amp;'NSST Print'!$B$3,Investors!$J:$J,"",Investors!$A:$A,'Investor Exit List'!$A336,Investors!$E:$E,'Investor Exit List'!$C336,Investors!$L:$L,'Investor Exit List'!$B336))+SUMIFS(Investors!$S:$S,Investors!$O:$O,FALSE,Investors!$P:$P,FALSE,Investors!$K:$K,"&gt;"&amp;'NSST Print'!$B$3,Investors!$I:$I,"&lt;="&amp;'NSST Print'!$B$3,Investors!$A:$A,'Investor Exit List'!$A336,Investors!$E:$E,'Investor Exit List'!$C336,Investors!$L:$L,'Investor Exit List'!$B336)-(SUMIFS(Investors!$S:$S,Investors!$I:$I,"&lt;="&amp;'NSST Print'!$B$3,Investors!$J:$J,"&gt;"&amp;'NSST Print'!$B$3,Investors!$A:$A,'Investor Exit List'!$A336,Investors!$E:$E,'Investor Exit List'!$C336,Investors!$L:$L,'Investor Exit List'!$B336)+SUMIFS(Investors!$S:$S,Investors!$I:$I,"&lt;="&amp;'NSST Print'!$B$3,Investors!$J:$J,"",Investors!$A:$A,'Investor Exit List'!$A336,Investors!$E:$E,'Investor Exit List'!$C336,Investors!$L:$L,'Investor Exit List'!$B336))</f>
        <v/>
      </c>
      <c r="R336" s="94">
        <f>IF(AND(H336=TRUE,I336=FALSE),Q336,0)</f>
        <v/>
      </c>
      <c r="S336" s="94">
        <f>SUMIFS(Investors!$M:$M,Investors!$O:$O,TRUE,Investors!$A:$A,'Investor Exit List'!$A336,Investors!$E:$E,'Investor Exit List'!$C336,Investors!$L:$L,'Investor Exit List'!$B336)+SUMIFS(Investors!$S:$S,Investors!$O:$O,TRUE,Investors!$A:$A,'Investor Exit List'!$A336,Investors!$E:$E,'Investor Exit List'!$C336,Investors!$L:$L,'Investor Exit List'!$B336)</f>
        <v/>
      </c>
      <c r="T336" s="95">
        <f>IF(U336=TRUE,$J336,"")</f>
        <v/>
      </c>
      <c r="U336" s="93" t="b">
        <v>0</v>
      </c>
      <c r="V336" s="94">
        <f>IF(AND(H336=TRUE,OR(K336="",K336&gt;M336)),S336,0)</f>
        <v/>
      </c>
      <c r="W336" s="93" t="n">
        <v>0</v>
      </c>
      <c r="X336" s="93" t="b">
        <v>0</v>
      </c>
    </row>
    <row r="337">
      <c r="A337" s="93" t="inlineStr">
        <is>
          <t>ZFOU02</t>
        </is>
      </c>
      <c r="B337" s="93" t="n">
        <v>1</v>
      </c>
      <c r="C337" s="93" t="inlineStr">
        <is>
          <t>HVJ401</t>
        </is>
      </c>
      <c r="D337" s="93" t="inlineStr">
        <is>
          <t>J</t>
        </is>
      </c>
      <c r="E337" s="93" t="inlineStr">
        <is>
          <t>Fountain Clyde Michael</t>
        </is>
      </c>
      <c r="F337" s="94">
        <f>SUMIFS(Investors!$M:$M,Investors!$O:$O,FALSE,Investors!$P:$P,FALSE,Investors!$K:$K,"&gt;"&amp;'NSST Print'!$B$3,Investors!$I:$I,"&lt;="&amp;'NSST Print'!$B$3,Investors!$A:$A,'Investor Exit List'!$A337,Investors!$E:$E,'Investor Exit List'!$C337,Investors!$L:$L,'Investor Exit List'!$B337)-(SUMIFS(Investors!$M:$M,Investors!$I:$I,"&lt;="&amp;'NSST Print'!$B$3,Investors!$J:$J,"&gt;"&amp;'NSST Print'!$B$3,Investors!$A:$A,'Investor Exit List'!$A337,Investors!$E:$E,'Investor Exit List'!$C337,Investors!$L:$L,'Investor Exit List'!$B337)+SUMIFS(Investors!$M:$M,Investors!$I:$I,"&lt;="&amp;'NSST Print'!$B$3,Investors!$J:$J,"",Investors!$A:$A,'Investor Exit List'!$A337,Investors!$E:$E,'Investor Exit List'!$C337,Investors!$L:$L,'Investor Exit List'!$B337))</f>
        <v/>
      </c>
      <c r="G337" s="95" t="n">
        <v>44811</v>
      </c>
      <c r="H337" s="93" t="b">
        <v>0</v>
      </c>
      <c r="I337" s="93" t="b">
        <v>0</v>
      </c>
      <c r="J337" s="95" t="n">
        <v>45552</v>
      </c>
      <c r="K337" s="95">
        <f>IF(I337=TRUE,J337,"")</f>
        <v/>
      </c>
      <c r="L337" s="95">
        <f>G337+730</f>
        <v/>
      </c>
      <c r="M337" s="95" t="n">
        <v>45382</v>
      </c>
      <c r="N337" s="96">
        <f>IFERROR(IF(G337&lt;&gt;"",IF(I337=TRUE,0,IF(U337=TRUE,0,L337-M337)),0),0)</f>
        <v/>
      </c>
      <c r="O337" s="96">
        <f>IF(N337&gt;0,IF(N337&lt;=180,N337,0),0)</f>
        <v/>
      </c>
      <c r="P337" s="94">
        <f>IF(AND(N337&lt;90,N337&gt;0),Q337,0)</f>
        <v/>
      </c>
      <c r="Q337" s="94">
        <f>SUMIFS(Investors!$M:$M,Investors!$O:$O,FALSE,Investors!$P:$P,FALSE,Investors!$K:$K,"&gt;"&amp;'NSST Print'!$B$3,Investors!$I:$I,"&lt;="&amp;'NSST Print'!$B$3,Investors!$A:$A,'Investor Exit List'!$A337,Investors!$E:$E,'Investor Exit List'!$C337,Investors!$L:$L,'Investor Exit List'!$B337)-(SUMIFS(Investors!$M:$M,Investors!$I:$I,"&lt;="&amp;'NSST Print'!$B$3,Investors!$J:$J,"&gt;"&amp;'NSST Print'!$B$3,Investors!$A:$A,'Investor Exit List'!$A337,Investors!$E:$E,'Investor Exit List'!$C337,Investors!$L:$L,'Investor Exit List'!$B337)+SUMIFS(Investors!$M:$M,Investors!$I:$I,"&lt;="&amp;'NSST Print'!$B$3,Investors!$J:$J,"",Investors!$A:$A,'Investor Exit List'!$A337,Investors!$E:$E,'Investor Exit List'!$C337,Investors!$L:$L,'Investor Exit List'!$B337))+SUMIFS(Investors!$S:$S,Investors!$O:$O,FALSE,Investors!$P:$P,FALSE,Investors!$K:$K,"&gt;"&amp;'NSST Print'!$B$3,Investors!$I:$I,"&lt;="&amp;'NSST Print'!$B$3,Investors!$A:$A,'Investor Exit List'!$A337,Investors!$E:$E,'Investor Exit List'!$C337,Investors!$L:$L,'Investor Exit List'!$B337)-(SUMIFS(Investors!$S:$S,Investors!$I:$I,"&lt;="&amp;'NSST Print'!$B$3,Investors!$J:$J,"&gt;"&amp;'NSST Print'!$B$3,Investors!$A:$A,'Investor Exit List'!$A337,Investors!$E:$E,'Investor Exit List'!$C337,Investors!$L:$L,'Investor Exit List'!$B337)+SUMIFS(Investors!$S:$S,Investors!$I:$I,"&lt;="&amp;'NSST Print'!$B$3,Investors!$J:$J,"",Investors!$A:$A,'Investor Exit List'!$A337,Investors!$E:$E,'Investor Exit List'!$C337,Investors!$L:$L,'Investor Exit List'!$B337))</f>
        <v/>
      </c>
      <c r="R337" s="94">
        <f>IF(AND(H337=TRUE,I337=FALSE),Q337,0)</f>
        <v/>
      </c>
      <c r="S337" s="94">
        <f>SUMIFS(Investors!$M:$M,Investors!$O:$O,TRUE,Investors!$A:$A,'Investor Exit List'!$A337,Investors!$E:$E,'Investor Exit List'!$C337,Investors!$L:$L,'Investor Exit List'!$B337)+SUMIFS(Investors!$S:$S,Investors!$O:$O,TRUE,Investors!$A:$A,'Investor Exit List'!$A337,Investors!$E:$E,'Investor Exit List'!$C337,Investors!$L:$L,'Investor Exit List'!$B337)</f>
        <v/>
      </c>
      <c r="T337" s="95">
        <f>IF(U337=TRUE,$J337,"")</f>
        <v/>
      </c>
      <c r="U337" s="93" t="b">
        <v>0</v>
      </c>
      <c r="V337" s="94">
        <f>IF(AND(H337=TRUE,OR(K337="",K337&gt;M337)),S337,0)</f>
        <v/>
      </c>
      <c r="W337" s="93" t="n">
        <v>0</v>
      </c>
      <c r="X337" s="93" t="b">
        <v>0</v>
      </c>
    </row>
    <row r="338">
      <c r="A338" s="93" t="inlineStr">
        <is>
          <t>ZVIS02</t>
        </is>
      </c>
      <c r="B338" s="93" t="n">
        <v>2</v>
      </c>
      <c r="C338" s="93" t="inlineStr">
        <is>
          <t>HVJ402</t>
        </is>
      </c>
      <c r="D338" s="93" t="inlineStr">
        <is>
          <t>J</t>
        </is>
      </c>
      <c r="E338" s="93" t="inlineStr">
        <is>
          <t>Visser Jimke</t>
        </is>
      </c>
      <c r="F338" s="94">
        <f>SUMIFS(Investors!$M:$M,Investors!$O:$O,FALSE,Investors!$P:$P,FALSE,Investors!$K:$K,"&gt;"&amp;'NSST Print'!$B$3,Investors!$I:$I,"&lt;="&amp;'NSST Print'!$B$3,Investors!$A:$A,'Investor Exit List'!$A338,Investors!$E:$E,'Investor Exit List'!$C338,Investors!$L:$L,'Investor Exit List'!$B338)-(SUMIFS(Investors!$M:$M,Investors!$I:$I,"&lt;="&amp;'NSST Print'!$B$3,Investors!$J:$J,"&gt;"&amp;'NSST Print'!$B$3,Investors!$A:$A,'Investor Exit List'!$A338,Investors!$E:$E,'Investor Exit List'!$C338,Investors!$L:$L,'Investor Exit List'!$B338)+SUMIFS(Investors!$M:$M,Investors!$I:$I,"&lt;="&amp;'NSST Print'!$B$3,Investors!$J:$J,"",Investors!$A:$A,'Investor Exit List'!$A338,Investors!$E:$E,'Investor Exit List'!$C338,Investors!$L:$L,'Investor Exit List'!$B338))</f>
        <v/>
      </c>
      <c r="G338" s="95" t="n">
        <v>44811</v>
      </c>
      <c r="H338" s="93" t="b">
        <v>0</v>
      </c>
      <c r="I338" s="93" t="b">
        <v>0</v>
      </c>
      <c r="J338" s="95" t="n">
        <v>45552</v>
      </c>
      <c r="K338" s="95">
        <f>IF(I338=TRUE,J338,"")</f>
        <v/>
      </c>
      <c r="L338" s="95">
        <f>G338+730</f>
        <v/>
      </c>
      <c r="M338" s="95" t="n">
        <v>45382</v>
      </c>
      <c r="N338" s="96">
        <f>IFERROR(IF(G338&lt;&gt;"",IF(I338=TRUE,0,IF(U338=TRUE,0,L338-M338)),0),0)</f>
        <v/>
      </c>
      <c r="O338" s="96">
        <f>IF(N338&gt;0,IF(N338&lt;=180,N338,0),0)</f>
        <v/>
      </c>
      <c r="P338" s="94">
        <f>IF(AND(N338&lt;90,N338&gt;0),Q338,0)</f>
        <v/>
      </c>
      <c r="Q338" s="94">
        <f>SUMIFS(Investors!$M:$M,Investors!$O:$O,FALSE,Investors!$P:$P,FALSE,Investors!$K:$K,"&gt;"&amp;'NSST Print'!$B$3,Investors!$I:$I,"&lt;="&amp;'NSST Print'!$B$3,Investors!$A:$A,'Investor Exit List'!$A338,Investors!$E:$E,'Investor Exit List'!$C338,Investors!$L:$L,'Investor Exit List'!$B338)-(SUMIFS(Investors!$M:$M,Investors!$I:$I,"&lt;="&amp;'NSST Print'!$B$3,Investors!$J:$J,"&gt;"&amp;'NSST Print'!$B$3,Investors!$A:$A,'Investor Exit List'!$A338,Investors!$E:$E,'Investor Exit List'!$C338,Investors!$L:$L,'Investor Exit List'!$B338)+SUMIFS(Investors!$M:$M,Investors!$I:$I,"&lt;="&amp;'NSST Print'!$B$3,Investors!$J:$J,"",Investors!$A:$A,'Investor Exit List'!$A338,Investors!$E:$E,'Investor Exit List'!$C338,Investors!$L:$L,'Investor Exit List'!$B338))+SUMIFS(Investors!$S:$S,Investors!$O:$O,FALSE,Investors!$P:$P,FALSE,Investors!$K:$K,"&gt;"&amp;'NSST Print'!$B$3,Investors!$I:$I,"&lt;="&amp;'NSST Print'!$B$3,Investors!$A:$A,'Investor Exit List'!$A338,Investors!$E:$E,'Investor Exit List'!$C338,Investors!$L:$L,'Investor Exit List'!$B338)-(SUMIFS(Investors!$S:$S,Investors!$I:$I,"&lt;="&amp;'NSST Print'!$B$3,Investors!$J:$J,"&gt;"&amp;'NSST Print'!$B$3,Investors!$A:$A,'Investor Exit List'!$A338,Investors!$E:$E,'Investor Exit List'!$C338,Investors!$L:$L,'Investor Exit List'!$B338)+SUMIFS(Investors!$S:$S,Investors!$I:$I,"&lt;="&amp;'NSST Print'!$B$3,Investors!$J:$J,"",Investors!$A:$A,'Investor Exit List'!$A338,Investors!$E:$E,'Investor Exit List'!$C338,Investors!$L:$L,'Investor Exit List'!$B338))</f>
        <v/>
      </c>
      <c r="R338" s="94">
        <f>IF(AND(H338=TRUE,I338=FALSE),Q338,0)</f>
        <v/>
      </c>
      <c r="S338" s="94">
        <f>SUMIFS(Investors!$M:$M,Investors!$O:$O,TRUE,Investors!$A:$A,'Investor Exit List'!$A338,Investors!$E:$E,'Investor Exit List'!$C338,Investors!$L:$L,'Investor Exit List'!$B338)+SUMIFS(Investors!$S:$S,Investors!$O:$O,TRUE,Investors!$A:$A,'Investor Exit List'!$A338,Investors!$E:$E,'Investor Exit List'!$C338,Investors!$L:$L,'Investor Exit List'!$B338)</f>
        <v/>
      </c>
      <c r="T338" s="95">
        <f>IF(U338=TRUE,$J338,"")</f>
        <v/>
      </c>
      <c r="U338" s="93" t="b">
        <v>0</v>
      </c>
      <c r="V338" s="94">
        <f>IF(AND(H338=TRUE,OR(K338="",K338&gt;M338)),S338,0)</f>
        <v/>
      </c>
      <c r="W338" s="93" t="n">
        <v>0</v>
      </c>
      <c r="X338" s="93" t="b">
        <v>0</v>
      </c>
    </row>
    <row r="339">
      <c r="A339" s="93" t="inlineStr">
        <is>
          <t>ZFOU02</t>
        </is>
      </c>
      <c r="B339" s="93" t="n">
        <v>2</v>
      </c>
      <c r="C339" s="93" t="inlineStr">
        <is>
          <t>HVJ403</t>
        </is>
      </c>
      <c r="D339" s="93" t="inlineStr">
        <is>
          <t>J</t>
        </is>
      </c>
      <c r="E339" s="93" t="inlineStr">
        <is>
          <t>Fountain Clyde Michael</t>
        </is>
      </c>
      <c r="F339" s="94">
        <f>SUMIFS(Investors!$M:$M,Investors!$O:$O,FALSE,Investors!$P:$P,FALSE,Investors!$K:$K,"&gt;"&amp;'NSST Print'!$B$3,Investors!$I:$I,"&lt;="&amp;'NSST Print'!$B$3,Investors!$A:$A,'Investor Exit List'!$A339,Investors!$E:$E,'Investor Exit List'!$C339,Investors!$L:$L,'Investor Exit List'!$B339)-(SUMIFS(Investors!$M:$M,Investors!$I:$I,"&lt;="&amp;'NSST Print'!$B$3,Investors!$J:$J,"&gt;"&amp;'NSST Print'!$B$3,Investors!$A:$A,'Investor Exit List'!$A339,Investors!$E:$E,'Investor Exit List'!$C339,Investors!$L:$L,'Investor Exit List'!$B339)+SUMIFS(Investors!$M:$M,Investors!$I:$I,"&lt;="&amp;'NSST Print'!$B$3,Investors!$J:$J,"",Investors!$A:$A,'Investor Exit List'!$A339,Investors!$E:$E,'Investor Exit List'!$C339,Investors!$L:$L,'Investor Exit List'!$B339))</f>
        <v/>
      </c>
      <c r="G339" s="95" t="n">
        <v>44811</v>
      </c>
      <c r="H339" s="93" t="b">
        <v>0</v>
      </c>
      <c r="I339" s="93" t="b">
        <v>0</v>
      </c>
      <c r="J339" s="95" t="n">
        <v>45552</v>
      </c>
      <c r="K339" s="95">
        <f>IF(I339=TRUE,J339,"")</f>
        <v/>
      </c>
      <c r="L339" s="95">
        <f>G339+730</f>
        <v/>
      </c>
      <c r="M339" s="95" t="n">
        <v>45382</v>
      </c>
      <c r="N339" s="96">
        <f>IFERROR(IF(G339&lt;&gt;"",IF(I339=TRUE,0,IF(U339=TRUE,0,L339-M339)),0),0)</f>
        <v/>
      </c>
      <c r="O339" s="96">
        <f>IF(N339&gt;0,IF(N339&lt;=180,N339,0),0)</f>
        <v/>
      </c>
      <c r="P339" s="94">
        <f>IF(AND(N339&lt;90,N339&gt;0),Q339,0)</f>
        <v/>
      </c>
      <c r="Q339" s="94">
        <f>SUMIFS(Investors!$M:$M,Investors!$O:$O,FALSE,Investors!$P:$P,FALSE,Investors!$K:$K,"&gt;"&amp;'NSST Print'!$B$3,Investors!$I:$I,"&lt;="&amp;'NSST Print'!$B$3,Investors!$A:$A,'Investor Exit List'!$A339,Investors!$E:$E,'Investor Exit List'!$C339,Investors!$L:$L,'Investor Exit List'!$B339)-(SUMIFS(Investors!$M:$M,Investors!$I:$I,"&lt;="&amp;'NSST Print'!$B$3,Investors!$J:$J,"&gt;"&amp;'NSST Print'!$B$3,Investors!$A:$A,'Investor Exit List'!$A339,Investors!$E:$E,'Investor Exit List'!$C339,Investors!$L:$L,'Investor Exit List'!$B339)+SUMIFS(Investors!$M:$M,Investors!$I:$I,"&lt;="&amp;'NSST Print'!$B$3,Investors!$J:$J,"",Investors!$A:$A,'Investor Exit List'!$A339,Investors!$E:$E,'Investor Exit List'!$C339,Investors!$L:$L,'Investor Exit List'!$B339))+SUMIFS(Investors!$S:$S,Investors!$O:$O,FALSE,Investors!$P:$P,FALSE,Investors!$K:$K,"&gt;"&amp;'NSST Print'!$B$3,Investors!$I:$I,"&lt;="&amp;'NSST Print'!$B$3,Investors!$A:$A,'Investor Exit List'!$A339,Investors!$E:$E,'Investor Exit List'!$C339,Investors!$L:$L,'Investor Exit List'!$B339)-(SUMIFS(Investors!$S:$S,Investors!$I:$I,"&lt;="&amp;'NSST Print'!$B$3,Investors!$J:$J,"&gt;"&amp;'NSST Print'!$B$3,Investors!$A:$A,'Investor Exit List'!$A339,Investors!$E:$E,'Investor Exit List'!$C339,Investors!$L:$L,'Investor Exit List'!$B339)+SUMIFS(Investors!$S:$S,Investors!$I:$I,"&lt;="&amp;'NSST Print'!$B$3,Investors!$J:$J,"",Investors!$A:$A,'Investor Exit List'!$A339,Investors!$E:$E,'Investor Exit List'!$C339,Investors!$L:$L,'Investor Exit List'!$B339))</f>
        <v/>
      </c>
      <c r="R339" s="94">
        <f>IF(AND(H339=TRUE,I339=FALSE),Q339,0)</f>
        <v/>
      </c>
      <c r="S339" s="94">
        <f>SUMIFS(Investors!$M:$M,Investors!$O:$O,TRUE,Investors!$A:$A,'Investor Exit List'!$A339,Investors!$E:$E,'Investor Exit List'!$C339,Investors!$L:$L,'Investor Exit List'!$B339)+SUMIFS(Investors!$S:$S,Investors!$O:$O,TRUE,Investors!$A:$A,'Investor Exit List'!$A339,Investors!$E:$E,'Investor Exit List'!$C339,Investors!$L:$L,'Investor Exit List'!$B339)</f>
        <v/>
      </c>
      <c r="T339" s="95">
        <f>IF(U339=TRUE,$J339,"")</f>
        <v/>
      </c>
      <c r="U339" s="93" t="b">
        <v>0</v>
      </c>
      <c r="V339" s="94">
        <f>IF(AND(H339=TRUE,OR(K339="",K339&gt;M339)),S339,0)</f>
        <v/>
      </c>
      <c r="W339" s="93" t="n">
        <v>0</v>
      </c>
      <c r="X339" s="93" t="b">
        <v>0</v>
      </c>
    </row>
    <row r="340">
      <c r="A340" s="93" t="inlineStr">
        <is>
          <t>ZVER04</t>
        </is>
      </c>
      <c r="B340" s="93" t="n">
        <v>3</v>
      </c>
      <c r="C340" s="93" t="inlineStr">
        <is>
          <t>HVJ403</t>
        </is>
      </c>
      <c r="D340" s="93" t="inlineStr">
        <is>
          <t>J</t>
        </is>
      </c>
      <c r="E340" s="93" t="inlineStr">
        <is>
          <t>Vermeulen Floris Nicolaas</t>
        </is>
      </c>
      <c r="F340" s="94">
        <f>SUMIFS(Investors!$M:$M,Investors!$O:$O,FALSE,Investors!$P:$P,FALSE,Investors!$K:$K,"&gt;"&amp;'NSST Print'!$B$3,Investors!$I:$I,"&lt;="&amp;'NSST Print'!$B$3,Investors!$A:$A,'Investor Exit List'!$A340,Investors!$E:$E,'Investor Exit List'!$C340,Investors!$L:$L,'Investor Exit List'!$B340)-(SUMIFS(Investors!$M:$M,Investors!$I:$I,"&lt;="&amp;'NSST Print'!$B$3,Investors!$J:$J,"&gt;"&amp;'NSST Print'!$B$3,Investors!$A:$A,'Investor Exit List'!$A340,Investors!$E:$E,'Investor Exit List'!$C340,Investors!$L:$L,'Investor Exit List'!$B340)+SUMIFS(Investors!$M:$M,Investors!$I:$I,"&lt;="&amp;'NSST Print'!$B$3,Investors!$J:$J,"",Investors!$A:$A,'Investor Exit List'!$A340,Investors!$E:$E,'Investor Exit List'!$C340,Investors!$L:$L,'Investor Exit List'!$B340))</f>
        <v/>
      </c>
      <c r="G340" s="95" t="n">
        <v>44798</v>
      </c>
      <c r="H340" s="93" t="b">
        <v>0</v>
      </c>
      <c r="I340" s="93" t="b">
        <v>0</v>
      </c>
      <c r="J340" s="95" t="n">
        <v>45552</v>
      </c>
      <c r="K340" s="95">
        <f>IF(I340=TRUE,J340,"")</f>
        <v/>
      </c>
      <c r="L340" s="95">
        <f>G340+730</f>
        <v/>
      </c>
      <c r="M340" s="95" t="n">
        <v>45382</v>
      </c>
      <c r="N340" s="96">
        <f>IFERROR(IF(G340&lt;&gt;"",IF(I340=TRUE,0,IF(U340=TRUE,0,L340-M340)),0),0)</f>
        <v/>
      </c>
      <c r="O340" s="96">
        <f>IF(N340&gt;0,IF(N340&lt;=180,N340,0),0)</f>
        <v/>
      </c>
      <c r="P340" s="94">
        <f>IF(AND(N340&lt;90,N340&gt;0),Q340,0)</f>
        <v/>
      </c>
      <c r="Q340" s="94">
        <f>SUMIFS(Investors!$M:$M,Investors!$O:$O,FALSE,Investors!$P:$P,FALSE,Investors!$K:$K,"&gt;"&amp;'NSST Print'!$B$3,Investors!$I:$I,"&lt;="&amp;'NSST Print'!$B$3,Investors!$A:$A,'Investor Exit List'!$A340,Investors!$E:$E,'Investor Exit List'!$C340,Investors!$L:$L,'Investor Exit List'!$B340)-(SUMIFS(Investors!$M:$M,Investors!$I:$I,"&lt;="&amp;'NSST Print'!$B$3,Investors!$J:$J,"&gt;"&amp;'NSST Print'!$B$3,Investors!$A:$A,'Investor Exit List'!$A340,Investors!$E:$E,'Investor Exit List'!$C340,Investors!$L:$L,'Investor Exit List'!$B340)+SUMIFS(Investors!$M:$M,Investors!$I:$I,"&lt;="&amp;'NSST Print'!$B$3,Investors!$J:$J,"",Investors!$A:$A,'Investor Exit List'!$A340,Investors!$E:$E,'Investor Exit List'!$C340,Investors!$L:$L,'Investor Exit List'!$B340))+SUMIFS(Investors!$S:$S,Investors!$O:$O,FALSE,Investors!$P:$P,FALSE,Investors!$K:$K,"&gt;"&amp;'NSST Print'!$B$3,Investors!$I:$I,"&lt;="&amp;'NSST Print'!$B$3,Investors!$A:$A,'Investor Exit List'!$A340,Investors!$E:$E,'Investor Exit List'!$C340,Investors!$L:$L,'Investor Exit List'!$B340)-(SUMIFS(Investors!$S:$S,Investors!$I:$I,"&lt;="&amp;'NSST Print'!$B$3,Investors!$J:$J,"&gt;"&amp;'NSST Print'!$B$3,Investors!$A:$A,'Investor Exit List'!$A340,Investors!$E:$E,'Investor Exit List'!$C340,Investors!$L:$L,'Investor Exit List'!$B340)+SUMIFS(Investors!$S:$S,Investors!$I:$I,"&lt;="&amp;'NSST Print'!$B$3,Investors!$J:$J,"",Investors!$A:$A,'Investor Exit List'!$A340,Investors!$E:$E,'Investor Exit List'!$C340,Investors!$L:$L,'Investor Exit List'!$B340))</f>
        <v/>
      </c>
      <c r="R340" s="94">
        <f>IF(AND(H340=TRUE,I340=FALSE),Q340,0)</f>
        <v/>
      </c>
      <c r="S340" s="94">
        <f>SUMIFS(Investors!$M:$M,Investors!$O:$O,TRUE,Investors!$A:$A,'Investor Exit List'!$A340,Investors!$E:$E,'Investor Exit List'!$C340,Investors!$L:$L,'Investor Exit List'!$B340)+SUMIFS(Investors!$S:$S,Investors!$O:$O,TRUE,Investors!$A:$A,'Investor Exit List'!$A340,Investors!$E:$E,'Investor Exit List'!$C340,Investors!$L:$L,'Investor Exit List'!$B340)</f>
        <v/>
      </c>
      <c r="T340" s="95">
        <f>IF(U340=TRUE,$J340,"")</f>
        <v/>
      </c>
      <c r="U340" s="93" t="b">
        <v>0</v>
      </c>
      <c r="V340" s="94">
        <f>IF(AND(H340=TRUE,OR(K340="",K340&gt;M340)),S340,0)</f>
        <v/>
      </c>
      <c r="W340" s="93" t="n">
        <v>0</v>
      </c>
      <c r="X340" s="93" t="b">
        <v>0</v>
      </c>
    </row>
    <row r="341">
      <c r="A341" s="93" t="inlineStr">
        <is>
          <t>ZCRO01</t>
        </is>
      </c>
      <c r="B341" s="93" t="n">
        <v>14</v>
      </c>
      <c r="C341" s="93" t="inlineStr">
        <is>
          <t>HVK101</t>
        </is>
      </c>
      <c r="D341" s="93" t="inlineStr">
        <is>
          <t>K</t>
        </is>
      </c>
      <c r="E341" s="93" t="inlineStr">
        <is>
          <t>Lunau Marc</t>
        </is>
      </c>
      <c r="F341" s="94">
        <f>SUMIFS(Investors!$M:$M,Investors!$O:$O,FALSE,Investors!$P:$P,FALSE,Investors!$K:$K,"&gt;"&amp;'NSST Print'!$B$3,Investors!$I:$I,"&lt;="&amp;'NSST Print'!$B$3,Investors!$A:$A,'Investor Exit List'!$A341,Investors!$E:$E,'Investor Exit List'!$C341,Investors!$L:$L,'Investor Exit List'!$B341)-(SUMIFS(Investors!$M:$M,Investors!$I:$I,"&lt;="&amp;'NSST Print'!$B$3,Investors!$J:$J,"&gt;"&amp;'NSST Print'!$B$3,Investors!$A:$A,'Investor Exit List'!$A341,Investors!$E:$E,'Investor Exit List'!$C341,Investors!$L:$L,'Investor Exit List'!$B341)+SUMIFS(Investors!$M:$M,Investors!$I:$I,"&lt;="&amp;'NSST Print'!$B$3,Investors!$J:$J,"",Investors!$A:$A,'Investor Exit List'!$A341,Investors!$E:$E,'Investor Exit List'!$C341,Investors!$L:$L,'Investor Exit List'!$B341))</f>
        <v/>
      </c>
      <c r="G341" s="95" t="n">
        <v>45107</v>
      </c>
      <c r="H341" s="93" t="b">
        <v>0</v>
      </c>
      <c r="I341" s="93" t="b">
        <v>0</v>
      </c>
      <c r="J341" s="95" t="n">
        <v>45510</v>
      </c>
      <c r="K341" s="95">
        <f>IF(I341=TRUE,J341,"")</f>
        <v/>
      </c>
      <c r="L341" s="95">
        <f>G341+730</f>
        <v/>
      </c>
      <c r="M341" s="95" t="n">
        <v>45382</v>
      </c>
      <c r="N341" s="96">
        <f>IFERROR(IF(G341&lt;&gt;"",IF(I341=TRUE,0,IF(U341=TRUE,0,L341-M341)),0),0)</f>
        <v/>
      </c>
      <c r="O341" s="96">
        <f>IF(N341&gt;0,IF(N341&lt;=180,N341,0),0)</f>
        <v/>
      </c>
      <c r="P341" s="94">
        <f>IF(AND(N341&lt;90,N341&gt;0),Q341,0)</f>
        <v/>
      </c>
      <c r="Q341" s="94">
        <f>SUMIFS(Investors!$M:$M,Investors!$O:$O,FALSE,Investors!$P:$P,FALSE,Investors!$K:$K,"&gt;"&amp;'NSST Print'!$B$3,Investors!$I:$I,"&lt;="&amp;'NSST Print'!$B$3,Investors!$A:$A,'Investor Exit List'!$A341,Investors!$E:$E,'Investor Exit List'!$C341,Investors!$L:$L,'Investor Exit List'!$B341)-(SUMIFS(Investors!$M:$M,Investors!$I:$I,"&lt;="&amp;'NSST Print'!$B$3,Investors!$J:$J,"&gt;"&amp;'NSST Print'!$B$3,Investors!$A:$A,'Investor Exit List'!$A341,Investors!$E:$E,'Investor Exit List'!$C341,Investors!$L:$L,'Investor Exit List'!$B341)+SUMIFS(Investors!$M:$M,Investors!$I:$I,"&lt;="&amp;'NSST Print'!$B$3,Investors!$J:$J,"",Investors!$A:$A,'Investor Exit List'!$A341,Investors!$E:$E,'Investor Exit List'!$C341,Investors!$L:$L,'Investor Exit List'!$B341))+SUMIFS(Investors!$S:$S,Investors!$O:$O,FALSE,Investors!$P:$P,FALSE,Investors!$K:$K,"&gt;"&amp;'NSST Print'!$B$3,Investors!$I:$I,"&lt;="&amp;'NSST Print'!$B$3,Investors!$A:$A,'Investor Exit List'!$A341,Investors!$E:$E,'Investor Exit List'!$C341,Investors!$L:$L,'Investor Exit List'!$B341)-(SUMIFS(Investors!$S:$S,Investors!$I:$I,"&lt;="&amp;'NSST Print'!$B$3,Investors!$J:$J,"&gt;"&amp;'NSST Print'!$B$3,Investors!$A:$A,'Investor Exit List'!$A341,Investors!$E:$E,'Investor Exit List'!$C341,Investors!$L:$L,'Investor Exit List'!$B341)+SUMIFS(Investors!$S:$S,Investors!$I:$I,"&lt;="&amp;'NSST Print'!$B$3,Investors!$J:$J,"",Investors!$A:$A,'Investor Exit List'!$A341,Investors!$E:$E,'Investor Exit List'!$C341,Investors!$L:$L,'Investor Exit List'!$B341))</f>
        <v/>
      </c>
      <c r="R341" s="94">
        <f>IF(AND(H341=TRUE,I341=FALSE),Q341,0)</f>
        <v/>
      </c>
      <c r="S341" s="94">
        <f>SUMIFS(Investors!$M:$M,Investors!$O:$O,TRUE,Investors!$A:$A,'Investor Exit List'!$A341,Investors!$E:$E,'Investor Exit List'!$C341,Investors!$L:$L,'Investor Exit List'!$B341)+SUMIFS(Investors!$S:$S,Investors!$O:$O,TRUE,Investors!$A:$A,'Investor Exit List'!$A341,Investors!$E:$E,'Investor Exit List'!$C341,Investors!$L:$L,'Investor Exit List'!$B341)</f>
        <v/>
      </c>
      <c r="T341" s="95">
        <f>IF(U341=TRUE,$J341,"")</f>
        <v/>
      </c>
      <c r="U341" s="93" t="b">
        <v>0</v>
      </c>
      <c r="V341" s="94">
        <f>IF(AND(H341=TRUE,OR(K341="",K341&gt;M341)),S341,0)</f>
        <v/>
      </c>
      <c r="W341" s="93" t="n">
        <v>0</v>
      </c>
      <c r="X341" s="93" t="b">
        <v>0</v>
      </c>
    </row>
    <row r="342">
      <c r="A342" s="93" t="inlineStr">
        <is>
          <t>ZINT01</t>
        </is>
      </c>
      <c r="B342" s="93" t="n">
        <v>16</v>
      </c>
      <c r="C342" s="93" t="inlineStr">
        <is>
          <t>HVK101</t>
        </is>
      </c>
      <c r="D342" s="93" t="inlineStr">
        <is>
          <t>K</t>
        </is>
      </c>
      <c r="E342" s="93" t="inlineStr">
        <is>
          <t>Lunau Marc</t>
        </is>
      </c>
      <c r="F342" s="94">
        <f>SUMIFS(Investors!$M:$M,Investors!$O:$O,FALSE,Investors!$P:$P,FALSE,Investors!$K:$K,"&gt;"&amp;'NSST Print'!$B$3,Investors!$I:$I,"&lt;="&amp;'NSST Print'!$B$3,Investors!$A:$A,'Investor Exit List'!$A342,Investors!$E:$E,'Investor Exit List'!$C342,Investors!$L:$L,'Investor Exit List'!$B342)-(SUMIFS(Investors!$M:$M,Investors!$I:$I,"&lt;="&amp;'NSST Print'!$B$3,Investors!$J:$J,"&gt;"&amp;'NSST Print'!$B$3,Investors!$A:$A,'Investor Exit List'!$A342,Investors!$E:$E,'Investor Exit List'!$C342,Investors!$L:$L,'Investor Exit List'!$B342)+SUMIFS(Investors!$M:$M,Investors!$I:$I,"&lt;="&amp;'NSST Print'!$B$3,Investors!$J:$J,"",Investors!$A:$A,'Investor Exit List'!$A342,Investors!$E:$E,'Investor Exit List'!$C342,Investors!$L:$L,'Investor Exit List'!$B342))</f>
        <v/>
      </c>
      <c r="G342" s="95" t="n">
        <v>45107</v>
      </c>
      <c r="H342" s="93" t="b">
        <v>0</v>
      </c>
      <c r="I342" s="93" t="b">
        <v>0</v>
      </c>
      <c r="J342" s="95" t="n">
        <v>45510</v>
      </c>
      <c r="K342" s="95">
        <f>IF(I342=TRUE,J342,"")</f>
        <v/>
      </c>
      <c r="L342" s="95">
        <f>G342+730</f>
        <v/>
      </c>
      <c r="M342" s="95" t="n">
        <v>45382</v>
      </c>
      <c r="N342" s="96">
        <f>IFERROR(IF(G342&lt;&gt;"",IF(I342=TRUE,0,IF(U342=TRUE,0,L342-M342)),0),0)</f>
        <v/>
      </c>
      <c r="O342" s="96">
        <f>IF(N342&gt;0,IF(N342&lt;=180,N342,0),0)</f>
        <v/>
      </c>
      <c r="P342" s="94">
        <f>IF(AND(N342&lt;90,N342&gt;0),Q342,0)</f>
        <v/>
      </c>
      <c r="Q342" s="94">
        <f>SUMIFS(Investors!$M:$M,Investors!$O:$O,FALSE,Investors!$P:$P,FALSE,Investors!$K:$K,"&gt;"&amp;'NSST Print'!$B$3,Investors!$I:$I,"&lt;="&amp;'NSST Print'!$B$3,Investors!$A:$A,'Investor Exit List'!$A342,Investors!$E:$E,'Investor Exit List'!$C342,Investors!$L:$L,'Investor Exit List'!$B342)-(SUMIFS(Investors!$M:$M,Investors!$I:$I,"&lt;="&amp;'NSST Print'!$B$3,Investors!$J:$J,"&gt;"&amp;'NSST Print'!$B$3,Investors!$A:$A,'Investor Exit List'!$A342,Investors!$E:$E,'Investor Exit List'!$C342,Investors!$L:$L,'Investor Exit List'!$B342)+SUMIFS(Investors!$M:$M,Investors!$I:$I,"&lt;="&amp;'NSST Print'!$B$3,Investors!$J:$J,"",Investors!$A:$A,'Investor Exit List'!$A342,Investors!$E:$E,'Investor Exit List'!$C342,Investors!$L:$L,'Investor Exit List'!$B342))+SUMIFS(Investors!$S:$S,Investors!$O:$O,FALSE,Investors!$P:$P,FALSE,Investors!$K:$K,"&gt;"&amp;'NSST Print'!$B$3,Investors!$I:$I,"&lt;="&amp;'NSST Print'!$B$3,Investors!$A:$A,'Investor Exit List'!$A342,Investors!$E:$E,'Investor Exit List'!$C342,Investors!$L:$L,'Investor Exit List'!$B342)-(SUMIFS(Investors!$S:$S,Investors!$I:$I,"&lt;="&amp;'NSST Print'!$B$3,Investors!$J:$J,"&gt;"&amp;'NSST Print'!$B$3,Investors!$A:$A,'Investor Exit List'!$A342,Investors!$E:$E,'Investor Exit List'!$C342,Investors!$L:$L,'Investor Exit List'!$B342)+SUMIFS(Investors!$S:$S,Investors!$I:$I,"&lt;="&amp;'NSST Print'!$B$3,Investors!$J:$J,"",Investors!$A:$A,'Investor Exit List'!$A342,Investors!$E:$E,'Investor Exit List'!$C342,Investors!$L:$L,'Investor Exit List'!$B342))</f>
        <v/>
      </c>
      <c r="R342" s="94">
        <f>IF(AND(H342=TRUE,I342=FALSE),Q342,0)</f>
        <v/>
      </c>
      <c r="S342" s="94">
        <f>SUMIFS(Investors!$M:$M,Investors!$O:$O,TRUE,Investors!$A:$A,'Investor Exit List'!$A342,Investors!$E:$E,'Investor Exit List'!$C342,Investors!$L:$L,'Investor Exit List'!$B342)+SUMIFS(Investors!$S:$S,Investors!$O:$O,TRUE,Investors!$A:$A,'Investor Exit List'!$A342,Investors!$E:$E,'Investor Exit List'!$C342,Investors!$L:$L,'Investor Exit List'!$B342)</f>
        <v/>
      </c>
      <c r="T342" s="95">
        <f>IF(U342=TRUE,$J342,"")</f>
        <v/>
      </c>
      <c r="U342" s="93" t="b">
        <v>0</v>
      </c>
      <c r="V342" s="94">
        <f>IF(AND(H342=TRUE,OR(K342="",K342&gt;M342)),S342,0)</f>
        <v/>
      </c>
      <c r="W342" s="93" t="n">
        <v>0</v>
      </c>
      <c r="X342" s="93" t="b">
        <v>0</v>
      </c>
    </row>
    <row r="343">
      <c r="A343" s="93" t="inlineStr">
        <is>
          <t>ZMIN01</t>
        </is>
      </c>
      <c r="B343" s="93" t="n">
        <v>2</v>
      </c>
      <c r="C343" s="93" t="inlineStr">
        <is>
          <t>HVK101</t>
        </is>
      </c>
      <c r="D343" s="93" t="inlineStr">
        <is>
          <t>K</t>
        </is>
      </c>
      <c r="E343" s="93" t="inlineStr">
        <is>
          <t>Minnaar Irene Petronella</t>
        </is>
      </c>
      <c r="F343" s="94">
        <f>SUMIFS(Investors!$M:$M,Investors!$O:$O,FALSE,Investors!$P:$P,FALSE,Investors!$K:$K,"&gt;"&amp;'NSST Print'!$B$3,Investors!$I:$I,"&lt;="&amp;'NSST Print'!$B$3,Investors!$A:$A,'Investor Exit List'!$A343,Investors!$E:$E,'Investor Exit List'!$C343,Investors!$L:$L,'Investor Exit List'!$B343)-(SUMIFS(Investors!$M:$M,Investors!$I:$I,"&lt;="&amp;'NSST Print'!$B$3,Investors!$J:$J,"&gt;"&amp;'NSST Print'!$B$3,Investors!$A:$A,'Investor Exit List'!$A343,Investors!$E:$E,'Investor Exit List'!$C343,Investors!$L:$L,'Investor Exit List'!$B343)+SUMIFS(Investors!$M:$M,Investors!$I:$I,"&lt;="&amp;'NSST Print'!$B$3,Investors!$J:$J,"",Investors!$A:$A,'Investor Exit List'!$A343,Investors!$E:$E,'Investor Exit List'!$C343,Investors!$L:$L,'Investor Exit List'!$B343))</f>
        <v/>
      </c>
      <c r="G343" s="95" t="n">
        <v>45016</v>
      </c>
      <c r="H343" s="93" t="b">
        <v>0</v>
      </c>
      <c r="I343" s="93" t="b">
        <v>0</v>
      </c>
      <c r="J343" s="95" t="n">
        <v>45510</v>
      </c>
      <c r="K343" s="95">
        <f>IF(I343=TRUE,J343,"")</f>
        <v/>
      </c>
      <c r="L343" s="95">
        <f>G343+730</f>
        <v/>
      </c>
      <c r="M343" s="95" t="n">
        <v>45382</v>
      </c>
      <c r="N343" s="96">
        <f>IFERROR(IF(G343&lt;&gt;"",IF(I343=TRUE,0,IF(U343=TRUE,0,L343-M343)),0),0)</f>
        <v/>
      </c>
      <c r="O343" s="96">
        <f>IF(N343&gt;0,IF(N343&lt;=180,N343,0),0)</f>
        <v/>
      </c>
      <c r="P343" s="94">
        <f>IF(AND(N343&lt;90,N343&gt;0),Q343,0)</f>
        <v/>
      </c>
      <c r="Q343" s="94">
        <f>SUMIFS(Investors!$M:$M,Investors!$O:$O,FALSE,Investors!$P:$P,FALSE,Investors!$K:$K,"&gt;"&amp;'NSST Print'!$B$3,Investors!$I:$I,"&lt;="&amp;'NSST Print'!$B$3,Investors!$A:$A,'Investor Exit List'!$A343,Investors!$E:$E,'Investor Exit List'!$C343,Investors!$L:$L,'Investor Exit List'!$B343)-(SUMIFS(Investors!$M:$M,Investors!$I:$I,"&lt;="&amp;'NSST Print'!$B$3,Investors!$J:$J,"&gt;"&amp;'NSST Print'!$B$3,Investors!$A:$A,'Investor Exit List'!$A343,Investors!$E:$E,'Investor Exit List'!$C343,Investors!$L:$L,'Investor Exit List'!$B343)+SUMIFS(Investors!$M:$M,Investors!$I:$I,"&lt;="&amp;'NSST Print'!$B$3,Investors!$J:$J,"",Investors!$A:$A,'Investor Exit List'!$A343,Investors!$E:$E,'Investor Exit List'!$C343,Investors!$L:$L,'Investor Exit List'!$B343))+SUMIFS(Investors!$S:$S,Investors!$O:$O,FALSE,Investors!$P:$P,FALSE,Investors!$K:$K,"&gt;"&amp;'NSST Print'!$B$3,Investors!$I:$I,"&lt;="&amp;'NSST Print'!$B$3,Investors!$A:$A,'Investor Exit List'!$A343,Investors!$E:$E,'Investor Exit List'!$C343,Investors!$L:$L,'Investor Exit List'!$B343)-(SUMIFS(Investors!$S:$S,Investors!$I:$I,"&lt;="&amp;'NSST Print'!$B$3,Investors!$J:$J,"&gt;"&amp;'NSST Print'!$B$3,Investors!$A:$A,'Investor Exit List'!$A343,Investors!$E:$E,'Investor Exit List'!$C343,Investors!$L:$L,'Investor Exit List'!$B343)+SUMIFS(Investors!$S:$S,Investors!$I:$I,"&lt;="&amp;'NSST Print'!$B$3,Investors!$J:$J,"",Investors!$A:$A,'Investor Exit List'!$A343,Investors!$E:$E,'Investor Exit List'!$C343,Investors!$L:$L,'Investor Exit List'!$B343))</f>
        <v/>
      </c>
      <c r="R343" s="94">
        <f>IF(AND(H343=TRUE,I343=FALSE),Q343,0)</f>
        <v/>
      </c>
      <c r="S343" s="94">
        <f>SUMIFS(Investors!$M:$M,Investors!$O:$O,TRUE,Investors!$A:$A,'Investor Exit List'!$A343,Investors!$E:$E,'Investor Exit List'!$C343,Investors!$L:$L,'Investor Exit List'!$B343)+SUMIFS(Investors!$S:$S,Investors!$O:$O,TRUE,Investors!$A:$A,'Investor Exit List'!$A343,Investors!$E:$E,'Investor Exit List'!$C343,Investors!$L:$L,'Investor Exit List'!$B343)</f>
        <v/>
      </c>
      <c r="T343" s="95">
        <f>IF(U343=TRUE,$J343,"")</f>
        <v/>
      </c>
      <c r="U343" s="93" t="b">
        <v>0</v>
      </c>
      <c r="V343" s="94">
        <f>IF(AND(H343=TRUE,OR(K343="",K343&gt;M343)),S343,0)</f>
        <v/>
      </c>
      <c r="W343" s="93" t="n">
        <v>0</v>
      </c>
      <c r="X343" s="93" t="b">
        <v>0</v>
      </c>
    </row>
    <row r="344">
      <c r="A344" s="93" t="inlineStr">
        <is>
          <t>ZRIT01</t>
        </is>
      </c>
      <c r="B344" s="93" t="n">
        <v>8</v>
      </c>
      <c r="C344" s="93" t="inlineStr">
        <is>
          <t>HVK101</t>
        </is>
      </c>
      <c r="D344" s="93" t="inlineStr">
        <is>
          <t>K</t>
        </is>
      </c>
      <c r="E344" s="93" t="inlineStr">
        <is>
          <t>Ritter Dennis</t>
        </is>
      </c>
      <c r="F344" s="94">
        <f>SUMIFS(Investors!$M:$M,Investors!$O:$O,FALSE,Investors!$P:$P,FALSE,Investors!$K:$K,"&gt;"&amp;'NSST Print'!$B$3,Investors!$I:$I,"&lt;="&amp;'NSST Print'!$B$3,Investors!$A:$A,'Investor Exit List'!$A344,Investors!$E:$E,'Investor Exit List'!$C344,Investors!$L:$L,'Investor Exit List'!$B344)-(SUMIFS(Investors!$M:$M,Investors!$I:$I,"&lt;="&amp;'NSST Print'!$B$3,Investors!$J:$J,"&gt;"&amp;'NSST Print'!$B$3,Investors!$A:$A,'Investor Exit List'!$A344,Investors!$E:$E,'Investor Exit List'!$C344,Investors!$L:$L,'Investor Exit List'!$B344)+SUMIFS(Investors!$M:$M,Investors!$I:$I,"&lt;="&amp;'NSST Print'!$B$3,Investors!$J:$J,"",Investors!$A:$A,'Investor Exit List'!$A344,Investors!$E:$E,'Investor Exit List'!$C344,Investors!$L:$L,'Investor Exit List'!$B344))</f>
        <v/>
      </c>
      <c r="G344" s="95" t="n">
        <v>44909</v>
      </c>
      <c r="H344" s="93" t="b">
        <v>0</v>
      </c>
      <c r="I344" s="93" t="b">
        <v>0</v>
      </c>
      <c r="J344" s="95" t="n">
        <v>45510</v>
      </c>
      <c r="K344" s="95">
        <f>IF(I344=TRUE,J344,"")</f>
        <v/>
      </c>
      <c r="L344" s="95">
        <f>G344+730</f>
        <v/>
      </c>
      <c r="M344" s="95" t="n">
        <v>45382</v>
      </c>
      <c r="N344" s="96">
        <f>IFERROR(IF(G344&lt;&gt;"",IF(I344=TRUE,0,IF(U344=TRUE,0,L344-M344)),0),0)</f>
        <v/>
      </c>
      <c r="O344" s="96">
        <f>IF(N344&gt;0,IF(N344&lt;=180,N344,0),0)</f>
        <v/>
      </c>
      <c r="P344" s="94">
        <f>IF(AND(N344&lt;90,N344&gt;0),Q344,0)</f>
        <v/>
      </c>
      <c r="Q344" s="94">
        <f>SUMIFS(Investors!$M:$M,Investors!$O:$O,FALSE,Investors!$P:$P,FALSE,Investors!$K:$K,"&gt;"&amp;'NSST Print'!$B$3,Investors!$I:$I,"&lt;="&amp;'NSST Print'!$B$3,Investors!$A:$A,'Investor Exit List'!$A344,Investors!$E:$E,'Investor Exit List'!$C344,Investors!$L:$L,'Investor Exit List'!$B344)-(SUMIFS(Investors!$M:$M,Investors!$I:$I,"&lt;="&amp;'NSST Print'!$B$3,Investors!$J:$J,"&gt;"&amp;'NSST Print'!$B$3,Investors!$A:$A,'Investor Exit List'!$A344,Investors!$E:$E,'Investor Exit List'!$C344,Investors!$L:$L,'Investor Exit List'!$B344)+SUMIFS(Investors!$M:$M,Investors!$I:$I,"&lt;="&amp;'NSST Print'!$B$3,Investors!$J:$J,"",Investors!$A:$A,'Investor Exit List'!$A344,Investors!$E:$E,'Investor Exit List'!$C344,Investors!$L:$L,'Investor Exit List'!$B344))+SUMIFS(Investors!$S:$S,Investors!$O:$O,FALSE,Investors!$P:$P,FALSE,Investors!$K:$K,"&gt;"&amp;'NSST Print'!$B$3,Investors!$I:$I,"&lt;="&amp;'NSST Print'!$B$3,Investors!$A:$A,'Investor Exit List'!$A344,Investors!$E:$E,'Investor Exit List'!$C344,Investors!$L:$L,'Investor Exit List'!$B344)-(SUMIFS(Investors!$S:$S,Investors!$I:$I,"&lt;="&amp;'NSST Print'!$B$3,Investors!$J:$J,"&gt;"&amp;'NSST Print'!$B$3,Investors!$A:$A,'Investor Exit List'!$A344,Investors!$E:$E,'Investor Exit List'!$C344,Investors!$L:$L,'Investor Exit List'!$B344)+SUMIFS(Investors!$S:$S,Investors!$I:$I,"&lt;="&amp;'NSST Print'!$B$3,Investors!$J:$J,"",Investors!$A:$A,'Investor Exit List'!$A344,Investors!$E:$E,'Investor Exit List'!$C344,Investors!$L:$L,'Investor Exit List'!$B344))</f>
        <v/>
      </c>
      <c r="R344" s="94">
        <f>IF(AND(H344=TRUE,I344=FALSE),Q344,0)</f>
        <v/>
      </c>
      <c r="S344" s="94">
        <f>SUMIFS(Investors!$M:$M,Investors!$O:$O,TRUE,Investors!$A:$A,'Investor Exit List'!$A344,Investors!$E:$E,'Investor Exit List'!$C344,Investors!$L:$L,'Investor Exit List'!$B344)+SUMIFS(Investors!$S:$S,Investors!$O:$O,TRUE,Investors!$A:$A,'Investor Exit List'!$A344,Investors!$E:$E,'Investor Exit List'!$C344,Investors!$L:$L,'Investor Exit List'!$B344)</f>
        <v/>
      </c>
      <c r="T344" s="95">
        <f>IF(U344=TRUE,$J344,"")</f>
        <v/>
      </c>
      <c r="U344" s="93" t="b">
        <v>0</v>
      </c>
      <c r="V344" s="94">
        <f>IF(AND(H344=TRUE,OR(K344="",K344&gt;M344)),S344,0)</f>
        <v/>
      </c>
      <c r="W344" s="93" t="n">
        <v>0</v>
      </c>
      <c r="X344" s="93" t="b">
        <v>0</v>
      </c>
    </row>
    <row r="345">
      <c r="A345" s="93" t="inlineStr">
        <is>
          <t>ZVAN05</t>
        </is>
      </c>
      <c r="B345" s="93" t="n">
        <v>5</v>
      </c>
      <c r="C345" s="93" t="inlineStr">
        <is>
          <t>HVK102</t>
        </is>
      </c>
      <c r="D345" s="93" t="inlineStr">
        <is>
          <t>K</t>
        </is>
      </c>
      <c r="E345" s="93" t="inlineStr">
        <is>
          <t>van der Sandt Hermanus</t>
        </is>
      </c>
      <c r="F345" s="94">
        <f>SUMIFS(Investors!$M:$M,Investors!$O:$O,FALSE,Investors!$P:$P,FALSE,Investors!$K:$K,"&gt;"&amp;'NSST Print'!$B$3,Investors!$I:$I,"&lt;="&amp;'NSST Print'!$B$3,Investors!$A:$A,'Investor Exit List'!$A345,Investors!$E:$E,'Investor Exit List'!$C345,Investors!$L:$L,'Investor Exit List'!$B345)-(SUMIFS(Investors!$M:$M,Investors!$I:$I,"&lt;="&amp;'NSST Print'!$B$3,Investors!$J:$J,"&gt;"&amp;'NSST Print'!$B$3,Investors!$A:$A,'Investor Exit List'!$A345,Investors!$E:$E,'Investor Exit List'!$C345,Investors!$L:$L,'Investor Exit List'!$B345)+SUMIFS(Investors!$M:$M,Investors!$I:$I,"&lt;="&amp;'NSST Print'!$B$3,Investors!$J:$J,"",Investors!$A:$A,'Investor Exit List'!$A345,Investors!$E:$E,'Investor Exit List'!$C345,Investors!$L:$L,'Investor Exit List'!$B345))</f>
        <v/>
      </c>
      <c r="G345" s="95" t="n">
        <v>44909</v>
      </c>
      <c r="H345" s="93" t="b">
        <v>0</v>
      </c>
      <c r="I345" s="93" t="b">
        <v>0</v>
      </c>
      <c r="J345" s="95" t="n">
        <v>45510</v>
      </c>
      <c r="K345" s="95">
        <f>IF(I345=TRUE,J345,"")</f>
        <v/>
      </c>
      <c r="L345" s="95">
        <f>G345+730</f>
        <v/>
      </c>
      <c r="M345" s="95" t="n">
        <v>45382</v>
      </c>
      <c r="N345" s="96">
        <f>IFERROR(IF(G345&lt;&gt;"",IF(I345=TRUE,0,IF(U345=TRUE,0,L345-M345)),0),0)</f>
        <v/>
      </c>
      <c r="O345" s="96">
        <f>IF(N345&gt;0,IF(N345&lt;=180,N345,0),0)</f>
        <v/>
      </c>
      <c r="P345" s="94">
        <f>IF(AND(N345&lt;90,N345&gt;0),Q345,0)</f>
        <v/>
      </c>
      <c r="Q345" s="94">
        <f>SUMIFS(Investors!$M:$M,Investors!$O:$O,FALSE,Investors!$P:$P,FALSE,Investors!$K:$K,"&gt;"&amp;'NSST Print'!$B$3,Investors!$I:$I,"&lt;="&amp;'NSST Print'!$B$3,Investors!$A:$A,'Investor Exit List'!$A345,Investors!$E:$E,'Investor Exit List'!$C345,Investors!$L:$L,'Investor Exit List'!$B345)-(SUMIFS(Investors!$M:$M,Investors!$I:$I,"&lt;="&amp;'NSST Print'!$B$3,Investors!$J:$J,"&gt;"&amp;'NSST Print'!$B$3,Investors!$A:$A,'Investor Exit List'!$A345,Investors!$E:$E,'Investor Exit List'!$C345,Investors!$L:$L,'Investor Exit List'!$B345)+SUMIFS(Investors!$M:$M,Investors!$I:$I,"&lt;="&amp;'NSST Print'!$B$3,Investors!$J:$J,"",Investors!$A:$A,'Investor Exit List'!$A345,Investors!$E:$E,'Investor Exit List'!$C345,Investors!$L:$L,'Investor Exit List'!$B345))+SUMIFS(Investors!$S:$S,Investors!$O:$O,FALSE,Investors!$P:$P,FALSE,Investors!$K:$K,"&gt;"&amp;'NSST Print'!$B$3,Investors!$I:$I,"&lt;="&amp;'NSST Print'!$B$3,Investors!$A:$A,'Investor Exit List'!$A345,Investors!$E:$E,'Investor Exit List'!$C345,Investors!$L:$L,'Investor Exit List'!$B345)-(SUMIFS(Investors!$S:$S,Investors!$I:$I,"&lt;="&amp;'NSST Print'!$B$3,Investors!$J:$J,"&gt;"&amp;'NSST Print'!$B$3,Investors!$A:$A,'Investor Exit List'!$A345,Investors!$E:$E,'Investor Exit List'!$C345,Investors!$L:$L,'Investor Exit List'!$B345)+SUMIFS(Investors!$S:$S,Investors!$I:$I,"&lt;="&amp;'NSST Print'!$B$3,Investors!$J:$J,"",Investors!$A:$A,'Investor Exit List'!$A345,Investors!$E:$E,'Investor Exit List'!$C345,Investors!$L:$L,'Investor Exit List'!$B345))</f>
        <v/>
      </c>
      <c r="R345" s="94">
        <f>IF(AND(H345=TRUE,I345=FALSE),Q345,0)</f>
        <v/>
      </c>
      <c r="S345" s="94">
        <f>SUMIFS(Investors!$M:$M,Investors!$O:$O,TRUE,Investors!$A:$A,'Investor Exit List'!$A345,Investors!$E:$E,'Investor Exit List'!$C345,Investors!$L:$L,'Investor Exit List'!$B345)+SUMIFS(Investors!$S:$S,Investors!$O:$O,TRUE,Investors!$A:$A,'Investor Exit List'!$A345,Investors!$E:$E,'Investor Exit List'!$C345,Investors!$L:$L,'Investor Exit List'!$B345)</f>
        <v/>
      </c>
      <c r="T345" s="95">
        <f>IF(U345=TRUE,$J345,"")</f>
        <v/>
      </c>
      <c r="U345" s="93" t="b">
        <v>0</v>
      </c>
      <c r="V345" s="94">
        <f>IF(AND(H345=TRUE,OR(K345="",K345&gt;M345)),S345,0)</f>
        <v/>
      </c>
      <c r="W345" s="93" t="n">
        <v>0</v>
      </c>
      <c r="X345" s="93" t="b">
        <v>0</v>
      </c>
    </row>
    <row r="346">
      <c r="A346" s="93" t="inlineStr">
        <is>
          <t>ZCRO01</t>
        </is>
      </c>
      <c r="B346" s="93" t="n">
        <v>7</v>
      </c>
      <c r="C346" s="93" t="inlineStr">
        <is>
          <t>HVK103</t>
        </is>
      </c>
      <c r="D346" s="93" t="inlineStr">
        <is>
          <t>K</t>
        </is>
      </c>
      <c r="E346" s="93" t="inlineStr">
        <is>
          <t>Lunau Marc</t>
        </is>
      </c>
      <c r="F346" s="94">
        <f>SUMIFS(Investors!$M:$M,Investors!$O:$O,FALSE,Investors!$P:$P,FALSE,Investors!$K:$K,"&gt;"&amp;'NSST Print'!$B$3,Investors!$I:$I,"&lt;="&amp;'NSST Print'!$B$3,Investors!$A:$A,'Investor Exit List'!$A346,Investors!$E:$E,'Investor Exit List'!$C346,Investors!$L:$L,'Investor Exit List'!$B346)-(SUMIFS(Investors!$M:$M,Investors!$I:$I,"&lt;="&amp;'NSST Print'!$B$3,Investors!$J:$J,"&gt;"&amp;'NSST Print'!$B$3,Investors!$A:$A,'Investor Exit List'!$A346,Investors!$E:$E,'Investor Exit List'!$C346,Investors!$L:$L,'Investor Exit List'!$B346)+SUMIFS(Investors!$M:$M,Investors!$I:$I,"&lt;="&amp;'NSST Print'!$B$3,Investors!$J:$J,"",Investors!$A:$A,'Investor Exit List'!$A346,Investors!$E:$E,'Investor Exit List'!$C346,Investors!$L:$L,'Investor Exit List'!$B346))</f>
        <v/>
      </c>
      <c r="G346" s="95" t="n">
        <v>44967</v>
      </c>
      <c r="H346" s="93" t="b">
        <v>0</v>
      </c>
      <c r="I346" s="93" t="b">
        <v>0</v>
      </c>
      <c r="J346" s="95" t="n">
        <v>45510</v>
      </c>
      <c r="K346" s="95">
        <f>IF(I346=TRUE,J346,"")</f>
        <v/>
      </c>
      <c r="L346" s="95">
        <f>G346+730</f>
        <v/>
      </c>
      <c r="M346" s="95" t="n">
        <v>45382</v>
      </c>
      <c r="N346" s="96">
        <f>IFERROR(IF(G346&lt;&gt;"",IF(I346=TRUE,0,IF(U346=TRUE,0,L346-M346)),0),0)</f>
        <v/>
      </c>
      <c r="O346" s="96">
        <f>IF(N346&gt;0,IF(N346&lt;=180,N346,0),0)</f>
        <v/>
      </c>
      <c r="P346" s="94">
        <f>IF(AND(N346&lt;90,N346&gt;0),Q346,0)</f>
        <v/>
      </c>
      <c r="Q346" s="94">
        <f>SUMIFS(Investors!$M:$M,Investors!$O:$O,FALSE,Investors!$P:$P,FALSE,Investors!$K:$K,"&gt;"&amp;'NSST Print'!$B$3,Investors!$I:$I,"&lt;="&amp;'NSST Print'!$B$3,Investors!$A:$A,'Investor Exit List'!$A346,Investors!$E:$E,'Investor Exit List'!$C346,Investors!$L:$L,'Investor Exit List'!$B346)-(SUMIFS(Investors!$M:$M,Investors!$I:$I,"&lt;="&amp;'NSST Print'!$B$3,Investors!$J:$J,"&gt;"&amp;'NSST Print'!$B$3,Investors!$A:$A,'Investor Exit List'!$A346,Investors!$E:$E,'Investor Exit List'!$C346,Investors!$L:$L,'Investor Exit List'!$B346)+SUMIFS(Investors!$M:$M,Investors!$I:$I,"&lt;="&amp;'NSST Print'!$B$3,Investors!$J:$J,"",Investors!$A:$A,'Investor Exit List'!$A346,Investors!$E:$E,'Investor Exit List'!$C346,Investors!$L:$L,'Investor Exit List'!$B346))+SUMIFS(Investors!$S:$S,Investors!$O:$O,FALSE,Investors!$P:$P,FALSE,Investors!$K:$K,"&gt;"&amp;'NSST Print'!$B$3,Investors!$I:$I,"&lt;="&amp;'NSST Print'!$B$3,Investors!$A:$A,'Investor Exit List'!$A346,Investors!$E:$E,'Investor Exit List'!$C346,Investors!$L:$L,'Investor Exit List'!$B346)-(SUMIFS(Investors!$S:$S,Investors!$I:$I,"&lt;="&amp;'NSST Print'!$B$3,Investors!$J:$J,"&gt;"&amp;'NSST Print'!$B$3,Investors!$A:$A,'Investor Exit List'!$A346,Investors!$E:$E,'Investor Exit List'!$C346,Investors!$L:$L,'Investor Exit List'!$B346)+SUMIFS(Investors!$S:$S,Investors!$I:$I,"&lt;="&amp;'NSST Print'!$B$3,Investors!$J:$J,"",Investors!$A:$A,'Investor Exit List'!$A346,Investors!$E:$E,'Investor Exit List'!$C346,Investors!$L:$L,'Investor Exit List'!$B346))</f>
        <v/>
      </c>
      <c r="R346" s="94">
        <f>IF(AND(H346=TRUE,I346=FALSE),Q346,0)</f>
        <v/>
      </c>
      <c r="S346" s="94">
        <f>SUMIFS(Investors!$M:$M,Investors!$O:$O,TRUE,Investors!$A:$A,'Investor Exit List'!$A346,Investors!$E:$E,'Investor Exit List'!$C346,Investors!$L:$L,'Investor Exit List'!$B346)+SUMIFS(Investors!$S:$S,Investors!$O:$O,TRUE,Investors!$A:$A,'Investor Exit List'!$A346,Investors!$E:$E,'Investor Exit List'!$C346,Investors!$L:$L,'Investor Exit List'!$B346)</f>
        <v/>
      </c>
      <c r="T346" s="95">
        <f>IF(U346=TRUE,$J346,"")</f>
        <v/>
      </c>
      <c r="U346" s="93" t="b">
        <v>0</v>
      </c>
      <c r="V346" s="94">
        <f>IF(AND(H346=TRUE,OR(K346="",K346&gt;M346)),S346,0)</f>
        <v/>
      </c>
      <c r="W346" s="93" t="n">
        <v>0</v>
      </c>
      <c r="X346" s="93" t="b">
        <v>0</v>
      </c>
    </row>
    <row r="347">
      <c r="A347" s="93" t="inlineStr">
        <is>
          <t>ZDAM01</t>
        </is>
      </c>
      <c r="B347" s="93" t="n">
        <v>3</v>
      </c>
      <c r="C347" s="93" t="inlineStr">
        <is>
          <t>HVK103</t>
        </is>
      </c>
      <c r="D347" s="93" t="inlineStr">
        <is>
          <t>K</t>
        </is>
      </c>
      <c r="E347" s="93" t="inlineStr">
        <is>
          <t>Damane Lisbeth</t>
        </is>
      </c>
      <c r="F347" s="94">
        <f>SUMIFS(Investors!$M:$M,Investors!$O:$O,FALSE,Investors!$P:$P,FALSE,Investors!$K:$K,"&gt;"&amp;'NSST Print'!$B$3,Investors!$I:$I,"&lt;="&amp;'NSST Print'!$B$3,Investors!$A:$A,'Investor Exit List'!$A347,Investors!$E:$E,'Investor Exit List'!$C347,Investors!$L:$L,'Investor Exit List'!$B347)-(SUMIFS(Investors!$M:$M,Investors!$I:$I,"&lt;="&amp;'NSST Print'!$B$3,Investors!$J:$J,"&gt;"&amp;'NSST Print'!$B$3,Investors!$A:$A,'Investor Exit List'!$A347,Investors!$E:$E,'Investor Exit List'!$C347,Investors!$L:$L,'Investor Exit List'!$B347)+SUMIFS(Investors!$M:$M,Investors!$I:$I,"&lt;="&amp;'NSST Print'!$B$3,Investors!$J:$J,"",Investors!$A:$A,'Investor Exit List'!$A347,Investors!$E:$E,'Investor Exit List'!$C347,Investors!$L:$L,'Investor Exit List'!$B347))</f>
        <v/>
      </c>
      <c r="G347" s="95" t="n">
        <v>44916</v>
      </c>
      <c r="H347" s="93" t="b">
        <v>0</v>
      </c>
      <c r="I347" s="93" t="b">
        <v>0</v>
      </c>
      <c r="J347" s="95" t="n">
        <v>45510</v>
      </c>
      <c r="K347" s="95">
        <f>IF(I347=TRUE,J347,"")</f>
        <v/>
      </c>
      <c r="L347" s="95">
        <f>G347+730</f>
        <v/>
      </c>
      <c r="M347" s="95" t="n">
        <v>45382</v>
      </c>
      <c r="N347" s="96">
        <f>IFERROR(IF(G347&lt;&gt;"",IF(I347=TRUE,0,IF(U347=TRUE,0,L347-M347)),0),0)</f>
        <v/>
      </c>
      <c r="O347" s="96">
        <f>IF(N347&gt;0,IF(N347&lt;=180,N347,0),0)</f>
        <v/>
      </c>
      <c r="P347" s="94">
        <f>IF(AND(N347&lt;90,N347&gt;0),Q347,0)</f>
        <v/>
      </c>
      <c r="Q347" s="94">
        <f>SUMIFS(Investors!$M:$M,Investors!$O:$O,FALSE,Investors!$P:$P,FALSE,Investors!$K:$K,"&gt;"&amp;'NSST Print'!$B$3,Investors!$I:$I,"&lt;="&amp;'NSST Print'!$B$3,Investors!$A:$A,'Investor Exit List'!$A347,Investors!$E:$E,'Investor Exit List'!$C347,Investors!$L:$L,'Investor Exit List'!$B347)-(SUMIFS(Investors!$M:$M,Investors!$I:$I,"&lt;="&amp;'NSST Print'!$B$3,Investors!$J:$J,"&gt;"&amp;'NSST Print'!$B$3,Investors!$A:$A,'Investor Exit List'!$A347,Investors!$E:$E,'Investor Exit List'!$C347,Investors!$L:$L,'Investor Exit List'!$B347)+SUMIFS(Investors!$M:$M,Investors!$I:$I,"&lt;="&amp;'NSST Print'!$B$3,Investors!$J:$J,"",Investors!$A:$A,'Investor Exit List'!$A347,Investors!$E:$E,'Investor Exit List'!$C347,Investors!$L:$L,'Investor Exit List'!$B347))+SUMIFS(Investors!$S:$S,Investors!$O:$O,FALSE,Investors!$P:$P,FALSE,Investors!$K:$K,"&gt;"&amp;'NSST Print'!$B$3,Investors!$I:$I,"&lt;="&amp;'NSST Print'!$B$3,Investors!$A:$A,'Investor Exit List'!$A347,Investors!$E:$E,'Investor Exit List'!$C347,Investors!$L:$L,'Investor Exit List'!$B347)-(SUMIFS(Investors!$S:$S,Investors!$I:$I,"&lt;="&amp;'NSST Print'!$B$3,Investors!$J:$J,"&gt;"&amp;'NSST Print'!$B$3,Investors!$A:$A,'Investor Exit List'!$A347,Investors!$E:$E,'Investor Exit List'!$C347,Investors!$L:$L,'Investor Exit List'!$B347)+SUMIFS(Investors!$S:$S,Investors!$I:$I,"&lt;="&amp;'NSST Print'!$B$3,Investors!$J:$J,"",Investors!$A:$A,'Investor Exit List'!$A347,Investors!$E:$E,'Investor Exit List'!$C347,Investors!$L:$L,'Investor Exit List'!$B347))</f>
        <v/>
      </c>
      <c r="R347" s="94">
        <f>IF(AND(H347=TRUE,I347=FALSE),Q347,0)</f>
        <v/>
      </c>
      <c r="S347" s="94">
        <f>SUMIFS(Investors!$M:$M,Investors!$O:$O,TRUE,Investors!$A:$A,'Investor Exit List'!$A347,Investors!$E:$E,'Investor Exit List'!$C347,Investors!$L:$L,'Investor Exit List'!$B347)+SUMIFS(Investors!$S:$S,Investors!$O:$O,TRUE,Investors!$A:$A,'Investor Exit List'!$A347,Investors!$E:$E,'Investor Exit List'!$C347,Investors!$L:$L,'Investor Exit List'!$B347)</f>
        <v/>
      </c>
      <c r="T347" s="95">
        <f>IF(U347=TRUE,$J347,"")</f>
        <v/>
      </c>
      <c r="U347" s="93" t="b">
        <v>0</v>
      </c>
      <c r="V347" s="94">
        <f>IF(AND(H347=TRUE,OR(K347="",K347&gt;M347)),S347,0)</f>
        <v/>
      </c>
      <c r="W347" s="93" t="n">
        <v>0</v>
      </c>
      <c r="X347" s="93" t="b">
        <v>0</v>
      </c>
    </row>
    <row r="348">
      <c r="A348" s="93" t="inlineStr">
        <is>
          <t>ZELE01</t>
        </is>
      </c>
      <c r="B348" s="93" t="n">
        <v>2</v>
      </c>
      <c r="C348" s="93" t="inlineStr">
        <is>
          <t>HVK103</t>
        </is>
      </c>
      <c r="D348" s="93" t="inlineStr">
        <is>
          <t>K</t>
        </is>
      </c>
      <c r="E348" s="93" t="inlineStr">
        <is>
          <t>Lew Emile Kenneth</t>
        </is>
      </c>
      <c r="F348" s="94">
        <f>SUMIFS(Investors!$M:$M,Investors!$O:$O,FALSE,Investors!$P:$P,FALSE,Investors!$K:$K,"&gt;"&amp;'NSST Print'!$B$3,Investors!$I:$I,"&lt;="&amp;'NSST Print'!$B$3,Investors!$A:$A,'Investor Exit List'!$A348,Investors!$E:$E,'Investor Exit List'!$C348,Investors!$L:$L,'Investor Exit List'!$B348)-(SUMIFS(Investors!$M:$M,Investors!$I:$I,"&lt;="&amp;'NSST Print'!$B$3,Investors!$J:$J,"&gt;"&amp;'NSST Print'!$B$3,Investors!$A:$A,'Investor Exit List'!$A348,Investors!$E:$E,'Investor Exit List'!$C348,Investors!$L:$L,'Investor Exit List'!$B348)+SUMIFS(Investors!$M:$M,Investors!$I:$I,"&lt;="&amp;'NSST Print'!$B$3,Investors!$J:$J,"",Investors!$A:$A,'Investor Exit List'!$A348,Investors!$E:$E,'Investor Exit List'!$C348,Investors!$L:$L,'Investor Exit List'!$B348))</f>
        <v/>
      </c>
      <c r="G348" s="95" t="n">
        <v>44916</v>
      </c>
      <c r="H348" s="93" t="b">
        <v>0</v>
      </c>
      <c r="I348" s="93" t="b">
        <v>0</v>
      </c>
      <c r="J348" s="95" t="n">
        <v>45510</v>
      </c>
      <c r="K348" s="95">
        <f>IF(I348=TRUE,J348,"")</f>
        <v/>
      </c>
      <c r="L348" s="95">
        <f>G348+730</f>
        <v/>
      </c>
      <c r="M348" s="95" t="n">
        <v>45382</v>
      </c>
      <c r="N348" s="96">
        <f>IFERROR(IF(G348&lt;&gt;"",IF(I348=TRUE,0,IF(U348=TRUE,0,L348-M348)),0),0)</f>
        <v/>
      </c>
      <c r="O348" s="96">
        <f>IF(N348&gt;0,IF(N348&lt;=180,N348,0),0)</f>
        <v/>
      </c>
      <c r="P348" s="94">
        <f>IF(AND(N348&lt;90,N348&gt;0),Q348,0)</f>
        <v/>
      </c>
      <c r="Q348" s="94">
        <f>SUMIFS(Investors!$M:$M,Investors!$O:$O,FALSE,Investors!$P:$P,FALSE,Investors!$K:$K,"&gt;"&amp;'NSST Print'!$B$3,Investors!$I:$I,"&lt;="&amp;'NSST Print'!$B$3,Investors!$A:$A,'Investor Exit List'!$A348,Investors!$E:$E,'Investor Exit List'!$C348,Investors!$L:$L,'Investor Exit List'!$B348)-(SUMIFS(Investors!$M:$M,Investors!$I:$I,"&lt;="&amp;'NSST Print'!$B$3,Investors!$J:$J,"&gt;"&amp;'NSST Print'!$B$3,Investors!$A:$A,'Investor Exit List'!$A348,Investors!$E:$E,'Investor Exit List'!$C348,Investors!$L:$L,'Investor Exit List'!$B348)+SUMIFS(Investors!$M:$M,Investors!$I:$I,"&lt;="&amp;'NSST Print'!$B$3,Investors!$J:$J,"",Investors!$A:$A,'Investor Exit List'!$A348,Investors!$E:$E,'Investor Exit List'!$C348,Investors!$L:$L,'Investor Exit List'!$B348))+SUMIFS(Investors!$S:$S,Investors!$O:$O,FALSE,Investors!$P:$P,FALSE,Investors!$K:$K,"&gt;"&amp;'NSST Print'!$B$3,Investors!$I:$I,"&lt;="&amp;'NSST Print'!$B$3,Investors!$A:$A,'Investor Exit List'!$A348,Investors!$E:$E,'Investor Exit List'!$C348,Investors!$L:$L,'Investor Exit List'!$B348)-(SUMIFS(Investors!$S:$S,Investors!$I:$I,"&lt;="&amp;'NSST Print'!$B$3,Investors!$J:$J,"&gt;"&amp;'NSST Print'!$B$3,Investors!$A:$A,'Investor Exit List'!$A348,Investors!$E:$E,'Investor Exit List'!$C348,Investors!$L:$L,'Investor Exit List'!$B348)+SUMIFS(Investors!$S:$S,Investors!$I:$I,"&lt;="&amp;'NSST Print'!$B$3,Investors!$J:$J,"",Investors!$A:$A,'Investor Exit List'!$A348,Investors!$E:$E,'Investor Exit List'!$C348,Investors!$L:$L,'Investor Exit List'!$B348))</f>
        <v/>
      </c>
      <c r="R348" s="94">
        <f>IF(AND(H348=TRUE,I348=FALSE),Q348,0)</f>
        <v/>
      </c>
      <c r="S348" s="94">
        <f>SUMIFS(Investors!$M:$M,Investors!$O:$O,TRUE,Investors!$A:$A,'Investor Exit List'!$A348,Investors!$E:$E,'Investor Exit List'!$C348,Investors!$L:$L,'Investor Exit List'!$B348)+SUMIFS(Investors!$S:$S,Investors!$O:$O,TRUE,Investors!$A:$A,'Investor Exit List'!$A348,Investors!$E:$E,'Investor Exit List'!$C348,Investors!$L:$L,'Investor Exit List'!$B348)</f>
        <v/>
      </c>
      <c r="T348" s="95">
        <f>IF(U348=TRUE,$J348,"")</f>
        <v/>
      </c>
      <c r="U348" s="93" t="b">
        <v>0</v>
      </c>
      <c r="V348" s="94">
        <f>IF(AND(H348=TRUE,OR(K348="",K348&gt;M348)),S348,0)</f>
        <v/>
      </c>
      <c r="W348" s="93" t="n">
        <v>0</v>
      </c>
      <c r="X348" s="93" t="b">
        <v>0</v>
      </c>
    </row>
    <row r="349">
      <c r="A349" s="93" t="inlineStr">
        <is>
          <t>ZJOH01</t>
        </is>
      </c>
      <c r="B349" s="93" t="n">
        <v>5</v>
      </c>
      <c r="C349" s="93" t="inlineStr">
        <is>
          <t>HVK103</t>
        </is>
      </c>
      <c r="D349" s="93" t="inlineStr">
        <is>
          <t>K</t>
        </is>
      </c>
      <c r="E349" s="93" t="inlineStr">
        <is>
          <t>Johns Lisa-Marie Natalie</t>
        </is>
      </c>
      <c r="F349" s="94">
        <f>SUMIFS(Investors!$M:$M,Investors!$O:$O,FALSE,Investors!$P:$P,FALSE,Investors!$K:$K,"&gt;"&amp;'NSST Print'!$B$3,Investors!$I:$I,"&lt;="&amp;'NSST Print'!$B$3,Investors!$A:$A,'Investor Exit List'!$A349,Investors!$E:$E,'Investor Exit List'!$C349,Investors!$L:$L,'Investor Exit List'!$B349)-(SUMIFS(Investors!$M:$M,Investors!$I:$I,"&lt;="&amp;'NSST Print'!$B$3,Investors!$J:$J,"&gt;"&amp;'NSST Print'!$B$3,Investors!$A:$A,'Investor Exit List'!$A349,Investors!$E:$E,'Investor Exit List'!$C349,Investors!$L:$L,'Investor Exit List'!$B349)+SUMIFS(Investors!$M:$M,Investors!$I:$I,"&lt;="&amp;'NSST Print'!$B$3,Investors!$J:$J,"",Investors!$A:$A,'Investor Exit List'!$A349,Investors!$E:$E,'Investor Exit List'!$C349,Investors!$L:$L,'Investor Exit List'!$B349))</f>
        <v/>
      </c>
      <c r="G349" s="95" t="n">
        <v>44967</v>
      </c>
      <c r="H349" s="93" t="b">
        <v>0</v>
      </c>
      <c r="I349" s="93" t="b">
        <v>0</v>
      </c>
      <c r="J349" s="95" t="n">
        <v>45510</v>
      </c>
      <c r="K349" s="95">
        <f>IF(I349=TRUE,J349,"")</f>
        <v/>
      </c>
      <c r="L349" s="95">
        <f>G349+730</f>
        <v/>
      </c>
      <c r="M349" s="95" t="n">
        <v>45382</v>
      </c>
      <c r="N349" s="96">
        <f>IFERROR(IF(G349&lt;&gt;"",IF(I349=TRUE,0,IF(U349=TRUE,0,L349-M349)),0),0)</f>
        <v/>
      </c>
      <c r="O349" s="96">
        <f>IF(N349&gt;0,IF(N349&lt;=180,N349,0),0)</f>
        <v/>
      </c>
      <c r="P349" s="94">
        <f>IF(AND(N349&lt;90,N349&gt;0),Q349,0)</f>
        <v/>
      </c>
      <c r="Q349" s="94">
        <f>SUMIFS(Investors!$M:$M,Investors!$O:$O,FALSE,Investors!$P:$P,FALSE,Investors!$K:$K,"&gt;"&amp;'NSST Print'!$B$3,Investors!$I:$I,"&lt;="&amp;'NSST Print'!$B$3,Investors!$A:$A,'Investor Exit List'!$A349,Investors!$E:$E,'Investor Exit List'!$C349,Investors!$L:$L,'Investor Exit List'!$B349)-(SUMIFS(Investors!$M:$M,Investors!$I:$I,"&lt;="&amp;'NSST Print'!$B$3,Investors!$J:$J,"&gt;"&amp;'NSST Print'!$B$3,Investors!$A:$A,'Investor Exit List'!$A349,Investors!$E:$E,'Investor Exit List'!$C349,Investors!$L:$L,'Investor Exit List'!$B349)+SUMIFS(Investors!$M:$M,Investors!$I:$I,"&lt;="&amp;'NSST Print'!$B$3,Investors!$J:$J,"",Investors!$A:$A,'Investor Exit List'!$A349,Investors!$E:$E,'Investor Exit List'!$C349,Investors!$L:$L,'Investor Exit List'!$B349))+SUMIFS(Investors!$S:$S,Investors!$O:$O,FALSE,Investors!$P:$P,FALSE,Investors!$K:$K,"&gt;"&amp;'NSST Print'!$B$3,Investors!$I:$I,"&lt;="&amp;'NSST Print'!$B$3,Investors!$A:$A,'Investor Exit List'!$A349,Investors!$E:$E,'Investor Exit List'!$C349,Investors!$L:$L,'Investor Exit List'!$B349)-(SUMIFS(Investors!$S:$S,Investors!$I:$I,"&lt;="&amp;'NSST Print'!$B$3,Investors!$J:$J,"&gt;"&amp;'NSST Print'!$B$3,Investors!$A:$A,'Investor Exit List'!$A349,Investors!$E:$E,'Investor Exit List'!$C349,Investors!$L:$L,'Investor Exit List'!$B349)+SUMIFS(Investors!$S:$S,Investors!$I:$I,"&lt;="&amp;'NSST Print'!$B$3,Investors!$J:$J,"",Investors!$A:$A,'Investor Exit List'!$A349,Investors!$E:$E,'Investor Exit List'!$C349,Investors!$L:$L,'Investor Exit List'!$B349))</f>
        <v/>
      </c>
      <c r="R349" s="94">
        <f>IF(AND(H349=TRUE,I349=FALSE),Q349,0)</f>
        <v/>
      </c>
      <c r="S349" s="94">
        <f>SUMIFS(Investors!$M:$M,Investors!$O:$O,TRUE,Investors!$A:$A,'Investor Exit List'!$A349,Investors!$E:$E,'Investor Exit List'!$C349,Investors!$L:$L,'Investor Exit List'!$B349)+SUMIFS(Investors!$S:$S,Investors!$O:$O,TRUE,Investors!$A:$A,'Investor Exit List'!$A349,Investors!$E:$E,'Investor Exit List'!$C349,Investors!$L:$L,'Investor Exit List'!$B349)</f>
        <v/>
      </c>
      <c r="T349" s="95">
        <f>IF(U349=TRUE,$J349,"")</f>
        <v/>
      </c>
      <c r="U349" s="93" t="b">
        <v>0</v>
      </c>
      <c r="V349" s="94">
        <f>IF(AND(H349=TRUE,OR(K349="",K349&gt;M349)),S349,0)</f>
        <v/>
      </c>
      <c r="W349" s="93" t="n">
        <v>0</v>
      </c>
      <c r="X349" s="93" t="b">
        <v>0</v>
      </c>
    </row>
    <row r="350">
      <c r="A350" s="93" t="inlineStr">
        <is>
          <t>ZRIT01</t>
        </is>
      </c>
      <c r="B350" s="93" t="n">
        <v>15</v>
      </c>
      <c r="C350" s="93" t="inlineStr">
        <is>
          <t>HVK103</t>
        </is>
      </c>
      <c r="D350" s="93" t="inlineStr">
        <is>
          <t>K</t>
        </is>
      </c>
      <c r="E350" s="93" t="inlineStr">
        <is>
          <t>Ritter Dennis</t>
        </is>
      </c>
      <c r="F350" s="94">
        <f>SUMIFS(Investors!$M:$M,Investors!$O:$O,FALSE,Investors!$P:$P,FALSE,Investors!$K:$K,"&gt;"&amp;'NSST Print'!$B$3,Investors!$I:$I,"&lt;="&amp;'NSST Print'!$B$3,Investors!$A:$A,'Investor Exit List'!$A350,Investors!$E:$E,'Investor Exit List'!$C350,Investors!$L:$L,'Investor Exit List'!$B350)-(SUMIFS(Investors!$M:$M,Investors!$I:$I,"&lt;="&amp;'NSST Print'!$B$3,Investors!$J:$J,"&gt;"&amp;'NSST Print'!$B$3,Investors!$A:$A,'Investor Exit List'!$A350,Investors!$E:$E,'Investor Exit List'!$C350,Investors!$L:$L,'Investor Exit List'!$B350)+SUMIFS(Investors!$M:$M,Investors!$I:$I,"&lt;="&amp;'NSST Print'!$B$3,Investors!$J:$J,"",Investors!$A:$A,'Investor Exit List'!$A350,Investors!$E:$E,'Investor Exit List'!$C350,Investors!$L:$L,'Investor Exit List'!$B350))</f>
        <v/>
      </c>
      <c r="G350" s="95" t="n">
        <v>45129</v>
      </c>
      <c r="H350" s="93" t="b">
        <v>0</v>
      </c>
      <c r="I350" s="93" t="b">
        <v>0</v>
      </c>
      <c r="J350" s="95" t="n">
        <v>45510</v>
      </c>
      <c r="K350" s="95">
        <f>IF(I350=TRUE,J350,"")</f>
        <v/>
      </c>
      <c r="L350" s="95">
        <f>G350+730</f>
        <v/>
      </c>
      <c r="M350" s="95" t="n">
        <v>45382</v>
      </c>
      <c r="N350" s="96">
        <f>IFERROR(IF(G350&lt;&gt;"",IF(I350=TRUE,0,IF(U350=TRUE,0,L350-M350)),0),0)</f>
        <v/>
      </c>
      <c r="O350" s="96">
        <f>IF(N350&gt;0,IF(N350&lt;=180,N350,0),0)</f>
        <v/>
      </c>
      <c r="P350" s="94">
        <f>IF(AND(N350&lt;90,N350&gt;0),Q350,0)</f>
        <v/>
      </c>
      <c r="Q350" s="94">
        <f>SUMIFS(Investors!$M:$M,Investors!$O:$O,FALSE,Investors!$P:$P,FALSE,Investors!$K:$K,"&gt;"&amp;'NSST Print'!$B$3,Investors!$I:$I,"&lt;="&amp;'NSST Print'!$B$3,Investors!$A:$A,'Investor Exit List'!$A350,Investors!$E:$E,'Investor Exit List'!$C350,Investors!$L:$L,'Investor Exit List'!$B350)-(SUMIFS(Investors!$M:$M,Investors!$I:$I,"&lt;="&amp;'NSST Print'!$B$3,Investors!$J:$J,"&gt;"&amp;'NSST Print'!$B$3,Investors!$A:$A,'Investor Exit List'!$A350,Investors!$E:$E,'Investor Exit List'!$C350,Investors!$L:$L,'Investor Exit List'!$B350)+SUMIFS(Investors!$M:$M,Investors!$I:$I,"&lt;="&amp;'NSST Print'!$B$3,Investors!$J:$J,"",Investors!$A:$A,'Investor Exit List'!$A350,Investors!$E:$E,'Investor Exit List'!$C350,Investors!$L:$L,'Investor Exit List'!$B350))+SUMIFS(Investors!$S:$S,Investors!$O:$O,FALSE,Investors!$P:$P,FALSE,Investors!$K:$K,"&gt;"&amp;'NSST Print'!$B$3,Investors!$I:$I,"&lt;="&amp;'NSST Print'!$B$3,Investors!$A:$A,'Investor Exit List'!$A350,Investors!$E:$E,'Investor Exit List'!$C350,Investors!$L:$L,'Investor Exit List'!$B350)-(SUMIFS(Investors!$S:$S,Investors!$I:$I,"&lt;="&amp;'NSST Print'!$B$3,Investors!$J:$J,"&gt;"&amp;'NSST Print'!$B$3,Investors!$A:$A,'Investor Exit List'!$A350,Investors!$E:$E,'Investor Exit List'!$C350,Investors!$L:$L,'Investor Exit List'!$B350)+SUMIFS(Investors!$S:$S,Investors!$I:$I,"&lt;="&amp;'NSST Print'!$B$3,Investors!$J:$J,"",Investors!$A:$A,'Investor Exit List'!$A350,Investors!$E:$E,'Investor Exit List'!$C350,Investors!$L:$L,'Investor Exit List'!$B350))</f>
        <v/>
      </c>
      <c r="R350" s="94">
        <f>IF(AND(H350=TRUE,I350=FALSE),Q350,0)</f>
        <v/>
      </c>
      <c r="S350" s="94">
        <f>SUMIFS(Investors!$M:$M,Investors!$O:$O,TRUE,Investors!$A:$A,'Investor Exit List'!$A350,Investors!$E:$E,'Investor Exit List'!$C350,Investors!$L:$L,'Investor Exit List'!$B350)+SUMIFS(Investors!$S:$S,Investors!$O:$O,TRUE,Investors!$A:$A,'Investor Exit List'!$A350,Investors!$E:$E,'Investor Exit List'!$C350,Investors!$L:$L,'Investor Exit List'!$B350)</f>
        <v/>
      </c>
      <c r="T350" s="95">
        <f>IF(U350=TRUE,$J350,"")</f>
        <v/>
      </c>
      <c r="U350" s="93" t="b">
        <v>0</v>
      </c>
      <c r="V350" s="94">
        <f>IF(AND(H350=TRUE,OR(K350="",K350&gt;M350)),S350,0)</f>
        <v/>
      </c>
      <c r="W350" s="93" t="n">
        <v>0</v>
      </c>
      <c r="X350" s="93" t="b">
        <v>0</v>
      </c>
    </row>
    <row r="351">
      <c r="A351" s="93" t="inlineStr">
        <is>
          <t>ZINT01</t>
        </is>
      </c>
      <c r="B351" s="93" t="n">
        <v>10</v>
      </c>
      <c r="C351" s="93" t="inlineStr">
        <is>
          <t>HVK104</t>
        </is>
      </c>
      <c r="D351" s="93" t="inlineStr">
        <is>
          <t>K</t>
        </is>
      </c>
      <c r="E351" s="93" t="inlineStr">
        <is>
          <t>Lunau Marc</t>
        </is>
      </c>
      <c r="F351" s="94">
        <f>SUMIFS(Investors!$M:$M,Investors!$O:$O,FALSE,Investors!$P:$P,FALSE,Investors!$K:$K,"&gt;"&amp;'NSST Print'!$B$3,Investors!$I:$I,"&lt;="&amp;'NSST Print'!$B$3,Investors!$A:$A,'Investor Exit List'!$A351,Investors!$E:$E,'Investor Exit List'!$C351,Investors!$L:$L,'Investor Exit List'!$B351)-(SUMIFS(Investors!$M:$M,Investors!$I:$I,"&lt;="&amp;'NSST Print'!$B$3,Investors!$J:$J,"&gt;"&amp;'NSST Print'!$B$3,Investors!$A:$A,'Investor Exit List'!$A351,Investors!$E:$E,'Investor Exit List'!$C351,Investors!$L:$L,'Investor Exit List'!$B351)+SUMIFS(Investors!$M:$M,Investors!$I:$I,"&lt;="&amp;'NSST Print'!$B$3,Investors!$J:$J,"",Investors!$A:$A,'Investor Exit List'!$A351,Investors!$E:$E,'Investor Exit List'!$C351,Investors!$L:$L,'Investor Exit List'!$B351))</f>
        <v/>
      </c>
      <c r="G351" s="95" t="n">
        <v>44980</v>
      </c>
      <c r="H351" s="93" t="b">
        <v>0</v>
      </c>
      <c r="I351" s="93" t="b">
        <v>0</v>
      </c>
      <c r="J351" s="95" t="n">
        <v>45510</v>
      </c>
      <c r="K351" s="95">
        <f>IF(I351=TRUE,J351,"")</f>
        <v/>
      </c>
      <c r="L351" s="95">
        <f>G351+730</f>
        <v/>
      </c>
      <c r="M351" s="95" t="n">
        <v>45382</v>
      </c>
      <c r="N351" s="96">
        <f>IFERROR(IF(G351&lt;&gt;"",IF(I351=TRUE,0,IF(U351=TRUE,0,L351-M351)),0),0)</f>
        <v/>
      </c>
      <c r="O351" s="96">
        <f>IF(N351&gt;0,IF(N351&lt;=180,N351,0),0)</f>
        <v/>
      </c>
      <c r="P351" s="94">
        <f>IF(AND(N351&lt;90,N351&gt;0),Q351,0)</f>
        <v/>
      </c>
      <c r="Q351" s="94">
        <f>SUMIFS(Investors!$M:$M,Investors!$O:$O,FALSE,Investors!$P:$P,FALSE,Investors!$K:$K,"&gt;"&amp;'NSST Print'!$B$3,Investors!$I:$I,"&lt;="&amp;'NSST Print'!$B$3,Investors!$A:$A,'Investor Exit List'!$A351,Investors!$E:$E,'Investor Exit List'!$C351,Investors!$L:$L,'Investor Exit List'!$B351)-(SUMIFS(Investors!$M:$M,Investors!$I:$I,"&lt;="&amp;'NSST Print'!$B$3,Investors!$J:$J,"&gt;"&amp;'NSST Print'!$B$3,Investors!$A:$A,'Investor Exit List'!$A351,Investors!$E:$E,'Investor Exit List'!$C351,Investors!$L:$L,'Investor Exit List'!$B351)+SUMIFS(Investors!$M:$M,Investors!$I:$I,"&lt;="&amp;'NSST Print'!$B$3,Investors!$J:$J,"",Investors!$A:$A,'Investor Exit List'!$A351,Investors!$E:$E,'Investor Exit List'!$C351,Investors!$L:$L,'Investor Exit List'!$B351))+SUMIFS(Investors!$S:$S,Investors!$O:$O,FALSE,Investors!$P:$P,FALSE,Investors!$K:$K,"&gt;"&amp;'NSST Print'!$B$3,Investors!$I:$I,"&lt;="&amp;'NSST Print'!$B$3,Investors!$A:$A,'Investor Exit List'!$A351,Investors!$E:$E,'Investor Exit List'!$C351,Investors!$L:$L,'Investor Exit List'!$B351)-(SUMIFS(Investors!$S:$S,Investors!$I:$I,"&lt;="&amp;'NSST Print'!$B$3,Investors!$J:$J,"&gt;"&amp;'NSST Print'!$B$3,Investors!$A:$A,'Investor Exit List'!$A351,Investors!$E:$E,'Investor Exit List'!$C351,Investors!$L:$L,'Investor Exit List'!$B351)+SUMIFS(Investors!$S:$S,Investors!$I:$I,"&lt;="&amp;'NSST Print'!$B$3,Investors!$J:$J,"",Investors!$A:$A,'Investor Exit List'!$A351,Investors!$E:$E,'Investor Exit List'!$C351,Investors!$L:$L,'Investor Exit List'!$B351))</f>
        <v/>
      </c>
      <c r="R351" s="94">
        <f>IF(AND(H351=TRUE,I351=FALSE),Q351,0)</f>
        <v/>
      </c>
      <c r="S351" s="94">
        <f>SUMIFS(Investors!$M:$M,Investors!$O:$O,TRUE,Investors!$A:$A,'Investor Exit List'!$A351,Investors!$E:$E,'Investor Exit List'!$C351,Investors!$L:$L,'Investor Exit List'!$B351)+SUMIFS(Investors!$S:$S,Investors!$O:$O,TRUE,Investors!$A:$A,'Investor Exit List'!$A351,Investors!$E:$E,'Investor Exit List'!$C351,Investors!$L:$L,'Investor Exit List'!$B351)</f>
        <v/>
      </c>
      <c r="T351" s="95">
        <f>IF(U351=TRUE,$J351,"")</f>
        <v/>
      </c>
      <c r="U351" s="93" t="b">
        <v>0</v>
      </c>
      <c r="V351" s="94">
        <f>IF(AND(H351=TRUE,OR(K351="",K351&gt;M351)),S351,0)</f>
        <v/>
      </c>
      <c r="W351" s="93" t="n">
        <v>0</v>
      </c>
      <c r="X351" s="93" t="b">
        <v>0</v>
      </c>
    </row>
    <row r="352">
      <c r="A352" s="93" t="inlineStr">
        <is>
          <t>ZNIE01</t>
        </is>
      </c>
      <c r="B352" s="93" t="n">
        <v>4</v>
      </c>
      <c r="C352" s="93" t="inlineStr">
        <is>
          <t>HVK104</t>
        </is>
      </c>
      <c r="D352" s="93" t="inlineStr">
        <is>
          <t>K</t>
        </is>
      </c>
      <c r="E352" s="93" t="inlineStr">
        <is>
          <t>van Niekerk Grant Richard</t>
        </is>
      </c>
      <c r="F352" s="94">
        <f>SUMIFS(Investors!$M:$M,Investors!$O:$O,FALSE,Investors!$P:$P,FALSE,Investors!$K:$K,"&gt;"&amp;'NSST Print'!$B$3,Investors!$I:$I,"&lt;="&amp;'NSST Print'!$B$3,Investors!$A:$A,'Investor Exit List'!$A352,Investors!$E:$E,'Investor Exit List'!$C352,Investors!$L:$L,'Investor Exit List'!$B352)-(SUMIFS(Investors!$M:$M,Investors!$I:$I,"&lt;="&amp;'NSST Print'!$B$3,Investors!$J:$J,"&gt;"&amp;'NSST Print'!$B$3,Investors!$A:$A,'Investor Exit List'!$A352,Investors!$E:$E,'Investor Exit List'!$C352,Investors!$L:$L,'Investor Exit List'!$B352)+SUMIFS(Investors!$M:$M,Investors!$I:$I,"&lt;="&amp;'NSST Print'!$B$3,Investors!$J:$J,"",Investors!$A:$A,'Investor Exit List'!$A352,Investors!$E:$E,'Investor Exit List'!$C352,Investors!$L:$L,'Investor Exit List'!$B352))</f>
        <v/>
      </c>
      <c r="G352" s="95" t="n">
        <v>45044</v>
      </c>
      <c r="H352" s="93" t="b">
        <v>0</v>
      </c>
      <c r="I352" s="93" t="b">
        <v>0</v>
      </c>
      <c r="J352" s="95" t="n">
        <v>45510</v>
      </c>
      <c r="K352" s="95">
        <f>IF(I352=TRUE,J352,"")</f>
        <v/>
      </c>
      <c r="L352" s="95">
        <f>G352+730</f>
        <v/>
      </c>
      <c r="M352" s="95" t="n">
        <v>45382</v>
      </c>
      <c r="N352" s="96">
        <f>IFERROR(IF(G352&lt;&gt;"",IF(I352=TRUE,0,IF(U352=TRUE,0,L352-M352)),0),0)</f>
        <v/>
      </c>
      <c r="O352" s="96">
        <f>IF(N352&gt;0,IF(N352&lt;=180,N352,0),0)</f>
        <v/>
      </c>
      <c r="P352" s="94">
        <f>IF(AND(N352&lt;90,N352&gt;0),Q352,0)</f>
        <v/>
      </c>
      <c r="Q352" s="94">
        <f>SUMIFS(Investors!$M:$M,Investors!$O:$O,FALSE,Investors!$P:$P,FALSE,Investors!$K:$K,"&gt;"&amp;'NSST Print'!$B$3,Investors!$I:$I,"&lt;="&amp;'NSST Print'!$B$3,Investors!$A:$A,'Investor Exit List'!$A352,Investors!$E:$E,'Investor Exit List'!$C352,Investors!$L:$L,'Investor Exit List'!$B352)-(SUMIFS(Investors!$M:$M,Investors!$I:$I,"&lt;="&amp;'NSST Print'!$B$3,Investors!$J:$J,"&gt;"&amp;'NSST Print'!$B$3,Investors!$A:$A,'Investor Exit List'!$A352,Investors!$E:$E,'Investor Exit List'!$C352,Investors!$L:$L,'Investor Exit List'!$B352)+SUMIFS(Investors!$M:$M,Investors!$I:$I,"&lt;="&amp;'NSST Print'!$B$3,Investors!$J:$J,"",Investors!$A:$A,'Investor Exit List'!$A352,Investors!$E:$E,'Investor Exit List'!$C352,Investors!$L:$L,'Investor Exit List'!$B352))+SUMIFS(Investors!$S:$S,Investors!$O:$O,FALSE,Investors!$P:$P,FALSE,Investors!$K:$K,"&gt;"&amp;'NSST Print'!$B$3,Investors!$I:$I,"&lt;="&amp;'NSST Print'!$B$3,Investors!$A:$A,'Investor Exit List'!$A352,Investors!$E:$E,'Investor Exit List'!$C352,Investors!$L:$L,'Investor Exit List'!$B352)-(SUMIFS(Investors!$S:$S,Investors!$I:$I,"&lt;="&amp;'NSST Print'!$B$3,Investors!$J:$J,"&gt;"&amp;'NSST Print'!$B$3,Investors!$A:$A,'Investor Exit List'!$A352,Investors!$E:$E,'Investor Exit List'!$C352,Investors!$L:$L,'Investor Exit List'!$B352)+SUMIFS(Investors!$S:$S,Investors!$I:$I,"&lt;="&amp;'NSST Print'!$B$3,Investors!$J:$J,"",Investors!$A:$A,'Investor Exit List'!$A352,Investors!$E:$E,'Investor Exit List'!$C352,Investors!$L:$L,'Investor Exit List'!$B352))</f>
        <v/>
      </c>
      <c r="R352" s="94">
        <f>IF(AND(H352=TRUE,I352=FALSE),Q352,0)</f>
        <v/>
      </c>
      <c r="S352" s="94">
        <f>SUMIFS(Investors!$M:$M,Investors!$O:$O,TRUE,Investors!$A:$A,'Investor Exit List'!$A352,Investors!$E:$E,'Investor Exit List'!$C352,Investors!$L:$L,'Investor Exit List'!$B352)+SUMIFS(Investors!$S:$S,Investors!$O:$O,TRUE,Investors!$A:$A,'Investor Exit List'!$A352,Investors!$E:$E,'Investor Exit List'!$C352,Investors!$L:$L,'Investor Exit List'!$B352)</f>
        <v/>
      </c>
      <c r="T352" s="95">
        <f>IF(U352=TRUE,$J352,"")</f>
        <v/>
      </c>
      <c r="U352" s="93" t="b">
        <v>0</v>
      </c>
      <c r="V352" s="94">
        <f>IF(AND(H352=TRUE,OR(K352="",K352&gt;M352)),S352,0)</f>
        <v/>
      </c>
      <c r="W352" s="93" t="n">
        <v>0</v>
      </c>
      <c r="X352" s="93" t="b">
        <v>0</v>
      </c>
    </row>
    <row r="353">
      <c r="A353" s="93" t="inlineStr">
        <is>
          <t>ZBOH01</t>
        </is>
      </c>
      <c r="B353" s="93" t="n">
        <v>2</v>
      </c>
      <c r="C353" s="93" t="inlineStr">
        <is>
          <t>HVK105</t>
        </is>
      </c>
      <c r="D353" s="93" t="inlineStr">
        <is>
          <t>K</t>
        </is>
      </c>
      <c r="E353" s="93" t="inlineStr">
        <is>
          <t>Brenda Bohme Werner Hugo Bohme &amp;</t>
        </is>
      </c>
      <c r="F353" s="94">
        <f>SUMIFS(Investors!$M:$M,Investors!$O:$O,FALSE,Investors!$P:$P,FALSE,Investors!$K:$K,"&gt;"&amp;'NSST Print'!$B$3,Investors!$I:$I,"&lt;="&amp;'NSST Print'!$B$3,Investors!$A:$A,'Investor Exit List'!$A353,Investors!$E:$E,'Investor Exit List'!$C353,Investors!$L:$L,'Investor Exit List'!$B353)-(SUMIFS(Investors!$M:$M,Investors!$I:$I,"&lt;="&amp;'NSST Print'!$B$3,Investors!$J:$J,"&gt;"&amp;'NSST Print'!$B$3,Investors!$A:$A,'Investor Exit List'!$A353,Investors!$E:$E,'Investor Exit List'!$C353,Investors!$L:$L,'Investor Exit List'!$B353)+SUMIFS(Investors!$M:$M,Investors!$I:$I,"&lt;="&amp;'NSST Print'!$B$3,Investors!$J:$J,"",Investors!$A:$A,'Investor Exit List'!$A353,Investors!$E:$E,'Investor Exit List'!$C353,Investors!$L:$L,'Investor Exit List'!$B353))</f>
        <v/>
      </c>
      <c r="G353" s="95" t="n">
        <v>44960</v>
      </c>
      <c r="H353" s="93" t="b">
        <v>0</v>
      </c>
      <c r="I353" s="93" t="b">
        <v>0</v>
      </c>
      <c r="J353" s="95" t="n">
        <v>45510</v>
      </c>
      <c r="K353" s="95">
        <f>IF(I353=TRUE,J353,"")</f>
        <v/>
      </c>
      <c r="L353" s="95">
        <f>G353+730</f>
        <v/>
      </c>
      <c r="M353" s="95" t="n">
        <v>45382</v>
      </c>
      <c r="N353" s="96">
        <f>IFERROR(IF(G353&lt;&gt;"",IF(I353=TRUE,0,IF(U353=TRUE,0,L353-M353)),0),0)</f>
        <v/>
      </c>
      <c r="O353" s="96">
        <f>IF(N353&gt;0,IF(N353&lt;=180,N353,0),0)</f>
        <v/>
      </c>
      <c r="P353" s="94">
        <f>IF(AND(N353&lt;90,N353&gt;0),Q353,0)</f>
        <v/>
      </c>
      <c r="Q353" s="94">
        <f>SUMIFS(Investors!$M:$M,Investors!$O:$O,FALSE,Investors!$P:$P,FALSE,Investors!$K:$K,"&gt;"&amp;'NSST Print'!$B$3,Investors!$I:$I,"&lt;="&amp;'NSST Print'!$B$3,Investors!$A:$A,'Investor Exit List'!$A353,Investors!$E:$E,'Investor Exit List'!$C353,Investors!$L:$L,'Investor Exit List'!$B353)-(SUMIFS(Investors!$M:$M,Investors!$I:$I,"&lt;="&amp;'NSST Print'!$B$3,Investors!$J:$J,"&gt;"&amp;'NSST Print'!$B$3,Investors!$A:$A,'Investor Exit List'!$A353,Investors!$E:$E,'Investor Exit List'!$C353,Investors!$L:$L,'Investor Exit List'!$B353)+SUMIFS(Investors!$M:$M,Investors!$I:$I,"&lt;="&amp;'NSST Print'!$B$3,Investors!$J:$J,"",Investors!$A:$A,'Investor Exit List'!$A353,Investors!$E:$E,'Investor Exit List'!$C353,Investors!$L:$L,'Investor Exit List'!$B353))+SUMIFS(Investors!$S:$S,Investors!$O:$O,FALSE,Investors!$P:$P,FALSE,Investors!$K:$K,"&gt;"&amp;'NSST Print'!$B$3,Investors!$I:$I,"&lt;="&amp;'NSST Print'!$B$3,Investors!$A:$A,'Investor Exit List'!$A353,Investors!$E:$E,'Investor Exit List'!$C353,Investors!$L:$L,'Investor Exit List'!$B353)-(SUMIFS(Investors!$S:$S,Investors!$I:$I,"&lt;="&amp;'NSST Print'!$B$3,Investors!$J:$J,"&gt;"&amp;'NSST Print'!$B$3,Investors!$A:$A,'Investor Exit List'!$A353,Investors!$E:$E,'Investor Exit List'!$C353,Investors!$L:$L,'Investor Exit List'!$B353)+SUMIFS(Investors!$S:$S,Investors!$I:$I,"&lt;="&amp;'NSST Print'!$B$3,Investors!$J:$J,"",Investors!$A:$A,'Investor Exit List'!$A353,Investors!$E:$E,'Investor Exit List'!$C353,Investors!$L:$L,'Investor Exit List'!$B353))</f>
        <v/>
      </c>
      <c r="R353" s="94">
        <f>IF(AND(H353=TRUE,I353=FALSE),Q353,0)</f>
        <v/>
      </c>
      <c r="S353" s="94">
        <f>SUMIFS(Investors!$M:$M,Investors!$O:$O,TRUE,Investors!$A:$A,'Investor Exit List'!$A353,Investors!$E:$E,'Investor Exit List'!$C353,Investors!$L:$L,'Investor Exit List'!$B353)+SUMIFS(Investors!$S:$S,Investors!$O:$O,TRUE,Investors!$A:$A,'Investor Exit List'!$A353,Investors!$E:$E,'Investor Exit List'!$C353,Investors!$L:$L,'Investor Exit List'!$B353)</f>
        <v/>
      </c>
      <c r="T353" s="95">
        <f>IF(U353=TRUE,$J353,"")</f>
        <v/>
      </c>
      <c r="U353" s="93" t="b">
        <v>0</v>
      </c>
      <c r="V353" s="94">
        <f>IF(AND(H353=TRUE,OR(K353="",K353&gt;M353)),S353,0)</f>
        <v/>
      </c>
      <c r="W353" s="93" t="n">
        <v>0</v>
      </c>
      <c r="X353" s="93" t="b">
        <v>0</v>
      </c>
    </row>
    <row r="354">
      <c r="A354" s="93" t="inlineStr">
        <is>
          <t>ZCRO01</t>
        </is>
      </c>
      <c r="B354" s="93" t="n">
        <v>6</v>
      </c>
      <c r="C354" s="93" t="inlineStr">
        <is>
          <t>HVK105</t>
        </is>
      </c>
      <c r="D354" s="93" t="inlineStr">
        <is>
          <t>K</t>
        </is>
      </c>
      <c r="E354" s="93" t="inlineStr">
        <is>
          <t>Lunau Marc</t>
        </is>
      </c>
      <c r="F354" s="94">
        <f>SUMIFS(Investors!$M:$M,Investors!$O:$O,FALSE,Investors!$P:$P,FALSE,Investors!$K:$K,"&gt;"&amp;'NSST Print'!$B$3,Investors!$I:$I,"&lt;="&amp;'NSST Print'!$B$3,Investors!$A:$A,'Investor Exit List'!$A354,Investors!$E:$E,'Investor Exit List'!$C354,Investors!$L:$L,'Investor Exit List'!$B354)-(SUMIFS(Investors!$M:$M,Investors!$I:$I,"&lt;="&amp;'NSST Print'!$B$3,Investors!$J:$J,"&gt;"&amp;'NSST Print'!$B$3,Investors!$A:$A,'Investor Exit List'!$A354,Investors!$E:$E,'Investor Exit List'!$C354,Investors!$L:$L,'Investor Exit List'!$B354)+SUMIFS(Investors!$M:$M,Investors!$I:$I,"&lt;="&amp;'NSST Print'!$B$3,Investors!$J:$J,"",Investors!$A:$A,'Investor Exit List'!$A354,Investors!$E:$E,'Investor Exit List'!$C354,Investors!$L:$L,'Investor Exit List'!$B354))</f>
        <v/>
      </c>
      <c r="G354" s="95" t="n">
        <v>44916</v>
      </c>
      <c r="H354" s="93" t="b">
        <v>0</v>
      </c>
      <c r="I354" s="93" t="b">
        <v>0</v>
      </c>
      <c r="J354" s="95" t="n">
        <v>45510</v>
      </c>
      <c r="K354" s="95">
        <f>IF(I354=TRUE,J354,"")</f>
        <v/>
      </c>
      <c r="L354" s="95">
        <f>G354+730</f>
        <v/>
      </c>
      <c r="M354" s="95" t="n">
        <v>45382</v>
      </c>
      <c r="N354" s="96">
        <f>IFERROR(IF(G354&lt;&gt;"",IF(I354=TRUE,0,IF(U354=TRUE,0,L354-M354)),0),0)</f>
        <v/>
      </c>
      <c r="O354" s="96">
        <f>IF(N354&gt;0,IF(N354&lt;=180,N354,0),0)</f>
        <v/>
      </c>
      <c r="P354" s="94">
        <f>IF(AND(N354&lt;90,N354&gt;0),Q354,0)</f>
        <v/>
      </c>
      <c r="Q354" s="94">
        <f>SUMIFS(Investors!$M:$M,Investors!$O:$O,FALSE,Investors!$P:$P,FALSE,Investors!$K:$K,"&gt;"&amp;'NSST Print'!$B$3,Investors!$I:$I,"&lt;="&amp;'NSST Print'!$B$3,Investors!$A:$A,'Investor Exit List'!$A354,Investors!$E:$E,'Investor Exit List'!$C354,Investors!$L:$L,'Investor Exit List'!$B354)-(SUMIFS(Investors!$M:$M,Investors!$I:$I,"&lt;="&amp;'NSST Print'!$B$3,Investors!$J:$J,"&gt;"&amp;'NSST Print'!$B$3,Investors!$A:$A,'Investor Exit List'!$A354,Investors!$E:$E,'Investor Exit List'!$C354,Investors!$L:$L,'Investor Exit List'!$B354)+SUMIFS(Investors!$M:$M,Investors!$I:$I,"&lt;="&amp;'NSST Print'!$B$3,Investors!$J:$J,"",Investors!$A:$A,'Investor Exit List'!$A354,Investors!$E:$E,'Investor Exit List'!$C354,Investors!$L:$L,'Investor Exit List'!$B354))+SUMIFS(Investors!$S:$S,Investors!$O:$O,FALSE,Investors!$P:$P,FALSE,Investors!$K:$K,"&gt;"&amp;'NSST Print'!$B$3,Investors!$I:$I,"&lt;="&amp;'NSST Print'!$B$3,Investors!$A:$A,'Investor Exit List'!$A354,Investors!$E:$E,'Investor Exit List'!$C354,Investors!$L:$L,'Investor Exit List'!$B354)-(SUMIFS(Investors!$S:$S,Investors!$I:$I,"&lt;="&amp;'NSST Print'!$B$3,Investors!$J:$J,"&gt;"&amp;'NSST Print'!$B$3,Investors!$A:$A,'Investor Exit List'!$A354,Investors!$E:$E,'Investor Exit List'!$C354,Investors!$L:$L,'Investor Exit List'!$B354)+SUMIFS(Investors!$S:$S,Investors!$I:$I,"&lt;="&amp;'NSST Print'!$B$3,Investors!$J:$J,"",Investors!$A:$A,'Investor Exit List'!$A354,Investors!$E:$E,'Investor Exit List'!$C354,Investors!$L:$L,'Investor Exit List'!$B354))</f>
        <v/>
      </c>
      <c r="R354" s="94">
        <f>IF(AND(H354=TRUE,I354=FALSE),Q354,0)</f>
        <v/>
      </c>
      <c r="S354" s="94">
        <f>SUMIFS(Investors!$M:$M,Investors!$O:$O,TRUE,Investors!$A:$A,'Investor Exit List'!$A354,Investors!$E:$E,'Investor Exit List'!$C354,Investors!$L:$L,'Investor Exit List'!$B354)+SUMIFS(Investors!$S:$S,Investors!$O:$O,TRUE,Investors!$A:$A,'Investor Exit List'!$A354,Investors!$E:$E,'Investor Exit List'!$C354,Investors!$L:$L,'Investor Exit List'!$B354)</f>
        <v/>
      </c>
      <c r="T354" s="95">
        <f>IF(U354=TRUE,$J354,"")</f>
        <v/>
      </c>
      <c r="U354" s="93" t="b">
        <v>0</v>
      </c>
      <c r="V354" s="94">
        <f>IF(AND(H354=TRUE,OR(K354="",K354&gt;M354)),S354,0)</f>
        <v/>
      </c>
      <c r="W354" s="93" t="n">
        <v>0</v>
      </c>
      <c r="X354" s="93" t="b">
        <v>0</v>
      </c>
    </row>
    <row r="355">
      <c r="A355" s="93" t="inlineStr">
        <is>
          <t>ZZYL03</t>
        </is>
      </c>
      <c r="B355" s="93" t="n">
        <v>3</v>
      </c>
      <c r="C355" s="93" t="inlineStr">
        <is>
          <t>HVK106</t>
        </is>
      </c>
      <c r="D355" s="93" t="inlineStr">
        <is>
          <t>K</t>
        </is>
      </c>
      <c r="E355" s="93" t="inlineStr">
        <is>
          <t>Zylstra Sandra Robyn</t>
        </is>
      </c>
      <c r="F355" s="94">
        <f>SUMIFS(Investors!$M:$M,Investors!$O:$O,FALSE,Investors!$P:$P,FALSE,Investors!$K:$K,"&gt;"&amp;'NSST Print'!$B$3,Investors!$I:$I,"&lt;="&amp;'NSST Print'!$B$3,Investors!$A:$A,'Investor Exit List'!$A355,Investors!$E:$E,'Investor Exit List'!$C355,Investors!$L:$L,'Investor Exit List'!$B355)-(SUMIFS(Investors!$M:$M,Investors!$I:$I,"&lt;="&amp;'NSST Print'!$B$3,Investors!$J:$J,"&gt;"&amp;'NSST Print'!$B$3,Investors!$A:$A,'Investor Exit List'!$A355,Investors!$E:$E,'Investor Exit List'!$C355,Investors!$L:$L,'Investor Exit List'!$B355)+SUMIFS(Investors!$M:$M,Investors!$I:$I,"&lt;="&amp;'NSST Print'!$B$3,Investors!$J:$J,"",Investors!$A:$A,'Investor Exit List'!$A355,Investors!$E:$E,'Investor Exit List'!$C355,Investors!$L:$L,'Investor Exit List'!$B355))</f>
        <v/>
      </c>
      <c r="G355" s="95" t="n">
        <v>44916</v>
      </c>
      <c r="H355" s="93" t="b">
        <v>0</v>
      </c>
      <c r="I355" s="93" t="b">
        <v>0</v>
      </c>
      <c r="J355" s="95" t="n">
        <v>45510</v>
      </c>
      <c r="K355" s="95">
        <f>IF(I355=TRUE,J355,"")</f>
        <v/>
      </c>
      <c r="L355" s="95">
        <f>G355+730</f>
        <v/>
      </c>
      <c r="M355" s="95" t="n">
        <v>45382</v>
      </c>
      <c r="N355" s="96">
        <f>IFERROR(IF(G355&lt;&gt;"",IF(I355=TRUE,0,IF(U355=TRUE,0,L355-M355)),0),0)</f>
        <v/>
      </c>
      <c r="O355" s="96">
        <f>IF(N355&gt;0,IF(N355&lt;=180,N355,0),0)</f>
        <v/>
      </c>
      <c r="P355" s="94">
        <f>IF(AND(N355&lt;90,N355&gt;0),Q355,0)</f>
        <v/>
      </c>
      <c r="Q355" s="94">
        <f>SUMIFS(Investors!$M:$M,Investors!$O:$O,FALSE,Investors!$P:$P,FALSE,Investors!$K:$K,"&gt;"&amp;'NSST Print'!$B$3,Investors!$I:$I,"&lt;="&amp;'NSST Print'!$B$3,Investors!$A:$A,'Investor Exit List'!$A355,Investors!$E:$E,'Investor Exit List'!$C355,Investors!$L:$L,'Investor Exit List'!$B355)-(SUMIFS(Investors!$M:$M,Investors!$I:$I,"&lt;="&amp;'NSST Print'!$B$3,Investors!$J:$J,"&gt;"&amp;'NSST Print'!$B$3,Investors!$A:$A,'Investor Exit List'!$A355,Investors!$E:$E,'Investor Exit List'!$C355,Investors!$L:$L,'Investor Exit List'!$B355)+SUMIFS(Investors!$M:$M,Investors!$I:$I,"&lt;="&amp;'NSST Print'!$B$3,Investors!$J:$J,"",Investors!$A:$A,'Investor Exit List'!$A355,Investors!$E:$E,'Investor Exit List'!$C355,Investors!$L:$L,'Investor Exit List'!$B355))+SUMIFS(Investors!$S:$S,Investors!$O:$O,FALSE,Investors!$P:$P,FALSE,Investors!$K:$K,"&gt;"&amp;'NSST Print'!$B$3,Investors!$I:$I,"&lt;="&amp;'NSST Print'!$B$3,Investors!$A:$A,'Investor Exit List'!$A355,Investors!$E:$E,'Investor Exit List'!$C355,Investors!$L:$L,'Investor Exit List'!$B355)-(SUMIFS(Investors!$S:$S,Investors!$I:$I,"&lt;="&amp;'NSST Print'!$B$3,Investors!$J:$J,"&gt;"&amp;'NSST Print'!$B$3,Investors!$A:$A,'Investor Exit List'!$A355,Investors!$E:$E,'Investor Exit List'!$C355,Investors!$L:$L,'Investor Exit List'!$B355)+SUMIFS(Investors!$S:$S,Investors!$I:$I,"&lt;="&amp;'NSST Print'!$B$3,Investors!$J:$J,"",Investors!$A:$A,'Investor Exit List'!$A355,Investors!$E:$E,'Investor Exit List'!$C355,Investors!$L:$L,'Investor Exit List'!$B355))</f>
        <v/>
      </c>
      <c r="R355" s="94">
        <f>IF(AND(H355=TRUE,I355=FALSE),Q355,0)</f>
        <v/>
      </c>
      <c r="S355" s="94">
        <f>SUMIFS(Investors!$M:$M,Investors!$O:$O,TRUE,Investors!$A:$A,'Investor Exit List'!$A355,Investors!$E:$E,'Investor Exit List'!$C355,Investors!$L:$L,'Investor Exit List'!$B355)+SUMIFS(Investors!$S:$S,Investors!$O:$O,TRUE,Investors!$A:$A,'Investor Exit List'!$A355,Investors!$E:$E,'Investor Exit List'!$C355,Investors!$L:$L,'Investor Exit List'!$B355)</f>
        <v/>
      </c>
      <c r="T355" s="95">
        <f>IF(U355=TRUE,$J355,"")</f>
        <v/>
      </c>
      <c r="U355" s="93" t="b">
        <v>0</v>
      </c>
      <c r="V355" s="94">
        <f>IF(AND(H355=TRUE,OR(K355="",K355&gt;M355)),S355,0)</f>
        <v/>
      </c>
      <c r="W355" s="93" t="n">
        <v>0</v>
      </c>
      <c r="X355" s="93" t="b">
        <v>0</v>
      </c>
    </row>
    <row r="356">
      <c r="A356" s="93" t="inlineStr">
        <is>
          <t>ZVAN05</t>
        </is>
      </c>
      <c r="B356" s="93" t="n">
        <v>6</v>
      </c>
      <c r="C356" s="93" t="inlineStr">
        <is>
          <t>HVK201</t>
        </is>
      </c>
      <c r="D356" s="93" t="inlineStr">
        <is>
          <t>K</t>
        </is>
      </c>
      <c r="E356" s="93" t="inlineStr">
        <is>
          <t>van der Sandt Hermanus</t>
        </is>
      </c>
      <c r="F356" s="94">
        <f>SUMIFS(Investors!$M:$M,Investors!$O:$O,FALSE,Investors!$P:$P,FALSE,Investors!$K:$K,"&gt;"&amp;'NSST Print'!$B$3,Investors!$I:$I,"&lt;="&amp;'NSST Print'!$B$3,Investors!$A:$A,'Investor Exit List'!$A356,Investors!$E:$E,'Investor Exit List'!$C356,Investors!$L:$L,'Investor Exit List'!$B356)-(SUMIFS(Investors!$M:$M,Investors!$I:$I,"&lt;="&amp;'NSST Print'!$B$3,Investors!$J:$J,"&gt;"&amp;'NSST Print'!$B$3,Investors!$A:$A,'Investor Exit List'!$A356,Investors!$E:$E,'Investor Exit List'!$C356,Investors!$L:$L,'Investor Exit List'!$B356)+SUMIFS(Investors!$M:$M,Investors!$I:$I,"&lt;="&amp;'NSST Print'!$B$3,Investors!$J:$J,"",Investors!$A:$A,'Investor Exit List'!$A356,Investors!$E:$E,'Investor Exit List'!$C356,Investors!$L:$L,'Investor Exit List'!$B356))</f>
        <v/>
      </c>
      <c r="G356" s="95" t="n">
        <v>44916</v>
      </c>
      <c r="H356" s="93" t="b">
        <v>0</v>
      </c>
      <c r="I356" s="93" t="b">
        <v>0</v>
      </c>
      <c r="J356" s="95" t="n">
        <v>45510</v>
      </c>
      <c r="K356" s="95">
        <f>IF(I356=TRUE,J356,"")</f>
        <v/>
      </c>
      <c r="L356" s="95">
        <f>G356+730</f>
        <v/>
      </c>
      <c r="M356" s="95" t="n">
        <v>45382</v>
      </c>
      <c r="N356" s="96">
        <f>IFERROR(IF(G356&lt;&gt;"",IF(I356=TRUE,0,IF(U356=TRUE,0,L356-M356)),0),0)</f>
        <v/>
      </c>
      <c r="O356" s="96">
        <f>IF(N356&gt;0,IF(N356&lt;=180,N356,0),0)</f>
        <v/>
      </c>
      <c r="P356" s="94">
        <f>IF(AND(N356&lt;90,N356&gt;0),Q356,0)</f>
        <v/>
      </c>
      <c r="Q356" s="94">
        <f>SUMIFS(Investors!$M:$M,Investors!$O:$O,FALSE,Investors!$P:$P,FALSE,Investors!$K:$K,"&gt;"&amp;'NSST Print'!$B$3,Investors!$I:$I,"&lt;="&amp;'NSST Print'!$B$3,Investors!$A:$A,'Investor Exit List'!$A356,Investors!$E:$E,'Investor Exit List'!$C356,Investors!$L:$L,'Investor Exit List'!$B356)-(SUMIFS(Investors!$M:$M,Investors!$I:$I,"&lt;="&amp;'NSST Print'!$B$3,Investors!$J:$J,"&gt;"&amp;'NSST Print'!$B$3,Investors!$A:$A,'Investor Exit List'!$A356,Investors!$E:$E,'Investor Exit List'!$C356,Investors!$L:$L,'Investor Exit List'!$B356)+SUMIFS(Investors!$M:$M,Investors!$I:$I,"&lt;="&amp;'NSST Print'!$B$3,Investors!$J:$J,"",Investors!$A:$A,'Investor Exit List'!$A356,Investors!$E:$E,'Investor Exit List'!$C356,Investors!$L:$L,'Investor Exit List'!$B356))+SUMIFS(Investors!$S:$S,Investors!$O:$O,FALSE,Investors!$P:$P,FALSE,Investors!$K:$K,"&gt;"&amp;'NSST Print'!$B$3,Investors!$I:$I,"&lt;="&amp;'NSST Print'!$B$3,Investors!$A:$A,'Investor Exit List'!$A356,Investors!$E:$E,'Investor Exit List'!$C356,Investors!$L:$L,'Investor Exit List'!$B356)-(SUMIFS(Investors!$S:$S,Investors!$I:$I,"&lt;="&amp;'NSST Print'!$B$3,Investors!$J:$J,"&gt;"&amp;'NSST Print'!$B$3,Investors!$A:$A,'Investor Exit List'!$A356,Investors!$E:$E,'Investor Exit List'!$C356,Investors!$L:$L,'Investor Exit List'!$B356)+SUMIFS(Investors!$S:$S,Investors!$I:$I,"&lt;="&amp;'NSST Print'!$B$3,Investors!$J:$J,"",Investors!$A:$A,'Investor Exit List'!$A356,Investors!$E:$E,'Investor Exit List'!$C356,Investors!$L:$L,'Investor Exit List'!$B356))</f>
        <v/>
      </c>
      <c r="R356" s="94">
        <f>IF(AND(H356=TRUE,I356=FALSE),Q356,0)</f>
        <v/>
      </c>
      <c r="S356" s="94">
        <f>SUMIFS(Investors!$M:$M,Investors!$O:$O,TRUE,Investors!$A:$A,'Investor Exit List'!$A356,Investors!$E:$E,'Investor Exit List'!$C356,Investors!$L:$L,'Investor Exit List'!$B356)+SUMIFS(Investors!$S:$S,Investors!$O:$O,TRUE,Investors!$A:$A,'Investor Exit List'!$A356,Investors!$E:$E,'Investor Exit List'!$C356,Investors!$L:$L,'Investor Exit List'!$B356)</f>
        <v/>
      </c>
      <c r="T356" s="95">
        <f>IF(U356=TRUE,$J356,"")</f>
        <v/>
      </c>
      <c r="U356" s="93" t="b">
        <v>0</v>
      </c>
      <c r="V356" s="94">
        <f>IF(AND(H356=TRUE,OR(K356="",K356&gt;M356)),S356,0)</f>
        <v/>
      </c>
      <c r="W356" s="93" t="n">
        <v>0</v>
      </c>
      <c r="X356" s="93" t="b">
        <v>0</v>
      </c>
    </row>
    <row r="357">
      <c r="A357" s="93" t="inlineStr">
        <is>
          <t>ZBLO01</t>
        </is>
      </c>
      <c r="B357" s="93" t="n">
        <v>3</v>
      </c>
      <c r="C357" s="93" t="inlineStr">
        <is>
          <t>HVK202</t>
        </is>
      </c>
      <c r="D357" s="93" t="inlineStr">
        <is>
          <t>K</t>
        </is>
      </c>
      <c r="E357" s="93" t="inlineStr">
        <is>
          <t>Blows Robert Errol</t>
        </is>
      </c>
      <c r="F357" s="94">
        <f>SUMIFS(Investors!$M:$M,Investors!$O:$O,FALSE,Investors!$P:$P,FALSE,Investors!$K:$K,"&gt;"&amp;'NSST Print'!$B$3,Investors!$I:$I,"&lt;="&amp;'NSST Print'!$B$3,Investors!$A:$A,'Investor Exit List'!$A357,Investors!$E:$E,'Investor Exit List'!$C357,Investors!$L:$L,'Investor Exit List'!$B357)-(SUMIFS(Investors!$M:$M,Investors!$I:$I,"&lt;="&amp;'NSST Print'!$B$3,Investors!$J:$J,"&gt;"&amp;'NSST Print'!$B$3,Investors!$A:$A,'Investor Exit List'!$A357,Investors!$E:$E,'Investor Exit List'!$C357,Investors!$L:$L,'Investor Exit List'!$B357)+SUMIFS(Investors!$M:$M,Investors!$I:$I,"&lt;="&amp;'NSST Print'!$B$3,Investors!$J:$J,"",Investors!$A:$A,'Investor Exit List'!$A357,Investors!$E:$E,'Investor Exit List'!$C357,Investors!$L:$L,'Investor Exit List'!$B357))</f>
        <v/>
      </c>
      <c r="G357" s="95" t="n">
        <v>44916</v>
      </c>
      <c r="H357" s="93" t="b">
        <v>0</v>
      </c>
      <c r="I357" s="93" t="b">
        <v>0</v>
      </c>
      <c r="J357" s="95" t="n">
        <v>45510</v>
      </c>
      <c r="K357" s="95">
        <f>IF(I357=TRUE,J357,"")</f>
        <v/>
      </c>
      <c r="L357" s="95">
        <f>G357+730</f>
        <v/>
      </c>
      <c r="M357" s="95" t="n">
        <v>45382</v>
      </c>
      <c r="N357" s="96">
        <f>IFERROR(IF(G357&lt;&gt;"",IF(I357=TRUE,0,IF(U357=TRUE,0,L357-M357)),0),0)</f>
        <v/>
      </c>
      <c r="O357" s="96">
        <f>IF(N357&gt;0,IF(N357&lt;=180,N357,0),0)</f>
        <v/>
      </c>
      <c r="P357" s="94">
        <f>IF(AND(N357&lt;90,N357&gt;0),Q357,0)</f>
        <v/>
      </c>
      <c r="Q357" s="94">
        <f>SUMIFS(Investors!$M:$M,Investors!$O:$O,FALSE,Investors!$P:$P,FALSE,Investors!$K:$K,"&gt;"&amp;'NSST Print'!$B$3,Investors!$I:$I,"&lt;="&amp;'NSST Print'!$B$3,Investors!$A:$A,'Investor Exit List'!$A357,Investors!$E:$E,'Investor Exit List'!$C357,Investors!$L:$L,'Investor Exit List'!$B357)-(SUMIFS(Investors!$M:$M,Investors!$I:$I,"&lt;="&amp;'NSST Print'!$B$3,Investors!$J:$J,"&gt;"&amp;'NSST Print'!$B$3,Investors!$A:$A,'Investor Exit List'!$A357,Investors!$E:$E,'Investor Exit List'!$C357,Investors!$L:$L,'Investor Exit List'!$B357)+SUMIFS(Investors!$M:$M,Investors!$I:$I,"&lt;="&amp;'NSST Print'!$B$3,Investors!$J:$J,"",Investors!$A:$A,'Investor Exit List'!$A357,Investors!$E:$E,'Investor Exit List'!$C357,Investors!$L:$L,'Investor Exit List'!$B357))+SUMIFS(Investors!$S:$S,Investors!$O:$O,FALSE,Investors!$P:$P,FALSE,Investors!$K:$K,"&gt;"&amp;'NSST Print'!$B$3,Investors!$I:$I,"&lt;="&amp;'NSST Print'!$B$3,Investors!$A:$A,'Investor Exit List'!$A357,Investors!$E:$E,'Investor Exit List'!$C357,Investors!$L:$L,'Investor Exit List'!$B357)-(SUMIFS(Investors!$S:$S,Investors!$I:$I,"&lt;="&amp;'NSST Print'!$B$3,Investors!$J:$J,"&gt;"&amp;'NSST Print'!$B$3,Investors!$A:$A,'Investor Exit List'!$A357,Investors!$E:$E,'Investor Exit List'!$C357,Investors!$L:$L,'Investor Exit List'!$B357)+SUMIFS(Investors!$S:$S,Investors!$I:$I,"&lt;="&amp;'NSST Print'!$B$3,Investors!$J:$J,"",Investors!$A:$A,'Investor Exit List'!$A357,Investors!$E:$E,'Investor Exit List'!$C357,Investors!$L:$L,'Investor Exit List'!$B357))</f>
        <v/>
      </c>
      <c r="R357" s="94">
        <f>IF(AND(H357=TRUE,I357=FALSE),Q357,0)</f>
        <v/>
      </c>
      <c r="S357" s="94">
        <f>SUMIFS(Investors!$M:$M,Investors!$O:$O,TRUE,Investors!$A:$A,'Investor Exit List'!$A357,Investors!$E:$E,'Investor Exit List'!$C357,Investors!$L:$L,'Investor Exit List'!$B357)+SUMIFS(Investors!$S:$S,Investors!$O:$O,TRUE,Investors!$A:$A,'Investor Exit List'!$A357,Investors!$E:$E,'Investor Exit List'!$C357,Investors!$L:$L,'Investor Exit List'!$B357)</f>
        <v/>
      </c>
      <c r="T357" s="95">
        <f>IF(U357=TRUE,$J357,"")</f>
        <v/>
      </c>
      <c r="U357" s="93" t="b">
        <v>0</v>
      </c>
      <c r="V357" s="94">
        <f>IF(AND(H357=TRUE,OR(K357="",K357&gt;M357)),S357,0)</f>
        <v/>
      </c>
      <c r="W357" s="93" t="n">
        <v>0</v>
      </c>
      <c r="X357" s="93" t="b">
        <v>0</v>
      </c>
    </row>
    <row r="358">
      <c r="A358" s="93" t="inlineStr">
        <is>
          <t>ZLAB02</t>
        </is>
      </c>
      <c r="B358" s="93" t="n">
        <v>2</v>
      </c>
      <c r="C358" s="93" t="inlineStr">
        <is>
          <t>HVK202</t>
        </is>
      </c>
      <c r="D358" s="93" t="inlineStr">
        <is>
          <t>K</t>
        </is>
      </c>
      <c r="E358" s="93" t="inlineStr">
        <is>
          <t>Labuschagne Jandre</t>
        </is>
      </c>
      <c r="F358" s="94">
        <f>SUMIFS(Investors!$M:$M,Investors!$O:$O,FALSE,Investors!$P:$P,FALSE,Investors!$K:$K,"&gt;"&amp;'NSST Print'!$B$3,Investors!$I:$I,"&lt;="&amp;'NSST Print'!$B$3,Investors!$A:$A,'Investor Exit List'!$A358,Investors!$E:$E,'Investor Exit List'!$C358,Investors!$L:$L,'Investor Exit List'!$B358)-(SUMIFS(Investors!$M:$M,Investors!$I:$I,"&lt;="&amp;'NSST Print'!$B$3,Investors!$J:$J,"&gt;"&amp;'NSST Print'!$B$3,Investors!$A:$A,'Investor Exit List'!$A358,Investors!$E:$E,'Investor Exit List'!$C358,Investors!$L:$L,'Investor Exit List'!$B358)+SUMIFS(Investors!$M:$M,Investors!$I:$I,"&lt;="&amp;'NSST Print'!$B$3,Investors!$J:$J,"",Investors!$A:$A,'Investor Exit List'!$A358,Investors!$E:$E,'Investor Exit List'!$C358,Investors!$L:$L,'Investor Exit List'!$B358))</f>
        <v/>
      </c>
      <c r="G358" s="95" t="n">
        <v>44916</v>
      </c>
      <c r="H358" s="93" t="b">
        <v>0</v>
      </c>
      <c r="I358" s="93" t="b">
        <v>0</v>
      </c>
      <c r="J358" s="95" t="n">
        <v>45510</v>
      </c>
      <c r="K358" s="95">
        <f>IF(I358=TRUE,J358,"")</f>
        <v/>
      </c>
      <c r="L358" s="95">
        <f>G358+730</f>
        <v/>
      </c>
      <c r="M358" s="95" t="n">
        <v>45382</v>
      </c>
      <c r="N358" s="96">
        <f>IFERROR(IF(G358&lt;&gt;"",IF(I358=TRUE,0,IF(U358=TRUE,0,L358-M358)),0),0)</f>
        <v/>
      </c>
      <c r="O358" s="96">
        <f>IF(N358&gt;0,IF(N358&lt;=180,N358,0),0)</f>
        <v/>
      </c>
      <c r="P358" s="94">
        <f>IF(AND(N358&lt;90,N358&gt;0),Q358,0)</f>
        <v/>
      </c>
      <c r="Q358" s="94">
        <f>SUMIFS(Investors!$M:$M,Investors!$O:$O,FALSE,Investors!$P:$P,FALSE,Investors!$K:$K,"&gt;"&amp;'NSST Print'!$B$3,Investors!$I:$I,"&lt;="&amp;'NSST Print'!$B$3,Investors!$A:$A,'Investor Exit List'!$A358,Investors!$E:$E,'Investor Exit List'!$C358,Investors!$L:$L,'Investor Exit List'!$B358)-(SUMIFS(Investors!$M:$M,Investors!$I:$I,"&lt;="&amp;'NSST Print'!$B$3,Investors!$J:$J,"&gt;"&amp;'NSST Print'!$B$3,Investors!$A:$A,'Investor Exit List'!$A358,Investors!$E:$E,'Investor Exit List'!$C358,Investors!$L:$L,'Investor Exit List'!$B358)+SUMIFS(Investors!$M:$M,Investors!$I:$I,"&lt;="&amp;'NSST Print'!$B$3,Investors!$J:$J,"",Investors!$A:$A,'Investor Exit List'!$A358,Investors!$E:$E,'Investor Exit List'!$C358,Investors!$L:$L,'Investor Exit List'!$B358))+SUMIFS(Investors!$S:$S,Investors!$O:$O,FALSE,Investors!$P:$P,FALSE,Investors!$K:$K,"&gt;"&amp;'NSST Print'!$B$3,Investors!$I:$I,"&lt;="&amp;'NSST Print'!$B$3,Investors!$A:$A,'Investor Exit List'!$A358,Investors!$E:$E,'Investor Exit List'!$C358,Investors!$L:$L,'Investor Exit List'!$B358)-(SUMIFS(Investors!$S:$S,Investors!$I:$I,"&lt;="&amp;'NSST Print'!$B$3,Investors!$J:$J,"&gt;"&amp;'NSST Print'!$B$3,Investors!$A:$A,'Investor Exit List'!$A358,Investors!$E:$E,'Investor Exit List'!$C358,Investors!$L:$L,'Investor Exit List'!$B358)+SUMIFS(Investors!$S:$S,Investors!$I:$I,"&lt;="&amp;'NSST Print'!$B$3,Investors!$J:$J,"",Investors!$A:$A,'Investor Exit List'!$A358,Investors!$E:$E,'Investor Exit List'!$C358,Investors!$L:$L,'Investor Exit List'!$B358))</f>
        <v/>
      </c>
      <c r="R358" s="94">
        <f>IF(AND(H358=TRUE,I358=FALSE),Q358,0)</f>
        <v/>
      </c>
      <c r="S358" s="94">
        <f>SUMIFS(Investors!$M:$M,Investors!$O:$O,TRUE,Investors!$A:$A,'Investor Exit List'!$A358,Investors!$E:$E,'Investor Exit List'!$C358,Investors!$L:$L,'Investor Exit List'!$B358)+SUMIFS(Investors!$S:$S,Investors!$O:$O,TRUE,Investors!$A:$A,'Investor Exit List'!$A358,Investors!$E:$E,'Investor Exit List'!$C358,Investors!$L:$L,'Investor Exit List'!$B358)</f>
        <v/>
      </c>
      <c r="T358" s="95">
        <f>IF(U358=TRUE,$J358,"")</f>
        <v/>
      </c>
      <c r="U358" s="93" t="b">
        <v>0</v>
      </c>
      <c r="V358" s="94">
        <f>IF(AND(H358=TRUE,OR(K358="",K358&gt;M358)),S358,0)</f>
        <v/>
      </c>
      <c r="W358" s="93" t="n">
        <v>0</v>
      </c>
      <c r="X358" s="93" t="b">
        <v>0</v>
      </c>
    </row>
    <row r="359">
      <c r="A359" s="93" t="inlineStr">
        <is>
          <t>ZRAN01</t>
        </is>
      </c>
      <c r="B359" s="93" t="n">
        <v>23</v>
      </c>
      <c r="C359" s="93" t="inlineStr">
        <is>
          <t>HVK202</t>
        </is>
      </c>
      <c r="D359" s="93" t="inlineStr">
        <is>
          <t>K</t>
        </is>
      </c>
      <c r="E359" s="93" t="inlineStr">
        <is>
          <t>Rankin Ross Partick Gemill</t>
        </is>
      </c>
      <c r="F359" s="94">
        <f>SUMIFS(Investors!$M:$M,Investors!$O:$O,FALSE,Investors!$P:$P,FALSE,Investors!$K:$K,"&gt;"&amp;'NSST Print'!$B$3,Investors!$I:$I,"&lt;="&amp;'NSST Print'!$B$3,Investors!$A:$A,'Investor Exit List'!$A359,Investors!$E:$E,'Investor Exit List'!$C359,Investors!$L:$L,'Investor Exit List'!$B359)-(SUMIFS(Investors!$M:$M,Investors!$I:$I,"&lt;="&amp;'NSST Print'!$B$3,Investors!$J:$J,"&gt;"&amp;'NSST Print'!$B$3,Investors!$A:$A,'Investor Exit List'!$A359,Investors!$E:$E,'Investor Exit List'!$C359,Investors!$L:$L,'Investor Exit List'!$B359)+SUMIFS(Investors!$M:$M,Investors!$I:$I,"&lt;="&amp;'NSST Print'!$B$3,Investors!$J:$J,"",Investors!$A:$A,'Investor Exit List'!$A359,Investors!$E:$E,'Investor Exit List'!$C359,Investors!$L:$L,'Investor Exit List'!$B359))</f>
        <v/>
      </c>
      <c r="G359" s="95" t="n">
        <v>44967</v>
      </c>
      <c r="H359" s="93" t="b">
        <v>0</v>
      </c>
      <c r="I359" s="93" t="b">
        <v>0</v>
      </c>
      <c r="J359" s="95" t="n">
        <v>45510</v>
      </c>
      <c r="K359" s="95">
        <f>IF(I359=TRUE,J359,"")</f>
        <v/>
      </c>
      <c r="L359" s="95">
        <f>G359+730</f>
        <v/>
      </c>
      <c r="M359" s="95" t="n">
        <v>45382</v>
      </c>
      <c r="N359" s="96">
        <f>IFERROR(IF(G359&lt;&gt;"",IF(I359=TRUE,0,IF(U359=TRUE,0,L359-M359)),0),0)</f>
        <v/>
      </c>
      <c r="O359" s="96">
        <f>IF(N359&gt;0,IF(N359&lt;=180,N359,0),0)</f>
        <v/>
      </c>
      <c r="P359" s="94">
        <f>IF(AND(N359&lt;90,N359&gt;0),Q359,0)</f>
        <v/>
      </c>
      <c r="Q359" s="94">
        <f>SUMIFS(Investors!$M:$M,Investors!$O:$O,FALSE,Investors!$P:$P,FALSE,Investors!$K:$K,"&gt;"&amp;'NSST Print'!$B$3,Investors!$I:$I,"&lt;="&amp;'NSST Print'!$B$3,Investors!$A:$A,'Investor Exit List'!$A359,Investors!$E:$E,'Investor Exit List'!$C359,Investors!$L:$L,'Investor Exit List'!$B359)-(SUMIFS(Investors!$M:$M,Investors!$I:$I,"&lt;="&amp;'NSST Print'!$B$3,Investors!$J:$J,"&gt;"&amp;'NSST Print'!$B$3,Investors!$A:$A,'Investor Exit List'!$A359,Investors!$E:$E,'Investor Exit List'!$C359,Investors!$L:$L,'Investor Exit List'!$B359)+SUMIFS(Investors!$M:$M,Investors!$I:$I,"&lt;="&amp;'NSST Print'!$B$3,Investors!$J:$J,"",Investors!$A:$A,'Investor Exit List'!$A359,Investors!$E:$E,'Investor Exit List'!$C359,Investors!$L:$L,'Investor Exit List'!$B359))+SUMIFS(Investors!$S:$S,Investors!$O:$O,FALSE,Investors!$P:$P,FALSE,Investors!$K:$K,"&gt;"&amp;'NSST Print'!$B$3,Investors!$I:$I,"&lt;="&amp;'NSST Print'!$B$3,Investors!$A:$A,'Investor Exit List'!$A359,Investors!$E:$E,'Investor Exit List'!$C359,Investors!$L:$L,'Investor Exit List'!$B359)-(SUMIFS(Investors!$S:$S,Investors!$I:$I,"&lt;="&amp;'NSST Print'!$B$3,Investors!$J:$J,"&gt;"&amp;'NSST Print'!$B$3,Investors!$A:$A,'Investor Exit List'!$A359,Investors!$E:$E,'Investor Exit List'!$C359,Investors!$L:$L,'Investor Exit List'!$B359)+SUMIFS(Investors!$S:$S,Investors!$I:$I,"&lt;="&amp;'NSST Print'!$B$3,Investors!$J:$J,"",Investors!$A:$A,'Investor Exit List'!$A359,Investors!$E:$E,'Investor Exit List'!$C359,Investors!$L:$L,'Investor Exit List'!$B359))</f>
        <v/>
      </c>
      <c r="R359" s="94">
        <f>IF(AND(H359=TRUE,I359=FALSE),Q359,0)</f>
        <v/>
      </c>
      <c r="S359" s="94">
        <f>SUMIFS(Investors!$M:$M,Investors!$O:$O,TRUE,Investors!$A:$A,'Investor Exit List'!$A359,Investors!$E:$E,'Investor Exit List'!$C359,Investors!$L:$L,'Investor Exit List'!$B359)+SUMIFS(Investors!$S:$S,Investors!$O:$O,TRUE,Investors!$A:$A,'Investor Exit List'!$A359,Investors!$E:$E,'Investor Exit List'!$C359,Investors!$L:$L,'Investor Exit List'!$B359)</f>
        <v/>
      </c>
      <c r="T359" s="95">
        <f>IF(U359=TRUE,$J359,"")</f>
        <v/>
      </c>
      <c r="U359" s="93" t="b">
        <v>0</v>
      </c>
      <c r="V359" s="94">
        <f>IF(AND(H359=TRUE,OR(K359="",K359&gt;M359)),S359,0)</f>
        <v/>
      </c>
      <c r="W359" s="93" t="n">
        <v>0</v>
      </c>
      <c r="X359" s="93" t="b">
        <v>0</v>
      </c>
    </row>
    <row r="360">
      <c r="A360" s="93" t="inlineStr">
        <is>
          <t>ZVDM01</t>
        </is>
      </c>
      <c r="B360" s="93" t="n">
        <v>5</v>
      </c>
      <c r="C360" s="93" t="inlineStr">
        <is>
          <t>HVK202</t>
        </is>
      </c>
      <c r="D360" s="93" t="inlineStr">
        <is>
          <t>K</t>
        </is>
      </c>
      <c r="E360" s="93" t="inlineStr">
        <is>
          <t>van der Mescht Paula</t>
        </is>
      </c>
      <c r="F360" s="94">
        <f>SUMIFS(Investors!$M:$M,Investors!$O:$O,FALSE,Investors!$P:$P,FALSE,Investors!$K:$K,"&gt;"&amp;'NSST Print'!$B$3,Investors!$I:$I,"&lt;="&amp;'NSST Print'!$B$3,Investors!$A:$A,'Investor Exit List'!$A360,Investors!$E:$E,'Investor Exit List'!$C360,Investors!$L:$L,'Investor Exit List'!$B360)-(SUMIFS(Investors!$M:$M,Investors!$I:$I,"&lt;="&amp;'NSST Print'!$B$3,Investors!$J:$J,"&gt;"&amp;'NSST Print'!$B$3,Investors!$A:$A,'Investor Exit List'!$A360,Investors!$E:$E,'Investor Exit List'!$C360,Investors!$L:$L,'Investor Exit List'!$B360)+SUMIFS(Investors!$M:$M,Investors!$I:$I,"&lt;="&amp;'NSST Print'!$B$3,Investors!$J:$J,"",Investors!$A:$A,'Investor Exit List'!$A360,Investors!$E:$E,'Investor Exit List'!$C360,Investors!$L:$L,'Investor Exit List'!$B360))</f>
        <v/>
      </c>
      <c r="G360" s="95" t="n">
        <v>44986</v>
      </c>
      <c r="H360" s="93" t="b">
        <v>0</v>
      </c>
      <c r="I360" s="93" t="b">
        <v>0</v>
      </c>
      <c r="J360" s="95" t="n">
        <v>45510</v>
      </c>
      <c r="K360" s="95">
        <f>IF(I360=TRUE,J360,"")</f>
        <v/>
      </c>
      <c r="L360" s="95">
        <f>G360+730</f>
        <v/>
      </c>
      <c r="M360" s="95" t="n">
        <v>45382</v>
      </c>
      <c r="N360" s="96">
        <f>IFERROR(IF(G360&lt;&gt;"",IF(I360=TRUE,0,IF(U360=TRUE,0,L360-M360)),0),0)</f>
        <v/>
      </c>
      <c r="O360" s="96">
        <f>IF(N360&gt;0,IF(N360&lt;=180,N360,0),0)</f>
        <v/>
      </c>
      <c r="P360" s="94">
        <f>IF(AND(N360&lt;90,N360&gt;0),Q360,0)</f>
        <v/>
      </c>
      <c r="Q360" s="94">
        <f>SUMIFS(Investors!$M:$M,Investors!$O:$O,FALSE,Investors!$P:$P,FALSE,Investors!$K:$K,"&gt;"&amp;'NSST Print'!$B$3,Investors!$I:$I,"&lt;="&amp;'NSST Print'!$B$3,Investors!$A:$A,'Investor Exit List'!$A360,Investors!$E:$E,'Investor Exit List'!$C360,Investors!$L:$L,'Investor Exit List'!$B360)-(SUMIFS(Investors!$M:$M,Investors!$I:$I,"&lt;="&amp;'NSST Print'!$B$3,Investors!$J:$J,"&gt;"&amp;'NSST Print'!$B$3,Investors!$A:$A,'Investor Exit List'!$A360,Investors!$E:$E,'Investor Exit List'!$C360,Investors!$L:$L,'Investor Exit List'!$B360)+SUMIFS(Investors!$M:$M,Investors!$I:$I,"&lt;="&amp;'NSST Print'!$B$3,Investors!$J:$J,"",Investors!$A:$A,'Investor Exit List'!$A360,Investors!$E:$E,'Investor Exit List'!$C360,Investors!$L:$L,'Investor Exit List'!$B360))+SUMIFS(Investors!$S:$S,Investors!$O:$O,FALSE,Investors!$P:$P,FALSE,Investors!$K:$K,"&gt;"&amp;'NSST Print'!$B$3,Investors!$I:$I,"&lt;="&amp;'NSST Print'!$B$3,Investors!$A:$A,'Investor Exit List'!$A360,Investors!$E:$E,'Investor Exit List'!$C360,Investors!$L:$L,'Investor Exit List'!$B360)-(SUMIFS(Investors!$S:$S,Investors!$I:$I,"&lt;="&amp;'NSST Print'!$B$3,Investors!$J:$J,"&gt;"&amp;'NSST Print'!$B$3,Investors!$A:$A,'Investor Exit List'!$A360,Investors!$E:$E,'Investor Exit List'!$C360,Investors!$L:$L,'Investor Exit List'!$B360)+SUMIFS(Investors!$S:$S,Investors!$I:$I,"&lt;="&amp;'NSST Print'!$B$3,Investors!$J:$J,"",Investors!$A:$A,'Investor Exit List'!$A360,Investors!$E:$E,'Investor Exit List'!$C360,Investors!$L:$L,'Investor Exit List'!$B360))</f>
        <v/>
      </c>
      <c r="R360" s="94">
        <f>IF(AND(H360=TRUE,I360=FALSE),Q360,0)</f>
        <v/>
      </c>
      <c r="S360" s="94">
        <f>SUMIFS(Investors!$M:$M,Investors!$O:$O,TRUE,Investors!$A:$A,'Investor Exit List'!$A360,Investors!$E:$E,'Investor Exit List'!$C360,Investors!$L:$L,'Investor Exit List'!$B360)+SUMIFS(Investors!$S:$S,Investors!$O:$O,TRUE,Investors!$A:$A,'Investor Exit List'!$A360,Investors!$E:$E,'Investor Exit List'!$C360,Investors!$L:$L,'Investor Exit List'!$B360)</f>
        <v/>
      </c>
      <c r="T360" s="95">
        <f>IF(U360=TRUE,$J360,"")</f>
        <v/>
      </c>
      <c r="U360" s="93" t="b">
        <v>0</v>
      </c>
      <c r="V360" s="94">
        <f>IF(AND(H360=TRUE,OR(K360="",K360&gt;M360)),S360,0)</f>
        <v/>
      </c>
      <c r="W360" s="93" t="n">
        <v>0</v>
      </c>
      <c r="X360" s="93" t="b">
        <v>0</v>
      </c>
    </row>
    <row r="361">
      <c r="A361" s="93" t="inlineStr">
        <is>
          <t>ZZYL03</t>
        </is>
      </c>
      <c r="B361" s="93" t="n">
        <v>4</v>
      </c>
      <c r="C361" s="93" t="inlineStr">
        <is>
          <t>HVK202</t>
        </is>
      </c>
      <c r="D361" s="93" t="inlineStr">
        <is>
          <t>K</t>
        </is>
      </c>
      <c r="E361" s="93" t="inlineStr">
        <is>
          <t>Zylstra Sandra Robyn</t>
        </is>
      </c>
      <c r="F361" s="94">
        <f>SUMIFS(Investors!$M:$M,Investors!$O:$O,FALSE,Investors!$P:$P,FALSE,Investors!$K:$K,"&gt;"&amp;'NSST Print'!$B$3,Investors!$I:$I,"&lt;="&amp;'NSST Print'!$B$3,Investors!$A:$A,'Investor Exit List'!$A361,Investors!$E:$E,'Investor Exit List'!$C361,Investors!$L:$L,'Investor Exit List'!$B361)-(SUMIFS(Investors!$M:$M,Investors!$I:$I,"&lt;="&amp;'NSST Print'!$B$3,Investors!$J:$J,"&gt;"&amp;'NSST Print'!$B$3,Investors!$A:$A,'Investor Exit List'!$A361,Investors!$E:$E,'Investor Exit List'!$C361,Investors!$L:$L,'Investor Exit List'!$B361)+SUMIFS(Investors!$M:$M,Investors!$I:$I,"&lt;="&amp;'NSST Print'!$B$3,Investors!$J:$J,"",Investors!$A:$A,'Investor Exit List'!$A361,Investors!$E:$E,'Investor Exit List'!$C361,Investors!$L:$L,'Investor Exit List'!$B361))</f>
        <v/>
      </c>
      <c r="G361" s="95" t="n">
        <v>45016</v>
      </c>
      <c r="H361" s="93" t="b">
        <v>0</v>
      </c>
      <c r="I361" s="93" t="b">
        <v>0</v>
      </c>
      <c r="J361" s="95" t="n">
        <v>45510</v>
      </c>
      <c r="K361" s="95">
        <f>IF(I361=TRUE,J361,"")</f>
        <v/>
      </c>
      <c r="L361" s="95">
        <f>G361+730</f>
        <v/>
      </c>
      <c r="M361" s="95" t="n">
        <v>45382</v>
      </c>
      <c r="N361" s="96">
        <f>IFERROR(IF(G361&lt;&gt;"",IF(I361=TRUE,0,IF(U361=TRUE,0,L361-M361)),0),0)</f>
        <v/>
      </c>
      <c r="O361" s="96">
        <f>IF(N361&gt;0,IF(N361&lt;=180,N361,0),0)</f>
        <v/>
      </c>
      <c r="P361" s="94">
        <f>IF(AND(N361&lt;90,N361&gt;0),Q361,0)</f>
        <v/>
      </c>
      <c r="Q361" s="94">
        <f>SUMIFS(Investors!$M:$M,Investors!$O:$O,FALSE,Investors!$P:$P,FALSE,Investors!$K:$K,"&gt;"&amp;'NSST Print'!$B$3,Investors!$I:$I,"&lt;="&amp;'NSST Print'!$B$3,Investors!$A:$A,'Investor Exit List'!$A361,Investors!$E:$E,'Investor Exit List'!$C361,Investors!$L:$L,'Investor Exit List'!$B361)-(SUMIFS(Investors!$M:$M,Investors!$I:$I,"&lt;="&amp;'NSST Print'!$B$3,Investors!$J:$J,"&gt;"&amp;'NSST Print'!$B$3,Investors!$A:$A,'Investor Exit List'!$A361,Investors!$E:$E,'Investor Exit List'!$C361,Investors!$L:$L,'Investor Exit List'!$B361)+SUMIFS(Investors!$M:$M,Investors!$I:$I,"&lt;="&amp;'NSST Print'!$B$3,Investors!$J:$J,"",Investors!$A:$A,'Investor Exit List'!$A361,Investors!$E:$E,'Investor Exit List'!$C361,Investors!$L:$L,'Investor Exit List'!$B361))+SUMIFS(Investors!$S:$S,Investors!$O:$O,FALSE,Investors!$P:$P,FALSE,Investors!$K:$K,"&gt;"&amp;'NSST Print'!$B$3,Investors!$I:$I,"&lt;="&amp;'NSST Print'!$B$3,Investors!$A:$A,'Investor Exit List'!$A361,Investors!$E:$E,'Investor Exit List'!$C361,Investors!$L:$L,'Investor Exit List'!$B361)-(SUMIFS(Investors!$S:$S,Investors!$I:$I,"&lt;="&amp;'NSST Print'!$B$3,Investors!$J:$J,"&gt;"&amp;'NSST Print'!$B$3,Investors!$A:$A,'Investor Exit List'!$A361,Investors!$E:$E,'Investor Exit List'!$C361,Investors!$L:$L,'Investor Exit List'!$B361)+SUMIFS(Investors!$S:$S,Investors!$I:$I,"&lt;="&amp;'NSST Print'!$B$3,Investors!$J:$J,"",Investors!$A:$A,'Investor Exit List'!$A361,Investors!$E:$E,'Investor Exit List'!$C361,Investors!$L:$L,'Investor Exit List'!$B361))</f>
        <v/>
      </c>
      <c r="R361" s="94">
        <f>IF(AND(H361=TRUE,I361=FALSE),Q361,0)</f>
        <v/>
      </c>
      <c r="S361" s="94">
        <f>SUMIFS(Investors!$M:$M,Investors!$O:$O,TRUE,Investors!$A:$A,'Investor Exit List'!$A361,Investors!$E:$E,'Investor Exit List'!$C361,Investors!$L:$L,'Investor Exit List'!$B361)+SUMIFS(Investors!$S:$S,Investors!$O:$O,TRUE,Investors!$A:$A,'Investor Exit List'!$A361,Investors!$E:$E,'Investor Exit List'!$C361,Investors!$L:$L,'Investor Exit List'!$B361)</f>
        <v/>
      </c>
      <c r="T361" s="95">
        <f>IF(U361=TRUE,$J361,"")</f>
        <v/>
      </c>
      <c r="U361" s="93" t="b">
        <v>0</v>
      </c>
      <c r="V361" s="94">
        <f>IF(AND(H361=TRUE,OR(K361="",K361&gt;M361)),S361,0)</f>
        <v/>
      </c>
      <c r="W361" s="93" t="n">
        <v>0</v>
      </c>
      <c r="X361" s="93" t="b">
        <v>0</v>
      </c>
    </row>
    <row r="362">
      <c r="A362" s="93" t="inlineStr">
        <is>
          <t>ZASD01</t>
        </is>
      </c>
      <c r="B362" s="93" t="n">
        <v>2</v>
      </c>
      <c r="C362" s="93" t="inlineStr">
        <is>
          <t>HVK203</t>
        </is>
      </c>
      <c r="D362" s="93" t="inlineStr">
        <is>
          <t>K</t>
        </is>
      </c>
      <c r="E362" s="93" t="inlineStr">
        <is>
          <t>Bendall Stuart Charles</t>
        </is>
      </c>
      <c r="F362" s="94">
        <f>SUMIFS(Investors!$M:$M,Investors!$O:$O,FALSE,Investors!$P:$P,FALSE,Investors!$K:$K,"&gt;"&amp;'NSST Print'!$B$3,Investors!$I:$I,"&lt;="&amp;'NSST Print'!$B$3,Investors!$A:$A,'Investor Exit List'!$A362,Investors!$E:$E,'Investor Exit List'!$C362,Investors!$L:$L,'Investor Exit List'!$B362)-(SUMIFS(Investors!$M:$M,Investors!$I:$I,"&lt;="&amp;'NSST Print'!$B$3,Investors!$J:$J,"&gt;"&amp;'NSST Print'!$B$3,Investors!$A:$A,'Investor Exit List'!$A362,Investors!$E:$E,'Investor Exit List'!$C362,Investors!$L:$L,'Investor Exit List'!$B362)+SUMIFS(Investors!$M:$M,Investors!$I:$I,"&lt;="&amp;'NSST Print'!$B$3,Investors!$J:$J,"",Investors!$A:$A,'Investor Exit List'!$A362,Investors!$E:$E,'Investor Exit List'!$C362,Investors!$L:$L,'Investor Exit List'!$B362))</f>
        <v/>
      </c>
      <c r="G362" s="95" t="n">
        <v>44916</v>
      </c>
      <c r="H362" s="93" t="b">
        <v>0</v>
      </c>
      <c r="I362" s="93" t="b">
        <v>0</v>
      </c>
      <c r="J362" s="95" t="n">
        <v>45510</v>
      </c>
      <c r="K362" s="95">
        <f>IF(I362=TRUE,J362,"")</f>
        <v/>
      </c>
      <c r="L362" s="95">
        <f>G362+730</f>
        <v/>
      </c>
      <c r="M362" s="95" t="n">
        <v>45382</v>
      </c>
      <c r="N362" s="96">
        <f>IFERROR(IF(G362&lt;&gt;"",IF(I362=TRUE,0,IF(U362=TRUE,0,L362-M362)),0),0)</f>
        <v/>
      </c>
      <c r="O362" s="96">
        <f>IF(N362&gt;0,IF(N362&lt;=180,N362,0),0)</f>
        <v/>
      </c>
      <c r="P362" s="94">
        <f>IF(AND(N362&lt;90,N362&gt;0),Q362,0)</f>
        <v/>
      </c>
      <c r="Q362" s="94">
        <f>SUMIFS(Investors!$M:$M,Investors!$O:$O,FALSE,Investors!$P:$P,FALSE,Investors!$K:$K,"&gt;"&amp;'NSST Print'!$B$3,Investors!$I:$I,"&lt;="&amp;'NSST Print'!$B$3,Investors!$A:$A,'Investor Exit List'!$A362,Investors!$E:$E,'Investor Exit List'!$C362,Investors!$L:$L,'Investor Exit List'!$B362)-(SUMIFS(Investors!$M:$M,Investors!$I:$I,"&lt;="&amp;'NSST Print'!$B$3,Investors!$J:$J,"&gt;"&amp;'NSST Print'!$B$3,Investors!$A:$A,'Investor Exit List'!$A362,Investors!$E:$E,'Investor Exit List'!$C362,Investors!$L:$L,'Investor Exit List'!$B362)+SUMIFS(Investors!$M:$M,Investors!$I:$I,"&lt;="&amp;'NSST Print'!$B$3,Investors!$J:$J,"",Investors!$A:$A,'Investor Exit List'!$A362,Investors!$E:$E,'Investor Exit List'!$C362,Investors!$L:$L,'Investor Exit List'!$B362))+SUMIFS(Investors!$S:$S,Investors!$O:$O,FALSE,Investors!$P:$P,FALSE,Investors!$K:$K,"&gt;"&amp;'NSST Print'!$B$3,Investors!$I:$I,"&lt;="&amp;'NSST Print'!$B$3,Investors!$A:$A,'Investor Exit List'!$A362,Investors!$E:$E,'Investor Exit List'!$C362,Investors!$L:$L,'Investor Exit List'!$B362)-(SUMIFS(Investors!$S:$S,Investors!$I:$I,"&lt;="&amp;'NSST Print'!$B$3,Investors!$J:$J,"&gt;"&amp;'NSST Print'!$B$3,Investors!$A:$A,'Investor Exit List'!$A362,Investors!$E:$E,'Investor Exit List'!$C362,Investors!$L:$L,'Investor Exit List'!$B362)+SUMIFS(Investors!$S:$S,Investors!$I:$I,"&lt;="&amp;'NSST Print'!$B$3,Investors!$J:$J,"",Investors!$A:$A,'Investor Exit List'!$A362,Investors!$E:$E,'Investor Exit List'!$C362,Investors!$L:$L,'Investor Exit List'!$B362))</f>
        <v/>
      </c>
      <c r="R362" s="94">
        <f>IF(AND(H362=TRUE,I362=FALSE),Q362,0)</f>
        <v/>
      </c>
      <c r="S362" s="94">
        <f>SUMIFS(Investors!$M:$M,Investors!$O:$O,TRUE,Investors!$A:$A,'Investor Exit List'!$A362,Investors!$E:$E,'Investor Exit List'!$C362,Investors!$L:$L,'Investor Exit List'!$B362)+SUMIFS(Investors!$S:$S,Investors!$O:$O,TRUE,Investors!$A:$A,'Investor Exit List'!$A362,Investors!$E:$E,'Investor Exit List'!$C362,Investors!$L:$L,'Investor Exit List'!$B362)</f>
        <v/>
      </c>
      <c r="T362" s="95">
        <f>IF(U362=TRUE,$J362,"")</f>
        <v/>
      </c>
      <c r="U362" s="93" t="b">
        <v>0</v>
      </c>
      <c r="V362" s="94">
        <f>IF(AND(H362=TRUE,OR(K362="",K362&gt;M362)),S362,0)</f>
        <v/>
      </c>
      <c r="W362" s="93" t="n">
        <v>0</v>
      </c>
      <c r="X362" s="93" t="b">
        <v>0</v>
      </c>
    </row>
    <row r="363">
      <c r="A363" s="93" t="inlineStr">
        <is>
          <t>ZLOU01</t>
        </is>
      </c>
      <c r="B363" s="93" t="n">
        <v>2</v>
      </c>
      <c r="C363" s="93" t="inlineStr">
        <is>
          <t>HVK203</t>
        </is>
      </c>
      <c r="D363" s="93" t="inlineStr">
        <is>
          <t>K</t>
        </is>
      </c>
      <c r="E363" s="93" t="inlineStr">
        <is>
          <t>Louw Ricardo Brandon</t>
        </is>
      </c>
      <c r="F363" s="94">
        <f>SUMIFS(Investors!$M:$M,Investors!$O:$O,FALSE,Investors!$P:$P,FALSE,Investors!$K:$K,"&gt;"&amp;'NSST Print'!$B$3,Investors!$I:$I,"&lt;="&amp;'NSST Print'!$B$3,Investors!$A:$A,'Investor Exit List'!$A363,Investors!$E:$E,'Investor Exit List'!$C363,Investors!$L:$L,'Investor Exit List'!$B363)-(SUMIFS(Investors!$M:$M,Investors!$I:$I,"&lt;="&amp;'NSST Print'!$B$3,Investors!$J:$J,"&gt;"&amp;'NSST Print'!$B$3,Investors!$A:$A,'Investor Exit List'!$A363,Investors!$E:$E,'Investor Exit List'!$C363,Investors!$L:$L,'Investor Exit List'!$B363)+SUMIFS(Investors!$M:$M,Investors!$I:$I,"&lt;="&amp;'NSST Print'!$B$3,Investors!$J:$J,"",Investors!$A:$A,'Investor Exit List'!$A363,Investors!$E:$E,'Investor Exit List'!$C363,Investors!$L:$L,'Investor Exit List'!$B363))</f>
        <v/>
      </c>
      <c r="G363" s="95" t="n">
        <v>45044</v>
      </c>
      <c r="H363" s="93" t="b">
        <v>0</v>
      </c>
      <c r="I363" s="93" t="b">
        <v>0</v>
      </c>
      <c r="J363" s="95" t="n">
        <v>45510</v>
      </c>
      <c r="K363" s="95">
        <f>IF(I363=TRUE,J363,"")</f>
        <v/>
      </c>
      <c r="L363" s="95">
        <f>G363+730</f>
        <v/>
      </c>
      <c r="M363" s="95" t="n">
        <v>45382</v>
      </c>
      <c r="N363" s="96">
        <f>IFERROR(IF(G363&lt;&gt;"",IF(I363=TRUE,0,IF(U363=TRUE,0,L363-M363)),0),0)</f>
        <v/>
      </c>
      <c r="O363" s="96">
        <f>IF(N363&gt;0,IF(N363&lt;=180,N363,0),0)</f>
        <v/>
      </c>
      <c r="P363" s="94">
        <f>IF(AND(N363&lt;90,N363&gt;0),Q363,0)</f>
        <v/>
      </c>
      <c r="Q363" s="94">
        <f>SUMIFS(Investors!$M:$M,Investors!$O:$O,FALSE,Investors!$P:$P,FALSE,Investors!$K:$K,"&gt;"&amp;'NSST Print'!$B$3,Investors!$I:$I,"&lt;="&amp;'NSST Print'!$B$3,Investors!$A:$A,'Investor Exit List'!$A363,Investors!$E:$E,'Investor Exit List'!$C363,Investors!$L:$L,'Investor Exit List'!$B363)-(SUMIFS(Investors!$M:$M,Investors!$I:$I,"&lt;="&amp;'NSST Print'!$B$3,Investors!$J:$J,"&gt;"&amp;'NSST Print'!$B$3,Investors!$A:$A,'Investor Exit List'!$A363,Investors!$E:$E,'Investor Exit List'!$C363,Investors!$L:$L,'Investor Exit List'!$B363)+SUMIFS(Investors!$M:$M,Investors!$I:$I,"&lt;="&amp;'NSST Print'!$B$3,Investors!$J:$J,"",Investors!$A:$A,'Investor Exit List'!$A363,Investors!$E:$E,'Investor Exit List'!$C363,Investors!$L:$L,'Investor Exit List'!$B363))+SUMIFS(Investors!$S:$S,Investors!$O:$O,FALSE,Investors!$P:$P,FALSE,Investors!$K:$K,"&gt;"&amp;'NSST Print'!$B$3,Investors!$I:$I,"&lt;="&amp;'NSST Print'!$B$3,Investors!$A:$A,'Investor Exit List'!$A363,Investors!$E:$E,'Investor Exit List'!$C363,Investors!$L:$L,'Investor Exit List'!$B363)-(SUMIFS(Investors!$S:$S,Investors!$I:$I,"&lt;="&amp;'NSST Print'!$B$3,Investors!$J:$J,"&gt;"&amp;'NSST Print'!$B$3,Investors!$A:$A,'Investor Exit List'!$A363,Investors!$E:$E,'Investor Exit List'!$C363,Investors!$L:$L,'Investor Exit List'!$B363)+SUMIFS(Investors!$S:$S,Investors!$I:$I,"&lt;="&amp;'NSST Print'!$B$3,Investors!$J:$J,"",Investors!$A:$A,'Investor Exit List'!$A363,Investors!$E:$E,'Investor Exit List'!$C363,Investors!$L:$L,'Investor Exit List'!$B363))</f>
        <v/>
      </c>
      <c r="R363" s="94">
        <f>IF(AND(H363=TRUE,I363=FALSE),Q363,0)</f>
        <v/>
      </c>
      <c r="S363" s="94">
        <f>SUMIFS(Investors!$M:$M,Investors!$O:$O,TRUE,Investors!$A:$A,'Investor Exit List'!$A363,Investors!$E:$E,'Investor Exit List'!$C363,Investors!$L:$L,'Investor Exit List'!$B363)+SUMIFS(Investors!$S:$S,Investors!$O:$O,TRUE,Investors!$A:$A,'Investor Exit List'!$A363,Investors!$E:$E,'Investor Exit List'!$C363,Investors!$L:$L,'Investor Exit List'!$B363)</f>
        <v/>
      </c>
      <c r="T363" s="95">
        <f>IF(U363=TRUE,$J363,"")</f>
        <v/>
      </c>
      <c r="U363" s="93" t="b">
        <v>0</v>
      </c>
      <c r="V363" s="94">
        <f>IF(AND(H363=TRUE,OR(K363="",K363&gt;M363)),S363,0)</f>
        <v/>
      </c>
      <c r="W363" s="93" t="n">
        <v>0</v>
      </c>
      <c r="X363" s="93" t="b">
        <v>0</v>
      </c>
    </row>
    <row r="364">
      <c r="A364" s="93" t="inlineStr">
        <is>
          <t>ZSPE01</t>
        </is>
      </c>
      <c r="B364" s="93" t="n">
        <v>4</v>
      </c>
      <c r="C364" s="93" t="inlineStr">
        <is>
          <t>HVK203</t>
        </is>
      </c>
      <c r="D364" s="93" t="inlineStr">
        <is>
          <t>K</t>
        </is>
      </c>
      <c r="E364" s="93" t="inlineStr">
        <is>
          <t>Speelman Mosiuoa Samuel</t>
        </is>
      </c>
      <c r="F364" s="94">
        <f>SUMIFS(Investors!$M:$M,Investors!$O:$O,FALSE,Investors!$P:$P,FALSE,Investors!$K:$K,"&gt;"&amp;'NSST Print'!$B$3,Investors!$I:$I,"&lt;="&amp;'NSST Print'!$B$3,Investors!$A:$A,'Investor Exit List'!$A364,Investors!$E:$E,'Investor Exit List'!$C364,Investors!$L:$L,'Investor Exit List'!$B364)-(SUMIFS(Investors!$M:$M,Investors!$I:$I,"&lt;="&amp;'NSST Print'!$B$3,Investors!$J:$J,"&gt;"&amp;'NSST Print'!$B$3,Investors!$A:$A,'Investor Exit List'!$A364,Investors!$E:$E,'Investor Exit List'!$C364,Investors!$L:$L,'Investor Exit List'!$B364)+SUMIFS(Investors!$M:$M,Investors!$I:$I,"&lt;="&amp;'NSST Print'!$B$3,Investors!$J:$J,"",Investors!$A:$A,'Investor Exit List'!$A364,Investors!$E:$E,'Investor Exit List'!$C364,Investors!$L:$L,'Investor Exit List'!$B364))</f>
        <v/>
      </c>
      <c r="G364" s="95" t="n">
        <v>45016</v>
      </c>
      <c r="H364" s="93" t="b">
        <v>0</v>
      </c>
      <c r="I364" s="93" t="b">
        <v>0</v>
      </c>
      <c r="J364" s="95" t="n">
        <v>45510</v>
      </c>
      <c r="K364" s="95">
        <f>IF(I364=TRUE,J364,"")</f>
        <v/>
      </c>
      <c r="L364" s="95">
        <f>G364+730</f>
        <v/>
      </c>
      <c r="M364" s="95" t="n">
        <v>45382</v>
      </c>
      <c r="N364" s="96">
        <f>IFERROR(IF(G364&lt;&gt;"",IF(I364=TRUE,0,IF(U364=TRUE,0,L364-M364)),0),0)</f>
        <v/>
      </c>
      <c r="O364" s="96">
        <f>IF(N364&gt;0,IF(N364&lt;=180,N364,0),0)</f>
        <v/>
      </c>
      <c r="P364" s="94">
        <f>IF(AND(N364&lt;90,N364&gt;0),Q364,0)</f>
        <v/>
      </c>
      <c r="Q364" s="94">
        <f>SUMIFS(Investors!$M:$M,Investors!$O:$O,FALSE,Investors!$P:$P,FALSE,Investors!$K:$K,"&gt;"&amp;'NSST Print'!$B$3,Investors!$I:$I,"&lt;="&amp;'NSST Print'!$B$3,Investors!$A:$A,'Investor Exit List'!$A364,Investors!$E:$E,'Investor Exit List'!$C364,Investors!$L:$L,'Investor Exit List'!$B364)-(SUMIFS(Investors!$M:$M,Investors!$I:$I,"&lt;="&amp;'NSST Print'!$B$3,Investors!$J:$J,"&gt;"&amp;'NSST Print'!$B$3,Investors!$A:$A,'Investor Exit List'!$A364,Investors!$E:$E,'Investor Exit List'!$C364,Investors!$L:$L,'Investor Exit List'!$B364)+SUMIFS(Investors!$M:$M,Investors!$I:$I,"&lt;="&amp;'NSST Print'!$B$3,Investors!$J:$J,"",Investors!$A:$A,'Investor Exit List'!$A364,Investors!$E:$E,'Investor Exit List'!$C364,Investors!$L:$L,'Investor Exit List'!$B364))+SUMIFS(Investors!$S:$S,Investors!$O:$O,FALSE,Investors!$P:$P,FALSE,Investors!$K:$K,"&gt;"&amp;'NSST Print'!$B$3,Investors!$I:$I,"&lt;="&amp;'NSST Print'!$B$3,Investors!$A:$A,'Investor Exit List'!$A364,Investors!$E:$E,'Investor Exit List'!$C364,Investors!$L:$L,'Investor Exit List'!$B364)-(SUMIFS(Investors!$S:$S,Investors!$I:$I,"&lt;="&amp;'NSST Print'!$B$3,Investors!$J:$J,"&gt;"&amp;'NSST Print'!$B$3,Investors!$A:$A,'Investor Exit List'!$A364,Investors!$E:$E,'Investor Exit List'!$C364,Investors!$L:$L,'Investor Exit List'!$B364)+SUMIFS(Investors!$S:$S,Investors!$I:$I,"&lt;="&amp;'NSST Print'!$B$3,Investors!$J:$J,"",Investors!$A:$A,'Investor Exit List'!$A364,Investors!$E:$E,'Investor Exit List'!$C364,Investors!$L:$L,'Investor Exit List'!$B364))</f>
        <v/>
      </c>
      <c r="R364" s="94">
        <f>IF(AND(H364=TRUE,I364=FALSE),Q364,0)</f>
        <v/>
      </c>
      <c r="S364" s="94">
        <f>SUMIFS(Investors!$M:$M,Investors!$O:$O,TRUE,Investors!$A:$A,'Investor Exit List'!$A364,Investors!$E:$E,'Investor Exit List'!$C364,Investors!$L:$L,'Investor Exit List'!$B364)+SUMIFS(Investors!$S:$S,Investors!$O:$O,TRUE,Investors!$A:$A,'Investor Exit List'!$A364,Investors!$E:$E,'Investor Exit List'!$C364,Investors!$L:$L,'Investor Exit List'!$B364)</f>
        <v/>
      </c>
      <c r="T364" s="95">
        <f>IF(U364=TRUE,$J364,"")</f>
        <v/>
      </c>
      <c r="U364" s="93" t="b">
        <v>0</v>
      </c>
      <c r="V364" s="94">
        <f>IF(AND(H364=TRUE,OR(K364="",K364&gt;M364)),S364,0)</f>
        <v/>
      </c>
      <c r="W364" s="93" t="n">
        <v>0</v>
      </c>
      <c r="X364" s="93" t="b">
        <v>0</v>
      </c>
    </row>
    <row r="365">
      <c r="A365" s="93" t="inlineStr">
        <is>
          <t>ZCAM01</t>
        </is>
      </c>
      <c r="B365" s="93" t="n">
        <v>3</v>
      </c>
      <c r="C365" s="93" t="inlineStr">
        <is>
          <t>HVK204</t>
        </is>
      </c>
      <c r="D365" s="93" t="inlineStr">
        <is>
          <t>K</t>
        </is>
      </c>
      <c r="E365" s="93" t="inlineStr">
        <is>
          <t>Campbell Jeremy &amp; Rosaline</t>
        </is>
      </c>
      <c r="F365" s="94">
        <f>SUMIFS(Investors!$M:$M,Investors!$O:$O,FALSE,Investors!$P:$P,FALSE,Investors!$K:$K,"&gt;"&amp;'NSST Print'!$B$3,Investors!$I:$I,"&lt;="&amp;'NSST Print'!$B$3,Investors!$A:$A,'Investor Exit List'!$A365,Investors!$E:$E,'Investor Exit List'!$C365,Investors!$L:$L,'Investor Exit List'!$B365)-(SUMIFS(Investors!$M:$M,Investors!$I:$I,"&lt;="&amp;'NSST Print'!$B$3,Investors!$J:$J,"&gt;"&amp;'NSST Print'!$B$3,Investors!$A:$A,'Investor Exit List'!$A365,Investors!$E:$E,'Investor Exit List'!$C365,Investors!$L:$L,'Investor Exit List'!$B365)+SUMIFS(Investors!$M:$M,Investors!$I:$I,"&lt;="&amp;'NSST Print'!$B$3,Investors!$J:$J,"",Investors!$A:$A,'Investor Exit List'!$A365,Investors!$E:$E,'Investor Exit List'!$C365,Investors!$L:$L,'Investor Exit List'!$B365))</f>
        <v/>
      </c>
      <c r="G365" s="95" t="n">
        <v>45016</v>
      </c>
      <c r="H365" s="93" t="b">
        <v>0</v>
      </c>
      <c r="I365" s="93" t="b">
        <v>0</v>
      </c>
      <c r="J365" s="95" t="n">
        <v>45510</v>
      </c>
      <c r="K365" s="95">
        <f>IF(I365=TRUE,J365,"")</f>
        <v/>
      </c>
      <c r="L365" s="95">
        <f>G365+730</f>
        <v/>
      </c>
      <c r="M365" s="95" t="n">
        <v>45382</v>
      </c>
      <c r="N365" s="96">
        <f>IFERROR(IF(G365&lt;&gt;"",IF(I365=TRUE,0,IF(U365=TRUE,0,L365-M365)),0),0)</f>
        <v/>
      </c>
      <c r="O365" s="96">
        <f>IF(N365&gt;0,IF(N365&lt;=180,N365,0),0)</f>
        <v/>
      </c>
      <c r="P365" s="94">
        <f>IF(AND(N365&lt;90,N365&gt;0),Q365,0)</f>
        <v/>
      </c>
      <c r="Q365" s="94">
        <f>SUMIFS(Investors!$M:$M,Investors!$O:$O,FALSE,Investors!$P:$P,FALSE,Investors!$K:$K,"&gt;"&amp;'NSST Print'!$B$3,Investors!$I:$I,"&lt;="&amp;'NSST Print'!$B$3,Investors!$A:$A,'Investor Exit List'!$A365,Investors!$E:$E,'Investor Exit List'!$C365,Investors!$L:$L,'Investor Exit List'!$B365)-(SUMIFS(Investors!$M:$M,Investors!$I:$I,"&lt;="&amp;'NSST Print'!$B$3,Investors!$J:$J,"&gt;"&amp;'NSST Print'!$B$3,Investors!$A:$A,'Investor Exit List'!$A365,Investors!$E:$E,'Investor Exit List'!$C365,Investors!$L:$L,'Investor Exit List'!$B365)+SUMIFS(Investors!$M:$M,Investors!$I:$I,"&lt;="&amp;'NSST Print'!$B$3,Investors!$J:$J,"",Investors!$A:$A,'Investor Exit List'!$A365,Investors!$E:$E,'Investor Exit List'!$C365,Investors!$L:$L,'Investor Exit List'!$B365))+SUMIFS(Investors!$S:$S,Investors!$O:$O,FALSE,Investors!$P:$P,FALSE,Investors!$K:$K,"&gt;"&amp;'NSST Print'!$B$3,Investors!$I:$I,"&lt;="&amp;'NSST Print'!$B$3,Investors!$A:$A,'Investor Exit List'!$A365,Investors!$E:$E,'Investor Exit List'!$C365,Investors!$L:$L,'Investor Exit List'!$B365)-(SUMIFS(Investors!$S:$S,Investors!$I:$I,"&lt;="&amp;'NSST Print'!$B$3,Investors!$J:$J,"&gt;"&amp;'NSST Print'!$B$3,Investors!$A:$A,'Investor Exit List'!$A365,Investors!$E:$E,'Investor Exit List'!$C365,Investors!$L:$L,'Investor Exit List'!$B365)+SUMIFS(Investors!$S:$S,Investors!$I:$I,"&lt;="&amp;'NSST Print'!$B$3,Investors!$J:$J,"",Investors!$A:$A,'Investor Exit List'!$A365,Investors!$E:$E,'Investor Exit List'!$C365,Investors!$L:$L,'Investor Exit List'!$B365))</f>
        <v/>
      </c>
      <c r="R365" s="94">
        <f>IF(AND(H365=TRUE,I365=FALSE),Q365,0)</f>
        <v/>
      </c>
      <c r="S365" s="94">
        <f>SUMIFS(Investors!$M:$M,Investors!$O:$O,TRUE,Investors!$A:$A,'Investor Exit List'!$A365,Investors!$E:$E,'Investor Exit List'!$C365,Investors!$L:$L,'Investor Exit List'!$B365)+SUMIFS(Investors!$S:$S,Investors!$O:$O,TRUE,Investors!$A:$A,'Investor Exit List'!$A365,Investors!$E:$E,'Investor Exit List'!$C365,Investors!$L:$L,'Investor Exit List'!$B365)</f>
        <v/>
      </c>
      <c r="T365" s="95">
        <f>IF(U365=TRUE,$J365,"")</f>
        <v/>
      </c>
      <c r="U365" s="93" t="b">
        <v>0</v>
      </c>
      <c r="V365" s="94">
        <f>IF(AND(H365=TRUE,OR(K365="",K365&gt;M365)),S365,0)</f>
        <v/>
      </c>
      <c r="W365" s="93" t="n">
        <v>0</v>
      </c>
      <c r="X365" s="93" t="b">
        <v>0</v>
      </c>
    </row>
    <row r="366">
      <c r="A366" s="93" t="inlineStr">
        <is>
          <t>ZFEM01</t>
        </is>
      </c>
      <c r="B366" s="93" t="n">
        <v>4</v>
      </c>
      <c r="C366" s="93" t="inlineStr">
        <is>
          <t>HVK204</t>
        </is>
      </c>
      <c r="D366" s="93" t="inlineStr">
        <is>
          <t>K</t>
        </is>
      </c>
      <c r="E366" s="93" t="inlineStr">
        <is>
          <t>Morkel Francina Elisabeth</t>
        </is>
      </c>
      <c r="F366" s="94">
        <f>SUMIFS(Investors!$M:$M,Investors!$O:$O,FALSE,Investors!$P:$P,FALSE,Investors!$K:$K,"&gt;"&amp;'NSST Print'!$B$3,Investors!$I:$I,"&lt;="&amp;'NSST Print'!$B$3,Investors!$A:$A,'Investor Exit List'!$A366,Investors!$E:$E,'Investor Exit List'!$C366,Investors!$L:$L,'Investor Exit List'!$B366)-(SUMIFS(Investors!$M:$M,Investors!$I:$I,"&lt;="&amp;'NSST Print'!$B$3,Investors!$J:$J,"&gt;"&amp;'NSST Print'!$B$3,Investors!$A:$A,'Investor Exit List'!$A366,Investors!$E:$E,'Investor Exit List'!$C366,Investors!$L:$L,'Investor Exit List'!$B366)+SUMIFS(Investors!$M:$M,Investors!$I:$I,"&lt;="&amp;'NSST Print'!$B$3,Investors!$J:$J,"",Investors!$A:$A,'Investor Exit List'!$A366,Investors!$E:$E,'Investor Exit List'!$C366,Investors!$L:$L,'Investor Exit List'!$B366))</f>
        <v/>
      </c>
      <c r="G366" s="95" t="n">
        <v>44916</v>
      </c>
      <c r="H366" s="93" t="b">
        <v>0</v>
      </c>
      <c r="I366" s="93" t="b">
        <v>0</v>
      </c>
      <c r="J366" s="95" t="n">
        <v>45510</v>
      </c>
      <c r="K366" s="95">
        <f>IF(I366=TRUE,J366,"")</f>
        <v/>
      </c>
      <c r="L366" s="95">
        <f>G366+730</f>
        <v/>
      </c>
      <c r="M366" s="95" t="n">
        <v>45382</v>
      </c>
      <c r="N366" s="96">
        <f>IFERROR(IF(G366&lt;&gt;"",IF(I366=TRUE,0,IF(U366=TRUE,0,L366-M366)),0),0)</f>
        <v/>
      </c>
      <c r="O366" s="96">
        <f>IF(N366&gt;0,IF(N366&lt;=180,N366,0),0)</f>
        <v/>
      </c>
      <c r="P366" s="94">
        <f>IF(AND(N366&lt;90,N366&gt;0),Q366,0)</f>
        <v/>
      </c>
      <c r="Q366" s="94">
        <f>SUMIFS(Investors!$M:$M,Investors!$O:$O,FALSE,Investors!$P:$P,FALSE,Investors!$K:$K,"&gt;"&amp;'NSST Print'!$B$3,Investors!$I:$I,"&lt;="&amp;'NSST Print'!$B$3,Investors!$A:$A,'Investor Exit List'!$A366,Investors!$E:$E,'Investor Exit List'!$C366,Investors!$L:$L,'Investor Exit List'!$B366)-(SUMIFS(Investors!$M:$M,Investors!$I:$I,"&lt;="&amp;'NSST Print'!$B$3,Investors!$J:$J,"&gt;"&amp;'NSST Print'!$B$3,Investors!$A:$A,'Investor Exit List'!$A366,Investors!$E:$E,'Investor Exit List'!$C366,Investors!$L:$L,'Investor Exit List'!$B366)+SUMIFS(Investors!$M:$M,Investors!$I:$I,"&lt;="&amp;'NSST Print'!$B$3,Investors!$J:$J,"",Investors!$A:$A,'Investor Exit List'!$A366,Investors!$E:$E,'Investor Exit List'!$C366,Investors!$L:$L,'Investor Exit List'!$B366))+SUMIFS(Investors!$S:$S,Investors!$O:$O,FALSE,Investors!$P:$P,FALSE,Investors!$K:$K,"&gt;"&amp;'NSST Print'!$B$3,Investors!$I:$I,"&lt;="&amp;'NSST Print'!$B$3,Investors!$A:$A,'Investor Exit List'!$A366,Investors!$E:$E,'Investor Exit List'!$C366,Investors!$L:$L,'Investor Exit List'!$B366)-(SUMIFS(Investors!$S:$S,Investors!$I:$I,"&lt;="&amp;'NSST Print'!$B$3,Investors!$J:$J,"&gt;"&amp;'NSST Print'!$B$3,Investors!$A:$A,'Investor Exit List'!$A366,Investors!$E:$E,'Investor Exit List'!$C366,Investors!$L:$L,'Investor Exit List'!$B366)+SUMIFS(Investors!$S:$S,Investors!$I:$I,"&lt;="&amp;'NSST Print'!$B$3,Investors!$J:$J,"",Investors!$A:$A,'Investor Exit List'!$A366,Investors!$E:$E,'Investor Exit List'!$C366,Investors!$L:$L,'Investor Exit List'!$B366))</f>
        <v/>
      </c>
      <c r="R366" s="94">
        <f>IF(AND(H366=TRUE,I366=FALSE),Q366,0)</f>
        <v/>
      </c>
      <c r="S366" s="94">
        <f>SUMIFS(Investors!$M:$M,Investors!$O:$O,TRUE,Investors!$A:$A,'Investor Exit List'!$A366,Investors!$E:$E,'Investor Exit List'!$C366,Investors!$L:$L,'Investor Exit List'!$B366)+SUMIFS(Investors!$S:$S,Investors!$O:$O,TRUE,Investors!$A:$A,'Investor Exit List'!$A366,Investors!$E:$E,'Investor Exit List'!$C366,Investors!$L:$L,'Investor Exit List'!$B366)</f>
        <v/>
      </c>
      <c r="T366" s="95">
        <f>IF(U366=TRUE,$J366,"")</f>
        <v/>
      </c>
      <c r="U366" s="93" t="b">
        <v>0</v>
      </c>
      <c r="V366" s="94">
        <f>IF(AND(H366=TRUE,OR(K366="",K366&gt;M366)),S366,0)</f>
        <v/>
      </c>
      <c r="W366" s="93" t="n">
        <v>0</v>
      </c>
      <c r="X366" s="93" t="b">
        <v>0</v>
      </c>
    </row>
    <row r="367">
      <c r="A367" s="93" t="inlineStr">
        <is>
          <t>ZKRO03</t>
        </is>
      </c>
      <c r="B367" s="93" t="n">
        <v>2</v>
      </c>
      <c r="C367" s="93" t="inlineStr">
        <is>
          <t>HVK204</t>
        </is>
      </c>
      <c r="D367" s="93" t="inlineStr">
        <is>
          <t>K</t>
        </is>
      </c>
      <c r="E367" s="93" t="inlineStr">
        <is>
          <t>Krohn Jacqueline</t>
        </is>
      </c>
      <c r="F367" s="94">
        <f>SUMIFS(Investors!$M:$M,Investors!$O:$O,FALSE,Investors!$P:$P,FALSE,Investors!$K:$K,"&gt;"&amp;'NSST Print'!$B$3,Investors!$I:$I,"&lt;="&amp;'NSST Print'!$B$3,Investors!$A:$A,'Investor Exit List'!$A367,Investors!$E:$E,'Investor Exit List'!$C367,Investors!$L:$L,'Investor Exit List'!$B367)-(SUMIFS(Investors!$M:$M,Investors!$I:$I,"&lt;="&amp;'NSST Print'!$B$3,Investors!$J:$J,"&gt;"&amp;'NSST Print'!$B$3,Investors!$A:$A,'Investor Exit List'!$A367,Investors!$E:$E,'Investor Exit List'!$C367,Investors!$L:$L,'Investor Exit List'!$B367)+SUMIFS(Investors!$M:$M,Investors!$I:$I,"&lt;="&amp;'NSST Print'!$B$3,Investors!$J:$J,"",Investors!$A:$A,'Investor Exit List'!$A367,Investors!$E:$E,'Investor Exit List'!$C367,Investors!$L:$L,'Investor Exit List'!$B367))</f>
        <v/>
      </c>
      <c r="G367" s="95" t="n">
        <v>44980</v>
      </c>
      <c r="H367" s="93" t="b">
        <v>0</v>
      </c>
      <c r="I367" s="93" t="b">
        <v>0</v>
      </c>
      <c r="J367" s="95" t="n">
        <v>45510</v>
      </c>
      <c r="K367" s="95">
        <f>IF(I367=TRUE,J367,"")</f>
        <v/>
      </c>
      <c r="L367" s="95">
        <f>G367+730</f>
        <v/>
      </c>
      <c r="M367" s="95" t="n">
        <v>45382</v>
      </c>
      <c r="N367" s="96">
        <f>IFERROR(IF(G367&lt;&gt;"",IF(I367=TRUE,0,IF(U367=TRUE,0,L367-M367)),0),0)</f>
        <v/>
      </c>
      <c r="O367" s="96">
        <f>IF(N367&gt;0,IF(N367&lt;=180,N367,0),0)</f>
        <v/>
      </c>
      <c r="P367" s="94">
        <f>IF(AND(N367&lt;90,N367&gt;0),Q367,0)</f>
        <v/>
      </c>
      <c r="Q367" s="94">
        <f>SUMIFS(Investors!$M:$M,Investors!$O:$O,FALSE,Investors!$P:$P,FALSE,Investors!$K:$K,"&gt;"&amp;'NSST Print'!$B$3,Investors!$I:$I,"&lt;="&amp;'NSST Print'!$B$3,Investors!$A:$A,'Investor Exit List'!$A367,Investors!$E:$E,'Investor Exit List'!$C367,Investors!$L:$L,'Investor Exit List'!$B367)-(SUMIFS(Investors!$M:$M,Investors!$I:$I,"&lt;="&amp;'NSST Print'!$B$3,Investors!$J:$J,"&gt;"&amp;'NSST Print'!$B$3,Investors!$A:$A,'Investor Exit List'!$A367,Investors!$E:$E,'Investor Exit List'!$C367,Investors!$L:$L,'Investor Exit List'!$B367)+SUMIFS(Investors!$M:$M,Investors!$I:$I,"&lt;="&amp;'NSST Print'!$B$3,Investors!$J:$J,"",Investors!$A:$A,'Investor Exit List'!$A367,Investors!$E:$E,'Investor Exit List'!$C367,Investors!$L:$L,'Investor Exit List'!$B367))+SUMIFS(Investors!$S:$S,Investors!$O:$O,FALSE,Investors!$P:$P,FALSE,Investors!$K:$K,"&gt;"&amp;'NSST Print'!$B$3,Investors!$I:$I,"&lt;="&amp;'NSST Print'!$B$3,Investors!$A:$A,'Investor Exit List'!$A367,Investors!$E:$E,'Investor Exit List'!$C367,Investors!$L:$L,'Investor Exit List'!$B367)-(SUMIFS(Investors!$S:$S,Investors!$I:$I,"&lt;="&amp;'NSST Print'!$B$3,Investors!$J:$J,"&gt;"&amp;'NSST Print'!$B$3,Investors!$A:$A,'Investor Exit List'!$A367,Investors!$E:$E,'Investor Exit List'!$C367,Investors!$L:$L,'Investor Exit List'!$B367)+SUMIFS(Investors!$S:$S,Investors!$I:$I,"&lt;="&amp;'NSST Print'!$B$3,Investors!$J:$J,"",Investors!$A:$A,'Investor Exit List'!$A367,Investors!$E:$E,'Investor Exit List'!$C367,Investors!$L:$L,'Investor Exit List'!$B367))</f>
        <v/>
      </c>
      <c r="R367" s="94">
        <f>IF(AND(H367=TRUE,I367=FALSE),Q367,0)</f>
        <v/>
      </c>
      <c r="S367" s="94">
        <f>SUMIFS(Investors!$M:$M,Investors!$O:$O,TRUE,Investors!$A:$A,'Investor Exit List'!$A367,Investors!$E:$E,'Investor Exit List'!$C367,Investors!$L:$L,'Investor Exit List'!$B367)+SUMIFS(Investors!$S:$S,Investors!$O:$O,TRUE,Investors!$A:$A,'Investor Exit List'!$A367,Investors!$E:$E,'Investor Exit List'!$C367,Investors!$L:$L,'Investor Exit List'!$B367)</f>
        <v/>
      </c>
      <c r="T367" s="95">
        <f>IF(U367=TRUE,$J367,"")</f>
        <v/>
      </c>
      <c r="U367" s="93" t="b">
        <v>0</v>
      </c>
      <c r="V367" s="94">
        <f>IF(AND(H367=TRUE,OR(K367="",K367&gt;M367)),S367,0)</f>
        <v/>
      </c>
      <c r="W367" s="93" t="n">
        <v>0</v>
      </c>
      <c r="X367" s="93" t="b">
        <v>0</v>
      </c>
    </row>
    <row r="368">
      <c r="A368" s="93" t="inlineStr">
        <is>
          <t>ZVDW01</t>
        </is>
      </c>
      <c r="B368" s="93" t="n">
        <v>2</v>
      </c>
      <c r="C368" s="93" t="inlineStr">
        <is>
          <t>HVK205</t>
        </is>
      </c>
      <c r="D368" s="93" t="inlineStr">
        <is>
          <t>K</t>
        </is>
      </c>
      <c r="E368" s="93" t="inlineStr">
        <is>
          <t>van der Walt  Philip</t>
        </is>
      </c>
      <c r="F368" s="94">
        <f>SUMIFS(Investors!$M:$M,Investors!$O:$O,FALSE,Investors!$P:$P,FALSE,Investors!$K:$K,"&gt;"&amp;'NSST Print'!$B$3,Investors!$I:$I,"&lt;="&amp;'NSST Print'!$B$3,Investors!$A:$A,'Investor Exit List'!$A368,Investors!$E:$E,'Investor Exit List'!$C368,Investors!$L:$L,'Investor Exit List'!$B368)-(SUMIFS(Investors!$M:$M,Investors!$I:$I,"&lt;="&amp;'NSST Print'!$B$3,Investors!$J:$J,"&gt;"&amp;'NSST Print'!$B$3,Investors!$A:$A,'Investor Exit List'!$A368,Investors!$E:$E,'Investor Exit List'!$C368,Investors!$L:$L,'Investor Exit List'!$B368)+SUMIFS(Investors!$M:$M,Investors!$I:$I,"&lt;="&amp;'NSST Print'!$B$3,Investors!$J:$J,"",Investors!$A:$A,'Investor Exit List'!$A368,Investors!$E:$E,'Investor Exit List'!$C368,Investors!$L:$L,'Investor Exit List'!$B368))</f>
        <v/>
      </c>
      <c r="G368" s="95" t="n">
        <v>45016</v>
      </c>
      <c r="H368" s="93" t="b">
        <v>0</v>
      </c>
      <c r="I368" s="93" t="b">
        <v>0</v>
      </c>
      <c r="J368" s="95" t="n">
        <v>45510</v>
      </c>
      <c r="K368" s="95">
        <f>IF(I368=TRUE,J368,"")</f>
        <v/>
      </c>
      <c r="L368" s="95">
        <f>G368+730</f>
        <v/>
      </c>
      <c r="M368" s="95" t="n">
        <v>45382</v>
      </c>
      <c r="N368" s="96">
        <f>IFERROR(IF(G368&lt;&gt;"",IF(I368=TRUE,0,IF(U368=TRUE,0,L368-M368)),0),0)</f>
        <v/>
      </c>
      <c r="O368" s="96">
        <f>IF(N368&gt;0,IF(N368&lt;=180,N368,0),0)</f>
        <v/>
      </c>
      <c r="P368" s="94">
        <f>IF(AND(N368&lt;90,N368&gt;0),Q368,0)</f>
        <v/>
      </c>
      <c r="Q368" s="94">
        <f>SUMIFS(Investors!$M:$M,Investors!$O:$O,FALSE,Investors!$P:$P,FALSE,Investors!$K:$K,"&gt;"&amp;'NSST Print'!$B$3,Investors!$I:$I,"&lt;="&amp;'NSST Print'!$B$3,Investors!$A:$A,'Investor Exit List'!$A368,Investors!$E:$E,'Investor Exit List'!$C368,Investors!$L:$L,'Investor Exit List'!$B368)-(SUMIFS(Investors!$M:$M,Investors!$I:$I,"&lt;="&amp;'NSST Print'!$B$3,Investors!$J:$J,"&gt;"&amp;'NSST Print'!$B$3,Investors!$A:$A,'Investor Exit List'!$A368,Investors!$E:$E,'Investor Exit List'!$C368,Investors!$L:$L,'Investor Exit List'!$B368)+SUMIFS(Investors!$M:$M,Investors!$I:$I,"&lt;="&amp;'NSST Print'!$B$3,Investors!$J:$J,"",Investors!$A:$A,'Investor Exit List'!$A368,Investors!$E:$E,'Investor Exit List'!$C368,Investors!$L:$L,'Investor Exit List'!$B368))+SUMIFS(Investors!$S:$S,Investors!$O:$O,FALSE,Investors!$P:$P,FALSE,Investors!$K:$K,"&gt;"&amp;'NSST Print'!$B$3,Investors!$I:$I,"&lt;="&amp;'NSST Print'!$B$3,Investors!$A:$A,'Investor Exit List'!$A368,Investors!$E:$E,'Investor Exit List'!$C368,Investors!$L:$L,'Investor Exit List'!$B368)-(SUMIFS(Investors!$S:$S,Investors!$I:$I,"&lt;="&amp;'NSST Print'!$B$3,Investors!$J:$J,"&gt;"&amp;'NSST Print'!$B$3,Investors!$A:$A,'Investor Exit List'!$A368,Investors!$E:$E,'Investor Exit List'!$C368,Investors!$L:$L,'Investor Exit List'!$B368)+SUMIFS(Investors!$S:$S,Investors!$I:$I,"&lt;="&amp;'NSST Print'!$B$3,Investors!$J:$J,"",Investors!$A:$A,'Investor Exit List'!$A368,Investors!$E:$E,'Investor Exit List'!$C368,Investors!$L:$L,'Investor Exit List'!$B368))</f>
        <v/>
      </c>
      <c r="R368" s="94">
        <f>IF(AND(H368=TRUE,I368=FALSE),Q368,0)</f>
        <v/>
      </c>
      <c r="S368" s="94">
        <f>SUMIFS(Investors!$M:$M,Investors!$O:$O,TRUE,Investors!$A:$A,'Investor Exit List'!$A368,Investors!$E:$E,'Investor Exit List'!$C368,Investors!$L:$L,'Investor Exit List'!$B368)+SUMIFS(Investors!$S:$S,Investors!$O:$O,TRUE,Investors!$A:$A,'Investor Exit List'!$A368,Investors!$E:$E,'Investor Exit List'!$C368,Investors!$L:$L,'Investor Exit List'!$B368)</f>
        <v/>
      </c>
      <c r="T368" s="95">
        <f>IF(U368=TRUE,$J368,"")</f>
        <v/>
      </c>
      <c r="U368" s="93" t="b">
        <v>0</v>
      </c>
      <c r="V368" s="94">
        <f>IF(AND(H368=TRUE,OR(K368="",K368&gt;M368)),S368,0)</f>
        <v/>
      </c>
      <c r="W368" s="93" t="n">
        <v>0</v>
      </c>
      <c r="X368" s="93" t="b">
        <v>0</v>
      </c>
    </row>
    <row r="369">
      <c r="A369" s="93" t="inlineStr">
        <is>
          <t>ZZYL02</t>
        </is>
      </c>
      <c r="B369" s="93" t="n">
        <v>3</v>
      </c>
      <c r="C369" s="93" t="inlineStr">
        <is>
          <t>HVK205</t>
        </is>
      </c>
      <c r="D369" s="93" t="inlineStr">
        <is>
          <t>K</t>
        </is>
      </c>
      <c r="E369" s="93" t="inlineStr">
        <is>
          <t>Zylstra Petronella Johanna</t>
        </is>
      </c>
      <c r="F369" s="94">
        <f>SUMIFS(Investors!$M:$M,Investors!$O:$O,FALSE,Investors!$P:$P,FALSE,Investors!$K:$K,"&gt;"&amp;'NSST Print'!$B$3,Investors!$I:$I,"&lt;="&amp;'NSST Print'!$B$3,Investors!$A:$A,'Investor Exit List'!$A369,Investors!$E:$E,'Investor Exit List'!$C369,Investors!$L:$L,'Investor Exit List'!$B369)-(SUMIFS(Investors!$M:$M,Investors!$I:$I,"&lt;="&amp;'NSST Print'!$B$3,Investors!$J:$J,"&gt;"&amp;'NSST Print'!$B$3,Investors!$A:$A,'Investor Exit List'!$A369,Investors!$E:$E,'Investor Exit List'!$C369,Investors!$L:$L,'Investor Exit List'!$B369)+SUMIFS(Investors!$M:$M,Investors!$I:$I,"&lt;="&amp;'NSST Print'!$B$3,Investors!$J:$J,"",Investors!$A:$A,'Investor Exit List'!$A369,Investors!$E:$E,'Investor Exit List'!$C369,Investors!$L:$L,'Investor Exit List'!$B369))</f>
        <v/>
      </c>
      <c r="G369" s="95" t="n">
        <v>44916</v>
      </c>
      <c r="H369" s="93" t="b">
        <v>0</v>
      </c>
      <c r="I369" s="93" t="b">
        <v>0</v>
      </c>
      <c r="J369" s="95" t="n">
        <v>45510</v>
      </c>
      <c r="K369" s="95">
        <f>IF(I369=TRUE,J369,"")</f>
        <v/>
      </c>
      <c r="L369" s="95">
        <f>G369+730</f>
        <v/>
      </c>
      <c r="M369" s="95" t="n">
        <v>45382</v>
      </c>
      <c r="N369" s="96">
        <f>IFERROR(IF(G369&lt;&gt;"",IF(I369=TRUE,0,IF(U369=TRUE,0,L369-M369)),0),0)</f>
        <v/>
      </c>
      <c r="O369" s="96">
        <f>IF(N369&gt;0,IF(N369&lt;=180,N369,0),0)</f>
        <v/>
      </c>
      <c r="P369" s="94">
        <f>IF(AND(N369&lt;90,N369&gt;0),Q369,0)</f>
        <v/>
      </c>
      <c r="Q369" s="94">
        <f>SUMIFS(Investors!$M:$M,Investors!$O:$O,FALSE,Investors!$P:$P,FALSE,Investors!$K:$K,"&gt;"&amp;'NSST Print'!$B$3,Investors!$I:$I,"&lt;="&amp;'NSST Print'!$B$3,Investors!$A:$A,'Investor Exit List'!$A369,Investors!$E:$E,'Investor Exit List'!$C369,Investors!$L:$L,'Investor Exit List'!$B369)-(SUMIFS(Investors!$M:$M,Investors!$I:$I,"&lt;="&amp;'NSST Print'!$B$3,Investors!$J:$J,"&gt;"&amp;'NSST Print'!$B$3,Investors!$A:$A,'Investor Exit List'!$A369,Investors!$E:$E,'Investor Exit List'!$C369,Investors!$L:$L,'Investor Exit List'!$B369)+SUMIFS(Investors!$M:$M,Investors!$I:$I,"&lt;="&amp;'NSST Print'!$B$3,Investors!$J:$J,"",Investors!$A:$A,'Investor Exit List'!$A369,Investors!$E:$E,'Investor Exit List'!$C369,Investors!$L:$L,'Investor Exit List'!$B369))+SUMIFS(Investors!$S:$S,Investors!$O:$O,FALSE,Investors!$P:$P,FALSE,Investors!$K:$K,"&gt;"&amp;'NSST Print'!$B$3,Investors!$I:$I,"&lt;="&amp;'NSST Print'!$B$3,Investors!$A:$A,'Investor Exit List'!$A369,Investors!$E:$E,'Investor Exit List'!$C369,Investors!$L:$L,'Investor Exit List'!$B369)-(SUMIFS(Investors!$S:$S,Investors!$I:$I,"&lt;="&amp;'NSST Print'!$B$3,Investors!$J:$J,"&gt;"&amp;'NSST Print'!$B$3,Investors!$A:$A,'Investor Exit List'!$A369,Investors!$E:$E,'Investor Exit List'!$C369,Investors!$L:$L,'Investor Exit List'!$B369)+SUMIFS(Investors!$S:$S,Investors!$I:$I,"&lt;="&amp;'NSST Print'!$B$3,Investors!$J:$J,"",Investors!$A:$A,'Investor Exit List'!$A369,Investors!$E:$E,'Investor Exit List'!$C369,Investors!$L:$L,'Investor Exit List'!$B369))</f>
        <v/>
      </c>
      <c r="R369" s="94">
        <f>IF(AND(H369=TRUE,I369=FALSE),Q369,0)</f>
        <v/>
      </c>
      <c r="S369" s="94">
        <f>SUMIFS(Investors!$M:$M,Investors!$O:$O,TRUE,Investors!$A:$A,'Investor Exit List'!$A369,Investors!$E:$E,'Investor Exit List'!$C369,Investors!$L:$L,'Investor Exit List'!$B369)+SUMIFS(Investors!$S:$S,Investors!$O:$O,TRUE,Investors!$A:$A,'Investor Exit List'!$A369,Investors!$E:$E,'Investor Exit List'!$C369,Investors!$L:$L,'Investor Exit List'!$B369)</f>
        <v/>
      </c>
      <c r="T369" s="95">
        <f>IF(U369=TRUE,$J369,"")</f>
        <v/>
      </c>
      <c r="U369" s="93" t="b">
        <v>0</v>
      </c>
      <c r="V369" s="94">
        <f>IF(AND(H369=TRUE,OR(K369="",K369&gt;M369)),S369,0)</f>
        <v/>
      </c>
      <c r="W369" s="93" t="n">
        <v>0</v>
      </c>
      <c r="X369" s="93" t="b">
        <v>0</v>
      </c>
    </row>
    <row r="370">
      <c r="A370" s="93" t="inlineStr">
        <is>
          <t>ZCOL01</t>
        </is>
      </c>
      <c r="B370" s="93" t="n">
        <v>4</v>
      </c>
      <c r="C370" s="93" t="inlineStr">
        <is>
          <t>HVK206</t>
        </is>
      </c>
      <c r="D370" s="93" t="inlineStr">
        <is>
          <t>K</t>
        </is>
      </c>
      <c r="E370" s="93" t="inlineStr">
        <is>
          <t>Collins Christine</t>
        </is>
      </c>
      <c r="F370" s="94">
        <f>SUMIFS(Investors!$M:$M,Investors!$O:$O,FALSE,Investors!$P:$P,FALSE,Investors!$K:$K,"&gt;"&amp;'NSST Print'!$B$3,Investors!$I:$I,"&lt;="&amp;'NSST Print'!$B$3,Investors!$A:$A,'Investor Exit List'!$A370,Investors!$E:$E,'Investor Exit List'!$C370,Investors!$L:$L,'Investor Exit List'!$B370)-(SUMIFS(Investors!$M:$M,Investors!$I:$I,"&lt;="&amp;'NSST Print'!$B$3,Investors!$J:$J,"&gt;"&amp;'NSST Print'!$B$3,Investors!$A:$A,'Investor Exit List'!$A370,Investors!$E:$E,'Investor Exit List'!$C370,Investors!$L:$L,'Investor Exit List'!$B370)+SUMIFS(Investors!$M:$M,Investors!$I:$I,"&lt;="&amp;'NSST Print'!$B$3,Investors!$J:$J,"",Investors!$A:$A,'Investor Exit List'!$A370,Investors!$E:$E,'Investor Exit List'!$C370,Investors!$L:$L,'Investor Exit List'!$B370))</f>
        <v/>
      </c>
      <c r="G370" s="95" t="n">
        <v>45008</v>
      </c>
      <c r="H370" s="93" t="b">
        <v>0</v>
      </c>
      <c r="I370" s="93" t="b">
        <v>0</v>
      </c>
      <c r="J370" s="95" t="n">
        <v>45510</v>
      </c>
      <c r="K370" s="95">
        <f>IF(I370=TRUE,J370,"")</f>
        <v/>
      </c>
      <c r="L370" s="95">
        <f>G370+730</f>
        <v/>
      </c>
      <c r="M370" s="95" t="n">
        <v>45382</v>
      </c>
      <c r="N370" s="96">
        <f>IFERROR(IF(G370&lt;&gt;"",IF(I370=TRUE,0,IF(U370=TRUE,0,L370-M370)),0),0)</f>
        <v/>
      </c>
      <c r="O370" s="96">
        <f>IF(N370&gt;0,IF(N370&lt;=180,N370,0),0)</f>
        <v/>
      </c>
      <c r="P370" s="94">
        <f>IF(AND(N370&lt;90,N370&gt;0),Q370,0)</f>
        <v/>
      </c>
      <c r="Q370" s="94">
        <f>SUMIFS(Investors!$M:$M,Investors!$O:$O,FALSE,Investors!$P:$P,FALSE,Investors!$K:$K,"&gt;"&amp;'NSST Print'!$B$3,Investors!$I:$I,"&lt;="&amp;'NSST Print'!$B$3,Investors!$A:$A,'Investor Exit List'!$A370,Investors!$E:$E,'Investor Exit List'!$C370,Investors!$L:$L,'Investor Exit List'!$B370)-(SUMIFS(Investors!$M:$M,Investors!$I:$I,"&lt;="&amp;'NSST Print'!$B$3,Investors!$J:$J,"&gt;"&amp;'NSST Print'!$B$3,Investors!$A:$A,'Investor Exit List'!$A370,Investors!$E:$E,'Investor Exit List'!$C370,Investors!$L:$L,'Investor Exit List'!$B370)+SUMIFS(Investors!$M:$M,Investors!$I:$I,"&lt;="&amp;'NSST Print'!$B$3,Investors!$J:$J,"",Investors!$A:$A,'Investor Exit List'!$A370,Investors!$E:$E,'Investor Exit List'!$C370,Investors!$L:$L,'Investor Exit List'!$B370))+SUMIFS(Investors!$S:$S,Investors!$O:$O,FALSE,Investors!$P:$P,FALSE,Investors!$K:$K,"&gt;"&amp;'NSST Print'!$B$3,Investors!$I:$I,"&lt;="&amp;'NSST Print'!$B$3,Investors!$A:$A,'Investor Exit List'!$A370,Investors!$E:$E,'Investor Exit List'!$C370,Investors!$L:$L,'Investor Exit List'!$B370)-(SUMIFS(Investors!$S:$S,Investors!$I:$I,"&lt;="&amp;'NSST Print'!$B$3,Investors!$J:$J,"&gt;"&amp;'NSST Print'!$B$3,Investors!$A:$A,'Investor Exit List'!$A370,Investors!$E:$E,'Investor Exit List'!$C370,Investors!$L:$L,'Investor Exit List'!$B370)+SUMIFS(Investors!$S:$S,Investors!$I:$I,"&lt;="&amp;'NSST Print'!$B$3,Investors!$J:$J,"",Investors!$A:$A,'Investor Exit List'!$A370,Investors!$E:$E,'Investor Exit List'!$C370,Investors!$L:$L,'Investor Exit List'!$B370))</f>
        <v/>
      </c>
      <c r="R370" s="94">
        <f>IF(AND(H370=TRUE,I370=FALSE),Q370,0)</f>
        <v/>
      </c>
      <c r="S370" s="94">
        <f>SUMIFS(Investors!$M:$M,Investors!$O:$O,TRUE,Investors!$A:$A,'Investor Exit List'!$A370,Investors!$E:$E,'Investor Exit List'!$C370,Investors!$L:$L,'Investor Exit List'!$B370)+SUMIFS(Investors!$S:$S,Investors!$O:$O,TRUE,Investors!$A:$A,'Investor Exit List'!$A370,Investors!$E:$E,'Investor Exit List'!$C370,Investors!$L:$L,'Investor Exit List'!$B370)</f>
        <v/>
      </c>
      <c r="T370" s="95">
        <f>IF(U370=TRUE,$J370,"")</f>
        <v/>
      </c>
      <c r="U370" s="93" t="b">
        <v>0</v>
      </c>
      <c r="V370" s="94">
        <f>IF(AND(H370=TRUE,OR(K370="",K370&gt;M370)),S370,0)</f>
        <v/>
      </c>
      <c r="W370" s="93" t="n">
        <v>0</v>
      </c>
      <c r="X370" s="93" t="b">
        <v>0</v>
      </c>
    </row>
    <row r="371">
      <c r="A371" s="93" t="inlineStr">
        <is>
          <t>ZDIC01</t>
        </is>
      </c>
      <c r="B371" s="93" t="n">
        <v>11</v>
      </c>
      <c r="C371" s="93" t="inlineStr">
        <is>
          <t>HVK206</t>
        </is>
      </c>
      <c r="D371" s="93" t="inlineStr">
        <is>
          <t>K</t>
        </is>
      </c>
      <c r="E371" s="93" t="inlineStr">
        <is>
          <t>Dickinson Grant Allan</t>
        </is>
      </c>
      <c r="F371" s="94">
        <f>SUMIFS(Investors!$M:$M,Investors!$O:$O,FALSE,Investors!$P:$P,FALSE,Investors!$K:$K,"&gt;"&amp;'NSST Print'!$B$3,Investors!$I:$I,"&lt;="&amp;'NSST Print'!$B$3,Investors!$A:$A,'Investor Exit List'!$A371,Investors!$E:$E,'Investor Exit List'!$C371,Investors!$L:$L,'Investor Exit List'!$B371)-(SUMIFS(Investors!$M:$M,Investors!$I:$I,"&lt;="&amp;'NSST Print'!$B$3,Investors!$J:$J,"&gt;"&amp;'NSST Print'!$B$3,Investors!$A:$A,'Investor Exit List'!$A371,Investors!$E:$E,'Investor Exit List'!$C371,Investors!$L:$L,'Investor Exit List'!$B371)+SUMIFS(Investors!$M:$M,Investors!$I:$I,"&lt;="&amp;'NSST Print'!$B$3,Investors!$J:$J,"",Investors!$A:$A,'Investor Exit List'!$A371,Investors!$E:$E,'Investor Exit List'!$C371,Investors!$L:$L,'Investor Exit List'!$B371))</f>
        <v/>
      </c>
      <c r="G371" s="95" t="n">
        <v>45044</v>
      </c>
      <c r="H371" s="93" t="b">
        <v>0</v>
      </c>
      <c r="I371" s="93" t="b">
        <v>0</v>
      </c>
      <c r="J371" s="95" t="n">
        <v>45510</v>
      </c>
      <c r="K371" s="95">
        <f>IF(I371=TRUE,J371,"")</f>
        <v/>
      </c>
      <c r="L371" s="95">
        <f>G371+730</f>
        <v/>
      </c>
      <c r="M371" s="95" t="n">
        <v>45382</v>
      </c>
      <c r="N371" s="96">
        <f>IFERROR(IF(G371&lt;&gt;"",IF(I371=TRUE,0,IF(U371=TRUE,0,L371-M371)),0),0)</f>
        <v/>
      </c>
      <c r="O371" s="96">
        <f>IF(N371&gt;0,IF(N371&lt;=180,N371,0),0)</f>
        <v/>
      </c>
      <c r="P371" s="94">
        <f>IF(AND(N371&lt;90,N371&gt;0),Q371,0)</f>
        <v/>
      </c>
      <c r="Q371" s="94">
        <f>SUMIFS(Investors!$M:$M,Investors!$O:$O,FALSE,Investors!$P:$P,FALSE,Investors!$K:$K,"&gt;"&amp;'NSST Print'!$B$3,Investors!$I:$I,"&lt;="&amp;'NSST Print'!$B$3,Investors!$A:$A,'Investor Exit List'!$A371,Investors!$E:$E,'Investor Exit List'!$C371,Investors!$L:$L,'Investor Exit List'!$B371)-(SUMIFS(Investors!$M:$M,Investors!$I:$I,"&lt;="&amp;'NSST Print'!$B$3,Investors!$J:$J,"&gt;"&amp;'NSST Print'!$B$3,Investors!$A:$A,'Investor Exit List'!$A371,Investors!$E:$E,'Investor Exit List'!$C371,Investors!$L:$L,'Investor Exit List'!$B371)+SUMIFS(Investors!$M:$M,Investors!$I:$I,"&lt;="&amp;'NSST Print'!$B$3,Investors!$J:$J,"",Investors!$A:$A,'Investor Exit List'!$A371,Investors!$E:$E,'Investor Exit List'!$C371,Investors!$L:$L,'Investor Exit List'!$B371))+SUMIFS(Investors!$S:$S,Investors!$O:$O,FALSE,Investors!$P:$P,FALSE,Investors!$K:$K,"&gt;"&amp;'NSST Print'!$B$3,Investors!$I:$I,"&lt;="&amp;'NSST Print'!$B$3,Investors!$A:$A,'Investor Exit List'!$A371,Investors!$E:$E,'Investor Exit List'!$C371,Investors!$L:$L,'Investor Exit List'!$B371)-(SUMIFS(Investors!$S:$S,Investors!$I:$I,"&lt;="&amp;'NSST Print'!$B$3,Investors!$J:$J,"&gt;"&amp;'NSST Print'!$B$3,Investors!$A:$A,'Investor Exit List'!$A371,Investors!$E:$E,'Investor Exit List'!$C371,Investors!$L:$L,'Investor Exit List'!$B371)+SUMIFS(Investors!$S:$S,Investors!$I:$I,"&lt;="&amp;'NSST Print'!$B$3,Investors!$J:$J,"",Investors!$A:$A,'Investor Exit List'!$A371,Investors!$E:$E,'Investor Exit List'!$C371,Investors!$L:$L,'Investor Exit List'!$B371))</f>
        <v/>
      </c>
      <c r="R371" s="94">
        <f>IF(AND(H371=TRUE,I371=FALSE),Q371,0)</f>
        <v/>
      </c>
      <c r="S371" s="94">
        <f>SUMIFS(Investors!$M:$M,Investors!$O:$O,TRUE,Investors!$A:$A,'Investor Exit List'!$A371,Investors!$E:$E,'Investor Exit List'!$C371,Investors!$L:$L,'Investor Exit List'!$B371)+SUMIFS(Investors!$S:$S,Investors!$O:$O,TRUE,Investors!$A:$A,'Investor Exit List'!$A371,Investors!$E:$E,'Investor Exit List'!$C371,Investors!$L:$L,'Investor Exit List'!$B371)</f>
        <v/>
      </c>
      <c r="T371" s="95">
        <f>IF(U371=TRUE,$J371,"")</f>
        <v/>
      </c>
      <c r="U371" s="93" t="b">
        <v>0</v>
      </c>
      <c r="V371" s="94">
        <f>IF(AND(H371=TRUE,OR(K371="",K371&gt;M371)),S371,0)</f>
        <v/>
      </c>
      <c r="W371" s="93" t="n">
        <v>0</v>
      </c>
      <c r="X371" s="93" t="b">
        <v>0</v>
      </c>
    </row>
    <row r="372">
      <c r="A372" s="93" t="inlineStr">
        <is>
          <t>ZFOU01</t>
        </is>
      </c>
      <c r="B372" s="93" t="n">
        <v>2</v>
      </c>
      <c r="C372" s="93" t="inlineStr">
        <is>
          <t>HVK206</t>
        </is>
      </c>
      <c r="D372" s="93" t="inlineStr">
        <is>
          <t>K</t>
        </is>
      </c>
      <c r="E372" s="93" t="inlineStr">
        <is>
          <t>Fourie Hester Magrietha</t>
        </is>
      </c>
      <c r="F372" s="94">
        <f>SUMIFS(Investors!$M:$M,Investors!$O:$O,FALSE,Investors!$P:$P,FALSE,Investors!$K:$K,"&gt;"&amp;'NSST Print'!$B$3,Investors!$I:$I,"&lt;="&amp;'NSST Print'!$B$3,Investors!$A:$A,'Investor Exit List'!$A372,Investors!$E:$E,'Investor Exit List'!$C372,Investors!$L:$L,'Investor Exit List'!$B372)-(SUMIFS(Investors!$M:$M,Investors!$I:$I,"&lt;="&amp;'NSST Print'!$B$3,Investors!$J:$J,"&gt;"&amp;'NSST Print'!$B$3,Investors!$A:$A,'Investor Exit List'!$A372,Investors!$E:$E,'Investor Exit List'!$C372,Investors!$L:$L,'Investor Exit List'!$B372)+SUMIFS(Investors!$M:$M,Investors!$I:$I,"&lt;="&amp;'NSST Print'!$B$3,Investors!$J:$J,"",Investors!$A:$A,'Investor Exit List'!$A372,Investors!$E:$E,'Investor Exit List'!$C372,Investors!$L:$L,'Investor Exit List'!$B372))</f>
        <v/>
      </c>
      <c r="G372" s="95" t="n">
        <v>45016</v>
      </c>
      <c r="H372" s="93" t="b">
        <v>0</v>
      </c>
      <c r="I372" s="93" t="b">
        <v>0</v>
      </c>
      <c r="J372" s="95" t="n">
        <v>45510</v>
      </c>
      <c r="K372" s="95">
        <f>IF(I372=TRUE,J372,"")</f>
        <v/>
      </c>
      <c r="L372" s="95">
        <f>G372+730</f>
        <v/>
      </c>
      <c r="M372" s="95" t="n">
        <v>45382</v>
      </c>
      <c r="N372" s="96">
        <f>IFERROR(IF(G372&lt;&gt;"",IF(I372=TRUE,0,IF(U372=TRUE,0,L372-M372)),0),0)</f>
        <v/>
      </c>
      <c r="O372" s="96">
        <f>IF(N372&gt;0,IF(N372&lt;=180,N372,0),0)</f>
        <v/>
      </c>
      <c r="P372" s="94">
        <f>IF(AND(N372&lt;90,N372&gt;0),Q372,0)</f>
        <v/>
      </c>
      <c r="Q372" s="94">
        <f>SUMIFS(Investors!$M:$M,Investors!$O:$O,FALSE,Investors!$P:$P,FALSE,Investors!$K:$K,"&gt;"&amp;'NSST Print'!$B$3,Investors!$I:$I,"&lt;="&amp;'NSST Print'!$B$3,Investors!$A:$A,'Investor Exit List'!$A372,Investors!$E:$E,'Investor Exit List'!$C372,Investors!$L:$L,'Investor Exit List'!$B372)-(SUMIFS(Investors!$M:$M,Investors!$I:$I,"&lt;="&amp;'NSST Print'!$B$3,Investors!$J:$J,"&gt;"&amp;'NSST Print'!$B$3,Investors!$A:$A,'Investor Exit List'!$A372,Investors!$E:$E,'Investor Exit List'!$C372,Investors!$L:$L,'Investor Exit List'!$B372)+SUMIFS(Investors!$M:$M,Investors!$I:$I,"&lt;="&amp;'NSST Print'!$B$3,Investors!$J:$J,"",Investors!$A:$A,'Investor Exit List'!$A372,Investors!$E:$E,'Investor Exit List'!$C372,Investors!$L:$L,'Investor Exit List'!$B372))+SUMIFS(Investors!$S:$S,Investors!$O:$O,FALSE,Investors!$P:$P,FALSE,Investors!$K:$K,"&gt;"&amp;'NSST Print'!$B$3,Investors!$I:$I,"&lt;="&amp;'NSST Print'!$B$3,Investors!$A:$A,'Investor Exit List'!$A372,Investors!$E:$E,'Investor Exit List'!$C372,Investors!$L:$L,'Investor Exit List'!$B372)-(SUMIFS(Investors!$S:$S,Investors!$I:$I,"&lt;="&amp;'NSST Print'!$B$3,Investors!$J:$J,"&gt;"&amp;'NSST Print'!$B$3,Investors!$A:$A,'Investor Exit List'!$A372,Investors!$E:$E,'Investor Exit List'!$C372,Investors!$L:$L,'Investor Exit List'!$B372)+SUMIFS(Investors!$S:$S,Investors!$I:$I,"&lt;="&amp;'NSST Print'!$B$3,Investors!$J:$J,"",Investors!$A:$A,'Investor Exit List'!$A372,Investors!$E:$E,'Investor Exit List'!$C372,Investors!$L:$L,'Investor Exit List'!$B372))</f>
        <v/>
      </c>
      <c r="R372" s="94">
        <f>IF(AND(H372=TRUE,I372=FALSE),Q372,0)</f>
        <v/>
      </c>
      <c r="S372" s="94">
        <f>SUMIFS(Investors!$M:$M,Investors!$O:$O,TRUE,Investors!$A:$A,'Investor Exit List'!$A372,Investors!$E:$E,'Investor Exit List'!$C372,Investors!$L:$L,'Investor Exit List'!$B372)+SUMIFS(Investors!$S:$S,Investors!$O:$O,TRUE,Investors!$A:$A,'Investor Exit List'!$A372,Investors!$E:$E,'Investor Exit List'!$C372,Investors!$L:$L,'Investor Exit List'!$B372)</f>
        <v/>
      </c>
      <c r="T372" s="95">
        <f>IF(U372=TRUE,$J372,"")</f>
        <v/>
      </c>
      <c r="U372" s="93" t="b">
        <v>0</v>
      </c>
      <c r="V372" s="94">
        <f>IF(AND(H372=TRUE,OR(K372="",K372&gt;M372)),S372,0)</f>
        <v/>
      </c>
      <c r="W372" s="93" t="n">
        <v>0</v>
      </c>
      <c r="X372" s="93" t="b">
        <v>0</v>
      </c>
    </row>
    <row r="373">
      <c r="A373" s="93" t="inlineStr">
        <is>
          <t>ZGOV01</t>
        </is>
      </c>
      <c r="B373" s="93" t="n">
        <v>2</v>
      </c>
      <c r="C373" s="93" t="inlineStr">
        <is>
          <t>HVK206</t>
        </is>
      </c>
      <c r="D373" s="93" t="inlineStr">
        <is>
          <t>K</t>
        </is>
      </c>
      <c r="E373" s="93" t="inlineStr">
        <is>
          <t>Govender Preshnee</t>
        </is>
      </c>
      <c r="F373" s="94">
        <f>SUMIFS(Investors!$M:$M,Investors!$O:$O,FALSE,Investors!$P:$P,FALSE,Investors!$K:$K,"&gt;"&amp;'NSST Print'!$B$3,Investors!$I:$I,"&lt;="&amp;'NSST Print'!$B$3,Investors!$A:$A,'Investor Exit List'!$A373,Investors!$E:$E,'Investor Exit List'!$C373,Investors!$L:$L,'Investor Exit List'!$B373)-(SUMIFS(Investors!$M:$M,Investors!$I:$I,"&lt;="&amp;'NSST Print'!$B$3,Investors!$J:$J,"&gt;"&amp;'NSST Print'!$B$3,Investors!$A:$A,'Investor Exit List'!$A373,Investors!$E:$E,'Investor Exit List'!$C373,Investors!$L:$L,'Investor Exit List'!$B373)+SUMIFS(Investors!$M:$M,Investors!$I:$I,"&lt;="&amp;'NSST Print'!$B$3,Investors!$J:$J,"",Investors!$A:$A,'Investor Exit List'!$A373,Investors!$E:$E,'Investor Exit List'!$C373,Investors!$L:$L,'Investor Exit List'!$B373))</f>
        <v/>
      </c>
      <c r="G373" s="95" t="n">
        <v>44967</v>
      </c>
      <c r="H373" s="93" t="b">
        <v>0</v>
      </c>
      <c r="I373" s="93" t="b">
        <v>0</v>
      </c>
      <c r="J373" s="95" t="n">
        <v>45510</v>
      </c>
      <c r="K373" s="95">
        <f>IF(I373=TRUE,J373,"")</f>
        <v/>
      </c>
      <c r="L373" s="95">
        <f>G373+730</f>
        <v/>
      </c>
      <c r="M373" s="95" t="n">
        <v>45382</v>
      </c>
      <c r="N373" s="96">
        <f>IFERROR(IF(G373&lt;&gt;"",IF(I373=TRUE,0,IF(U373=TRUE,0,L373-M373)),0),0)</f>
        <v/>
      </c>
      <c r="O373" s="96">
        <f>IF(N373&gt;0,IF(N373&lt;=180,N373,0),0)</f>
        <v/>
      </c>
      <c r="P373" s="94">
        <f>IF(AND(N373&lt;90,N373&gt;0),Q373,0)</f>
        <v/>
      </c>
      <c r="Q373" s="94">
        <f>SUMIFS(Investors!$M:$M,Investors!$O:$O,FALSE,Investors!$P:$P,FALSE,Investors!$K:$K,"&gt;"&amp;'NSST Print'!$B$3,Investors!$I:$I,"&lt;="&amp;'NSST Print'!$B$3,Investors!$A:$A,'Investor Exit List'!$A373,Investors!$E:$E,'Investor Exit List'!$C373,Investors!$L:$L,'Investor Exit List'!$B373)-(SUMIFS(Investors!$M:$M,Investors!$I:$I,"&lt;="&amp;'NSST Print'!$B$3,Investors!$J:$J,"&gt;"&amp;'NSST Print'!$B$3,Investors!$A:$A,'Investor Exit List'!$A373,Investors!$E:$E,'Investor Exit List'!$C373,Investors!$L:$L,'Investor Exit List'!$B373)+SUMIFS(Investors!$M:$M,Investors!$I:$I,"&lt;="&amp;'NSST Print'!$B$3,Investors!$J:$J,"",Investors!$A:$A,'Investor Exit List'!$A373,Investors!$E:$E,'Investor Exit List'!$C373,Investors!$L:$L,'Investor Exit List'!$B373))+SUMIFS(Investors!$S:$S,Investors!$O:$O,FALSE,Investors!$P:$P,FALSE,Investors!$K:$K,"&gt;"&amp;'NSST Print'!$B$3,Investors!$I:$I,"&lt;="&amp;'NSST Print'!$B$3,Investors!$A:$A,'Investor Exit List'!$A373,Investors!$E:$E,'Investor Exit List'!$C373,Investors!$L:$L,'Investor Exit List'!$B373)-(SUMIFS(Investors!$S:$S,Investors!$I:$I,"&lt;="&amp;'NSST Print'!$B$3,Investors!$J:$J,"&gt;"&amp;'NSST Print'!$B$3,Investors!$A:$A,'Investor Exit List'!$A373,Investors!$E:$E,'Investor Exit List'!$C373,Investors!$L:$L,'Investor Exit List'!$B373)+SUMIFS(Investors!$S:$S,Investors!$I:$I,"&lt;="&amp;'NSST Print'!$B$3,Investors!$J:$J,"",Investors!$A:$A,'Investor Exit List'!$A373,Investors!$E:$E,'Investor Exit List'!$C373,Investors!$L:$L,'Investor Exit List'!$B373))</f>
        <v/>
      </c>
      <c r="R373" s="94">
        <f>IF(AND(H373=TRUE,I373=FALSE),Q373,0)</f>
        <v/>
      </c>
      <c r="S373" s="94">
        <f>SUMIFS(Investors!$M:$M,Investors!$O:$O,TRUE,Investors!$A:$A,'Investor Exit List'!$A373,Investors!$E:$E,'Investor Exit List'!$C373,Investors!$L:$L,'Investor Exit List'!$B373)+SUMIFS(Investors!$S:$S,Investors!$O:$O,TRUE,Investors!$A:$A,'Investor Exit List'!$A373,Investors!$E:$E,'Investor Exit List'!$C373,Investors!$L:$L,'Investor Exit List'!$B373)</f>
        <v/>
      </c>
      <c r="T373" s="95">
        <f>IF(U373=TRUE,$J373,"")</f>
        <v/>
      </c>
      <c r="U373" s="93" t="b">
        <v>0</v>
      </c>
      <c r="V373" s="94">
        <f>IF(AND(H373=TRUE,OR(K373="",K373&gt;M373)),S373,0)</f>
        <v/>
      </c>
      <c r="W373" s="93" t="n">
        <v>0</v>
      </c>
      <c r="X373" s="93" t="b">
        <v>0</v>
      </c>
    </row>
    <row r="374">
      <c r="A374" s="93" t="inlineStr">
        <is>
          <t>ZBAR01</t>
        </is>
      </c>
      <c r="B374" s="93" t="n">
        <v>2</v>
      </c>
      <c r="C374" s="93" t="inlineStr">
        <is>
          <t>HVK301</t>
        </is>
      </c>
      <c r="D374" s="93" t="inlineStr">
        <is>
          <t>K</t>
        </is>
      </c>
      <c r="E374" s="93" t="inlineStr">
        <is>
          <t>Barr Stuart Christopher</t>
        </is>
      </c>
      <c r="F374" s="94">
        <f>SUMIFS(Investors!$M:$M,Investors!$O:$O,FALSE,Investors!$P:$P,FALSE,Investors!$K:$K,"&gt;"&amp;'NSST Print'!$B$3,Investors!$I:$I,"&lt;="&amp;'NSST Print'!$B$3,Investors!$A:$A,'Investor Exit List'!$A374,Investors!$E:$E,'Investor Exit List'!$C374,Investors!$L:$L,'Investor Exit List'!$B374)-(SUMIFS(Investors!$M:$M,Investors!$I:$I,"&lt;="&amp;'NSST Print'!$B$3,Investors!$J:$J,"&gt;"&amp;'NSST Print'!$B$3,Investors!$A:$A,'Investor Exit List'!$A374,Investors!$E:$E,'Investor Exit List'!$C374,Investors!$L:$L,'Investor Exit List'!$B374)+SUMIFS(Investors!$M:$M,Investors!$I:$I,"&lt;="&amp;'NSST Print'!$B$3,Investors!$J:$J,"",Investors!$A:$A,'Investor Exit List'!$A374,Investors!$E:$E,'Investor Exit List'!$C374,Investors!$L:$L,'Investor Exit List'!$B374))</f>
        <v/>
      </c>
      <c r="G374" s="95" t="n">
        <v>44986</v>
      </c>
      <c r="H374" s="93" t="b">
        <v>0</v>
      </c>
      <c r="I374" s="93" t="b">
        <v>0</v>
      </c>
      <c r="J374" s="95" t="n">
        <v>45510</v>
      </c>
      <c r="K374" s="95">
        <f>IF(I374=TRUE,J374,"")</f>
        <v/>
      </c>
      <c r="L374" s="95">
        <f>G374+730</f>
        <v/>
      </c>
      <c r="M374" s="95" t="n">
        <v>45382</v>
      </c>
      <c r="N374" s="96">
        <f>IFERROR(IF(G374&lt;&gt;"",IF(I374=TRUE,0,IF(U374=TRUE,0,L374-M374)),0),0)</f>
        <v/>
      </c>
      <c r="O374" s="96">
        <f>IF(N374&gt;0,IF(N374&lt;=180,N374,0),0)</f>
        <v/>
      </c>
      <c r="P374" s="94">
        <f>IF(AND(N374&lt;90,N374&gt;0),Q374,0)</f>
        <v/>
      </c>
      <c r="Q374" s="94">
        <f>SUMIFS(Investors!$M:$M,Investors!$O:$O,FALSE,Investors!$P:$P,FALSE,Investors!$K:$K,"&gt;"&amp;'NSST Print'!$B$3,Investors!$I:$I,"&lt;="&amp;'NSST Print'!$B$3,Investors!$A:$A,'Investor Exit List'!$A374,Investors!$E:$E,'Investor Exit List'!$C374,Investors!$L:$L,'Investor Exit List'!$B374)-(SUMIFS(Investors!$M:$M,Investors!$I:$I,"&lt;="&amp;'NSST Print'!$B$3,Investors!$J:$J,"&gt;"&amp;'NSST Print'!$B$3,Investors!$A:$A,'Investor Exit List'!$A374,Investors!$E:$E,'Investor Exit List'!$C374,Investors!$L:$L,'Investor Exit List'!$B374)+SUMIFS(Investors!$M:$M,Investors!$I:$I,"&lt;="&amp;'NSST Print'!$B$3,Investors!$J:$J,"",Investors!$A:$A,'Investor Exit List'!$A374,Investors!$E:$E,'Investor Exit List'!$C374,Investors!$L:$L,'Investor Exit List'!$B374))+SUMIFS(Investors!$S:$S,Investors!$O:$O,FALSE,Investors!$P:$P,FALSE,Investors!$K:$K,"&gt;"&amp;'NSST Print'!$B$3,Investors!$I:$I,"&lt;="&amp;'NSST Print'!$B$3,Investors!$A:$A,'Investor Exit List'!$A374,Investors!$E:$E,'Investor Exit List'!$C374,Investors!$L:$L,'Investor Exit List'!$B374)-(SUMIFS(Investors!$S:$S,Investors!$I:$I,"&lt;="&amp;'NSST Print'!$B$3,Investors!$J:$J,"&gt;"&amp;'NSST Print'!$B$3,Investors!$A:$A,'Investor Exit List'!$A374,Investors!$E:$E,'Investor Exit List'!$C374,Investors!$L:$L,'Investor Exit List'!$B374)+SUMIFS(Investors!$S:$S,Investors!$I:$I,"&lt;="&amp;'NSST Print'!$B$3,Investors!$J:$J,"",Investors!$A:$A,'Investor Exit List'!$A374,Investors!$E:$E,'Investor Exit List'!$C374,Investors!$L:$L,'Investor Exit List'!$B374))</f>
        <v/>
      </c>
      <c r="R374" s="94">
        <f>IF(AND(H374=TRUE,I374=FALSE),Q374,0)</f>
        <v/>
      </c>
      <c r="S374" s="94">
        <f>SUMIFS(Investors!$M:$M,Investors!$O:$O,TRUE,Investors!$A:$A,'Investor Exit List'!$A374,Investors!$E:$E,'Investor Exit List'!$C374,Investors!$L:$L,'Investor Exit List'!$B374)+SUMIFS(Investors!$S:$S,Investors!$O:$O,TRUE,Investors!$A:$A,'Investor Exit List'!$A374,Investors!$E:$E,'Investor Exit List'!$C374,Investors!$L:$L,'Investor Exit List'!$B374)</f>
        <v/>
      </c>
      <c r="T374" s="95">
        <f>IF(U374=TRUE,$J374,"")</f>
        <v/>
      </c>
      <c r="U374" s="93" t="b">
        <v>0</v>
      </c>
      <c r="V374" s="94">
        <f>IF(AND(H374=TRUE,OR(K374="",K374&gt;M374)),S374,0)</f>
        <v/>
      </c>
      <c r="W374" s="93" t="n">
        <v>0</v>
      </c>
      <c r="X374" s="93" t="b">
        <v>0</v>
      </c>
    </row>
    <row r="375">
      <c r="A375" s="93" t="inlineStr">
        <is>
          <t>ZDAV01</t>
        </is>
      </c>
      <c r="B375" s="93" t="n">
        <v>5</v>
      </c>
      <c r="C375" s="93" t="inlineStr">
        <is>
          <t>HVK301</t>
        </is>
      </c>
      <c r="D375" s="93" t="inlineStr">
        <is>
          <t>K</t>
        </is>
      </c>
      <c r="E375" s="93" t="inlineStr">
        <is>
          <t>Davies Heather Mary Lyn</t>
        </is>
      </c>
      <c r="F375" s="94">
        <f>SUMIFS(Investors!$M:$M,Investors!$O:$O,FALSE,Investors!$P:$P,FALSE,Investors!$K:$K,"&gt;"&amp;'NSST Print'!$B$3,Investors!$I:$I,"&lt;="&amp;'NSST Print'!$B$3,Investors!$A:$A,'Investor Exit List'!$A375,Investors!$E:$E,'Investor Exit List'!$C375,Investors!$L:$L,'Investor Exit List'!$B375)-(SUMIFS(Investors!$M:$M,Investors!$I:$I,"&lt;="&amp;'NSST Print'!$B$3,Investors!$J:$J,"&gt;"&amp;'NSST Print'!$B$3,Investors!$A:$A,'Investor Exit List'!$A375,Investors!$E:$E,'Investor Exit List'!$C375,Investors!$L:$L,'Investor Exit List'!$B375)+SUMIFS(Investors!$M:$M,Investors!$I:$I,"&lt;="&amp;'NSST Print'!$B$3,Investors!$J:$J,"",Investors!$A:$A,'Investor Exit List'!$A375,Investors!$E:$E,'Investor Exit List'!$C375,Investors!$L:$L,'Investor Exit List'!$B375))</f>
        <v/>
      </c>
      <c r="G375" s="95" t="n">
        <v>44967</v>
      </c>
      <c r="H375" s="93" t="b">
        <v>0</v>
      </c>
      <c r="I375" s="93" t="b">
        <v>0</v>
      </c>
      <c r="J375" s="95" t="n">
        <v>45510</v>
      </c>
      <c r="K375" s="95">
        <f>IF(I375=TRUE,J375,"")</f>
        <v/>
      </c>
      <c r="L375" s="95">
        <f>G375+730</f>
        <v/>
      </c>
      <c r="M375" s="95" t="n">
        <v>45382</v>
      </c>
      <c r="N375" s="96">
        <f>IFERROR(IF(G375&lt;&gt;"",IF(I375=TRUE,0,IF(U375=TRUE,0,L375-M375)),0),0)</f>
        <v/>
      </c>
      <c r="O375" s="96">
        <f>IF(N375&gt;0,IF(N375&lt;=180,N375,0),0)</f>
        <v/>
      </c>
      <c r="P375" s="94">
        <f>IF(AND(N375&lt;90,N375&gt;0),Q375,0)</f>
        <v/>
      </c>
      <c r="Q375" s="94">
        <f>SUMIFS(Investors!$M:$M,Investors!$O:$O,FALSE,Investors!$P:$P,FALSE,Investors!$K:$K,"&gt;"&amp;'NSST Print'!$B$3,Investors!$I:$I,"&lt;="&amp;'NSST Print'!$B$3,Investors!$A:$A,'Investor Exit List'!$A375,Investors!$E:$E,'Investor Exit List'!$C375,Investors!$L:$L,'Investor Exit List'!$B375)-(SUMIFS(Investors!$M:$M,Investors!$I:$I,"&lt;="&amp;'NSST Print'!$B$3,Investors!$J:$J,"&gt;"&amp;'NSST Print'!$B$3,Investors!$A:$A,'Investor Exit List'!$A375,Investors!$E:$E,'Investor Exit List'!$C375,Investors!$L:$L,'Investor Exit List'!$B375)+SUMIFS(Investors!$M:$M,Investors!$I:$I,"&lt;="&amp;'NSST Print'!$B$3,Investors!$J:$J,"",Investors!$A:$A,'Investor Exit List'!$A375,Investors!$E:$E,'Investor Exit List'!$C375,Investors!$L:$L,'Investor Exit List'!$B375))+SUMIFS(Investors!$S:$S,Investors!$O:$O,FALSE,Investors!$P:$P,FALSE,Investors!$K:$K,"&gt;"&amp;'NSST Print'!$B$3,Investors!$I:$I,"&lt;="&amp;'NSST Print'!$B$3,Investors!$A:$A,'Investor Exit List'!$A375,Investors!$E:$E,'Investor Exit List'!$C375,Investors!$L:$L,'Investor Exit List'!$B375)-(SUMIFS(Investors!$S:$S,Investors!$I:$I,"&lt;="&amp;'NSST Print'!$B$3,Investors!$J:$J,"&gt;"&amp;'NSST Print'!$B$3,Investors!$A:$A,'Investor Exit List'!$A375,Investors!$E:$E,'Investor Exit List'!$C375,Investors!$L:$L,'Investor Exit List'!$B375)+SUMIFS(Investors!$S:$S,Investors!$I:$I,"&lt;="&amp;'NSST Print'!$B$3,Investors!$J:$J,"",Investors!$A:$A,'Investor Exit List'!$A375,Investors!$E:$E,'Investor Exit List'!$C375,Investors!$L:$L,'Investor Exit List'!$B375))</f>
        <v/>
      </c>
      <c r="R375" s="94">
        <f>IF(AND(H375=TRUE,I375=FALSE),Q375,0)</f>
        <v/>
      </c>
      <c r="S375" s="94">
        <f>SUMIFS(Investors!$M:$M,Investors!$O:$O,TRUE,Investors!$A:$A,'Investor Exit List'!$A375,Investors!$E:$E,'Investor Exit List'!$C375,Investors!$L:$L,'Investor Exit List'!$B375)+SUMIFS(Investors!$S:$S,Investors!$O:$O,TRUE,Investors!$A:$A,'Investor Exit List'!$A375,Investors!$E:$E,'Investor Exit List'!$C375,Investors!$L:$L,'Investor Exit List'!$B375)</f>
        <v/>
      </c>
      <c r="T375" s="95">
        <f>IF(U375=TRUE,$J375,"")</f>
        <v/>
      </c>
      <c r="U375" s="93" t="b">
        <v>0</v>
      </c>
      <c r="V375" s="94">
        <f>IF(AND(H375=TRUE,OR(K375="",K375&gt;M375)),S375,0)</f>
        <v/>
      </c>
      <c r="W375" s="93" t="n">
        <v>0</v>
      </c>
      <c r="X375" s="93" t="b">
        <v>0</v>
      </c>
    </row>
    <row r="376">
      <c r="A376" s="93" t="inlineStr">
        <is>
          <t>ZHIL01</t>
        </is>
      </c>
      <c r="B376" s="93" t="n">
        <v>2</v>
      </c>
      <c r="C376" s="93" t="inlineStr">
        <is>
          <t>HVK301</t>
        </is>
      </c>
      <c r="D376" s="93" t="inlineStr">
        <is>
          <t>K</t>
        </is>
      </c>
      <c r="E376" s="93" t="inlineStr">
        <is>
          <t>Hill Trevor David</t>
        </is>
      </c>
      <c r="F376" s="94">
        <f>SUMIFS(Investors!$M:$M,Investors!$O:$O,FALSE,Investors!$P:$P,FALSE,Investors!$K:$K,"&gt;"&amp;'NSST Print'!$B$3,Investors!$I:$I,"&lt;="&amp;'NSST Print'!$B$3,Investors!$A:$A,'Investor Exit List'!$A376,Investors!$E:$E,'Investor Exit List'!$C376,Investors!$L:$L,'Investor Exit List'!$B376)-(SUMIFS(Investors!$M:$M,Investors!$I:$I,"&lt;="&amp;'NSST Print'!$B$3,Investors!$J:$J,"&gt;"&amp;'NSST Print'!$B$3,Investors!$A:$A,'Investor Exit List'!$A376,Investors!$E:$E,'Investor Exit List'!$C376,Investors!$L:$L,'Investor Exit List'!$B376)+SUMIFS(Investors!$M:$M,Investors!$I:$I,"&lt;="&amp;'NSST Print'!$B$3,Investors!$J:$J,"",Investors!$A:$A,'Investor Exit List'!$A376,Investors!$E:$E,'Investor Exit List'!$C376,Investors!$L:$L,'Investor Exit List'!$B376))</f>
        <v/>
      </c>
      <c r="G376" s="95" t="n">
        <v>44916</v>
      </c>
      <c r="H376" s="93" t="b">
        <v>0</v>
      </c>
      <c r="I376" s="93" t="b">
        <v>0</v>
      </c>
      <c r="J376" s="95" t="n">
        <v>45510</v>
      </c>
      <c r="K376" s="95">
        <f>IF(I376=TRUE,J376,"")</f>
        <v/>
      </c>
      <c r="L376" s="95">
        <f>G376+730</f>
        <v/>
      </c>
      <c r="M376" s="95" t="n">
        <v>45382</v>
      </c>
      <c r="N376" s="96">
        <f>IFERROR(IF(G376&lt;&gt;"",IF(I376=TRUE,0,IF(U376=TRUE,0,L376-M376)),0),0)</f>
        <v/>
      </c>
      <c r="O376" s="96">
        <f>IF(N376&gt;0,IF(N376&lt;=180,N376,0),0)</f>
        <v/>
      </c>
      <c r="P376" s="94">
        <f>IF(AND(N376&lt;90,N376&gt;0),Q376,0)</f>
        <v/>
      </c>
      <c r="Q376" s="94">
        <f>SUMIFS(Investors!$M:$M,Investors!$O:$O,FALSE,Investors!$P:$P,FALSE,Investors!$K:$K,"&gt;"&amp;'NSST Print'!$B$3,Investors!$I:$I,"&lt;="&amp;'NSST Print'!$B$3,Investors!$A:$A,'Investor Exit List'!$A376,Investors!$E:$E,'Investor Exit List'!$C376,Investors!$L:$L,'Investor Exit List'!$B376)-(SUMIFS(Investors!$M:$M,Investors!$I:$I,"&lt;="&amp;'NSST Print'!$B$3,Investors!$J:$J,"&gt;"&amp;'NSST Print'!$B$3,Investors!$A:$A,'Investor Exit List'!$A376,Investors!$E:$E,'Investor Exit List'!$C376,Investors!$L:$L,'Investor Exit List'!$B376)+SUMIFS(Investors!$M:$M,Investors!$I:$I,"&lt;="&amp;'NSST Print'!$B$3,Investors!$J:$J,"",Investors!$A:$A,'Investor Exit List'!$A376,Investors!$E:$E,'Investor Exit List'!$C376,Investors!$L:$L,'Investor Exit List'!$B376))+SUMIFS(Investors!$S:$S,Investors!$O:$O,FALSE,Investors!$P:$P,FALSE,Investors!$K:$K,"&gt;"&amp;'NSST Print'!$B$3,Investors!$I:$I,"&lt;="&amp;'NSST Print'!$B$3,Investors!$A:$A,'Investor Exit List'!$A376,Investors!$E:$E,'Investor Exit List'!$C376,Investors!$L:$L,'Investor Exit List'!$B376)-(SUMIFS(Investors!$S:$S,Investors!$I:$I,"&lt;="&amp;'NSST Print'!$B$3,Investors!$J:$J,"&gt;"&amp;'NSST Print'!$B$3,Investors!$A:$A,'Investor Exit List'!$A376,Investors!$E:$E,'Investor Exit List'!$C376,Investors!$L:$L,'Investor Exit List'!$B376)+SUMIFS(Investors!$S:$S,Investors!$I:$I,"&lt;="&amp;'NSST Print'!$B$3,Investors!$J:$J,"",Investors!$A:$A,'Investor Exit List'!$A376,Investors!$E:$E,'Investor Exit List'!$C376,Investors!$L:$L,'Investor Exit List'!$B376))</f>
        <v/>
      </c>
      <c r="R376" s="94">
        <f>IF(AND(H376=TRUE,I376=FALSE),Q376,0)</f>
        <v/>
      </c>
      <c r="S376" s="94">
        <f>SUMIFS(Investors!$M:$M,Investors!$O:$O,TRUE,Investors!$A:$A,'Investor Exit List'!$A376,Investors!$E:$E,'Investor Exit List'!$C376,Investors!$L:$L,'Investor Exit List'!$B376)+SUMIFS(Investors!$S:$S,Investors!$O:$O,TRUE,Investors!$A:$A,'Investor Exit List'!$A376,Investors!$E:$E,'Investor Exit List'!$C376,Investors!$L:$L,'Investor Exit List'!$B376)</f>
        <v/>
      </c>
      <c r="T376" s="95">
        <f>IF(U376=TRUE,$J376,"")</f>
        <v/>
      </c>
      <c r="U376" s="93" t="b">
        <v>0</v>
      </c>
      <c r="V376" s="94">
        <f>IF(AND(H376=TRUE,OR(K376="",K376&gt;M376)),S376,0)</f>
        <v/>
      </c>
      <c r="W376" s="93" t="n">
        <v>0</v>
      </c>
      <c r="X376" s="93" t="b">
        <v>0</v>
      </c>
    </row>
    <row r="377">
      <c r="A377" s="93" t="inlineStr">
        <is>
          <t>ZJBM01</t>
        </is>
      </c>
      <c r="B377" s="93" t="n">
        <v>2</v>
      </c>
      <c r="C377" s="93" t="inlineStr">
        <is>
          <t>HVK301</t>
        </is>
      </c>
      <c r="D377" s="93" t="inlineStr">
        <is>
          <t>K</t>
        </is>
      </c>
      <c r="E377" s="93" t="inlineStr">
        <is>
          <t>Morkel Jacobus Bruwer</t>
        </is>
      </c>
      <c r="F377" s="94">
        <f>SUMIFS(Investors!$M:$M,Investors!$O:$O,FALSE,Investors!$P:$P,FALSE,Investors!$K:$K,"&gt;"&amp;'NSST Print'!$B$3,Investors!$I:$I,"&lt;="&amp;'NSST Print'!$B$3,Investors!$A:$A,'Investor Exit List'!$A377,Investors!$E:$E,'Investor Exit List'!$C377,Investors!$L:$L,'Investor Exit List'!$B377)-(SUMIFS(Investors!$M:$M,Investors!$I:$I,"&lt;="&amp;'NSST Print'!$B$3,Investors!$J:$J,"&gt;"&amp;'NSST Print'!$B$3,Investors!$A:$A,'Investor Exit List'!$A377,Investors!$E:$E,'Investor Exit List'!$C377,Investors!$L:$L,'Investor Exit List'!$B377)+SUMIFS(Investors!$M:$M,Investors!$I:$I,"&lt;="&amp;'NSST Print'!$B$3,Investors!$J:$J,"",Investors!$A:$A,'Investor Exit List'!$A377,Investors!$E:$E,'Investor Exit List'!$C377,Investors!$L:$L,'Investor Exit List'!$B377))</f>
        <v/>
      </c>
      <c r="G377" s="95" t="n">
        <v>44916</v>
      </c>
      <c r="H377" s="93" t="b">
        <v>0</v>
      </c>
      <c r="I377" s="93" t="b">
        <v>0</v>
      </c>
      <c r="J377" s="95" t="n">
        <v>45510</v>
      </c>
      <c r="K377" s="95">
        <f>IF(I377=TRUE,J377,"")</f>
        <v/>
      </c>
      <c r="L377" s="95">
        <f>G377+730</f>
        <v/>
      </c>
      <c r="M377" s="95" t="n">
        <v>45382</v>
      </c>
      <c r="N377" s="96">
        <f>IFERROR(IF(G377&lt;&gt;"",IF(I377=TRUE,0,IF(U377=TRUE,0,L377-M377)),0),0)</f>
        <v/>
      </c>
      <c r="O377" s="96">
        <f>IF(N377&gt;0,IF(N377&lt;=180,N377,0),0)</f>
        <v/>
      </c>
      <c r="P377" s="94">
        <f>IF(AND(N377&lt;90,N377&gt;0),Q377,0)</f>
        <v/>
      </c>
      <c r="Q377" s="94">
        <f>SUMIFS(Investors!$M:$M,Investors!$O:$O,FALSE,Investors!$P:$P,FALSE,Investors!$K:$K,"&gt;"&amp;'NSST Print'!$B$3,Investors!$I:$I,"&lt;="&amp;'NSST Print'!$B$3,Investors!$A:$A,'Investor Exit List'!$A377,Investors!$E:$E,'Investor Exit List'!$C377,Investors!$L:$L,'Investor Exit List'!$B377)-(SUMIFS(Investors!$M:$M,Investors!$I:$I,"&lt;="&amp;'NSST Print'!$B$3,Investors!$J:$J,"&gt;"&amp;'NSST Print'!$B$3,Investors!$A:$A,'Investor Exit List'!$A377,Investors!$E:$E,'Investor Exit List'!$C377,Investors!$L:$L,'Investor Exit List'!$B377)+SUMIFS(Investors!$M:$M,Investors!$I:$I,"&lt;="&amp;'NSST Print'!$B$3,Investors!$J:$J,"",Investors!$A:$A,'Investor Exit List'!$A377,Investors!$E:$E,'Investor Exit List'!$C377,Investors!$L:$L,'Investor Exit List'!$B377))+SUMIFS(Investors!$S:$S,Investors!$O:$O,FALSE,Investors!$P:$P,FALSE,Investors!$K:$K,"&gt;"&amp;'NSST Print'!$B$3,Investors!$I:$I,"&lt;="&amp;'NSST Print'!$B$3,Investors!$A:$A,'Investor Exit List'!$A377,Investors!$E:$E,'Investor Exit List'!$C377,Investors!$L:$L,'Investor Exit List'!$B377)-(SUMIFS(Investors!$S:$S,Investors!$I:$I,"&lt;="&amp;'NSST Print'!$B$3,Investors!$J:$J,"&gt;"&amp;'NSST Print'!$B$3,Investors!$A:$A,'Investor Exit List'!$A377,Investors!$E:$E,'Investor Exit List'!$C377,Investors!$L:$L,'Investor Exit List'!$B377)+SUMIFS(Investors!$S:$S,Investors!$I:$I,"&lt;="&amp;'NSST Print'!$B$3,Investors!$J:$J,"",Investors!$A:$A,'Investor Exit List'!$A377,Investors!$E:$E,'Investor Exit List'!$C377,Investors!$L:$L,'Investor Exit List'!$B377))</f>
        <v/>
      </c>
      <c r="R377" s="94">
        <f>IF(AND(H377=TRUE,I377=FALSE),Q377,0)</f>
        <v/>
      </c>
      <c r="S377" s="94">
        <f>SUMIFS(Investors!$M:$M,Investors!$O:$O,TRUE,Investors!$A:$A,'Investor Exit List'!$A377,Investors!$E:$E,'Investor Exit List'!$C377,Investors!$L:$L,'Investor Exit List'!$B377)+SUMIFS(Investors!$S:$S,Investors!$O:$O,TRUE,Investors!$A:$A,'Investor Exit List'!$A377,Investors!$E:$E,'Investor Exit List'!$C377,Investors!$L:$L,'Investor Exit List'!$B377)</f>
        <v/>
      </c>
      <c r="T377" s="95">
        <f>IF(U377=TRUE,$J377,"")</f>
        <v/>
      </c>
      <c r="U377" s="93" t="b">
        <v>0</v>
      </c>
      <c r="V377" s="94">
        <f>IF(AND(H377=TRUE,OR(K377="",K377&gt;M377)),S377,0)</f>
        <v/>
      </c>
      <c r="W377" s="93" t="n">
        <v>0</v>
      </c>
      <c r="X377" s="93" t="b">
        <v>0</v>
      </c>
    </row>
    <row r="378">
      <c r="A378" s="93" t="inlineStr">
        <is>
          <t>ZVAN05</t>
        </is>
      </c>
      <c r="B378" s="93" t="n">
        <v>7</v>
      </c>
      <c r="C378" s="93" t="inlineStr">
        <is>
          <t>HVK301</t>
        </is>
      </c>
      <c r="D378" s="93" t="inlineStr">
        <is>
          <t>K</t>
        </is>
      </c>
      <c r="E378" s="93" t="inlineStr">
        <is>
          <t>van der Sandt Hermanus</t>
        </is>
      </c>
      <c r="F378" s="94">
        <f>SUMIFS(Investors!$M:$M,Investors!$O:$O,FALSE,Investors!$P:$P,FALSE,Investors!$K:$K,"&gt;"&amp;'NSST Print'!$B$3,Investors!$I:$I,"&lt;="&amp;'NSST Print'!$B$3,Investors!$A:$A,'Investor Exit List'!$A378,Investors!$E:$E,'Investor Exit List'!$C378,Investors!$L:$L,'Investor Exit List'!$B378)-(SUMIFS(Investors!$M:$M,Investors!$I:$I,"&lt;="&amp;'NSST Print'!$B$3,Investors!$J:$J,"&gt;"&amp;'NSST Print'!$B$3,Investors!$A:$A,'Investor Exit List'!$A378,Investors!$E:$E,'Investor Exit List'!$C378,Investors!$L:$L,'Investor Exit List'!$B378)+SUMIFS(Investors!$M:$M,Investors!$I:$I,"&lt;="&amp;'NSST Print'!$B$3,Investors!$J:$J,"",Investors!$A:$A,'Investor Exit List'!$A378,Investors!$E:$E,'Investor Exit List'!$C378,Investors!$L:$L,'Investor Exit List'!$B378))</f>
        <v/>
      </c>
      <c r="G378" s="95" t="n">
        <v>44909</v>
      </c>
      <c r="H378" s="93" t="b">
        <v>0</v>
      </c>
      <c r="I378" s="93" t="b">
        <v>0</v>
      </c>
      <c r="J378" s="95" t="n">
        <v>45510</v>
      </c>
      <c r="K378" s="95">
        <f>IF(I378=TRUE,J378,"")</f>
        <v/>
      </c>
      <c r="L378" s="95">
        <f>G378+730</f>
        <v/>
      </c>
      <c r="M378" s="95" t="n">
        <v>45382</v>
      </c>
      <c r="N378" s="96">
        <f>IFERROR(IF(G378&lt;&gt;"",IF(I378=TRUE,0,IF(U378=TRUE,0,L378-M378)),0),0)</f>
        <v/>
      </c>
      <c r="O378" s="96">
        <f>IF(N378&gt;0,IF(N378&lt;=180,N378,0),0)</f>
        <v/>
      </c>
      <c r="P378" s="94">
        <f>IF(AND(N378&lt;90,N378&gt;0),Q378,0)</f>
        <v/>
      </c>
      <c r="Q378" s="94">
        <f>SUMIFS(Investors!$M:$M,Investors!$O:$O,FALSE,Investors!$P:$P,FALSE,Investors!$K:$K,"&gt;"&amp;'NSST Print'!$B$3,Investors!$I:$I,"&lt;="&amp;'NSST Print'!$B$3,Investors!$A:$A,'Investor Exit List'!$A378,Investors!$E:$E,'Investor Exit List'!$C378,Investors!$L:$L,'Investor Exit List'!$B378)-(SUMIFS(Investors!$M:$M,Investors!$I:$I,"&lt;="&amp;'NSST Print'!$B$3,Investors!$J:$J,"&gt;"&amp;'NSST Print'!$B$3,Investors!$A:$A,'Investor Exit List'!$A378,Investors!$E:$E,'Investor Exit List'!$C378,Investors!$L:$L,'Investor Exit List'!$B378)+SUMIFS(Investors!$M:$M,Investors!$I:$I,"&lt;="&amp;'NSST Print'!$B$3,Investors!$J:$J,"",Investors!$A:$A,'Investor Exit List'!$A378,Investors!$E:$E,'Investor Exit List'!$C378,Investors!$L:$L,'Investor Exit List'!$B378))+SUMIFS(Investors!$S:$S,Investors!$O:$O,FALSE,Investors!$P:$P,FALSE,Investors!$K:$K,"&gt;"&amp;'NSST Print'!$B$3,Investors!$I:$I,"&lt;="&amp;'NSST Print'!$B$3,Investors!$A:$A,'Investor Exit List'!$A378,Investors!$E:$E,'Investor Exit List'!$C378,Investors!$L:$L,'Investor Exit List'!$B378)-(SUMIFS(Investors!$S:$S,Investors!$I:$I,"&lt;="&amp;'NSST Print'!$B$3,Investors!$J:$J,"&gt;"&amp;'NSST Print'!$B$3,Investors!$A:$A,'Investor Exit List'!$A378,Investors!$E:$E,'Investor Exit List'!$C378,Investors!$L:$L,'Investor Exit List'!$B378)+SUMIFS(Investors!$S:$S,Investors!$I:$I,"&lt;="&amp;'NSST Print'!$B$3,Investors!$J:$J,"",Investors!$A:$A,'Investor Exit List'!$A378,Investors!$E:$E,'Investor Exit List'!$C378,Investors!$L:$L,'Investor Exit List'!$B378))</f>
        <v/>
      </c>
      <c r="R378" s="94">
        <f>IF(AND(H378=TRUE,I378=FALSE),Q378,0)</f>
        <v/>
      </c>
      <c r="S378" s="94">
        <f>SUMIFS(Investors!$M:$M,Investors!$O:$O,TRUE,Investors!$A:$A,'Investor Exit List'!$A378,Investors!$E:$E,'Investor Exit List'!$C378,Investors!$L:$L,'Investor Exit List'!$B378)+SUMIFS(Investors!$S:$S,Investors!$O:$O,TRUE,Investors!$A:$A,'Investor Exit List'!$A378,Investors!$E:$E,'Investor Exit List'!$C378,Investors!$L:$L,'Investor Exit List'!$B378)</f>
        <v/>
      </c>
      <c r="T378" s="95">
        <f>IF(U378=TRUE,$J378,"")</f>
        <v/>
      </c>
      <c r="U378" s="93" t="b">
        <v>0</v>
      </c>
      <c r="V378" s="94">
        <f>IF(AND(H378=TRUE,OR(K378="",K378&gt;M378)),S378,0)</f>
        <v/>
      </c>
      <c r="W378" s="93" t="n">
        <v>0</v>
      </c>
      <c r="X378" s="93" t="b">
        <v>0</v>
      </c>
    </row>
    <row r="379">
      <c r="A379" s="93" t="inlineStr">
        <is>
          <t>ZBEL01</t>
        </is>
      </c>
      <c r="B379" s="93" t="n">
        <v>5</v>
      </c>
      <c r="C379" s="93" t="inlineStr">
        <is>
          <t>HVK302</t>
        </is>
      </c>
      <c r="D379" s="93" t="inlineStr">
        <is>
          <t>K</t>
        </is>
      </c>
      <c r="E379" s="93" t="inlineStr">
        <is>
          <t>Belford Helen Constance</t>
        </is>
      </c>
      <c r="F379" s="94">
        <f>SUMIFS(Investors!$M:$M,Investors!$O:$O,FALSE,Investors!$P:$P,FALSE,Investors!$K:$K,"&gt;"&amp;'NSST Print'!$B$3,Investors!$I:$I,"&lt;="&amp;'NSST Print'!$B$3,Investors!$A:$A,'Investor Exit List'!$A379,Investors!$E:$E,'Investor Exit List'!$C379,Investors!$L:$L,'Investor Exit List'!$B379)-(SUMIFS(Investors!$M:$M,Investors!$I:$I,"&lt;="&amp;'NSST Print'!$B$3,Investors!$J:$J,"&gt;"&amp;'NSST Print'!$B$3,Investors!$A:$A,'Investor Exit List'!$A379,Investors!$E:$E,'Investor Exit List'!$C379,Investors!$L:$L,'Investor Exit List'!$B379)+SUMIFS(Investors!$M:$M,Investors!$I:$I,"&lt;="&amp;'NSST Print'!$B$3,Investors!$J:$J,"",Investors!$A:$A,'Investor Exit List'!$A379,Investors!$E:$E,'Investor Exit List'!$C379,Investors!$L:$L,'Investor Exit List'!$B379))</f>
        <v/>
      </c>
      <c r="G379" s="95" t="n">
        <v>44986</v>
      </c>
      <c r="H379" s="93" t="b">
        <v>0</v>
      </c>
      <c r="I379" s="93" t="b">
        <v>0</v>
      </c>
      <c r="J379" s="95" t="n">
        <v>45510</v>
      </c>
      <c r="K379" s="95">
        <f>IF(I379=TRUE,J379,"")</f>
        <v/>
      </c>
      <c r="L379" s="95">
        <f>G379+730</f>
        <v/>
      </c>
      <c r="M379" s="95" t="n">
        <v>45382</v>
      </c>
      <c r="N379" s="96">
        <f>IFERROR(IF(G379&lt;&gt;"",IF(I379=TRUE,0,IF(U379=TRUE,0,L379-M379)),0),0)</f>
        <v/>
      </c>
      <c r="O379" s="96">
        <f>IF(N379&gt;0,IF(N379&lt;=180,N379,0),0)</f>
        <v/>
      </c>
      <c r="P379" s="94">
        <f>IF(AND(N379&lt;90,N379&gt;0),Q379,0)</f>
        <v/>
      </c>
      <c r="Q379" s="94">
        <f>SUMIFS(Investors!$M:$M,Investors!$O:$O,FALSE,Investors!$P:$P,FALSE,Investors!$K:$K,"&gt;"&amp;'NSST Print'!$B$3,Investors!$I:$I,"&lt;="&amp;'NSST Print'!$B$3,Investors!$A:$A,'Investor Exit List'!$A379,Investors!$E:$E,'Investor Exit List'!$C379,Investors!$L:$L,'Investor Exit List'!$B379)-(SUMIFS(Investors!$M:$M,Investors!$I:$I,"&lt;="&amp;'NSST Print'!$B$3,Investors!$J:$J,"&gt;"&amp;'NSST Print'!$B$3,Investors!$A:$A,'Investor Exit List'!$A379,Investors!$E:$E,'Investor Exit List'!$C379,Investors!$L:$L,'Investor Exit List'!$B379)+SUMIFS(Investors!$M:$M,Investors!$I:$I,"&lt;="&amp;'NSST Print'!$B$3,Investors!$J:$J,"",Investors!$A:$A,'Investor Exit List'!$A379,Investors!$E:$E,'Investor Exit List'!$C379,Investors!$L:$L,'Investor Exit List'!$B379))+SUMIFS(Investors!$S:$S,Investors!$O:$O,FALSE,Investors!$P:$P,FALSE,Investors!$K:$K,"&gt;"&amp;'NSST Print'!$B$3,Investors!$I:$I,"&lt;="&amp;'NSST Print'!$B$3,Investors!$A:$A,'Investor Exit List'!$A379,Investors!$E:$E,'Investor Exit List'!$C379,Investors!$L:$L,'Investor Exit List'!$B379)-(SUMIFS(Investors!$S:$S,Investors!$I:$I,"&lt;="&amp;'NSST Print'!$B$3,Investors!$J:$J,"&gt;"&amp;'NSST Print'!$B$3,Investors!$A:$A,'Investor Exit List'!$A379,Investors!$E:$E,'Investor Exit List'!$C379,Investors!$L:$L,'Investor Exit List'!$B379)+SUMIFS(Investors!$S:$S,Investors!$I:$I,"&lt;="&amp;'NSST Print'!$B$3,Investors!$J:$J,"",Investors!$A:$A,'Investor Exit List'!$A379,Investors!$E:$E,'Investor Exit List'!$C379,Investors!$L:$L,'Investor Exit List'!$B379))</f>
        <v/>
      </c>
      <c r="R379" s="94">
        <f>IF(AND(H379=TRUE,I379=FALSE),Q379,0)</f>
        <v/>
      </c>
      <c r="S379" s="94">
        <f>SUMIFS(Investors!$M:$M,Investors!$O:$O,TRUE,Investors!$A:$A,'Investor Exit List'!$A379,Investors!$E:$E,'Investor Exit List'!$C379,Investors!$L:$L,'Investor Exit List'!$B379)+SUMIFS(Investors!$S:$S,Investors!$O:$O,TRUE,Investors!$A:$A,'Investor Exit List'!$A379,Investors!$E:$E,'Investor Exit List'!$C379,Investors!$L:$L,'Investor Exit List'!$B379)</f>
        <v/>
      </c>
      <c r="T379" s="95">
        <f>IF(U379=TRUE,$J379,"")</f>
        <v/>
      </c>
      <c r="U379" s="93" t="b">
        <v>0</v>
      </c>
      <c r="V379" s="94">
        <f>IF(AND(H379=TRUE,OR(K379="",K379&gt;M379)),S379,0)</f>
        <v/>
      </c>
      <c r="W379" s="93" t="n">
        <v>0</v>
      </c>
      <c r="X379" s="93" t="b">
        <v>0</v>
      </c>
    </row>
    <row r="380">
      <c r="A380" s="93" t="inlineStr">
        <is>
          <t>ZCRO01</t>
        </is>
      </c>
      <c r="B380" s="93" t="n">
        <v>8</v>
      </c>
      <c r="C380" s="93" t="inlineStr">
        <is>
          <t>HVK302</t>
        </is>
      </c>
      <c r="D380" s="93" t="inlineStr">
        <is>
          <t>K</t>
        </is>
      </c>
      <c r="E380" s="93" t="inlineStr">
        <is>
          <t>Lunau Marc</t>
        </is>
      </c>
      <c r="F380" s="94">
        <f>SUMIFS(Investors!$M:$M,Investors!$O:$O,FALSE,Investors!$P:$P,FALSE,Investors!$K:$K,"&gt;"&amp;'NSST Print'!$B$3,Investors!$I:$I,"&lt;="&amp;'NSST Print'!$B$3,Investors!$A:$A,'Investor Exit List'!$A380,Investors!$E:$E,'Investor Exit List'!$C380,Investors!$L:$L,'Investor Exit List'!$B380)-(SUMIFS(Investors!$M:$M,Investors!$I:$I,"&lt;="&amp;'NSST Print'!$B$3,Investors!$J:$J,"&gt;"&amp;'NSST Print'!$B$3,Investors!$A:$A,'Investor Exit List'!$A380,Investors!$E:$E,'Investor Exit List'!$C380,Investors!$L:$L,'Investor Exit List'!$B380)+SUMIFS(Investors!$M:$M,Investors!$I:$I,"&lt;="&amp;'NSST Print'!$B$3,Investors!$J:$J,"",Investors!$A:$A,'Investor Exit List'!$A380,Investors!$E:$E,'Investor Exit List'!$C380,Investors!$L:$L,'Investor Exit List'!$B380))</f>
        <v/>
      </c>
      <c r="G380" s="95" t="n">
        <v>44995</v>
      </c>
      <c r="H380" s="93" t="b">
        <v>0</v>
      </c>
      <c r="I380" s="93" t="b">
        <v>0</v>
      </c>
      <c r="J380" s="95" t="n">
        <v>45510</v>
      </c>
      <c r="K380" s="95">
        <f>IF(I380=TRUE,J380,"")</f>
        <v/>
      </c>
      <c r="L380" s="95">
        <f>G380+730</f>
        <v/>
      </c>
      <c r="M380" s="95" t="n">
        <v>45382</v>
      </c>
      <c r="N380" s="96">
        <f>IFERROR(IF(G380&lt;&gt;"",IF(I380=TRUE,0,IF(U380=TRUE,0,L380-M380)),0),0)</f>
        <v/>
      </c>
      <c r="O380" s="96">
        <f>IF(N380&gt;0,IF(N380&lt;=180,N380,0),0)</f>
        <v/>
      </c>
      <c r="P380" s="94">
        <f>IF(AND(N380&lt;90,N380&gt;0),Q380,0)</f>
        <v/>
      </c>
      <c r="Q380" s="94">
        <f>SUMIFS(Investors!$M:$M,Investors!$O:$O,FALSE,Investors!$P:$P,FALSE,Investors!$K:$K,"&gt;"&amp;'NSST Print'!$B$3,Investors!$I:$I,"&lt;="&amp;'NSST Print'!$B$3,Investors!$A:$A,'Investor Exit List'!$A380,Investors!$E:$E,'Investor Exit List'!$C380,Investors!$L:$L,'Investor Exit List'!$B380)-(SUMIFS(Investors!$M:$M,Investors!$I:$I,"&lt;="&amp;'NSST Print'!$B$3,Investors!$J:$J,"&gt;"&amp;'NSST Print'!$B$3,Investors!$A:$A,'Investor Exit List'!$A380,Investors!$E:$E,'Investor Exit List'!$C380,Investors!$L:$L,'Investor Exit List'!$B380)+SUMIFS(Investors!$M:$M,Investors!$I:$I,"&lt;="&amp;'NSST Print'!$B$3,Investors!$J:$J,"",Investors!$A:$A,'Investor Exit List'!$A380,Investors!$E:$E,'Investor Exit List'!$C380,Investors!$L:$L,'Investor Exit List'!$B380))+SUMIFS(Investors!$S:$S,Investors!$O:$O,FALSE,Investors!$P:$P,FALSE,Investors!$K:$K,"&gt;"&amp;'NSST Print'!$B$3,Investors!$I:$I,"&lt;="&amp;'NSST Print'!$B$3,Investors!$A:$A,'Investor Exit List'!$A380,Investors!$E:$E,'Investor Exit List'!$C380,Investors!$L:$L,'Investor Exit List'!$B380)-(SUMIFS(Investors!$S:$S,Investors!$I:$I,"&lt;="&amp;'NSST Print'!$B$3,Investors!$J:$J,"&gt;"&amp;'NSST Print'!$B$3,Investors!$A:$A,'Investor Exit List'!$A380,Investors!$E:$E,'Investor Exit List'!$C380,Investors!$L:$L,'Investor Exit List'!$B380)+SUMIFS(Investors!$S:$S,Investors!$I:$I,"&lt;="&amp;'NSST Print'!$B$3,Investors!$J:$J,"",Investors!$A:$A,'Investor Exit List'!$A380,Investors!$E:$E,'Investor Exit List'!$C380,Investors!$L:$L,'Investor Exit List'!$B380))</f>
        <v/>
      </c>
      <c r="R380" s="94">
        <f>IF(AND(H380=TRUE,I380=FALSE),Q380,0)</f>
        <v/>
      </c>
      <c r="S380" s="94">
        <f>SUMIFS(Investors!$M:$M,Investors!$O:$O,TRUE,Investors!$A:$A,'Investor Exit List'!$A380,Investors!$E:$E,'Investor Exit List'!$C380,Investors!$L:$L,'Investor Exit List'!$B380)+SUMIFS(Investors!$S:$S,Investors!$O:$O,TRUE,Investors!$A:$A,'Investor Exit List'!$A380,Investors!$E:$E,'Investor Exit List'!$C380,Investors!$L:$L,'Investor Exit List'!$B380)</f>
        <v/>
      </c>
      <c r="T380" s="95">
        <f>IF(U380=TRUE,$J380,"")</f>
        <v/>
      </c>
      <c r="U380" s="93" t="b">
        <v>0</v>
      </c>
      <c r="V380" s="94">
        <f>IF(AND(H380=TRUE,OR(K380="",K380&gt;M380)),S380,0)</f>
        <v/>
      </c>
      <c r="W380" s="93" t="n">
        <v>0</v>
      </c>
      <c r="X380" s="93" t="b">
        <v>0</v>
      </c>
    </row>
    <row r="381">
      <c r="A381" s="93" t="inlineStr">
        <is>
          <t>ZJOH01</t>
        </is>
      </c>
      <c r="B381" s="93" t="n">
        <v>6</v>
      </c>
      <c r="C381" s="93" t="inlineStr">
        <is>
          <t>HVK302</t>
        </is>
      </c>
      <c r="D381" s="93" t="inlineStr">
        <is>
          <t>K</t>
        </is>
      </c>
      <c r="E381" s="93" t="inlineStr">
        <is>
          <t>Johns Lisa-Marie Natalie</t>
        </is>
      </c>
      <c r="F381" s="94">
        <f>SUMIFS(Investors!$M:$M,Investors!$O:$O,FALSE,Investors!$P:$P,FALSE,Investors!$K:$K,"&gt;"&amp;'NSST Print'!$B$3,Investors!$I:$I,"&lt;="&amp;'NSST Print'!$B$3,Investors!$A:$A,'Investor Exit List'!$A381,Investors!$E:$E,'Investor Exit List'!$C381,Investors!$L:$L,'Investor Exit List'!$B381)-(SUMIFS(Investors!$M:$M,Investors!$I:$I,"&lt;="&amp;'NSST Print'!$B$3,Investors!$J:$J,"&gt;"&amp;'NSST Print'!$B$3,Investors!$A:$A,'Investor Exit List'!$A381,Investors!$E:$E,'Investor Exit List'!$C381,Investors!$L:$L,'Investor Exit List'!$B381)+SUMIFS(Investors!$M:$M,Investors!$I:$I,"&lt;="&amp;'NSST Print'!$B$3,Investors!$J:$J,"",Investors!$A:$A,'Investor Exit List'!$A381,Investors!$E:$E,'Investor Exit List'!$C381,Investors!$L:$L,'Investor Exit List'!$B381))</f>
        <v/>
      </c>
      <c r="G381" s="95" t="n">
        <v>44995</v>
      </c>
      <c r="H381" s="93" t="b">
        <v>0</v>
      </c>
      <c r="I381" s="93" t="b">
        <v>0</v>
      </c>
      <c r="J381" s="95" t="n">
        <v>45510</v>
      </c>
      <c r="K381" s="95">
        <f>IF(I381=TRUE,J381,"")</f>
        <v/>
      </c>
      <c r="L381" s="95">
        <f>G381+730</f>
        <v/>
      </c>
      <c r="M381" s="95" t="n">
        <v>45382</v>
      </c>
      <c r="N381" s="96">
        <f>IFERROR(IF(G381&lt;&gt;"",IF(I381=TRUE,0,IF(U381=TRUE,0,L381-M381)),0),0)</f>
        <v/>
      </c>
      <c r="O381" s="96">
        <f>IF(N381&gt;0,IF(N381&lt;=180,N381,0),0)</f>
        <v/>
      </c>
      <c r="P381" s="94">
        <f>IF(AND(N381&lt;90,N381&gt;0),Q381,0)</f>
        <v/>
      </c>
      <c r="Q381" s="94">
        <f>SUMIFS(Investors!$M:$M,Investors!$O:$O,FALSE,Investors!$P:$P,FALSE,Investors!$K:$K,"&gt;"&amp;'NSST Print'!$B$3,Investors!$I:$I,"&lt;="&amp;'NSST Print'!$B$3,Investors!$A:$A,'Investor Exit List'!$A381,Investors!$E:$E,'Investor Exit List'!$C381,Investors!$L:$L,'Investor Exit List'!$B381)-(SUMIFS(Investors!$M:$M,Investors!$I:$I,"&lt;="&amp;'NSST Print'!$B$3,Investors!$J:$J,"&gt;"&amp;'NSST Print'!$B$3,Investors!$A:$A,'Investor Exit List'!$A381,Investors!$E:$E,'Investor Exit List'!$C381,Investors!$L:$L,'Investor Exit List'!$B381)+SUMIFS(Investors!$M:$M,Investors!$I:$I,"&lt;="&amp;'NSST Print'!$B$3,Investors!$J:$J,"",Investors!$A:$A,'Investor Exit List'!$A381,Investors!$E:$E,'Investor Exit List'!$C381,Investors!$L:$L,'Investor Exit List'!$B381))+SUMIFS(Investors!$S:$S,Investors!$O:$O,FALSE,Investors!$P:$P,FALSE,Investors!$K:$K,"&gt;"&amp;'NSST Print'!$B$3,Investors!$I:$I,"&lt;="&amp;'NSST Print'!$B$3,Investors!$A:$A,'Investor Exit List'!$A381,Investors!$E:$E,'Investor Exit List'!$C381,Investors!$L:$L,'Investor Exit List'!$B381)-(SUMIFS(Investors!$S:$S,Investors!$I:$I,"&lt;="&amp;'NSST Print'!$B$3,Investors!$J:$J,"&gt;"&amp;'NSST Print'!$B$3,Investors!$A:$A,'Investor Exit List'!$A381,Investors!$E:$E,'Investor Exit List'!$C381,Investors!$L:$L,'Investor Exit List'!$B381)+SUMIFS(Investors!$S:$S,Investors!$I:$I,"&lt;="&amp;'NSST Print'!$B$3,Investors!$J:$J,"",Investors!$A:$A,'Investor Exit List'!$A381,Investors!$E:$E,'Investor Exit List'!$C381,Investors!$L:$L,'Investor Exit List'!$B381))</f>
        <v/>
      </c>
      <c r="R381" s="94">
        <f>IF(AND(H381=TRUE,I381=FALSE),Q381,0)</f>
        <v/>
      </c>
      <c r="S381" s="94">
        <f>SUMIFS(Investors!$M:$M,Investors!$O:$O,TRUE,Investors!$A:$A,'Investor Exit List'!$A381,Investors!$E:$E,'Investor Exit List'!$C381,Investors!$L:$L,'Investor Exit List'!$B381)+SUMIFS(Investors!$S:$S,Investors!$O:$O,TRUE,Investors!$A:$A,'Investor Exit List'!$A381,Investors!$E:$E,'Investor Exit List'!$C381,Investors!$L:$L,'Investor Exit List'!$B381)</f>
        <v/>
      </c>
      <c r="T381" s="95">
        <f>IF(U381=TRUE,$J381,"")</f>
        <v/>
      </c>
      <c r="U381" s="93" t="b">
        <v>0</v>
      </c>
      <c r="V381" s="94">
        <f>IF(AND(H381=TRUE,OR(K381="",K381&gt;M381)),S381,0)</f>
        <v/>
      </c>
      <c r="W381" s="93" t="n">
        <v>0</v>
      </c>
      <c r="X381" s="93" t="b">
        <v>0</v>
      </c>
    </row>
    <row r="382">
      <c r="A382" s="93" t="inlineStr">
        <is>
          <t>ZLEW01</t>
        </is>
      </c>
      <c r="B382" s="93" t="n">
        <v>9</v>
      </c>
      <c r="C382" s="93" t="inlineStr">
        <is>
          <t>HVK302</t>
        </is>
      </c>
      <c r="D382" s="93" t="inlineStr">
        <is>
          <t>K</t>
        </is>
      </c>
      <c r="E382" s="93" t="inlineStr">
        <is>
          <t>Lewis Martina Christina</t>
        </is>
      </c>
      <c r="F382" s="94">
        <f>SUMIFS(Investors!$M:$M,Investors!$O:$O,FALSE,Investors!$P:$P,FALSE,Investors!$K:$K,"&gt;"&amp;'NSST Print'!$B$3,Investors!$I:$I,"&lt;="&amp;'NSST Print'!$B$3,Investors!$A:$A,'Investor Exit List'!$A382,Investors!$E:$E,'Investor Exit List'!$C382,Investors!$L:$L,'Investor Exit List'!$B382)-(SUMIFS(Investors!$M:$M,Investors!$I:$I,"&lt;="&amp;'NSST Print'!$B$3,Investors!$J:$J,"&gt;"&amp;'NSST Print'!$B$3,Investors!$A:$A,'Investor Exit List'!$A382,Investors!$E:$E,'Investor Exit List'!$C382,Investors!$L:$L,'Investor Exit List'!$B382)+SUMIFS(Investors!$M:$M,Investors!$I:$I,"&lt;="&amp;'NSST Print'!$B$3,Investors!$J:$J,"",Investors!$A:$A,'Investor Exit List'!$A382,Investors!$E:$E,'Investor Exit List'!$C382,Investors!$L:$L,'Investor Exit List'!$B382))</f>
        <v/>
      </c>
      <c r="G382" s="95" t="n">
        <v>44980</v>
      </c>
      <c r="H382" s="93" t="b">
        <v>0</v>
      </c>
      <c r="I382" s="93" t="b">
        <v>0</v>
      </c>
      <c r="J382" s="95" t="n">
        <v>45510</v>
      </c>
      <c r="K382" s="95">
        <f>IF(I382=TRUE,J382,"")</f>
        <v/>
      </c>
      <c r="L382" s="95">
        <f>G382+730</f>
        <v/>
      </c>
      <c r="M382" s="95" t="n">
        <v>45382</v>
      </c>
      <c r="N382" s="96">
        <f>IFERROR(IF(G382&lt;&gt;"",IF(I382=TRUE,0,IF(U382=TRUE,0,L382-M382)),0),0)</f>
        <v/>
      </c>
      <c r="O382" s="96">
        <f>IF(N382&gt;0,IF(N382&lt;=180,N382,0),0)</f>
        <v/>
      </c>
      <c r="P382" s="94">
        <f>IF(AND(N382&lt;90,N382&gt;0),Q382,0)</f>
        <v/>
      </c>
      <c r="Q382" s="94">
        <f>SUMIFS(Investors!$M:$M,Investors!$O:$O,FALSE,Investors!$P:$P,FALSE,Investors!$K:$K,"&gt;"&amp;'NSST Print'!$B$3,Investors!$I:$I,"&lt;="&amp;'NSST Print'!$B$3,Investors!$A:$A,'Investor Exit List'!$A382,Investors!$E:$E,'Investor Exit List'!$C382,Investors!$L:$L,'Investor Exit List'!$B382)-(SUMIFS(Investors!$M:$M,Investors!$I:$I,"&lt;="&amp;'NSST Print'!$B$3,Investors!$J:$J,"&gt;"&amp;'NSST Print'!$B$3,Investors!$A:$A,'Investor Exit List'!$A382,Investors!$E:$E,'Investor Exit List'!$C382,Investors!$L:$L,'Investor Exit List'!$B382)+SUMIFS(Investors!$M:$M,Investors!$I:$I,"&lt;="&amp;'NSST Print'!$B$3,Investors!$J:$J,"",Investors!$A:$A,'Investor Exit List'!$A382,Investors!$E:$E,'Investor Exit List'!$C382,Investors!$L:$L,'Investor Exit List'!$B382))+SUMIFS(Investors!$S:$S,Investors!$O:$O,FALSE,Investors!$P:$P,FALSE,Investors!$K:$K,"&gt;"&amp;'NSST Print'!$B$3,Investors!$I:$I,"&lt;="&amp;'NSST Print'!$B$3,Investors!$A:$A,'Investor Exit List'!$A382,Investors!$E:$E,'Investor Exit List'!$C382,Investors!$L:$L,'Investor Exit List'!$B382)-(SUMIFS(Investors!$S:$S,Investors!$I:$I,"&lt;="&amp;'NSST Print'!$B$3,Investors!$J:$J,"&gt;"&amp;'NSST Print'!$B$3,Investors!$A:$A,'Investor Exit List'!$A382,Investors!$E:$E,'Investor Exit List'!$C382,Investors!$L:$L,'Investor Exit List'!$B382)+SUMIFS(Investors!$S:$S,Investors!$I:$I,"&lt;="&amp;'NSST Print'!$B$3,Investors!$J:$J,"",Investors!$A:$A,'Investor Exit List'!$A382,Investors!$E:$E,'Investor Exit List'!$C382,Investors!$L:$L,'Investor Exit List'!$B382))</f>
        <v/>
      </c>
      <c r="R382" s="94">
        <f>IF(AND(H382=TRUE,I382=FALSE),Q382,0)</f>
        <v/>
      </c>
      <c r="S382" s="94">
        <f>SUMIFS(Investors!$M:$M,Investors!$O:$O,TRUE,Investors!$A:$A,'Investor Exit List'!$A382,Investors!$E:$E,'Investor Exit List'!$C382,Investors!$L:$L,'Investor Exit List'!$B382)+SUMIFS(Investors!$S:$S,Investors!$O:$O,TRUE,Investors!$A:$A,'Investor Exit List'!$A382,Investors!$E:$E,'Investor Exit List'!$C382,Investors!$L:$L,'Investor Exit List'!$B382)</f>
        <v/>
      </c>
      <c r="T382" s="95">
        <f>IF(U382=TRUE,$J382,"")</f>
        <v/>
      </c>
      <c r="U382" s="93" t="b">
        <v>0</v>
      </c>
      <c r="V382" s="94">
        <f>IF(AND(H382=TRUE,OR(K382="",K382&gt;M382)),S382,0)</f>
        <v/>
      </c>
      <c r="W382" s="93" t="n">
        <v>0</v>
      </c>
      <c r="X382" s="93" t="b">
        <v>0</v>
      </c>
    </row>
    <row r="383">
      <c r="A383" s="93" t="inlineStr">
        <is>
          <t>ZMAR01</t>
        </is>
      </c>
      <c r="B383" s="93" t="n">
        <v>3</v>
      </c>
      <c r="C383" s="93" t="inlineStr">
        <is>
          <t>HVK302</t>
        </is>
      </c>
      <c r="D383" s="93" t="inlineStr">
        <is>
          <t>K</t>
        </is>
      </c>
      <c r="E383" s="93" t="inlineStr">
        <is>
          <t>Martin Beverley-Ann Kinsla</t>
        </is>
      </c>
      <c r="F383" s="94">
        <f>SUMIFS(Investors!$M:$M,Investors!$O:$O,FALSE,Investors!$P:$P,FALSE,Investors!$K:$K,"&gt;"&amp;'NSST Print'!$B$3,Investors!$I:$I,"&lt;="&amp;'NSST Print'!$B$3,Investors!$A:$A,'Investor Exit List'!$A383,Investors!$E:$E,'Investor Exit List'!$C383,Investors!$L:$L,'Investor Exit List'!$B383)-(SUMIFS(Investors!$M:$M,Investors!$I:$I,"&lt;="&amp;'NSST Print'!$B$3,Investors!$J:$J,"&gt;"&amp;'NSST Print'!$B$3,Investors!$A:$A,'Investor Exit List'!$A383,Investors!$E:$E,'Investor Exit List'!$C383,Investors!$L:$L,'Investor Exit List'!$B383)+SUMIFS(Investors!$M:$M,Investors!$I:$I,"&lt;="&amp;'NSST Print'!$B$3,Investors!$J:$J,"",Investors!$A:$A,'Investor Exit List'!$A383,Investors!$E:$E,'Investor Exit List'!$C383,Investors!$L:$L,'Investor Exit List'!$B383))</f>
        <v/>
      </c>
      <c r="G383" s="95" t="n">
        <v>44980</v>
      </c>
      <c r="H383" s="93" t="b">
        <v>0</v>
      </c>
      <c r="I383" s="93" t="b">
        <v>0</v>
      </c>
      <c r="J383" s="95" t="n">
        <v>45510</v>
      </c>
      <c r="K383" s="95">
        <f>IF(I383=TRUE,J383,"")</f>
        <v/>
      </c>
      <c r="L383" s="95">
        <f>G383+730</f>
        <v/>
      </c>
      <c r="M383" s="95" t="n">
        <v>45382</v>
      </c>
      <c r="N383" s="96">
        <f>IFERROR(IF(G383&lt;&gt;"",IF(I383=TRUE,0,IF(U383=TRUE,0,L383-M383)),0),0)</f>
        <v/>
      </c>
      <c r="O383" s="96">
        <f>IF(N383&gt;0,IF(N383&lt;=180,N383,0),0)</f>
        <v/>
      </c>
      <c r="P383" s="94">
        <f>IF(AND(N383&lt;90,N383&gt;0),Q383,0)</f>
        <v/>
      </c>
      <c r="Q383" s="94">
        <f>SUMIFS(Investors!$M:$M,Investors!$O:$O,FALSE,Investors!$P:$P,FALSE,Investors!$K:$K,"&gt;"&amp;'NSST Print'!$B$3,Investors!$I:$I,"&lt;="&amp;'NSST Print'!$B$3,Investors!$A:$A,'Investor Exit List'!$A383,Investors!$E:$E,'Investor Exit List'!$C383,Investors!$L:$L,'Investor Exit List'!$B383)-(SUMIFS(Investors!$M:$M,Investors!$I:$I,"&lt;="&amp;'NSST Print'!$B$3,Investors!$J:$J,"&gt;"&amp;'NSST Print'!$B$3,Investors!$A:$A,'Investor Exit List'!$A383,Investors!$E:$E,'Investor Exit List'!$C383,Investors!$L:$L,'Investor Exit List'!$B383)+SUMIFS(Investors!$M:$M,Investors!$I:$I,"&lt;="&amp;'NSST Print'!$B$3,Investors!$J:$J,"",Investors!$A:$A,'Investor Exit List'!$A383,Investors!$E:$E,'Investor Exit List'!$C383,Investors!$L:$L,'Investor Exit List'!$B383))+SUMIFS(Investors!$S:$S,Investors!$O:$O,FALSE,Investors!$P:$P,FALSE,Investors!$K:$K,"&gt;"&amp;'NSST Print'!$B$3,Investors!$I:$I,"&lt;="&amp;'NSST Print'!$B$3,Investors!$A:$A,'Investor Exit List'!$A383,Investors!$E:$E,'Investor Exit List'!$C383,Investors!$L:$L,'Investor Exit List'!$B383)-(SUMIFS(Investors!$S:$S,Investors!$I:$I,"&lt;="&amp;'NSST Print'!$B$3,Investors!$J:$J,"&gt;"&amp;'NSST Print'!$B$3,Investors!$A:$A,'Investor Exit List'!$A383,Investors!$E:$E,'Investor Exit List'!$C383,Investors!$L:$L,'Investor Exit List'!$B383)+SUMIFS(Investors!$S:$S,Investors!$I:$I,"&lt;="&amp;'NSST Print'!$B$3,Investors!$J:$J,"",Investors!$A:$A,'Investor Exit List'!$A383,Investors!$E:$E,'Investor Exit List'!$C383,Investors!$L:$L,'Investor Exit List'!$B383))</f>
        <v/>
      </c>
      <c r="R383" s="94">
        <f>IF(AND(H383=TRUE,I383=FALSE),Q383,0)</f>
        <v/>
      </c>
      <c r="S383" s="94">
        <f>SUMIFS(Investors!$M:$M,Investors!$O:$O,TRUE,Investors!$A:$A,'Investor Exit List'!$A383,Investors!$E:$E,'Investor Exit List'!$C383,Investors!$L:$L,'Investor Exit List'!$B383)+SUMIFS(Investors!$S:$S,Investors!$O:$O,TRUE,Investors!$A:$A,'Investor Exit List'!$A383,Investors!$E:$E,'Investor Exit List'!$C383,Investors!$L:$L,'Investor Exit List'!$B383)</f>
        <v/>
      </c>
      <c r="T383" s="95">
        <f>IF(U383=TRUE,$J383,"")</f>
        <v/>
      </c>
      <c r="U383" s="93" t="b">
        <v>0</v>
      </c>
      <c r="V383" s="94">
        <f>IF(AND(H383=TRUE,OR(K383="",K383&gt;M383)),S383,0)</f>
        <v/>
      </c>
      <c r="W383" s="93" t="n">
        <v>0</v>
      </c>
      <c r="X383" s="93" t="b">
        <v>0</v>
      </c>
    </row>
    <row r="384">
      <c r="A384" s="93" t="inlineStr">
        <is>
          <t>ZCRO01</t>
        </is>
      </c>
      <c r="B384" s="93" t="n">
        <v>9</v>
      </c>
      <c r="C384" s="93" t="inlineStr">
        <is>
          <t>HVK303</t>
        </is>
      </c>
      <c r="D384" s="93" t="inlineStr">
        <is>
          <t>K</t>
        </is>
      </c>
      <c r="E384" s="93" t="inlineStr">
        <is>
          <t>Lunau Marc</t>
        </is>
      </c>
      <c r="F384" s="94">
        <f>SUMIFS(Investors!$M:$M,Investors!$O:$O,FALSE,Investors!$P:$P,FALSE,Investors!$K:$K,"&gt;"&amp;'NSST Print'!$B$3,Investors!$I:$I,"&lt;="&amp;'NSST Print'!$B$3,Investors!$A:$A,'Investor Exit List'!$A384,Investors!$E:$E,'Investor Exit List'!$C384,Investors!$L:$L,'Investor Exit List'!$B384)-(SUMIFS(Investors!$M:$M,Investors!$I:$I,"&lt;="&amp;'NSST Print'!$B$3,Investors!$J:$J,"&gt;"&amp;'NSST Print'!$B$3,Investors!$A:$A,'Investor Exit List'!$A384,Investors!$E:$E,'Investor Exit List'!$C384,Investors!$L:$L,'Investor Exit List'!$B384)+SUMIFS(Investors!$M:$M,Investors!$I:$I,"&lt;="&amp;'NSST Print'!$B$3,Investors!$J:$J,"",Investors!$A:$A,'Investor Exit List'!$A384,Investors!$E:$E,'Investor Exit List'!$C384,Investors!$L:$L,'Investor Exit List'!$B384))</f>
        <v/>
      </c>
      <c r="G384" s="95" t="n">
        <v>44995</v>
      </c>
      <c r="H384" s="93" t="b">
        <v>0</v>
      </c>
      <c r="I384" s="93" t="b">
        <v>0</v>
      </c>
      <c r="J384" s="95" t="n">
        <v>45510</v>
      </c>
      <c r="K384" s="95">
        <f>IF(I384=TRUE,J384,"")</f>
        <v/>
      </c>
      <c r="L384" s="95">
        <f>G384+730</f>
        <v/>
      </c>
      <c r="M384" s="95" t="n">
        <v>45382</v>
      </c>
      <c r="N384" s="96">
        <f>IFERROR(IF(G384&lt;&gt;"",IF(I384=TRUE,0,IF(U384=TRUE,0,L384-M384)),0),0)</f>
        <v/>
      </c>
      <c r="O384" s="96">
        <f>IF(N384&gt;0,IF(N384&lt;=180,N384,0),0)</f>
        <v/>
      </c>
      <c r="P384" s="94">
        <f>IF(AND(N384&lt;90,N384&gt;0),Q384,0)</f>
        <v/>
      </c>
      <c r="Q384" s="94">
        <f>SUMIFS(Investors!$M:$M,Investors!$O:$O,FALSE,Investors!$P:$P,FALSE,Investors!$K:$K,"&gt;"&amp;'NSST Print'!$B$3,Investors!$I:$I,"&lt;="&amp;'NSST Print'!$B$3,Investors!$A:$A,'Investor Exit List'!$A384,Investors!$E:$E,'Investor Exit List'!$C384,Investors!$L:$L,'Investor Exit List'!$B384)-(SUMIFS(Investors!$M:$M,Investors!$I:$I,"&lt;="&amp;'NSST Print'!$B$3,Investors!$J:$J,"&gt;"&amp;'NSST Print'!$B$3,Investors!$A:$A,'Investor Exit List'!$A384,Investors!$E:$E,'Investor Exit List'!$C384,Investors!$L:$L,'Investor Exit List'!$B384)+SUMIFS(Investors!$M:$M,Investors!$I:$I,"&lt;="&amp;'NSST Print'!$B$3,Investors!$J:$J,"",Investors!$A:$A,'Investor Exit List'!$A384,Investors!$E:$E,'Investor Exit List'!$C384,Investors!$L:$L,'Investor Exit List'!$B384))+SUMIFS(Investors!$S:$S,Investors!$O:$O,FALSE,Investors!$P:$P,FALSE,Investors!$K:$K,"&gt;"&amp;'NSST Print'!$B$3,Investors!$I:$I,"&lt;="&amp;'NSST Print'!$B$3,Investors!$A:$A,'Investor Exit List'!$A384,Investors!$E:$E,'Investor Exit List'!$C384,Investors!$L:$L,'Investor Exit List'!$B384)-(SUMIFS(Investors!$S:$S,Investors!$I:$I,"&lt;="&amp;'NSST Print'!$B$3,Investors!$J:$J,"&gt;"&amp;'NSST Print'!$B$3,Investors!$A:$A,'Investor Exit List'!$A384,Investors!$E:$E,'Investor Exit List'!$C384,Investors!$L:$L,'Investor Exit List'!$B384)+SUMIFS(Investors!$S:$S,Investors!$I:$I,"&lt;="&amp;'NSST Print'!$B$3,Investors!$J:$J,"",Investors!$A:$A,'Investor Exit List'!$A384,Investors!$E:$E,'Investor Exit List'!$C384,Investors!$L:$L,'Investor Exit List'!$B384))</f>
        <v/>
      </c>
      <c r="R384" s="94">
        <f>IF(AND(H384=TRUE,I384=FALSE),Q384,0)</f>
        <v/>
      </c>
      <c r="S384" s="94">
        <f>SUMIFS(Investors!$M:$M,Investors!$O:$O,TRUE,Investors!$A:$A,'Investor Exit List'!$A384,Investors!$E:$E,'Investor Exit List'!$C384,Investors!$L:$L,'Investor Exit List'!$B384)+SUMIFS(Investors!$S:$S,Investors!$O:$O,TRUE,Investors!$A:$A,'Investor Exit List'!$A384,Investors!$E:$E,'Investor Exit List'!$C384,Investors!$L:$L,'Investor Exit List'!$B384)</f>
        <v/>
      </c>
      <c r="T384" s="95">
        <f>IF(U384=TRUE,$J384,"")</f>
        <v/>
      </c>
      <c r="U384" s="93" t="b">
        <v>0</v>
      </c>
      <c r="V384" s="94">
        <f>IF(AND(H384=TRUE,OR(K384="",K384&gt;M384)),S384,0)</f>
        <v/>
      </c>
      <c r="W384" s="93" t="n">
        <v>0</v>
      </c>
      <c r="X384" s="93" t="b">
        <v>0</v>
      </c>
    </row>
    <row r="385">
      <c r="A385" s="93" t="inlineStr">
        <is>
          <t>ZDAD01</t>
        </is>
      </c>
      <c r="B385" s="93" t="n">
        <v>3</v>
      </c>
      <c r="C385" s="93" t="inlineStr">
        <is>
          <t>HVK303</t>
        </is>
      </c>
      <c r="D385" s="93" t="inlineStr">
        <is>
          <t>K</t>
        </is>
      </c>
      <c r="E385" s="93" t="inlineStr">
        <is>
          <t>Dadoo Feroz</t>
        </is>
      </c>
      <c r="F385" s="94">
        <f>SUMIFS(Investors!$M:$M,Investors!$O:$O,FALSE,Investors!$P:$P,FALSE,Investors!$K:$K,"&gt;"&amp;'NSST Print'!$B$3,Investors!$I:$I,"&lt;="&amp;'NSST Print'!$B$3,Investors!$A:$A,'Investor Exit List'!$A385,Investors!$E:$E,'Investor Exit List'!$C385,Investors!$L:$L,'Investor Exit List'!$B385)-(SUMIFS(Investors!$M:$M,Investors!$I:$I,"&lt;="&amp;'NSST Print'!$B$3,Investors!$J:$J,"&gt;"&amp;'NSST Print'!$B$3,Investors!$A:$A,'Investor Exit List'!$A385,Investors!$E:$E,'Investor Exit List'!$C385,Investors!$L:$L,'Investor Exit List'!$B385)+SUMIFS(Investors!$M:$M,Investors!$I:$I,"&lt;="&amp;'NSST Print'!$B$3,Investors!$J:$J,"",Investors!$A:$A,'Investor Exit List'!$A385,Investors!$E:$E,'Investor Exit List'!$C385,Investors!$L:$L,'Investor Exit List'!$B385))</f>
        <v/>
      </c>
      <c r="G385" s="95" t="n">
        <v>45016</v>
      </c>
      <c r="H385" s="93" t="b">
        <v>0</v>
      </c>
      <c r="I385" s="93" t="b">
        <v>0</v>
      </c>
      <c r="J385" s="95" t="n">
        <v>45510</v>
      </c>
      <c r="K385" s="95">
        <f>IF(I385=TRUE,J385,"")</f>
        <v/>
      </c>
      <c r="L385" s="95">
        <f>G385+730</f>
        <v/>
      </c>
      <c r="M385" s="95" t="n">
        <v>45382</v>
      </c>
      <c r="N385" s="96">
        <f>IFERROR(IF(G385&lt;&gt;"",IF(I385=TRUE,0,IF(U385=TRUE,0,L385-M385)),0),0)</f>
        <v/>
      </c>
      <c r="O385" s="96">
        <f>IF(N385&gt;0,IF(N385&lt;=180,N385,0),0)</f>
        <v/>
      </c>
      <c r="P385" s="94">
        <f>IF(AND(N385&lt;90,N385&gt;0),Q385,0)</f>
        <v/>
      </c>
      <c r="Q385" s="94">
        <f>SUMIFS(Investors!$M:$M,Investors!$O:$O,FALSE,Investors!$P:$P,FALSE,Investors!$K:$K,"&gt;"&amp;'NSST Print'!$B$3,Investors!$I:$I,"&lt;="&amp;'NSST Print'!$B$3,Investors!$A:$A,'Investor Exit List'!$A385,Investors!$E:$E,'Investor Exit List'!$C385,Investors!$L:$L,'Investor Exit List'!$B385)-(SUMIFS(Investors!$M:$M,Investors!$I:$I,"&lt;="&amp;'NSST Print'!$B$3,Investors!$J:$J,"&gt;"&amp;'NSST Print'!$B$3,Investors!$A:$A,'Investor Exit List'!$A385,Investors!$E:$E,'Investor Exit List'!$C385,Investors!$L:$L,'Investor Exit List'!$B385)+SUMIFS(Investors!$M:$M,Investors!$I:$I,"&lt;="&amp;'NSST Print'!$B$3,Investors!$J:$J,"",Investors!$A:$A,'Investor Exit List'!$A385,Investors!$E:$E,'Investor Exit List'!$C385,Investors!$L:$L,'Investor Exit List'!$B385))+SUMIFS(Investors!$S:$S,Investors!$O:$O,FALSE,Investors!$P:$P,FALSE,Investors!$K:$K,"&gt;"&amp;'NSST Print'!$B$3,Investors!$I:$I,"&lt;="&amp;'NSST Print'!$B$3,Investors!$A:$A,'Investor Exit List'!$A385,Investors!$E:$E,'Investor Exit List'!$C385,Investors!$L:$L,'Investor Exit List'!$B385)-(SUMIFS(Investors!$S:$S,Investors!$I:$I,"&lt;="&amp;'NSST Print'!$B$3,Investors!$J:$J,"&gt;"&amp;'NSST Print'!$B$3,Investors!$A:$A,'Investor Exit List'!$A385,Investors!$E:$E,'Investor Exit List'!$C385,Investors!$L:$L,'Investor Exit List'!$B385)+SUMIFS(Investors!$S:$S,Investors!$I:$I,"&lt;="&amp;'NSST Print'!$B$3,Investors!$J:$J,"",Investors!$A:$A,'Investor Exit List'!$A385,Investors!$E:$E,'Investor Exit List'!$C385,Investors!$L:$L,'Investor Exit List'!$B385))</f>
        <v/>
      </c>
      <c r="R385" s="94">
        <f>IF(AND(H385=TRUE,I385=FALSE),Q385,0)</f>
        <v/>
      </c>
      <c r="S385" s="94">
        <f>SUMIFS(Investors!$M:$M,Investors!$O:$O,TRUE,Investors!$A:$A,'Investor Exit List'!$A385,Investors!$E:$E,'Investor Exit List'!$C385,Investors!$L:$L,'Investor Exit List'!$B385)+SUMIFS(Investors!$S:$S,Investors!$O:$O,TRUE,Investors!$A:$A,'Investor Exit List'!$A385,Investors!$E:$E,'Investor Exit List'!$C385,Investors!$L:$L,'Investor Exit List'!$B385)</f>
        <v/>
      </c>
      <c r="T385" s="95">
        <f>IF(U385=TRUE,$J385,"")</f>
        <v/>
      </c>
      <c r="U385" s="93" t="b">
        <v>0</v>
      </c>
      <c r="V385" s="94">
        <f>IF(AND(H385=TRUE,OR(K385="",K385&gt;M385)),S385,0)</f>
        <v/>
      </c>
      <c r="W385" s="93" t="n">
        <v>0</v>
      </c>
      <c r="X385" s="93" t="b">
        <v>0</v>
      </c>
    </row>
    <row r="386">
      <c r="A386" s="93" t="inlineStr">
        <is>
          <t>ZHUN01</t>
        </is>
      </c>
      <c r="B386" s="93" t="n">
        <v>4</v>
      </c>
      <c r="C386" s="93" t="inlineStr">
        <is>
          <t>HVK303</t>
        </is>
      </c>
      <c r="D386" s="93" t="inlineStr">
        <is>
          <t>K</t>
        </is>
      </c>
      <c r="E386" s="93" t="inlineStr">
        <is>
          <t>Hunter Lance</t>
        </is>
      </c>
      <c r="F386" s="94">
        <f>SUMIFS(Investors!$M:$M,Investors!$O:$O,FALSE,Investors!$P:$P,FALSE,Investors!$K:$K,"&gt;"&amp;'NSST Print'!$B$3,Investors!$I:$I,"&lt;="&amp;'NSST Print'!$B$3,Investors!$A:$A,'Investor Exit List'!$A386,Investors!$E:$E,'Investor Exit List'!$C386,Investors!$L:$L,'Investor Exit List'!$B386)-(SUMIFS(Investors!$M:$M,Investors!$I:$I,"&lt;="&amp;'NSST Print'!$B$3,Investors!$J:$J,"&gt;"&amp;'NSST Print'!$B$3,Investors!$A:$A,'Investor Exit List'!$A386,Investors!$E:$E,'Investor Exit List'!$C386,Investors!$L:$L,'Investor Exit List'!$B386)+SUMIFS(Investors!$M:$M,Investors!$I:$I,"&lt;="&amp;'NSST Print'!$B$3,Investors!$J:$J,"",Investors!$A:$A,'Investor Exit List'!$A386,Investors!$E:$E,'Investor Exit List'!$C386,Investors!$L:$L,'Investor Exit List'!$B386))</f>
        <v/>
      </c>
      <c r="G386" s="95" t="n">
        <v>44980</v>
      </c>
      <c r="H386" s="93" t="b">
        <v>0</v>
      </c>
      <c r="I386" s="93" t="b">
        <v>0</v>
      </c>
      <c r="J386" s="95" t="n">
        <v>45510</v>
      </c>
      <c r="K386" s="95">
        <f>IF(I386=TRUE,J386,"")</f>
        <v/>
      </c>
      <c r="L386" s="95">
        <f>G386+730</f>
        <v/>
      </c>
      <c r="M386" s="95" t="n">
        <v>45382</v>
      </c>
      <c r="N386" s="96">
        <f>IFERROR(IF(G386&lt;&gt;"",IF(I386=TRUE,0,IF(U386=TRUE,0,L386-M386)),0),0)</f>
        <v/>
      </c>
      <c r="O386" s="96">
        <f>IF(N386&gt;0,IF(N386&lt;=180,N386,0),0)</f>
        <v/>
      </c>
      <c r="P386" s="94">
        <f>IF(AND(N386&lt;90,N386&gt;0),Q386,0)</f>
        <v/>
      </c>
      <c r="Q386" s="94">
        <f>SUMIFS(Investors!$M:$M,Investors!$O:$O,FALSE,Investors!$P:$P,FALSE,Investors!$K:$K,"&gt;"&amp;'NSST Print'!$B$3,Investors!$I:$I,"&lt;="&amp;'NSST Print'!$B$3,Investors!$A:$A,'Investor Exit List'!$A386,Investors!$E:$E,'Investor Exit List'!$C386,Investors!$L:$L,'Investor Exit List'!$B386)-(SUMIFS(Investors!$M:$M,Investors!$I:$I,"&lt;="&amp;'NSST Print'!$B$3,Investors!$J:$J,"&gt;"&amp;'NSST Print'!$B$3,Investors!$A:$A,'Investor Exit List'!$A386,Investors!$E:$E,'Investor Exit List'!$C386,Investors!$L:$L,'Investor Exit List'!$B386)+SUMIFS(Investors!$M:$M,Investors!$I:$I,"&lt;="&amp;'NSST Print'!$B$3,Investors!$J:$J,"",Investors!$A:$A,'Investor Exit List'!$A386,Investors!$E:$E,'Investor Exit List'!$C386,Investors!$L:$L,'Investor Exit List'!$B386))+SUMIFS(Investors!$S:$S,Investors!$O:$O,FALSE,Investors!$P:$P,FALSE,Investors!$K:$K,"&gt;"&amp;'NSST Print'!$B$3,Investors!$I:$I,"&lt;="&amp;'NSST Print'!$B$3,Investors!$A:$A,'Investor Exit List'!$A386,Investors!$E:$E,'Investor Exit List'!$C386,Investors!$L:$L,'Investor Exit List'!$B386)-(SUMIFS(Investors!$S:$S,Investors!$I:$I,"&lt;="&amp;'NSST Print'!$B$3,Investors!$J:$J,"&gt;"&amp;'NSST Print'!$B$3,Investors!$A:$A,'Investor Exit List'!$A386,Investors!$E:$E,'Investor Exit List'!$C386,Investors!$L:$L,'Investor Exit List'!$B386)+SUMIFS(Investors!$S:$S,Investors!$I:$I,"&lt;="&amp;'NSST Print'!$B$3,Investors!$J:$J,"",Investors!$A:$A,'Investor Exit List'!$A386,Investors!$E:$E,'Investor Exit List'!$C386,Investors!$L:$L,'Investor Exit List'!$B386))</f>
        <v/>
      </c>
      <c r="R386" s="94">
        <f>IF(AND(H386=TRUE,I386=FALSE),Q386,0)</f>
        <v/>
      </c>
      <c r="S386" s="94">
        <f>SUMIFS(Investors!$M:$M,Investors!$O:$O,TRUE,Investors!$A:$A,'Investor Exit List'!$A386,Investors!$E:$E,'Investor Exit List'!$C386,Investors!$L:$L,'Investor Exit List'!$B386)+SUMIFS(Investors!$S:$S,Investors!$O:$O,TRUE,Investors!$A:$A,'Investor Exit List'!$A386,Investors!$E:$E,'Investor Exit List'!$C386,Investors!$L:$L,'Investor Exit List'!$B386)</f>
        <v/>
      </c>
      <c r="T386" s="95">
        <f>IF(U386=TRUE,$J386,"")</f>
        <v/>
      </c>
      <c r="U386" s="93" t="b">
        <v>0</v>
      </c>
      <c r="V386" s="94">
        <f>IF(AND(H386=TRUE,OR(K386="",K386&gt;M386)),S386,0)</f>
        <v/>
      </c>
      <c r="W386" s="93" t="n">
        <v>0</v>
      </c>
      <c r="X386" s="93" t="b">
        <v>0</v>
      </c>
    </row>
    <row r="387">
      <c r="A387" s="93" t="inlineStr">
        <is>
          <t>ZINT01</t>
        </is>
      </c>
      <c r="B387" s="93" t="n">
        <v>11</v>
      </c>
      <c r="C387" s="93" t="inlineStr">
        <is>
          <t>HVK303</t>
        </is>
      </c>
      <c r="D387" s="93" t="inlineStr">
        <is>
          <t>K</t>
        </is>
      </c>
      <c r="E387" s="93" t="inlineStr">
        <is>
          <t>Lunau Marc</t>
        </is>
      </c>
      <c r="F387" s="94">
        <f>SUMIFS(Investors!$M:$M,Investors!$O:$O,FALSE,Investors!$P:$P,FALSE,Investors!$K:$K,"&gt;"&amp;'NSST Print'!$B$3,Investors!$I:$I,"&lt;="&amp;'NSST Print'!$B$3,Investors!$A:$A,'Investor Exit List'!$A387,Investors!$E:$E,'Investor Exit List'!$C387,Investors!$L:$L,'Investor Exit List'!$B387)-(SUMIFS(Investors!$M:$M,Investors!$I:$I,"&lt;="&amp;'NSST Print'!$B$3,Investors!$J:$J,"&gt;"&amp;'NSST Print'!$B$3,Investors!$A:$A,'Investor Exit List'!$A387,Investors!$E:$E,'Investor Exit List'!$C387,Investors!$L:$L,'Investor Exit List'!$B387)+SUMIFS(Investors!$M:$M,Investors!$I:$I,"&lt;="&amp;'NSST Print'!$B$3,Investors!$J:$J,"",Investors!$A:$A,'Investor Exit List'!$A387,Investors!$E:$E,'Investor Exit List'!$C387,Investors!$L:$L,'Investor Exit List'!$B387))</f>
        <v/>
      </c>
      <c r="G387" s="95" t="n">
        <v>45008</v>
      </c>
      <c r="H387" s="93" t="b">
        <v>0</v>
      </c>
      <c r="I387" s="93" t="b">
        <v>0</v>
      </c>
      <c r="J387" s="95" t="n">
        <v>45510</v>
      </c>
      <c r="K387" s="95">
        <f>IF(I387=TRUE,J387,"")</f>
        <v/>
      </c>
      <c r="L387" s="95">
        <f>G387+730</f>
        <v/>
      </c>
      <c r="M387" s="95" t="n">
        <v>45382</v>
      </c>
      <c r="N387" s="96">
        <f>IFERROR(IF(G387&lt;&gt;"",IF(I387=TRUE,0,IF(U387=TRUE,0,L387-M387)),0),0)</f>
        <v/>
      </c>
      <c r="O387" s="96">
        <f>IF(N387&gt;0,IF(N387&lt;=180,N387,0),0)</f>
        <v/>
      </c>
      <c r="P387" s="94">
        <f>IF(AND(N387&lt;90,N387&gt;0),Q387,0)</f>
        <v/>
      </c>
      <c r="Q387" s="94">
        <f>SUMIFS(Investors!$M:$M,Investors!$O:$O,FALSE,Investors!$P:$P,FALSE,Investors!$K:$K,"&gt;"&amp;'NSST Print'!$B$3,Investors!$I:$I,"&lt;="&amp;'NSST Print'!$B$3,Investors!$A:$A,'Investor Exit List'!$A387,Investors!$E:$E,'Investor Exit List'!$C387,Investors!$L:$L,'Investor Exit List'!$B387)-(SUMIFS(Investors!$M:$M,Investors!$I:$I,"&lt;="&amp;'NSST Print'!$B$3,Investors!$J:$J,"&gt;"&amp;'NSST Print'!$B$3,Investors!$A:$A,'Investor Exit List'!$A387,Investors!$E:$E,'Investor Exit List'!$C387,Investors!$L:$L,'Investor Exit List'!$B387)+SUMIFS(Investors!$M:$M,Investors!$I:$I,"&lt;="&amp;'NSST Print'!$B$3,Investors!$J:$J,"",Investors!$A:$A,'Investor Exit List'!$A387,Investors!$E:$E,'Investor Exit List'!$C387,Investors!$L:$L,'Investor Exit List'!$B387))+SUMIFS(Investors!$S:$S,Investors!$O:$O,FALSE,Investors!$P:$P,FALSE,Investors!$K:$K,"&gt;"&amp;'NSST Print'!$B$3,Investors!$I:$I,"&lt;="&amp;'NSST Print'!$B$3,Investors!$A:$A,'Investor Exit List'!$A387,Investors!$E:$E,'Investor Exit List'!$C387,Investors!$L:$L,'Investor Exit List'!$B387)-(SUMIFS(Investors!$S:$S,Investors!$I:$I,"&lt;="&amp;'NSST Print'!$B$3,Investors!$J:$J,"&gt;"&amp;'NSST Print'!$B$3,Investors!$A:$A,'Investor Exit List'!$A387,Investors!$E:$E,'Investor Exit List'!$C387,Investors!$L:$L,'Investor Exit List'!$B387)+SUMIFS(Investors!$S:$S,Investors!$I:$I,"&lt;="&amp;'NSST Print'!$B$3,Investors!$J:$J,"",Investors!$A:$A,'Investor Exit List'!$A387,Investors!$E:$E,'Investor Exit List'!$C387,Investors!$L:$L,'Investor Exit List'!$B387))</f>
        <v/>
      </c>
      <c r="R387" s="94">
        <f>IF(AND(H387=TRUE,I387=FALSE),Q387,0)</f>
        <v/>
      </c>
      <c r="S387" s="94">
        <f>SUMIFS(Investors!$M:$M,Investors!$O:$O,TRUE,Investors!$A:$A,'Investor Exit List'!$A387,Investors!$E:$E,'Investor Exit List'!$C387,Investors!$L:$L,'Investor Exit List'!$B387)+SUMIFS(Investors!$S:$S,Investors!$O:$O,TRUE,Investors!$A:$A,'Investor Exit List'!$A387,Investors!$E:$E,'Investor Exit List'!$C387,Investors!$L:$L,'Investor Exit List'!$B387)</f>
        <v/>
      </c>
      <c r="T387" s="95">
        <f>IF(U387=TRUE,$J387,"")</f>
        <v/>
      </c>
      <c r="U387" s="93" t="b">
        <v>0</v>
      </c>
      <c r="V387" s="94">
        <f>IF(AND(H387=TRUE,OR(K387="",K387&gt;M387)),S387,0)</f>
        <v/>
      </c>
      <c r="W387" s="93" t="n">
        <v>0</v>
      </c>
      <c r="X387" s="93" t="b">
        <v>0</v>
      </c>
    </row>
    <row r="388">
      <c r="A388" s="93" t="inlineStr">
        <is>
          <t>ZMEH01</t>
        </is>
      </c>
      <c r="B388" s="93" t="n">
        <v>2</v>
      </c>
      <c r="C388" s="93" t="inlineStr">
        <is>
          <t>HVK303</t>
        </is>
      </c>
      <c r="D388" s="93" t="inlineStr">
        <is>
          <t>K</t>
        </is>
      </c>
      <c r="E388" s="93" t="inlineStr">
        <is>
          <t>Mehl Ralph Graham</t>
        </is>
      </c>
      <c r="F388" s="94">
        <f>SUMIFS(Investors!$M:$M,Investors!$O:$O,FALSE,Investors!$P:$P,FALSE,Investors!$K:$K,"&gt;"&amp;'NSST Print'!$B$3,Investors!$I:$I,"&lt;="&amp;'NSST Print'!$B$3,Investors!$A:$A,'Investor Exit List'!$A388,Investors!$E:$E,'Investor Exit List'!$C388,Investors!$L:$L,'Investor Exit List'!$B388)-(SUMIFS(Investors!$M:$M,Investors!$I:$I,"&lt;="&amp;'NSST Print'!$B$3,Investors!$J:$J,"&gt;"&amp;'NSST Print'!$B$3,Investors!$A:$A,'Investor Exit List'!$A388,Investors!$E:$E,'Investor Exit List'!$C388,Investors!$L:$L,'Investor Exit List'!$B388)+SUMIFS(Investors!$M:$M,Investors!$I:$I,"&lt;="&amp;'NSST Print'!$B$3,Investors!$J:$J,"",Investors!$A:$A,'Investor Exit List'!$A388,Investors!$E:$E,'Investor Exit List'!$C388,Investors!$L:$L,'Investor Exit List'!$B388))</f>
        <v/>
      </c>
      <c r="G388" s="95" t="n">
        <v>45016</v>
      </c>
      <c r="H388" s="93" t="b">
        <v>0</v>
      </c>
      <c r="I388" s="93" t="b">
        <v>0</v>
      </c>
      <c r="J388" s="95" t="n">
        <v>45510</v>
      </c>
      <c r="K388" s="95">
        <f>IF(I388=TRUE,J388,"")</f>
        <v/>
      </c>
      <c r="L388" s="95">
        <f>G388+730</f>
        <v/>
      </c>
      <c r="M388" s="95" t="n">
        <v>45382</v>
      </c>
      <c r="N388" s="96">
        <f>IFERROR(IF(G388&lt;&gt;"",IF(I388=TRUE,0,IF(U388=TRUE,0,L388-M388)),0),0)</f>
        <v/>
      </c>
      <c r="O388" s="96">
        <f>IF(N388&gt;0,IF(N388&lt;=180,N388,0),0)</f>
        <v/>
      </c>
      <c r="P388" s="94">
        <f>IF(AND(N388&lt;90,N388&gt;0),Q388,0)</f>
        <v/>
      </c>
      <c r="Q388" s="94">
        <f>SUMIFS(Investors!$M:$M,Investors!$O:$O,FALSE,Investors!$P:$P,FALSE,Investors!$K:$K,"&gt;"&amp;'NSST Print'!$B$3,Investors!$I:$I,"&lt;="&amp;'NSST Print'!$B$3,Investors!$A:$A,'Investor Exit List'!$A388,Investors!$E:$E,'Investor Exit List'!$C388,Investors!$L:$L,'Investor Exit List'!$B388)-(SUMIFS(Investors!$M:$M,Investors!$I:$I,"&lt;="&amp;'NSST Print'!$B$3,Investors!$J:$J,"&gt;"&amp;'NSST Print'!$B$3,Investors!$A:$A,'Investor Exit List'!$A388,Investors!$E:$E,'Investor Exit List'!$C388,Investors!$L:$L,'Investor Exit List'!$B388)+SUMIFS(Investors!$M:$M,Investors!$I:$I,"&lt;="&amp;'NSST Print'!$B$3,Investors!$J:$J,"",Investors!$A:$A,'Investor Exit List'!$A388,Investors!$E:$E,'Investor Exit List'!$C388,Investors!$L:$L,'Investor Exit List'!$B388))+SUMIFS(Investors!$S:$S,Investors!$O:$O,FALSE,Investors!$P:$P,FALSE,Investors!$K:$K,"&gt;"&amp;'NSST Print'!$B$3,Investors!$I:$I,"&lt;="&amp;'NSST Print'!$B$3,Investors!$A:$A,'Investor Exit List'!$A388,Investors!$E:$E,'Investor Exit List'!$C388,Investors!$L:$L,'Investor Exit List'!$B388)-(SUMIFS(Investors!$S:$S,Investors!$I:$I,"&lt;="&amp;'NSST Print'!$B$3,Investors!$J:$J,"&gt;"&amp;'NSST Print'!$B$3,Investors!$A:$A,'Investor Exit List'!$A388,Investors!$E:$E,'Investor Exit List'!$C388,Investors!$L:$L,'Investor Exit List'!$B388)+SUMIFS(Investors!$S:$S,Investors!$I:$I,"&lt;="&amp;'NSST Print'!$B$3,Investors!$J:$J,"",Investors!$A:$A,'Investor Exit List'!$A388,Investors!$E:$E,'Investor Exit List'!$C388,Investors!$L:$L,'Investor Exit List'!$B388))</f>
        <v/>
      </c>
      <c r="R388" s="94">
        <f>IF(AND(H388=TRUE,I388=FALSE),Q388,0)</f>
        <v/>
      </c>
      <c r="S388" s="94">
        <f>SUMIFS(Investors!$M:$M,Investors!$O:$O,TRUE,Investors!$A:$A,'Investor Exit List'!$A388,Investors!$E:$E,'Investor Exit List'!$C388,Investors!$L:$L,'Investor Exit List'!$B388)+SUMIFS(Investors!$S:$S,Investors!$O:$O,TRUE,Investors!$A:$A,'Investor Exit List'!$A388,Investors!$E:$E,'Investor Exit List'!$C388,Investors!$L:$L,'Investor Exit List'!$B388)</f>
        <v/>
      </c>
      <c r="T388" s="95">
        <f>IF(U388=TRUE,$J388,"")</f>
        <v/>
      </c>
      <c r="U388" s="93" t="b">
        <v>0</v>
      </c>
      <c r="V388" s="94">
        <f>IF(AND(H388=TRUE,OR(K388="",K388&gt;M388)),S388,0)</f>
        <v/>
      </c>
      <c r="W388" s="93" t="n">
        <v>0</v>
      </c>
      <c r="X388" s="93" t="b">
        <v>0</v>
      </c>
    </row>
    <row r="389">
      <c r="A389" s="93" t="inlineStr">
        <is>
          <t>ZMCD01</t>
        </is>
      </c>
      <c r="B389" s="93" t="n">
        <v>7</v>
      </c>
      <c r="C389" s="93" t="inlineStr">
        <is>
          <t>HVK304</t>
        </is>
      </c>
      <c r="D389" s="93" t="inlineStr">
        <is>
          <t>K</t>
        </is>
      </c>
      <c r="E389" s="93" t="inlineStr">
        <is>
          <t>McDonald Veronica Agnes</t>
        </is>
      </c>
      <c r="F389" s="94">
        <f>SUMIFS(Investors!$M:$M,Investors!$O:$O,FALSE,Investors!$P:$P,FALSE,Investors!$K:$K,"&gt;"&amp;'NSST Print'!$B$3,Investors!$I:$I,"&lt;="&amp;'NSST Print'!$B$3,Investors!$A:$A,'Investor Exit List'!$A389,Investors!$E:$E,'Investor Exit List'!$C389,Investors!$L:$L,'Investor Exit List'!$B389)-(SUMIFS(Investors!$M:$M,Investors!$I:$I,"&lt;="&amp;'NSST Print'!$B$3,Investors!$J:$J,"&gt;"&amp;'NSST Print'!$B$3,Investors!$A:$A,'Investor Exit List'!$A389,Investors!$E:$E,'Investor Exit List'!$C389,Investors!$L:$L,'Investor Exit List'!$B389)+SUMIFS(Investors!$M:$M,Investors!$I:$I,"&lt;="&amp;'NSST Print'!$B$3,Investors!$J:$J,"",Investors!$A:$A,'Investor Exit List'!$A389,Investors!$E:$E,'Investor Exit List'!$C389,Investors!$L:$L,'Investor Exit List'!$B389))</f>
        <v/>
      </c>
      <c r="G389" s="95" t="n">
        <v>44980</v>
      </c>
      <c r="H389" s="93" t="b">
        <v>0</v>
      </c>
      <c r="I389" s="93" t="b">
        <v>0</v>
      </c>
      <c r="J389" s="95" t="n">
        <v>45510</v>
      </c>
      <c r="K389" s="95">
        <f>IF(I389=TRUE,J389,"")</f>
        <v/>
      </c>
      <c r="L389" s="95">
        <f>G389+730</f>
        <v/>
      </c>
      <c r="M389" s="95" t="n">
        <v>45382</v>
      </c>
      <c r="N389" s="96">
        <f>IFERROR(IF(G389&lt;&gt;"",IF(I389=TRUE,0,IF(U389=TRUE,0,L389-M389)),0),0)</f>
        <v/>
      </c>
      <c r="O389" s="96">
        <f>IF(N389&gt;0,IF(N389&lt;=180,N389,0),0)</f>
        <v/>
      </c>
      <c r="P389" s="94">
        <f>IF(AND(N389&lt;90,N389&gt;0),Q389,0)</f>
        <v/>
      </c>
      <c r="Q389" s="94">
        <f>SUMIFS(Investors!$M:$M,Investors!$O:$O,FALSE,Investors!$P:$P,FALSE,Investors!$K:$K,"&gt;"&amp;'NSST Print'!$B$3,Investors!$I:$I,"&lt;="&amp;'NSST Print'!$B$3,Investors!$A:$A,'Investor Exit List'!$A389,Investors!$E:$E,'Investor Exit List'!$C389,Investors!$L:$L,'Investor Exit List'!$B389)-(SUMIFS(Investors!$M:$M,Investors!$I:$I,"&lt;="&amp;'NSST Print'!$B$3,Investors!$J:$J,"&gt;"&amp;'NSST Print'!$B$3,Investors!$A:$A,'Investor Exit List'!$A389,Investors!$E:$E,'Investor Exit List'!$C389,Investors!$L:$L,'Investor Exit List'!$B389)+SUMIFS(Investors!$M:$M,Investors!$I:$I,"&lt;="&amp;'NSST Print'!$B$3,Investors!$J:$J,"",Investors!$A:$A,'Investor Exit List'!$A389,Investors!$E:$E,'Investor Exit List'!$C389,Investors!$L:$L,'Investor Exit List'!$B389))+SUMIFS(Investors!$S:$S,Investors!$O:$O,FALSE,Investors!$P:$P,FALSE,Investors!$K:$K,"&gt;"&amp;'NSST Print'!$B$3,Investors!$I:$I,"&lt;="&amp;'NSST Print'!$B$3,Investors!$A:$A,'Investor Exit List'!$A389,Investors!$E:$E,'Investor Exit List'!$C389,Investors!$L:$L,'Investor Exit List'!$B389)-(SUMIFS(Investors!$S:$S,Investors!$I:$I,"&lt;="&amp;'NSST Print'!$B$3,Investors!$J:$J,"&gt;"&amp;'NSST Print'!$B$3,Investors!$A:$A,'Investor Exit List'!$A389,Investors!$E:$E,'Investor Exit List'!$C389,Investors!$L:$L,'Investor Exit List'!$B389)+SUMIFS(Investors!$S:$S,Investors!$I:$I,"&lt;="&amp;'NSST Print'!$B$3,Investors!$J:$J,"",Investors!$A:$A,'Investor Exit List'!$A389,Investors!$E:$E,'Investor Exit List'!$C389,Investors!$L:$L,'Investor Exit List'!$B389))</f>
        <v/>
      </c>
      <c r="R389" s="94">
        <f>IF(AND(H389=TRUE,I389=FALSE),Q389,0)</f>
        <v/>
      </c>
      <c r="S389" s="94">
        <f>SUMIFS(Investors!$M:$M,Investors!$O:$O,TRUE,Investors!$A:$A,'Investor Exit List'!$A389,Investors!$E:$E,'Investor Exit List'!$C389,Investors!$L:$L,'Investor Exit List'!$B389)+SUMIFS(Investors!$S:$S,Investors!$O:$O,TRUE,Investors!$A:$A,'Investor Exit List'!$A389,Investors!$E:$E,'Investor Exit List'!$C389,Investors!$L:$L,'Investor Exit List'!$B389)</f>
        <v/>
      </c>
      <c r="T389" s="95">
        <f>IF(U389=TRUE,$J389,"")</f>
        <v/>
      </c>
      <c r="U389" s="93" t="b">
        <v>0</v>
      </c>
      <c r="V389" s="94">
        <f>IF(AND(H389=TRUE,OR(K389="",K389&gt;M389)),S389,0)</f>
        <v/>
      </c>
      <c r="W389" s="93" t="n">
        <v>0</v>
      </c>
      <c r="X389" s="93" t="b">
        <v>0</v>
      </c>
    </row>
    <row r="390">
      <c r="A390" s="93" t="inlineStr">
        <is>
          <t>ZSCH02</t>
        </is>
      </c>
      <c r="B390" s="93" t="n">
        <v>2</v>
      </c>
      <c r="C390" s="93" t="inlineStr">
        <is>
          <t>HVK304</t>
        </is>
      </c>
      <c r="D390" s="93" t="inlineStr">
        <is>
          <t>K</t>
        </is>
      </c>
      <c r="E390" s="93" t="inlineStr">
        <is>
          <t>van Schalkwyk Zeldre</t>
        </is>
      </c>
      <c r="F390" s="94">
        <f>SUMIFS(Investors!$M:$M,Investors!$O:$O,FALSE,Investors!$P:$P,FALSE,Investors!$K:$K,"&gt;"&amp;'NSST Print'!$B$3,Investors!$I:$I,"&lt;="&amp;'NSST Print'!$B$3,Investors!$A:$A,'Investor Exit List'!$A390,Investors!$E:$E,'Investor Exit List'!$C390,Investors!$L:$L,'Investor Exit List'!$B390)-(SUMIFS(Investors!$M:$M,Investors!$I:$I,"&lt;="&amp;'NSST Print'!$B$3,Investors!$J:$J,"&gt;"&amp;'NSST Print'!$B$3,Investors!$A:$A,'Investor Exit List'!$A390,Investors!$E:$E,'Investor Exit List'!$C390,Investors!$L:$L,'Investor Exit List'!$B390)+SUMIFS(Investors!$M:$M,Investors!$I:$I,"&lt;="&amp;'NSST Print'!$B$3,Investors!$J:$J,"",Investors!$A:$A,'Investor Exit List'!$A390,Investors!$E:$E,'Investor Exit List'!$C390,Investors!$L:$L,'Investor Exit List'!$B390))</f>
        <v/>
      </c>
      <c r="G390" s="95" t="n">
        <v>44995</v>
      </c>
      <c r="H390" s="93" t="b">
        <v>0</v>
      </c>
      <c r="I390" s="93" t="b">
        <v>0</v>
      </c>
      <c r="J390" s="95" t="n">
        <v>45510</v>
      </c>
      <c r="K390" s="95">
        <f>IF(I390=TRUE,J390,"")</f>
        <v/>
      </c>
      <c r="L390" s="95">
        <f>G390+730</f>
        <v/>
      </c>
      <c r="M390" s="95" t="n">
        <v>45382</v>
      </c>
      <c r="N390" s="96">
        <f>IFERROR(IF(G390&lt;&gt;"",IF(I390=TRUE,0,IF(U390=TRUE,0,L390-M390)),0),0)</f>
        <v/>
      </c>
      <c r="O390" s="96">
        <f>IF(N390&gt;0,IF(N390&lt;=180,N390,0),0)</f>
        <v/>
      </c>
      <c r="P390" s="94">
        <f>IF(AND(N390&lt;90,N390&gt;0),Q390,0)</f>
        <v/>
      </c>
      <c r="Q390" s="94">
        <f>SUMIFS(Investors!$M:$M,Investors!$O:$O,FALSE,Investors!$P:$P,FALSE,Investors!$K:$K,"&gt;"&amp;'NSST Print'!$B$3,Investors!$I:$I,"&lt;="&amp;'NSST Print'!$B$3,Investors!$A:$A,'Investor Exit List'!$A390,Investors!$E:$E,'Investor Exit List'!$C390,Investors!$L:$L,'Investor Exit List'!$B390)-(SUMIFS(Investors!$M:$M,Investors!$I:$I,"&lt;="&amp;'NSST Print'!$B$3,Investors!$J:$J,"&gt;"&amp;'NSST Print'!$B$3,Investors!$A:$A,'Investor Exit List'!$A390,Investors!$E:$E,'Investor Exit List'!$C390,Investors!$L:$L,'Investor Exit List'!$B390)+SUMIFS(Investors!$M:$M,Investors!$I:$I,"&lt;="&amp;'NSST Print'!$B$3,Investors!$J:$J,"",Investors!$A:$A,'Investor Exit List'!$A390,Investors!$E:$E,'Investor Exit List'!$C390,Investors!$L:$L,'Investor Exit List'!$B390))+SUMIFS(Investors!$S:$S,Investors!$O:$O,FALSE,Investors!$P:$P,FALSE,Investors!$K:$K,"&gt;"&amp;'NSST Print'!$B$3,Investors!$I:$I,"&lt;="&amp;'NSST Print'!$B$3,Investors!$A:$A,'Investor Exit List'!$A390,Investors!$E:$E,'Investor Exit List'!$C390,Investors!$L:$L,'Investor Exit List'!$B390)-(SUMIFS(Investors!$S:$S,Investors!$I:$I,"&lt;="&amp;'NSST Print'!$B$3,Investors!$J:$J,"&gt;"&amp;'NSST Print'!$B$3,Investors!$A:$A,'Investor Exit List'!$A390,Investors!$E:$E,'Investor Exit List'!$C390,Investors!$L:$L,'Investor Exit List'!$B390)+SUMIFS(Investors!$S:$S,Investors!$I:$I,"&lt;="&amp;'NSST Print'!$B$3,Investors!$J:$J,"",Investors!$A:$A,'Investor Exit List'!$A390,Investors!$E:$E,'Investor Exit List'!$C390,Investors!$L:$L,'Investor Exit List'!$B390))</f>
        <v/>
      </c>
      <c r="R390" s="94">
        <f>IF(AND(H390=TRUE,I390=FALSE),Q390,0)</f>
        <v/>
      </c>
      <c r="S390" s="94">
        <f>SUMIFS(Investors!$M:$M,Investors!$O:$O,TRUE,Investors!$A:$A,'Investor Exit List'!$A390,Investors!$E:$E,'Investor Exit List'!$C390,Investors!$L:$L,'Investor Exit List'!$B390)+SUMIFS(Investors!$S:$S,Investors!$O:$O,TRUE,Investors!$A:$A,'Investor Exit List'!$A390,Investors!$E:$E,'Investor Exit List'!$C390,Investors!$L:$L,'Investor Exit List'!$B390)</f>
        <v/>
      </c>
      <c r="T390" s="95">
        <f>IF(U390=TRUE,$J390,"")</f>
        <v/>
      </c>
      <c r="U390" s="93" t="b">
        <v>0</v>
      </c>
      <c r="V390" s="94">
        <f>IF(AND(H390=TRUE,OR(K390="",K390&gt;M390)),S390,0)</f>
        <v/>
      </c>
      <c r="W390" s="93" t="n">
        <v>0</v>
      </c>
      <c r="X390" s="93" t="b">
        <v>0</v>
      </c>
    </row>
    <row r="391">
      <c r="A391" s="93" t="inlineStr">
        <is>
          <t>ZRAN01</t>
        </is>
      </c>
      <c r="B391" s="93" t="n">
        <v>25</v>
      </c>
      <c r="C391" s="93" t="inlineStr">
        <is>
          <t>HVK305</t>
        </is>
      </c>
      <c r="D391" s="93" t="inlineStr">
        <is>
          <t>K</t>
        </is>
      </c>
      <c r="E391" s="93" t="inlineStr">
        <is>
          <t>Rankin Ross Partick Gemill</t>
        </is>
      </c>
      <c r="F391" s="94">
        <f>SUMIFS(Investors!$M:$M,Investors!$O:$O,FALSE,Investors!$P:$P,FALSE,Investors!$K:$K,"&gt;"&amp;'NSST Print'!$B$3,Investors!$I:$I,"&lt;="&amp;'NSST Print'!$B$3,Investors!$A:$A,'Investor Exit List'!$A391,Investors!$E:$E,'Investor Exit List'!$C391,Investors!$L:$L,'Investor Exit List'!$B391)-(SUMIFS(Investors!$M:$M,Investors!$I:$I,"&lt;="&amp;'NSST Print'!$B$3,Investors!$J:$J,"&gt;"&amp;'NSST Print'!$B$3,Investors!$A:$A,'Investor Exit List'!$A391,Investors!$E:$E,'Investor Exit List'!$C391,Investors!$L:$L,'Investor Exit List'!$B391)+SUMIFS(Investors!$M:$M,Investors!$I:$I,"&lt;="&amp;'NSST Print'!$B$3,Investors!$J:$J,"",Investors!$A:$A,'Investor Exit List'!$A391,Investors!$E:$E,'Investor Exit List'!$C391,Investors!$L:$L,'Investor Exit List'!$B391))</f>
        <v/>
      </c>
      <c r="G391" s="95" t="n">
        <v>45044</v>
      </c>
      <c r="H391" s="93" t="b">
        <v>0</v>
      </c>
      <c r="I391" s="93" t="b">
        <v>0</v>
      </c>
      <c r="J391" s="95" t="n">
        <v>45510</v>
      </c>
      <c r="K391" s="95">
        <f>IF(I391=TRUE,J391,"")</f>
        <v/>
      </c>
      <c r="L391" s="95">
        <f>G391+730</f>
        <v/>
      </c>
      <c r="M391" s="95" t="n">
        <v>45382</v>
      </c>
      <c r="N391" s="96">
        <f>IFERROR(IF(G391&lt;&gt;"",IF(I391=TRUE,0,IF(U391=TRUE,0,L391-M391)),0),0)</f>
        <v/>
      </c>
      <c r="O391" s="96">
        <f>IF(N391&gt;0,IF(N391&lt;=180,N391,0),0)</f>
        <v/>
      </c>
      <c r="P391" s="94">
        <f>IF(AND(N391&lt;90,N391&gt;0),Q391,0)</f>
        <v/>
      </c>
      <c r="Q391" s="94">
        <f>SUMIFS(Investors!$M:$M,Investors!$O:$O,FALSE,Investors!$P:$P,FALSE,Investors!$K:$K,"&gt;"&amp;'NSST Print'!$B$3,Investors!$I:$I,"&lt;="&amp;'NSST Print'!$B$3,Investors!$A:$A,'Investor Exit List'!$A391,Investors!$E:$E,'Investor Exit List'!$C391,Investors!$L:$L,'Investor Exit List'!$B391)-(SUMIFS(Investors!$M:$M,Investors!$I:$I,"&lt;="&amp;'NSST Print'!$B$3,Investors!$J:$J,"&gt;"&amp;'NSST Print'!$B$3,Investors!$A:$A,'Investor Exit List'!$A391,Investors!$E:$E,'Investor Exit List'!$C391,Investors!$L:$L,'Investor Exit List'!$B391)+SUMIFS(Investors!$M:$M,Investors!$I:$I,"&lt;="&amp;'NSST Print'!$B$3,Investors!$J:$J,"",Investors!$A:$A,'Investor Exit List'!$A391,Investors!$E:$E,'Investor Exit List'!$C391,Investors!$L:$L,'Investor Exit List'!$B391))+SUMIFS(Investors!$S:$S,Investors!$O:$O,FALSE,Investors!$P:$P,FALSE,Investors!$K:$K,"&gt;"&amp;'NSST Print'!$B$3,Investors!$I:$I,"&lt;="&amp;'NSST Print'!$B$3,Investors!$A:$A,'Investor Exit List'!$A391,Investors!$E:$E,'Investor Exit List'!$C391,Investors!$L:$L,'Investor Exit List'!$B391)-(SUMIFS(Investors!$S:$S,Investors!$I:$I,"&lt;="&amp;'NSST Print'!$B$3,Investors!$J:$J,"&gt;"&amp;'NSST Print'!$B$3,Investors!$A:$A,'Investor Exit List'!$A391,Investors!$E:$E,'Investor Exit List'!$C391,Investors!$L:$L,'Investor Exit List'!$B391)+SUMIFS(Investors!$S:$S,Investors!$I:$I,"&lt;="&amp;'NSST Print'!$B$3,Investors!$J:$J,"",Investors!$A:$A,'Investor Exit List'!$A391,Investors!$E:$E,'Investor Exit List'!$C391,Investors!$L:$L,'Investor Exit List'!$B391))</f>
        <v/>
      </c>
      <c r="R391" s="94">
        <f>IF(AND(H391=TRUE,I391=FALSE),Q391,0)</f>
        <v/>
      </c>
      <c r="S391" s="94">
        <f>SUMIFS(Investors!$M:$M,Investors!$O:$O,TRUE,Investors!$A:$A,'Investor Exit List'!$A391,Investors!$E:$E,'Investor Exit List'!$C391,Investors!$L:$L,'Investor Exit List'!$B391)+SUMIFS(Investors!$S:$S,Investors!$O:$O,TRUE,Investors!$A:$A,'Investor Exit List'!$A391,Investors!$E:$E,'Investor Exit List'!$C391,Investors!$L:$L,'Investor Exit List'!$B391)</f>
        <v/>
      </c>
      <c r="T391" s="95">
        <f>IF(U391=TRUE,$J391,"")</f>
        <v/>
      </c>
      <c r="U391" s="93" t="b">
        <v>0</v>
      </c>
      <c r="V391" s="94">
        <f>IF(AND(H391=TRUE,OR(K391="",K391&gt;M391)),S391,0)</f>
        <v/>
      </c>
      <c r="W391" s="93" t="n">
        <v>0</v>
      </c>
      <c r="X391" s="93" t="b">
        <v>0</v>
      </c>
    </row>
    <row r="392">
      <c r="A392" s="93" t="inlineStr">
        <is>
          <t>ZSCH01</t>
        </is>
      </c>
      <c r="B392" s="93" t="n">
        <v>16</v>
      </c>
      <c r="C392" s="93" t="inlineStr">
        <is>
          <t>HVK305</t>
        </is>
      </c>
      <c r="D392" s="93" t="inlineStr">
        <is>
          <t>K</t>
        </is>
      </c>
      <c r="E392" s="93" t="inlineStr">
        <is>
          <t>Schubert Inge</t>
        </is>
      </c>
      <c r="F392" s="94">
        <f>SUMIFS(Investors!$M:$M,Investors!$O:$O,FALSE,Investors!$P:$P,FALSE,Investors!$K:$K,"&gt;"&amp;'NSST Print'!$B$3,Investors!$I:$I,"&lt;="&amp;'NSST Print'!$B$3,Investors!$A:$A,'Investor Exit List'!$A392,Investors!$E:$E,'Investor Exit List'!$C392,Investors!$L:$L,'Investor Exit List'!$B392)-(SUMIFS(Investors!$M:$M,Investors!$I:$I,"&lt;="&amp;'NSST Print'!$B$3,Investors!$J:$J,"&gt;"&amp;'NSST Print'!$B$3,Investors!$A:$A,'Investor Exit List'!$A392,Investors!$E:$E,'Investor Exit List'!$C392,Investors!$L:$L,'Investor Exit List'!$B392)+SUMIFS(Investors!$M:$M,Investors!$I:$I,"&lt;="&amp;'NSST Print'!$B$3,Investors!$J:$J,"",Investors!$A:$A,'Investor Exit List'!$A392,Investors!$E:$E,'Investor Exit List'!$C392,Investors!$L:$L,'Investor Exit List'!$B392))</f>
        <v/>
      </c>
      <c r="G392" s="95" t="n">
        <v>45016</v>
      </c>
      <c r="H392" s="93" t="b">
        <v>0</v>
      </c>
      <c r="I392" s="93" t="b">
        <v>0</v>
      </c>
      <c r="J392" s="95" t="n">
        <v>45510</v>
      </c>
      <c r="K392" s="95">
        <f>IF(I392=TRUE,J392,"")</f>
        <v/>
      </c>
      <c r="L392" s="95">
        <f>G392+730</f>
        <v/>
      </c>
      <c r="M392" s="95" t="n">
        <v>45382</v>
      </c>
      <c r="N392" s="96">
        <f>IFERROR(IF(G392&lt;&gt;"",IF(I392=TRUE,0,IF(U392=TRUE,0,L392-M392)),0),0)</f>
        <v/>
      </c>
      <c r="O392" s="96">
        <f>IF(N392&gt;0,IF(N392&lt;=180,N392,0),0)</f>
        <v/>
      </c>
      <c r="P392" s="94">
        <f>IF(AND(N392&lt;90,N392&gt;0),Q392,0)</f>
        <v/>
      </c>
      <c r="Q392" s="94">
        <f>SUMIFS(Investors!$M:$M,Investors!$O:$O,FALSE,Investors!$P:$P,FALSE,Investors!$K:$K,"&gt;"&amp;'NSST Print'!$B$3,Investors!$I:$I,"&lt;="&amp;'NSST Print'!$B$3,Investors!$A:$A,'Investor Exit List'!$A392,Investors!$E:$E,'Investor Exit List'!$C392,Investors!$L:$L,'Investor Exit List'!$B392)-(SUMIFS(Investors!$M:$M,Investors!$I:$I,"&lt;="&amp;'NSST Print'!$B$3,Investors!$J:$J,"&gt;"&amp;'NSST Print'!$B$3,Investors!$A:$A,'Investor Exit List'!$A392,Investors!$E:$E,'Investor Exit List'!$C392,Investors!$L:$L,'Investor Exit List'!$B392)+SUMIFS(Investors!$M:$M,Investors!$I:$I,"&lt;="&amp;'NSST Print'!$B$3,Investors!$J:$J,"",Investors!$A:$A,'Investor Exit List'!$A392,Investors!$E:$E,'Investor Exit List'!$C392,Investors!$L:$L,'Investor Exit List'!$B392))+SUMIFS(Investors!$S:$S,Investors!$O:$O,FALSE,Investors!$P:$P,FALSE,Investors!$K:$K,"&gt;"&amp;'NSST Print'!$B$3,Investors!$I:$I,"&lt;="&amp;'NSST Print'!$B$3,Investors!$A:$A,'Investor Exit List'!$A392,Investors!$E:$E,'Investor Exit List'!$C392,Investors!$L:$L,'Investor Exit List'!$B392)-(SUMIFS(Investors!$S:$S,Investors!$I:$I,"&lt;="&amp;'NSST Print'!$B$3,Investors!$J:$J,"&gt;"&amp;'NSST Print'!$B$3,Investors!$A:$A,'Investor Exit List'!$A392,Investors!$E:$E,'Investor Exit List'!$C392,Investors!$L:$L,'Investor Exit List'!$B392)+SUMIFS(Investors!$S:$S,Investors!$I:$I,"&lt;="&amp;'NSST Print'!$B$3,Investors!$J:$J,"",Investors!$A:$A,'Investor Exit List'!$A392,Investors!$E:$E,'Investor Exit List'!$C392,Investors!$L:$L,'Investor Exit List'!$B392))</f>
        <v/>
      </c>
      <c r="R392" s="94">
        <f>IF(AND(H392=TRUE,I392=FALSE),Q392,0)</f>
        <v/>
      </c>
      <c r="S392" s="94">
        <f>SUMIFS(Investors!$M:$M,Investors!$O:$O,TRUE,Investors!$A:$A,'Investor Exit List'!$A392,Investors!$E:$E,'Investor Exit List'!$C392,Investors!$L:$L,'Investor Exit List'!$B392)+SUMIFS(Investors!$S:$S,Investors!$O:$O,TRUE,Investors!$A:$A,'Investor Exit List'!$A392,Investors!$E:$E,'Investor Exit List'!$C392,Investors!$L:$L,'Investor Exit List'!$B392)</f>
        <v/>
      </c>
      <c r="T392" s="95">
        <f>IF(U392=TRUE,$J392,"")</f>
        <v/>
      </c>
      <c r="U392" s="93" t="b">
        <v>0</v>
      </c>
      <c r="V392" s="94">
        <f>IF(AND(H392=TRUE,OR(K392="",K392&gt;M392)),S392,0)</f>
        <v/>
      </c>
      <c r="W392" s="93" t="n">
        <v>0</v>
      </c>
      <c r="X392" s="93" t="b">
        <v>0</v>
      </c>
    </row>
    <row r="393">
      <c r="A393" s="93" t="inlineStr">
        <is>
          <t>ZTSH01</t>
        </is>
      </c>
      <c r="B393" s="93" t="n">
        <v>2</v>
      </c>
      <c r="C393" s="93" t="inlineStr">
        <is>
          <t>HVK305</t>
        </is>
      </c>
      <c r="D393" s="93" t="inlineStr">
        <is>
          <t>K</t>
        </is>
      </c>
      <c r="E393" s="93" t="inlineStr">
        <is>
          <t>Tshabalala Thandeka Patience</t>
        </is>
      </c>
      <c r="F393" s="94">
        <f>SUMIFS(Investors!$M:$M,Investors!$O:$O,FALSE,Investors!$P:$P,FALSE,Investors!$K:$K,"&gt;"&amp;'NSST Print'!$B$3,Investors!$I:$I,"&lt;="&amp;'NSST Print'!$B$3,Investors!$A:$A,'Investor Exit List'!$A393,Investors!$E:$E,'Investor Exit List'!$C393,Investors!$L:$L,'Investor Exit List'!$B393)-(SUMIFS(Investors!$M:$M,Investors!$I:$I,"&lt;="&amp;'NSST Print'!$B$3,Investors!$J:$J,"&gt;"&amp;'NSST Print'!$B$3,Investors!$A:$A,'Investor Exit List'!$A393,Investors!$E:$E,'Investor Exit List'!$C393,Investors!$L:$L,'Investor Exit List'!$B393)+SUMIFS(Investors!$M:$M,Investors!$I:$I,"&lt;="&amp;'NSST Print'!$B$3,Investors!$J:$J,"",Investors!$A:$A,'Investor Exit List'!$A393,Investors!$E:$E,'Investor Exit List'!$C393,Investors!$L:$L,'Investor Exit List'!$B393))</f>
        <v/>
      </c>
      <c r="G393" s="95" t="n">
        <v>45016</v>
      </c>
      <c r="H393" s="93" t="b">
        <v>0</v>
      </c>
      <c r="I393" s="93" t="b">
        <v>0</v>
      </c>
      <c r="J393" s="95" t="n">
        <v>45510</v>
      </c>
      <c r="K393" s="95">
        <f>IF(I393=TRUE,J393,"")</f>
        <v/>
      </c>
      <c r="L393" s="95">
        <f>G393+730</f>
        <v/>
      </c>
      <c r="M393" s="95" t="n">
        <v>45382</v>
      </c>
      <c r="N393" s="96">
        <f>IFERROR(IF(G393&lt;&gt;"",IF(I393=TRUE,0,IF(U393=TRUE,0,L393-M393)),0),0)</f>
        <v/>
      </c>
      <c r="O393" s="96">
        <f>IF(N393&gt;0,IF(N393&lt;=180,N393,0),0)</f>
        <v/>
      </c>
      <c r="P393" s="94">
        <f>IF(AND(N393&lt;90,N393&gt;0),Q393,0)</f>
        <v/>
      </c>
      <c r="Q393" s="94">
        <f>SUMIFS(Investors!$M:$M,Investors!$O:$O,FALSE,Investors!$P:$P,FALSE,Investors!$K:$K,"&gt;"&amp;'NSST Print'!$B$3,Investors!$I:$I,"&lt;="&amp;'NSST Print'!$B$3,Investors!$A:$A,'Investor Exit List'!$A393,Investors!$E:$E,'Investor Exit List'!$C393,Investors!$L:$L,'Investor Exit List'!$B393)-(SUMIFS(Investors!$M:$M,Investors!$I:$I,"&lt;="&amp;'NSST Print'!$B$3,Investors!$J:$J,"&gt;"&amp;'NSST Print'!$B$3,Investors!$A:$A,'Investor Exit List'!$A393,Investors!$E:$E,'Investor Exit List'!$C393,Investors!$L:$L,'Investor Exit List'!$B393)+SUMIFS(Investors!$M:$M,Investors!$I:$I,"&lt;="&amp;'NSST Print'!$B$3,Investors!$J:$J,"",Investors!$A:$A,'Investor Exit List'!$A393,Investors!$E:$E,'Investor Exit List'!$C393,Investors!$L:$L,'Investor Exit List'!$B393))+SUMIFS(Investors!$S:$S,Investors!$O:$O,FALSE,Investors!$P:$P,FALSE,Investors!$K:$K,"&gt;"&amp;'NSST Print'!$B$3,Investors!$I:$I,"&lt;="&amp;'NSST Print'!$B$3,Investors!$A:$A,'Investor Exit List'!$A393,Investors!$E:$E,'Investor Exit List'!$C393,Investors!$L:$L,'Investor Exit List'!$B393)-(SUMIFS(Investors!$S:$S,Investors!$I:$I,"&lt;="&amp;'NSST Print'!$B$3,Investors!$J:$J,"&gt;"&amp;'NSST Print'!$B$3,Investors!$A:$A,'Investor Exit List'!$A393,Investors!$E:$E,'Investor Exit List'!$C393,Investors!$L:$L,'Investor Exit List'!$B393)+SUMIFS(Investors!$S:$S,Investors!$I:$I,"&lt;="&amp;'NSST Print'!$B$3,Investors!$J:$J,"",Investors!$A:$A,'Investor Exit List'!$A393,Investors!$E:$E,'Investor Exit List'!$C393,Investors!$L:$L,'Investor Exit List'!$B393))</f>
        <v/>
      </c>
      <c r="R393" s="94">
        <f>IF(AND(H393=TRUE,I393=FALSE),Q393,0)</f>
        <v/>
      </c>
      <c r="S393" s="94">
        <f>SUMIFS(Investors!$M:$M,Investors!$O:$O,TRUE,Investors!$A:$A,'Investor Exit List'!$A393,Investors!$E:$E,'Investor Exit List'!$C393,Investors!$L:$L,'Investor Exit List'!$B393)+SUMIFS(Investors!$S:$S,Investors!$O:$O,TRUE,Investors!$A:$A,'Investor Exit List'!$A393,Investors!$E:$E,'Investor Exit List'!$C393,Investors!$L:$L,'Investor Exit List'!$B393)</f>
        <v/>
      </c>
      <c r="T393" s="95">
        <f>IF(U393=TRUE,$J393,"")</f>
        <v/>
      </c>
      <c r="U393" s="93" t="b">
        <v>0</v>
      </c>
      <c r="V393" s="94">
        <f>IF(AND(H393=TRUE,OR(K393="",K393&gt;M393)),S393,0)</f>
        <v/>
      </c>
      <c r="W393" s="93" t="n">
        <v>0</v>
      </c>
      <c r="X393" s="93" t="b">
        <v>0</v>
      </c>
    </row>
    <row r="394">
      <c r="A394" s="93" t="inlineStr">
        <is>
          <t>ZBUF01</t>
        </is>
      </c>
      <c r="B394" s="93" t="n">
        <v>1</v>
      </c>
      <c r="C394" s="93" t="inlineStr">
        <is>
          <t>HVK306</t>
        </is>
      </c>
      <c r="D394" s="93" t="inlineStr">
        <is>
          <t>K</t>
        </is>
      </c>
      <c r="E394" s="93" t="inlineStr">
        <is>
          <t>Buffet Tabitha Dorcas</t>
        </is>
      </c>
      <c r="F394" s="94">
        <f>SUMIFS(Investors!$M:$M,Investors!$O:$O,FALSE,Investors!$P:$P,FALSE,Investors!$K:$K,"&gt;"&amp;'NSST Print'!$B$3,Investors!$I:$I,"&lt;="&amp;'NSST Print'!$B$3,Investors!$A:$A,'Investor Exit List'!$A394,Investors!$E:$E,'Investor Exit List'!$C394,Investors!$L:$L,'Investor Exit List'!$B394)-(SUMIFS(Investors!$M:$M,Investors!$I:$I,"&lt;="&amp;'NSST Print'!$B$3,Investors!$J:$J,"&gt;"&amp;'NSST Print'!$B$3,Investors!$A:$A,'Investor Exit List'!$A394,Investors!$E:$E,'Investor Exit List'!$C394,Investors!$L:$L,'Investor Exit List'!$B394)+SUMIFS(Investors!$M:$M,Investors!$I:$I,"&lt;="&amp;'NSST Print'!$B$3,Investors!$J:$J,"",Investors!$A:$A,'Investor Exit List'!$A394,Investors!$E:$E,'Investor Exit List'!$C394,Investors!$L:$L,'Investor Exit List'!$B394))</f>
        <v/>
      </c>
      <c r="G394" s="95" t="n">
        <v>44980</v>
      </c>
      <c r="H394" s="93" t="b">
        <v>0</v>
      </c>
      <c r="I394" s="93" t="b">
        <v>0</v>
      </c>
      <c r="J394" s="95" t="n">
        <v>45510</v>
      </c>
      <c r="K394" s="95">
        <f>IF(I394=TRUE,J394,"")</f>
        <v/>
      </c>
      <c r="L394" s="95">
        <f>G394+730</f>
        <v/>
      </c>
      <c r="M394" s="95" t="n">
        <v>45382</v>
      </c>
      <c r="N394" s="96">
        <f>IFERROR(IF(G394&lt;&gt;"",IF(I394=TRUE,0,IF(U394=TRUE,0,L394-M394)),0),0)</f>
        <v/>
      </c>
      <c r="O394" s="96">
        <f>IF(N394&gt;0,IF(N394&lt;=180,N394,0),0)</f>
        <v/>
      </c>
      <c r="P394" s="94">
        <f>IF(AND(N394&lt;90,N394&gt;0),Q394,0)</f>
        <v/>
      </c>
      <c r="Q394" s="94">
        <f>SUMIFS(Investors!$M:$M,Investors!$O:$O,FALSE,Investors!$P:$P,FALSE,Investors!$K:$K,"&gt;"&amp;'NSST Print'!$B$3,Investors!$I:$I,"&lt;="&amp;'NSST Print'!$B$3,Investors!$A:$A,'Investor Exit List'!$A394,Investors!$E:$E,'Investor Exit List'!$C394,Investors!$L:$L,'Investor Exit List'!$B394)-(SUMIFS(Investors!$M:$M,Investors!$I:$I,"&lt;="&amp;'NSST Print'!$B$3,Investors!$J:$J,"&gt;"&amp;'NSST Print'!$B$3,Investors!$A:$A,'Investor Exit List'!$A394,Investors!$E:$E,'Investor Exit List'!$C394,Investors!$L:$L,'Investor Exit List'!$B394)+SUMIFS(Investors!$M:$M,Investors!$I:$I,"&lt;="&amp;'NSST Print'!$B$3,Investors!$J:$J,"",Investors!$A:$A,'Investor Exit List'!$A394,Investors!$E:$E,'Investor Exit List'!$C394,Investors!$L:$L,'Investor Exit List'!$B394))+SUMIFS(Investors!$S:$S,Investors!$O:$O,FALSE,Investors!$P:$P,FALSE,Investors!$K:$K,"&gt;"&amp;'NSST Print'!$B$3,Investors!$I:$I,"&lt;="&amp;'NSST Print'!$B$3,Investors!$A:$A,'Investor Exit List'!$A394,Investors!$E:$E,'Investor Exit List'!$C394,Investors!$L:$L,'Investor Exit List'!$B394)-(SUMIFS(Investors!$S:$S,Investors!$I:$I,"&lt;="&amp;'NSST Print'!$B$3,Investors!$J:$J,"&gt;"&amp;'NSST Print'!$B$3,Investors!$A:$A,'Investor Exit List'!$A394,Investors!$E:$E,'Investor Exit List'!$C394,Investors!$L:$L,'Investor Exit List'!$B394)+SUMIFS(Investors!$S:$S,Investors!$I:$I,"&lt;="&amp;'NSST Print'!$B$3,Investors!$J:$J,"",Investors!$A:$A,'Investor Exit List'!$A394,Investors!$E:$E,'Investor Exit List'!$C394,Investors!$L:$L,'Investor Exit List'!$B394))</f>
        <v/>
      </c>
      <c r="R394" s="94">
        <f>IF(AND(H394=TRUE,I394=FALSE),Q394,0)</f>
        <v/>
      </c>
      <c r="S394" s="94">
        <f>SUMIFS(Investors!$M:$M,Investors!$O:$O,TRUE,Investors!$A:$A,'Investor Exit List'!$A394,Investors!$E:$E,'Investor Exit List'!$C394,Investors!$L:$L,'Investor Exit List'!$B394)+SUMIFS(Investors!$S:$S,Investors!$O:$O,TRUE,Investors!$A:$A,'Investor Exit List'!$A394,Investors!$E:$E,'Investor Exit List'!$C394,Investors!$L:$L,'Investor Exit List'!$B394)</f>
        <v/>
      </c>
      <c r="T394" s="95">
        <f>IF(U394=TRUE,$J394,"")</f>
        <v/>
      </c>
      <c r="U394" s="93" t="b">
        <v>0</v>
      </c>
      <c r="V394" s="94">
        <f>IF(AND(H394=TRUE,OR(K394="",K394&gt;M394)),S394,0)</f>
        <v/>
      </c>
      <c r="W394" s="93" t="n">
        <v>0</v>
      </c>
      <c r="X394" s="93" t="b">
        <v>0</v>
      </c>
    </row>
    <row r="395">
      <c r="A395" s="93" t="inlineStr">
        <is>
          <t>ZRIT01</t>
        </is>
      </c>
      <c r="B395" s="93" t="n">
        <v>11</v>
      </c>
      <c r="C395" s="93" t="inlineStr">
        <is>
          <t>HVK306</t>
        </is>
      </c>
      <c r="D395" s="93" t="inlineStr">
        <is>
          <t>K</t>
        </is>
      </c>
      <c r="E395" s="93" t="inlineStr">
        <is>
          <t>Ritter Dennis</t>
        </is>
      </c>
      <c r="F395" s="94">
        <f>SUMIFS(Investors!$M:$M,Investors!$O:$O,FALSE,Investors!$P:$P,FALSE,Investors!$K:$K,"&gt;"&amp;'NSST Print'!$B$3,Investors!$I:$I,"&lt;="&amp;'NSST Print'!$B$3,Investors!$A:$A,'Investor Exit List'!$A395,Investors!$E:$E,'Investor Exit List'!$C395,Investors!$L:$L,'Investor Exit List'!$B395)-(SUMIFS(Investors!$M:$M,Investors!$I:$I,"&lt;="&amp;'NSST Print'!$B$3,Investors!$J:$J,"&gt;"&amp;'NSST Print'!$B$3,Investors!$A:$A,'Investor Exit List'!$A395,Investors!$E:$E,'Investor Exit List'!$C395,Investors!$L:$L,'Investor Exit List'!$B395)+SUMIFS(Investors!$M:$M,Investors!$I:$I,"&lt;="&amp;'NSST Print'!$B$3,Investors!$J:$J,"",Investors!$A:$A,'Investor Exit List'!$A395,Investors!$E:$E,'Investor Exit List'!$C395,Investors!$L:$L,'Investor Exit List'!$B395))</f>
        <v/>
      </c>
      <c r="G395" s="95" t="n">
        <v>45072</v>
      </c>
      <c r="H395" s="93" t="b">
        <v>0</v>
      </c>
      <c r="I395" s="93" t="b">
        <v>0</v>
      </c>
      <c r="J395" s="95" t="n">
        <v>45510</v>
      </c>
      <c r="K395" s="95">
        <f>IF(I395=TRUE,J395,"")</f>
        <v/>
      </c>
      <c r="L395" s="95">
        <f>G395+730</f>
        <v/>
      </c>
      <c r="M395" s="95" t="n">
        <v>45382</v>
      </c>
      <c r="N395" s="96">
        <f>IFERROR(IF(G395&lt;&gt;"",IF(I395=TRUE,0,IF(U395=TRUE,0,L395-M395)),0),0)</f>
        <v/>
      </c>
      <c r="O395" s="96">
        <f>IF(N395&gt;0,IF(N395&lt;=180,N395,0),0)</f>
        <v/>
      </c>
      <c r="P395" s="94">
        <f>IF(AND(N395&lt;90,N395&gt;0),Q395,0)</f>
        <v/>
      </c>
      <c r="Q395" s="94">
        <f>SUMIFS(Investors!$M:$M,Investors!$O:$O,FALSE,Investors!$P:$P,FALSE,Investors!$K:$K,"&gt;"&amp;'NSST Print'!$B$3,Investors!$I:$I,"&lt;="&amp;'NSST Print'!$B$3,Investors!$A:$A,'Investor Exit List'!$A395,Investors!$E:$E,'Investor Exit List'!$C395,Investors!$L:$L,'Investor Exit List'!$B395)-(SUMIFS(Investors!$M:$M,Investors!$I:$I,"&lt;="&amp;'NSST Print'!$B$3,Investors!$J:$J,"&gt;"&amp;'NSST Print'!$B$3,Investors!$A:$A,'Investor Exit List'!$A395,Investors!$E:$E,'Investor Exit List'!$C395,Investors!$L:$L,'Investor Exit List'!$B395)+SUMIFS(Investors!$M:$M,Investors!$I:$I,"&lt;="&amp;'NSST Print'!$B$3,Investors!$J:$J,"",Investors!$A:$A,'Investor Exit List'!$A395,Investors!$E:$E,'Investor Exit List'!$C395,Investors!$L:$L,'Investor Exit List'!$B395))+SUMIFS(Investors!$S:$S,Investors!$O:$O,FALSE,Investors!$P:$P,FALSE,Investors!$K:$K,"&gt;"&amp;'NSST Print'!$B$3,Investors!$I:$I,"&lt;="&amp;'NSST Print'!$B$3,Investors!$A:$A,'Investor Exit List'!$A395,Investors!$E:$E,'Investor Exit List'!$C395,Investors!$L:$L,'Investor Exit List'!$B395)-(SUMIFS(Investors!$S:$S,Investors!$I:$I,"&lt;="&amp;'NSST Print'!$B$3,Investors!$J:$J,"&gt;"&amp;'NSST Print'!$B$3,Investors!$A:$A,'Investor Exit List'!$A395,Investors!$E:$E,'Investor Exit List'!$C395,Investors!$L:$L,'Investor Exit List'!$B395)+SUMIFS(Investors!$S:$S,Investors!$I:$I,"&lt;="&amp;'NSST Print'!$B$3,Investors!$J:$J,"",Investors!$A:$A,'Investor Exit List'!$A395,Investors!$E:$E,'Investor Exit List'!$C395,Investors!$L:$L,'Investor Exit List'!$B395))</f>
        <v/>
      </c>
      <c r="R395" s="94">
        <f>IF(AND(H395=TRUE,I395=FALSE),Q395,0)</f>
        <v/>
      </c>
      <c r="S395" s="94">
        <f>SUMIFS(Investors!$M:$M,Investors!$O:$O,TRUE,Investors!$A:$A,'Investor Exit List'!$A395,Investors!$E:$E,'Investor Exit List'!$C395,Investors!$L:$L,'Investor Exit List'!$B395)+SUMIFS(Investors!$S:$S,Investors!$O:$O,TRUE,Investors!$A:$A,'Investor Exit List'!$A395,Investors!$E:$E,'Investor Exit List'!$C395,Investors!$L:$L,'Investor Exit List'!$B395)</f>
        <v/>
      </c>
      <c r="T395" s="95">
        <f>IF(U395=TRUE,$J395,"")</f>
        <v/>
      </c>
      <c r="U395" s="93" t="b">
        <v>0</v>
      </c>
      <c r="V395" s="94">
        <f>IF(AND(H395=TRUE,OR(K395="",K395&gt;M395)),S395,0)</f>
        <v/>
      </c>
      <c r="W395" s="93" t="n">
        <v>0</v>
      </c>
      <c r="X395" s="93" t="b">
        <v>0</v>
      </c>
    </row>
    <row r="396">
      <c r="A396" s="93" t="inlineStr">
        <is>
          <t>ZRAN01</t>
        </is>
      </c>
      <c r="B396" s="93" t="n">
        <v>24</v>
      </c>
      <c r="C396" s="93" t="inlineStr">
        <is>
          <t>HVK401</t>
        </is>
      </c>
      <c r="D396" s="93" t="inlineStr">
        <is>
          <t>K</t>
        </is>
      </c>
      <c r="E396" s="93" t="inlineStr">
        <is>
          <t>Rankin Ross Partick Gemill</t>
        </is>
      </c>
      <c r="F396" s="94">
        <f>SUMIFS(Investors!$M:$M,Investors!$O:$O,FALSE,Investors!$P:$P,FALSE,Investors!$K:$K,"&gt;"&amp;'NSST Print'!$B$3,Investors!$I:$I,"&lt;="&amp;'NSST Print'!$B$3,Investors!$A:$A,'Investor Exit List'!$A396,Investors!$E:$E,'Investor Exit List'!$C396,Investors!$L:$L,'Investor Exit List'!$B396)-(SUMIFS(Investors!$M:$M,Investors!$I:$I,"&lt;="&amp;'NSST Print'!$B$3,Investors!$J:$J,"&gt;"&amp;'NSST Print'!$B$3,Investors!$A:$A,'Investor Exit List'!$A396,Investors!$E:$E,'Investor Exit List'!$C396,Investors!$L:$L,'Investor Exit List'!$B396)+SUMIFS(Investors!$M:$M,Investors!$I:$I,"&lt;="&amp;'NSST Print'!$B$3,Investors!$J:$J,"",Investors!$A:$A,'Investor Exit List'!$A396,Investors!$E:$E,'Investor Exit List'!$C396,Investors!$L:$L,'Investor Exit List'!$B396))</f>
        <v/>
      </c>
      <c r="G396" s="95" t="n">
        <v>45016</v>
      </c>
      <c r="H396" s="93" t="b">
        <v>0</v>
      </c>
      <c r="I396" s="93" t="b">
        <v>0</v>
      </c>
      <c r="J396" s="95" t="n">
        <v>45510</v>
      </c>
      <c r="K396" s="95">
        <f>IF(I396=TRUE,J396,"")</f>
        <v/>
      </c>
      <c r="L396" s="95">
        <f>G396+730</f>
        <v/>
      </c>
      <c r="M396" s="95" t="n">
        <v>45382</v>
      </c>
      <c r="N396" s="96">
        <f>IFERROR(IF(G396&lt;&gt;"",IF(I396=TRUE,0,IF(U396=TRUE,0,L396-M396)),0),0)</f>
        <v/>
      </c>
      <c r="O396" s="96">
        <f>IF(N396&gt;0,IF(N396&lt;=180,N396,0),0)</f>
        <v/>
      </c>
      <c r="P396" s="94">
        <f>IF(AND(N396&lt;90,N396&gt;0),Q396,0)</f>
        <v/>
      </c>
      <c r="Q396" s="94">
        <f>SUMIFS(Investors!$M:$M,Investors!$O:$O,FALSE,Investors!$P:$P,FALSE,Investors!$K:$K,"&gt;"&amp;'NSST Print'!$B$3,Investors!$I:$I,"&lt;="&amp;'NSST Print'!$B$3,Investors!$A:$A,'Investor Exit List'!$A396,Investors!$E:$E,'Investor Exit List'!$C396,Investors!$L:$L,'Investor Exit List'!$B396)-(SUMIFS(Investors!$M:$M,Investors!$I:$I,"&lt;="&amp;'NSST Print'!$B$3,Investors!$J:$J,"&gt;"&amp;'NSST Print'!$B$3,Investors!$A:$A,'Investor Exit List'!$A396,Investors!$E:$E,'Investor Exit List'!$C396,Investors!$L:$L,'Investor Exit List'!$B396)+SUMIFS(Investors!$M:$M,Investors!$I:$I,"&lt;="&amp;'NSST Print'!$B$3,Investors!$J:$J,"",Investors!$A:$A,'Investor Exit List'!$A396,Investors!$E:$E,'Investor Exit List'!$C396,Investors!$L:$L,'Investor Exit List'!$B396))+SUMIFS(Investors!$S:$S,Investors!$O:$O,FALSE,Investors!$P:$P,FALSE,Investors!$K:$K,"&gt;"&amp;'NSST Print'!$B$3,Investors!$I:$I,"&lt;="&amp;'NSST Print'!$B$3,Investors!$A:$A,'Investor Exit List'!$A396,Investors!$E:$E,'Investor Exit List'!$C396,Investors!$L:$L,'Investor Exit List'!$B396)-(SUMIFS(Investors!$S:$S,Investors!$I:$I,"&lt;="&amp;'NSST Print'!$B$3,Investors!$J:$J,"&gt;"&amp;'NSST Print'!$B$3,Investors!$A:$A,'Investor Exit List'!$A396,Investors!$E:$E,'Investor Exit List'!$C396,Investors!$L:$L,'Investor Exit List'!$B396)+SUMIFS(Investors!$S:$S,Investors!$I:$I,"&lt;="&amp;'NSST Print'!$B$3,Investors!$J:$J,"",Investors!$A:$A,'Investor Exit List'!$A396,Investors!$E:$E,'Investor Exit List'!$C396,Investors!$L:$L,'Investor Exit List'!$B396))</f>
        <v/>
      </c>
      <c r="R396" s="94">
        <f>IF(AND(H396=TRUE,I396=FALSE),Q396,0)</f>
        <v/>
      </c>
      <c r="S396" s="94">
        <f>SUMIFS(Investors!$M:$M,Investors!$O:$O,TRUE,Investors!$A:$A,'Investor Exit List'!$A396,Investors!$E:$E,'Investor Exit List'!$C396,Investors!$L:$L,'Investor Exit List'!$B396)+SUMIFS(Investors!$S:$S,Investors!$O:$O,TRUE,Investors!$A:$A,'Investor Exit List'!$A396,Investors!$E:$E,'Investor Exit List'!$C396,Investors!$L:$L,'Investor Exit List'!$B396)</f>
        <v/>
      </c>
      <c r="T396" s="95">
        <f>IF(U396=TRUE,$J396,"")</f>
        <v/>
      </c>
      <c r="U396" s="93" t="b">
        <v>0</v>
      </c>
      <c r="V396" s="94">
        <f>IF(AND(H396=TRUE,OR(K396="",K396&gt;M396)),S396,0)</f>
        <v/>
      </c>
      <c r="W396" s="93" t="n">
        <v>0</v>
      </c>
      <c r="X396" s="93" t="b">
        <v>0</v>
      </c>
    </row>
    <row r="397">
      <c r="A397" s="93" t="inlineStr">
        <is>
          <t>ZVAN13</t>
        </is>
      </c>
      <c r="B397" s="93" t="n">
        <v>1</v>
      </c>
      <c r="C397" s="93" t="inlineStr">
        <is>
          <t>HVK401</t>
        </is>
      </c>
      <c r="D397" s="93" t="inlineStr">
        <is>
          <t>K</t>
        </is>
      </c>
      <c r="E397" s="93" t="inlineStr">
        <is>
          <t>van der Spuy Gian</t>
        </is>
      </c>
      <c r="F397" s="94">
        <f>SUMIFS(Investors!$M:$M,Investors!$O:$O,FALSE,Investors!$P:$P,FALSE,Investors!$K:$K,"&gt;"&amp;'NSST Print'!$B$3,Investors!$I:$I,"&lt;="&amp;'NSST Print'!$B$3,Investors!$A:$A,'Investor Exit List'!$A397,Investors!$E:$E,'Investor Exit List'!$C397,Investors!$L:$L,'Investor Exit List'!$B397)-(SUMIFS(Investors!$M:$M,Investors!$I:$I,"&lt;="&amp;'NSST Print'!$B$3,Investors!$J:$J,"&gt;"&amp;'NSST Print'!$B$3,Investors!$A:$A,'Investor Exit List'!$A397,Investors!$E:$E,'Investor Exit List'!$C397,Investors!$L:$L,'Investor Exit List'!$B397)+SUMIFS(Investors!$M:$M,Investors!$I:$I,"&lt;="&amp;'NSST Print'!$B$3,Investors!$J:$J,"",Investors!$A:$A,'Investor Exit List'!$A397,Investors!$E:$E,'Investor Exit List'!$C397,Investors!$L:$L,'Investor Exit List'!$B397))</f>
        <v/>
      </c>
      <c r="G397" s="95" t="n">
        <v>44980</v>
      </c>
      <c r="H397" s="93" t="b">
        <v>0</v>
      </c>
      <c r="I397" s="93" t="b">
        <v>0</v>
      </c>
      <c r="J397" s="95" t="n">
        <v>45510</v>
      </c>
      <c r="K397" s="95">
        <f>IF(I397=TRUE,J397,"")</f>
        <v/>
      </c>
      <c r="L397" s="95">
        <f>G397+730</f>
        <v/>
      </c>
      <c r="M397" s="95" t="n">
        <v>45382</v>
      </c>
      <c r="N397" s="96">
        <f>IFERROR(IF(G397&lt;&gt;"",IF(I397=TRUE,0,IF(U397=TRUE,0,L397-M397)),0),0)</f>
        <v/>
      </c>
      <c r="O397" s="96">
        <f>IF(N397&gt;0,IF(N397&lt;=180,N397,0),0)</f>
        <v/>
      </c>
      <c r="P397" s="94">
        <f>IF(AND(N397&lt;90,N397&gt;0),Q397,0)</f>
        <v/>
      </c>
      <c r="Q397" s="94">
        <f>SUMIFS(Investors!$M:$M,Investors!$O:$O,FALSE,Investors!$P:$P,FALSE,Investors!$K:$K,"&gt;"&amp;'NSST Print'!$B$3,Investors!$I:$I,"&lt;="&amp;'NSST Print'!$B$3,Investors!$A:$A,'Investor Exit List'!$A397,Investors!$E:$E,'Investor Exit List'!$C397,Investors!$L:$L,'Investor Exit List'!$B397)-(SUMIFS(Investors!$M:$M,Investors!$I:$I,"&lt;="&amp;'NSST Print'!$B$3,Investors!$J:$J,"&gt;"&amp;'NSST Print'!$B$3,Investors!$A:$A,'Investor Exit List'!$A397,Investors!$E:$E,'Investor Exit List'!$C397,Investors!$L:$L,'Investor Exit List'!$B397)+SUMIFS(Investors!$M:$M,Investors!$I:$I,"&lt;="&amp;'NSST Print'!$B$3,Investors!$J:$J,"",Investors!$A:$A,'Investor Exit List'!$A397,Investors!$E:$E,'Investor Exit List'!$C397,Investors!$L:$L,'Investor Exit List'!$B397))+SUMIFS(Investors!$S:$S,Investors!$O:$O,FALSE,Investors!$P:$P,FALSE,Investors!$K:$K,"&gt;"&amp;'NSST Print'!$B$3,Investors!$I:$I,"&lt;="&amp;'NSST Print'!$B$3,Investors!$A:$A,'Investor Exit List'!$A397,Investors!$E:$E,'Investor Exit List'!$C397,Investors!$L:$L,'Investor Exit List'!$B397)-(SUMIFS(Investors!$S:$S,Investors!$I:$I,"&lt;="&amp;'NSST Print'!$B$3,Investors!$J:$J,"&gt;"&amp;'NSST Print'!$B$3,Investors!$A:$A,'Investor Exit List'!$A397,Investors!$E:$E,'Investor Exit List'!$C397,Investors!$L:$L,'Investor Exit List'!$B397)+SUMIFS(Investors!$S:$S,Investors!$I:$I,"&lt;="&amp;'NSST Print'!$B$3,Investors!$J:$J,"",Investors!$A:$A,'Investor Exit List'!$A397,Investors!$E:$E,'Investor Exit List'!$C397,Investors!$L:$L,'Investor Exit List'!$B397))</f>
        <v/>
      </c>
      <c r="R397" s="94">
        <f>IF(AND(H397=TRUE,I397=FALSE),Q397,0)</f>
        <v/>
      </c>
      <c r="S397" s="94">
        <f>SUMIFS(Investors!$M:$M,Investors!$O:$O,TRUE,Investors!$A:$A,'Investor Exit List'!$A397,Investors!$E:$E,'Investor Exit List'!$C397,Investors!$L:$L,'Investor Exit List'!$B397)+SUMIFS(Investors!$S:$S,Investors!$O:$O,TRUE,Investors!$A:$A,'Investor Exit List'!$A397,Investors!$E:$E,'Investor Exit List'!$C397,Investors!$L:$L,'Investor Exit List'!$B397)</f>
        <v/>
      </c>
      <c r="T397" s="95">
        <f>IF(U397=TRUE,$J397,"")</f>
        <v/>
      </c>
      <c r="U397" s="93" t="b">
        <v>0</v>
      </c>
      <c r="V397" s="94">
        <f>IF(AND(H397=TRUE,OR(K397="",K397&gt;M397)),S397,0)</f>
        <v/>
      </c>
      <c r="W397" s="93" t="n">
        <v>0</v>
      </c>
      <c r="X397" s="93" t="b">
        <v>0</v>
      </c>
    </row>
    <row r="398">
      <c r="A398" s="93" t="inlineStr">
        <is>
          <t>ZVAN02</t>
        </is>
      </c>
      <c r="B398" s="93" t="n">
        <v>2</v>
      </c>
      <c r="C398" s="93" t="inlineStr">
        <is>
          <t>HVK402</t>
        </is>
      </c>
      <c r="D398" s="93" t="inlineStr">
        <is>
          <t>K</t>
        </is>
      </c>
      <c r="E398" s="93" t="inlineStr">
        <is>
          <t>van Schalkwyk Agatha Dorothea</t>
        </is>
      </c>
      <c r="F398" s="94">
        <f>SUMIFS(Investors!$M:$M,Investors!$O:$O,FALSE,Investors!$P:$P,FALSE,Investors!$K:$K,"&gt;"&amp;'NSST Print'!$B$3,Investors!$I:$I,"&lt;="&amp;'NSST Print'!$B$3,Investors!$A:$A,'Investor Exit List'!$A398,Investors!$E:$E,'Investor Exit List'!$C398,Investors!$L:$L,'Investor Exit List'!$B398)-(SUMIFS(Investors!$M:$M,Investors!$I:$I,"&lt;="&amp;'NSST Print'!$B$3,Investors!$J:$J,"&gt;"&amp;'NSST Print'!$B$3,Investors!$A:$A,'Investor Exit List'!$A398,Investors!$E:$E,'Investor Exit List'!$C398,Investors!$L:$L,'Investor Exit List'!$B398)+SUMIFS(Investors!$M:$M,Investors!$I:$I,"&lt;="&amp;'NSST Print'!$B$3,Investors!$J:$J,"",Investors!$A:$A,'Investor Exit List'!$A398,Investors!$E:$E,'Investor Exit List'!$C398,Investors!$L:$L,'Investor Exit List'!$B398))</f>
        <v/>
      </c>
      <c r="G398" s="95" t="n">
        <v>44995</v>
      </c>
      <c r="H398" s="93" t="b">
        <v>0</v>
      </c>
      <c r="I398" s="93" t="b">
        <v>0</v>
      </c>
      <c r="J398" s="95" t="n">
        <v>45510</v>
      </c>
      <c r="K398" s="95">
        <f>IF(I398=TRUE,J398,"")</f>
        <v/>
      </c>
      <c r="L398" s="95">
        <f>G398+730</f>
        <v/>
      </c>
      <c r="M398" s="95" t="n">
        <v>45382</v>
      </c>
      <c r="N398" s="96">
        <f>IFERROR(IF(G398&lt;&gt;"",IF(I398=TRUE,0,IF(U398=TRUE,0,L398-M398)),0),0)</f>
        <v/>
      </c>
      <c r="O398" s="96">
        <f>IF(N398&gt;0,IF(N398&lt;=180,N398,0),0)</f>
        <v/>
      </c>
      <c r="P398" s="94">
        <f>IF(AND(N398&lt;90,N398&gt;0),Q398,0)</f>
        <v/>
      </c>
      <c r="Q398" s="94">
        <f>SUMIFS(Investors!$M:$M,Investors!$O:$O,FALSE,Investors!$P:$P,FALSE,Investors!$K:$K,"&gt;"&amp;'NSST Print'!$B$3,Investors!$I:$I,"&lt;="&amp;'NSST Print'!$B$3,Investors!$A:$A,'Investor Exit List'!$A398,Investors!$E:$E,'Investor Exit List'!$C398,Investors!$L:$L,'Investor Exit List'!$B398)-(SUMIFS(Investors!$M:$M,Investors!$I:$I,"&lt;="&amp;'NSST Print'!$B$3,Investors!$J:$J,"&gt;"&amp;'NSST Print'!$B$3,Investors!$A:$A,'Investor Exit List'!$A398,Investors!$E:$E,'Investor Exit List'!$C398,Investors!$L:$L,'Investor Exit List'!$B398)+SUMIFS(Investors!$M:$M,Investors!$I:$I,"&lt;="&amp;'NSST Print'!$B$3,Investors!$J:$J,"",Investors!$A:$A,'Investor Exit List'!$A398,Investors!$E:$E,'Investor Exit List'!$C398,Investors!$L:$L,'Investor Exit List'!$B398))+SUMIFS(Investors!$S:$S,Investors!$O:$O,FALSE,Investors!$P:$P,FALSE,Investors!$K:$K,"&gt;"&amp;'NSST Print'!$B$3,Investors!$I:$I,"&lt;="&amp;'NSST Print'!$B$3,Investors!$A:$A,'Investor Exit List'!$A398,Investors!$E:$E,'Investor Exit List'!$C398,Investors!$L:$L,'Investor Exit List'!$B398)-(SUMIFS(Investors!$S:$S,Investors!$I:$I,"&lt;="&amp;'NSST Print'!$B$3,Investors!$J:$J,"&gt;"&amp;'NSST Print'!$B$3,Investors!$A:$A,'Investor Exit List'!$A398,Investors!$E:$E,'Investor Exit List'!$C398,Investors!$L:$L,'Investor Exit List'!$B398)+SUMIFS(Investors!$S:$S,Investors!$I:$I,"&lt;="&amp;'NSST Print'!$B$3,Investors!$J:$J,"",Investors!$A:$A,'Investor Exit List'!$A398,Investors!$E:$E,'Investor Exit List'!$C398,Investors!$L:$L,'Investor Exit List'!$B398))</f>
        <v/>
      </c>
      <c r="R398" s="94">
        <f>IF(AND(H398=TRUE,I398=FALSE),Q398,0)</f>
        <v/>
      </c>
      <c r="S398" s="94">
        <f>SUMIFS(Investors!$M:$M,Investors!$O:$O,TRUE,Investors!$A:$A,'Investor Exit List'!$A398,Investors!$E:$E,'Investor Exit List'!$C398,Investors!$L:$L,'Investor Exit List'!$B398)+SUMIFS(Investors!$S:$S,Investors!$O:$O,TRUE,Investors!$A:$A,'Investor Exit List'!$A398,Investors!$E:$E,'Investor Exit List'!$C398,Investors!$L:$L,'Investor Exit List'!$B398)</f>
        <v/>
      </c>
      <c r="T398" s="95">
        <f>IF(U398=TRUE,$J398,"")</f>
        <v/>
      </c>
      <c r="U398" s="93" t="b">
        <v>0</v>
      </c>
      <c r="V398" s="94">
        <f>IF(AND(H398=TRUE,OR(K398="",K398&gt;M398)),S398,0)</f>
        <v/>
      </c>
      <c r="W398" s="93" t="n">
        <v>0</v>
      </c>
      <c r="X398" s="93" t="b">
        <v>0</v>
      </c>
    </row>
    <row r="399">
      <c r="A399" s="93" t="inlineStr">
        <is>
          <t>ZVAN14</t>
        </is>
      </c>
      <c r="B399" s="93" t="n">
        <v>1</v>
      </c>
      <c r="C399" s="93" t="inlineStr">
        <is>
          <t>HVK402</t>
        </is>
      </c>
      <c r="D399" s="93" t="inlineStr">
        <is>
          <t>K</t>
        </is>
      </c>
      <c r="E399" s="93" t="inlineStr">
        <is>
          <t>van der Spuy Dorothy Anne</t>
        </is>
      </c>
      <c r="F399" s="94">
        <f>SUMIFS(Investors!$M:$M,Investors!$O:$O,FALSE,Investors!$P:$P,FALSE,Investors!$K:$K,"&gt;"&amp;'NSST Print'!$B$3,Investors!$I:$I,"&lt;="&amp;'NSST Print'!$B$3,Investors!$A:$A,'Investor Exit List'!$A399,Investors!$E:$E,'Investor Exit List'!$C399,Investors!$L:$L,'Investor Exit List'!$B399)-(SUMIFS(Investors!$M:$M,Investors!$I:$I,"&lt;="&amp;'NSST Print'!$B$3,Investors!$J:$J,"&gt;"&amp;'NSST Print'!$B$3,Investors!$A:$A,'Investor Exit List'!$A399,Investors!$E:$E,'Investor Exit List'!$C399,Investors!$L:$L,'Investor Exit List'!$B399)+SUMIFS(Investors!$M:$M,Investors!$I:$I,"&lt;="&amp;'NSST Print'!$B$3,Investors!$J:$J,"",Investors!$A:$A,'Investor Exit List'!$A399,Investors!$E:$E,'Investor Exit List'!$C399,Investors!$L:$L,'Investor Exit List'!$B399))</f>
        <v/>
      </c>
      <c r="G399" s="95" t="n">
        <v>45016</v>
      </c>
      <c r="H399" s="93" t="b">
        <v>0</v>
      </c>
      <c r="I399" s="93" t="b">
        <v>0</v>
      </c>
      <c r="J399" s="95" t="n">
        <v>45510</v>
      </c>
      <c r="K399" s="95">
        <f>IF(I399=TRUE,J399,"")</f>
        <v/>
      </c>
      <c r="L399" s="95">
        <f>G399+730</f>
        <v/>
      </c>
      <c r="M399" s="95" t="n">
        <v>45382</v>
      </c>
      <c r="N399" s="96">
        <f>IFERROR(IF(G399&lt;&gt;"",IF(I399=TRUE,0,IF(U399=TRUE,0,L399-M399)),0),0)</f>
        <v/>
      </c>
      <c r="O399" s="96">
        <f>IF(N399&gt;0,IF(N399&lt;=180,N399,0),0)</f>
        <v/>
      </c>
      <c r="P399" s="94">
        <f>IF(AND(N399&lt;90,N399&gt;0),Q399,0)</f>
        <v/>
      </c>
      <c r="Q399" s="94">
        <f>SUMIFS(Investors!$M:$M,Investors!$O:$O,FALSE,Investors!$P:$P,FALSE,Investors!$K:$K,"&gt;"&amp;'NSST Print'!$B$3,Investors!$I:$I,"&lt;="&amp;'NSST Print'!$B$3,Investors!$A:$A,'Investor Exit List'!$A399,Investors!$E:$E,'Investor Exit List'!$C399,Investors!$L:$L,'Investor Exit List'!$B399)-(SUMIFS(Investors!$M:$M,Investors!$I:$I,"&lt;="&amp;'NSST Print'!$B$3,Investors!$J:$J,"&gt;"&amp;'NSST Print'!$B$3,Investors!$A:$A,'Investor Exit List'!$A399,Investors!$E:$E,'Investor Exit List'!$C399,Investors!$L:$L,'Investor Exit List'!$B399)+SUMIFS(Investors!$M:$M,Investors!$I:$I,"&lt;="&amp;'NSST Print'!$B$3,Investors!$J:$J,"",Investors!$A:$A,'Investor Exit List'!$A399,Investors!$E:$E,'Investor Exit List'!$C399,Investors!$L:$L,'Investor Exit List'!$B399))+SUMIFS(Investors!$S:$S,Investors!$O:$O,FALSE,Investors!$P:$P,FALSE,Investors!$K:$K,"&gt;"&amp;'NSST Print'!$B$3,Investors!$I:$I,"&lt;="&amp;'NSST Print'!$B$3,Investors!$A:$A,'Investor Exit List'!$A399,Investors!$E:$E,'Investor Exit List'!$C399,Investors!$L:$L,'Investor Exit List'!$B399)-(SUMIFS(Investors!$S:$S,Investors!$I:$I,"&lt;="&amp;'NSST Print'!$B$3,Investors!$J:$J,"&gt;"&amp;'NSST Print'!$B$3,Investors!$A:$A,'Investor Exit List'!$A399,Investors!$E:$E,'Investor Exit List'!$C399,Investors!$L:$L,'Investor Exit List'!$B399)+SUMIFS(Investors!$S:$S,Investors!$I:$I,"&lt;="&amp;'NSST Print'!$B$3,Investors!$J:$J,"",Investors!$A:$A,'Investor Exit List'!$A399,Investors!$E:$E,'Investor Exit List'!$C399,Investors!$L:$L,'Investor Exit List'!$B399))</f>
        <v/>
      </c>
      <c r="R399" s="94">
        <f>IF(AND(H399=TRUE,I399=FALSE),Q399,0)</f>
        <v/>
      </c>
      <c r="S399" s="94">
        <f>SUMIFS(Investors!$M:$M,Investors!$O:$O,TRUE,Investors!$A:$A,'Investor Exit List'!$A399,Investors!$E:$E,'Investor Exit List'!$C399,Investors!$L:$L,'Investor Exit List'!$B399)+SUMIFS(Investors!$S:$S,Investors!$O:$O,TRUE,Investors!$A:$A,'Investor Exit List'!$A399,Investors!$E:$E,'Investor Exit List'!$C399,Investors!$L:$L,'Investor Exit List'!$B399)</f>
        <v/>
      </c>
      <c r="T399" s="95">
        <f>IF(U399=TRUE,$J399,"")</f>
        <v/>
      </c>
      <c r="U399" s="93" t="b">
        <v>0</v>
      </c>
      <c r="V399" s="94">
        <f>IF(AND(H399=TRUE,OR(K399="",K399&gt;M399)),S399,0)</f>
        <v/>
      </c>
      <c r="W399" s="93" t="n">
        <v>0</v>
      </c>
      <c r="X399" s="93" t="b">
        <v>0</v>
      </c>
    </row>
    <row r="400">
      <c r="A400" s="93" t="inlineStr">
        <is>
          <t>ZALM01</t>
        </is>
      </c>
      <c r="B400" s="93" t="n">
        <v>9</v>
      </c>
      <c r="C400" s="93" t="inlineStr">
        <is>
          <t>HVK403</t>
        </is>
      </c>
      <c r="D400" s="93" t="inlineStr">
        <is>
          <t>K</t>
        </is>
      </c>
      <c r="E400" s="93" t="inlineStr">
        <is>
          <t>Lunau Marc</t>
        </is>
      </c>
      <c r="F400" s="94">
        <f>SUMIFS(Investors!$M:$M,Investors!$O:$O,FALSE,Investors!$P:$P,FALSE,Investors!$K:$K,"&gt;"&amp;'NSST Print'!$B$3,Investors!$I:$I,"&lt;="&amp;'NSST Print'!$B$3,Investors!$A:$A,'Investor Exit List'!$A400,Investors!$E:$E,'Investor Exit List'!$C400,Investors!$L:$L,'Investor Exit List'!$B400)-(SUMIFS(Investors!$M:$M,Investors!$I:$I,"&lt;="&amp;'NSST Print'!$B$3,Investors!$J:$J,"&gt;"&amp;'NSST Print'!$B$3,Investors!$A:$A,'Investor Exit List'!$A400,Investors!$E:$E,'Investor Exit List'!$C400,Investors!$L:$L,'Investor Exit List'!$B400)+SUMIFS(Investors!$M:$M,Investors!$I:$I,"&lt;="&amp;'NSST Print'!$B$3,Investors!$J:$J,"",Investors!$A:$A,'Investor Exit List'!$A400,Investors!$E:$E,'Investor Exit List'!$C400,Investors!$L:$L,'Investor Exit List'!$B400))</f>
        <v/>
      </c>
      <c r="G400" s="95" t="n">
        <v>45107</v>
      </c>
      <c r="H400" s="93" t="b">
        <v>0</v>
      </c>
      <c r="I400" s="93" t="b">
        <v>0</v>
      </c>
      <c r="J400" s="95" t="n">
        <v>45510</v>
      </c>
      <c r="K400" s="95">
        <f>IF(I400=TRUE,J400,"")</f>
        <v/>
      </c>
      <c r="L400" s="95">
        <f>G400+730</f>
        <v/>
      </c>
      <c r="M400" s="95" t="n">
        <v>45382</v>
      </c>
      <c r="N400" s="96">
        <f>IFERROR(IF(G400&lt;&gt;"",IF(I400=TRUE,0,IF(U400=TRUE,0,L400-M400)),0),0)</f>
        <v/>
      </c>
      <c r="O400" s="96">
        <f>IF(N400&gt;0,IF(N400&lt;=180,N400,0),0)</f>
        <v/>
      </c>
      <c r="P400" s="94">
        <f>IF(AND(N400&lt;90,N400&gt;0),Q400,0)</f>
        <v/>
      </c>
      <c r="Q400" s="94">
        <f>SUMIFS(Investors!$M:$M,Investors!$O:$O,FALSE,Investors!$P:$P,FALSE,Investors!$K:$K,"&gt;"&amp;'NSST Print'!$B$3,Investors!$I:$I,"&lt;="&amp;'NSST Print'!$B$3,Investors!$A:$A,'Investor Exit List'!$A400,Investors!$E:$E,'Investor Exit List'!$C400,Investors!$L:$L,'Investor Exit List'!$B400)-(SUMIFS(Investors!$M:$M,Investors!$I:$I,"&lt;="&amp;'NSST Print'!$B$3,Investors!$J:$J,"&gt;"&amp;'NSST Print'!$B$3,Investors!$A:$A,'Investor Exit List'!$A400,Investors!$E:$E,'Investor Exit List'!$C400,Investors!$L:$L,'Investor Exit List'!$B400)+SUMIFS(Investors!$M:$M,Investors!$I:$I,"&lt;="&amp;'NSST Print'!$B$3,Investors!$J:$J,"",Investors!$A:$A,'Investor Exit List'!$A400,Investors!$E:$E,'Investor Exit List'!$C400,Investors!$L:$L,'Investor Exit List'!$B400))+SUMIFS(Investors!$S:$S,Investors!$O:$O,FALSE,Investors!$P:$P,FALSE,Investors!$K:$K,"&gt;"&amp;'NSST Print'!$B$3,Investors!$I:$I,"&lt;="&amp;'NSST Print'!$B$3,Investors!$A:$A,'Investor Exit List'!$A400,Investors!$E:$E,'Investor Exit List'!$C400,Investors!$L:$L,'Investor Exit List'!$B400)-(SUMIFS(Investors!$S:$S,Investors!$I:$I,"&lt;="&amp;'NSST Print'!$B$3,Investors!$J:$J,"&gt;"&amp;'NSST Print'!$B$3,Investors!$A:$A,'Investor Exit List'!$A400,Investors!$E:$E,'Investor Exit List'!$C400,Investors!$L:$L,'Investor Exit List'!$B400)+SUMIFS(Investors!$S:$S,Investors!$I:$I,"&lt;="&amp;'NSST Print'!$B$3,Investors!$J:$J,"",Investors!$A:$A,'Investor Exit List'!$A400,Investors!$E:$E,'Investor Exit List'!$C400,Investors!$L:$L,'Investor Exit List'!$B400))</f>
        <v/>
      </c>
      <c r="R400" s="94">
        <f>IF(AND(H400=TRUE,I400=FALSE),Q400,0)</f>
        <v/>
      </c>
      <c r="S400" s="94">
        <f>SUMIFS(Investors!$M:$M,Investors!$O:$O,TRUE,Investors!$A:$A,'Investor Exit List'!$A400,Investors!$E:$E,'Investor Exit List'!$C400,Investors!$L:$L,'Investor Exit List'!$B400)+SUMIFS(Investors!$S:$S,Investors!$O:$O,TRUE,Investors!$A:$A,'Investor Exit List'!$A400,Investors!$E:$E,'Investor Exit List'!$C400,Investors!$L:$L,'Investor Exit List'!$B400)</f>
        <v/>
      </c>
      <c r="T400" s="95">
        <f>IF(U400=TRUE,$J400,"")</f>
        <v/>
      </c>
      <c r="U400" s="93" t="b">
        <v>0</v>
      </c>
      <c r="V400" s="94">
        <f>IF(AND(H400=TRUE,OR(K400="",K400&gt;M400)),S400,0)</f>
        <v/>
      </c>
      <c r="W400" s="93" t="n">
        <v>0</v>
      </c>
      <c r="X400" s="93" t="b">
        <v>0</v>
      </c>
    </row>
    <row r="401">
      <c r="A401" s="93" t="inlineStr">
        <is>
          <t>ZGRA01</t>
        </is>
      </c>
      <c r="B401" s="93" t="n">
        <v>1</v>
      </c>
      <c r="C401" s="93" t="inlineStr">
        <is>
          <t>HVK403</t>
        </is>
      </c>
      <c r="D401" s="93" t="inlineStr">
        <is>
          <t>K</t>
        </is>
      </c>
      <c r="E401" s="93" t="inlineStr">
        <is>
          <t>Grabe Pieter</t>
        </is>
      </c>
      <c r="F401" s="94">
        <f>SUMIFS(Investors!$M:$M,Investors!$O:$O,FALSE,Investors!$P:$P,FALSE,Investors!$K:$K,"&gt;"&amp;'NSST Print'!$B$3,Investors!$I:$I,"&lt;="&amp;'NSST Print'!$B$3,Investors!$A:$A,'Investor Exit List'!$A401,Investors!$E:$E,'Investor Exit List'!$C401,Investors!$L:$L,'Investor Exit List'!$B401)-(SUMIFS(Investors!$M:$M,Investors!$I:$I,"&lt;="&amp;'NSST Print'!$B$3,Investors!$J:$J,"&gt;"&amp;'NSST Print'!$B$3,Investors!$A:$A,'Investor Exit List'!$A401,Investors!$E:$E,'Investor Exit List'!$C401,Investors!$L:$L,'Investor Exit List'!$B401)+SUMIFS(Investors!$M:$M,Investors!$I:$I,"&lt;="&amp;'NSST Print'!$B$3,Investors!$J:$J,"",Investors!$A:$A,'Investor Exit List'!$A401,Investors!$E:$E,'Investor Exit List'!$C401,Investors!$L:$L,'Investor Exit List'!$B401))</f>
        <v/>
      </c>
      <c r="G401" s="95" t="n">
        <v>45016</v>
      </c>
      <c r="H401" s="93" t="b">
        <v>0</v>
      </c>
      <c r="I401" s="93" t="b">
        <v>0</v>
      </c>
      <c r="J401" s="95" t="n">
        <v>45510</v>
      </c>
      <c r="K401" s="95">
        <f>IF(I401=TRUE,J401,"")</f>
        <v/>
      </c>
      <c r="L401" s="95">
        <f>G401+730</f>
        <v/>
      </c>
      <c r="M401" s="95" t="n">
        <v>45382</v>
      </c>
      <c r="N401" s="96">
        <f>IFERROR(IF(G401&lt;&gt;"",IF(I401=TRUE,0,IF(U401=TRUE,0,L401-M401)),0),0)</f>
        <v/>
      </c>
      <c r="O401" s="96">
        <f>IF(N401&gt;0,IF(N401&lt;=180,N401,0),0)</f>
        <v/>
      </c>
      <c r="P401" s="94">
        <f>IF(AND(N401&lt;90,N401&gt;0),Q401,0)</f>
        <v/>
      </c>
      <c r="Q401" s="94">
        <f>SUMIFS(Investors!$M:$M,Investors!$O:$O,FALSE,Investors!$P:$P,FALSE,Investors!$K:$K,"&gt;"&amp;'NSST Print'!$B$3,Investors!$I:$I,"&lt;="&amp;'NSST Print'!$B$3,Investors!$A:$A,'Investor Exit List'!$A401,Investors!$E:$E,'Investor Exit List'!$C401,Investors!$L:$L,'Investor Exit List'!$B401)-(SUMIFS(Investors!$M:$M,Investors!$I:$I,"&lt;="&amp;'NSST Print'!$B$3,Investors!$J:$J,"&gt;"&amp;'NSST Print'!$B$3,Investors!$A:$A,'Investor Exit List'!$A401,Investors!$E:$E,'Investor Exit List'!$C401,Investors!$L:$L,'Investor Exit List'!$B401)+SUMIFS(Investors!$M:$M,Investors!$I:$I,"&lt;="&amp;'NSST Print'!$B$3,Investors!$J:$J,"",Investors!$A:$A,'Investor Exit List'!$A401,Investors!$E:$E,'Investor Exit List'!$C401,Investors!$L:$L,'Investor Exit List'!$B401))+SUMIFS(Investors!$S:$S,Investors!$O:$O,FALSE,Investors!$P:$P,FALSE,Investors!$K:$K,"&gt;"&amp;'NSST Print'!$B$3,Investors!$I:$I,"&lt;="&amp;'NSST Print'!$B$3,Investors!$A:$A,'Investor Exit List'!$A401,Investors!$E:$E,'Investor Exit List'!$C401,Investors!$L:$L,'Investor Exit List'!$B401)-(SUMIFS(Investors!$S:$S,Investors!$I:$I,"&lt;="&amp;'NSST Print'!$B$3,Investors!$J:$J,"&gt;"&amp;'NSST Print'!$B$3,Investors!$A:$A,'Investor Exit List'!$A401,Investors!$E:$E,'Investor Exit List'!$C401,Investors!$L:$L,'Investor Exit List'!$B401)+SUMIFS(Investors!$S:$S,Investors!$I:$I,"&lt;="&amp;'NSST Print'!$B$3,Investors!$J:$J,"",Investors!$A:$A,'Investor Exit List'!$A401,Investors!$E:$E,'Investor Exit List'!$C401,Investors!$L:$L,'Investor Exit List'!$B401))</f>
        <v/>
      </c>
      <c r="R401" s="94">
        <f>IF(AND(H401=TRUE,I401=FALSE),Q401,0)</f>
        <v/>
      </c>
      <c r="S401" s="94">
        <f>SUMIFS(Investors!$M:$M,Investors!$O:$O,TRUE,Investors!$A:$A,'Investor Exit List'!$A401,Investors!$E:$E,'Investor Exit List'!$C401,Investors!$L:$L,'Investor Exit List'!$B401)+SUMIFS(Investors!$S:$S,Investors!$O:$O,TRUE,Investors!$A:$A,'Investor Exit List'!$A401,Investors!$E:$E,'Investor Exit List'!$C401,Investors!$L:$L,'Investor Exit List'!$B401)</f>
        <v/>
      </c>
      <c r="T401" s="95">
        <f>IF(U401=TRUE,$J401,"")</f>
        <v/>
      </c>
      <c r="U401" s="93" t="b">
        <v>0</v>
      </c>
      <c r="V401" s="94">
        <f>IF(AND(H401=TRUE,OR(K401="",K401&gt;M401)),S401,0)</f>
        <v/>
      </c>
      <c r="W401" s="93" t="n">
        <v>0</v>
      </c>
      <c r="X401" s="93" t="b">
        <v>0</v>
      </c>
    </row>
    <row r="402">
      <c r="A402" s="93" t="inlineStr">
        <is>
          <t>ZHAN06</t>
        </is>
      </c>
      <c r="B402" s="93" t="n">
        <v>1</v>
      </c>
      <c r="C402" s="93" t="inlineStr">
        <is>
          <t>HVK403</t>
        </is>
      </c>
      <c r="D402" s="93" t="inlineStr">
        <is>
          <t>K</t>
        </is>
      </c>
      <c r="E402" s="93" t="inlineStr">
        <is>
          <t>Hanekom Derick</t>
        </is>
      </c>
      <c r="F402" s="94">
        <f>SUMIFS(Investors!$M:$M,Investors!$O:$O,FALSE,Investors!$P:$P,FALSE,Investors!$K:$K,"&gt;"&amp;'NSST Print'!$B$3,Investors!$I:$I,"&lt;="&amp;'NSST Print'!$B$3,Investors!$A:$A,'Investor Exit List'!$A402,Investors!$E:$E,'Investor Exit List'!$C402,Investors!$L:$L,'Investor Exit List'!$B402)-(SUMIFS(Investors!$M:$M,Investors!$I:$I,"&lt;="&amp;'NSST Print'!$B$3,Investors!$J:$J,"&gt;"&amp;'NSST Print'!$B$3,Investors!$A:$A,'Investor Exit List'!$A402,Investors!$E:$E,'Investor Exit List'!$C402,Investors!$L:$L,'Investor Exit List'!$B402)+SUMIFS(Investors!$M:$M,Investors!$I:$I,"&lt;="&amp;'NSST Print'!$B$3,Investors!$J:$J,"",Investors!$A:$A,'Investor Exit List'!$A402,Investors!$E:$E,'Investor Exit List'!$C402,Investors!$L:$L,'Investor Exit List'!$B402))</f>
        <v/>
      </c>
      <c r="G402" s="95" t="n">
        <v>45016</v>
      </c>
      <c r="H402" s="93" t="b">
        <v>0</v>
      </c>
      <c r="I402" s="93" t="b">
        <v>0</v>
      </c>
      <c r="J402" s="95" t="n">
        <v>45510</v>
      </c>
      <c r="K402" s="95">
        <f>IF(I402=TRUE,J402,"")</f>
        <v/>
      </c>
      <c r="L402" s="95">
        <f>G402+730</f>
        <v/>
      </c>
      <c r="M402" s="95" t="n">
        <v>45382</v>
      </c>
      <c r="N402" s="96">
        <f>IFERROR(IF(G402&lt;&gt;"",IF(I402=TRUE,0,IF(U402=TRUE,0,L402-M402)),0),0)</f>
        <v/>
      </c>
      <c r="O402" s="96">
        <f>IF(N402&gt;0,IF(N402&lt;=180,N402,0),0)</f>
        <v/>
      </c>
      <c r="P402" s="94">
        <f>IF(AND(N402&lt;90,N402&gt;0),Q402,0)</f>
        <v/>
      </c>
      <c r="Q402" s="94">
        <f>SUMIFS(Investors!$M:$M,Investors!$O:$O,FALSE,Investors!$P:$P,FALSE,Investors!$K:$K,"&gt;"&amp;'NSST Print'!$B$3,Investors!$I:$I,"&lt;="&amp;'NSST Print'!$B$3,Investors!$A:$A,'Investor Exit List'!$A402,Investors!$E:$E,'Investor Exit List'!$C402,Investors!$L:$L,'Investor Exit List'!$B402)-(SUMIFS(Investors!$M:$M,Investors!$I:$I,"&lt;="&amp;'NSST Print'!$B$3,Investors!$J:$J,"&gt;"&amp;'NSST Print'!$B$3,Investors!$A:$A,'Investor Exit List'!$A402,Investors!$E:$E,'Investor Exit List'!$C402,Investors!$L:$L,'Investor Exit List'!$B402)+SUMIFS(Investors!$M:$M,Investors!$I:$I,"&lt;="&amp;'NSST Print'!$B$3,Investors!$J:$J,"",Investors!$A:$A,'Investor Exit List'!$A402,Investors!$E:$E,'Investor Exit List'!$C402,Investors!$L:$L,'Investor Exit List'!$B402))+SUMIFS(Investors!$S:$S,Investors!$O:$O,FALSE,Investors!$P:$P,FALSE,Investors!$K:$K,"&gt;"&amp;'NSST Print'!$B$3,Investors!$I:$I,"&lt;="&amp;'NSST Print'!$B$3,Investors!$A:$A,'Investor Exit List'!$A402,Investors!$E:$E,'Investor Exit List'!$C402,Investors!$L:$L,'Investor Exit List'!$B402)-(SUMIFS(Investors!$S:$S,Investors!$I:$I,"&lt;="&amp;'NSST Print'!$B$3,Investors!$J:$J,"&gt;"&amp;'NSST Print'!$B$3,Investors!$A:$A,'Investor Exit List'!$A402,Investors!$E:$E,'Investor Exit List'!$C402,Investors!$L:$L,'Investor Exit List'!$B402)+SUMIFS(Investors!$S:$S,Investors!$I:$I,"&lt;="&amp;'NSST Print'!$B$3,Investors!$J:$J,"",Investors!$A:$A,'Investor Exit List'!$A402,Investors!$E:$E,'Investor Exit List'!$C402,Investors!$L:$L,'Investor Exit List'!$B402))</f>
        <v/>
      </c>
      <c r="R402" s="94">
        <f>IF(AND(H402=TRUE,I402=FALSE),Q402,0)</f>
        <v/>
      </c>
      <c r="S402" s="94">
        <f>SUMIFS(Investors!$M:$M,Investors!$O:$O,TRUE,Investors!$A:$A,'Investor Exit List'!$A402,Investors!$E:$E,'Investor Exit List'!$C402,Investors!$L:$L,'Investor Exit List'!$B402)+SUMIFS(Investors!$S:$S,Investors!$O:$O,TRUE,Investors!$A:$A,'Investor Exit List'!$A402,Investors!$E:$E,'Investor Exit List'!$C402,Investors!$L:$L,'Investor Exit List'!$B402)</f>
        <v/>
      </c>
      <c r="T402" s="95">
        <f>IF(U402=TRUE,$J402,"")</f>
        <v/>
      </c>
      <c r="U402" s="93" t="b">
        <v>0</v>
      </c>
      <c r="V402" s="94">
        <f>IF(AND(H402=TRUE,OR(K402="",K402&gt;M402)),S402,0)</f>
        <v/>
      </c>
      <c r="W402" s="93" t="n">
        <v>0</v>
      </c>
      <c r="X402" s="93" t="b">
        <v>0</v>
      </c>
    </row>
    <row r="403">
      <c r="A403" s="93" t="inlineStr">
        <is>
          <t>ZINT01</t>
        </is>
      </c>
      <c r="B403" s="93" t="n">
        <v>12</v>
      </c>
      <c r="C403" s="93" t="inlineStr">
        <is>
          <t>HVK403</t>
        </is>
      </c>
      <c r="D403" s="93" t="inlineStr">
        <is>
          <t>K</t>
        </is>
      </c>
      <c r="E403" s="93" t="inlineStr">
        <is>
          <t>Lunau Marc</t>
        </is>
      </c>
      <c r="F403" s="94">
        <f>SUMIFS(Investors!$M:$M,Investors!$O:$O,FALSE,Investors!$P:$P,FALSE,Investors!$K:$K,"&gt;"&amp;'NSST Print'!$B$3,Investors!$I:$I,"&lt;="&amp;'NSST Print'!$B$3,Investors!$A:$A,'Investor Exit List'!$A403,Investors!$E:$E,'Investor Exit List'!$C403,Investors!$L:$L,'Investor Exit List'!$B403)-(SUMIFS(Investors!$M:$M,Investors!$I:$I,"&lt;="&amp;'NSST Print'!$B$3,Investors!$J:$J,"&gt;"&amp;'NSST Print'!$B$3,Investors!$A:$A,'Investor Exit List'!$A403,Investors!$E:$E,'Investor Exit List'!$C403,Investors!$L:$L,'Investor Exit List'!$B403)+SUMIFS(Investors!$M:$M,Investors!$I:$I,"&lt;="&amp;'NSST Print'!$B$3,Investors!$J:$J,"",Investors!$A:$A,'Investor Exit List'!$A403,Investors!$E:$E,'Investor Exit List'!$C403,Investors!$L:$L,'Investor Exit List'!$B403))</f>
        <v/>
      </c>
      <c r="G403" s="95" t="n">
        <v>45008</v>
      </c>
      <c r="H403" s="93" t="b">
        <v>0</v>
      </c>
      <c r="I403" s="93" t="b">
        <v>0</v>
      </c>
      <c r="J403" s="95" t="n">
        <v>45510</v>
      </c>
      <c r="K403" s="95">
        <f>IF(I403=TRUE,J403,"")</f>
        <v/>
      </c>
      <c r="L403" s="95">
        <f>G403+730</f>
        <v/>
      </c>
      <c r="M403" s="95" t="n">
        <v>45382</v>
      </c>
      <c r="N403" s="96">
        <f>IFERROR(IF(G403&lt;&gt;"",IF(I403=TRUE,0,IF(U403=TRUE,0,L403-M403)),0),0)</f>
        <v/>
      </c>
      <c r="O403" s="96">
        <f>IF(N403&gt;0,IF(N403&lt;=180,N403,0),0)</f>
        <v/>
      </c>
      <c r="P403" s="94">
        <f>IF(AND(N403&lt;90,N403&gt;0),Q403,0)</f>
        <v/>
      </c>
      <c r="Q403" s="94">
        <f>SUMIFS(Investors!$M:$M,Investors!$O:$O,FALSE,Investors!$P:$P,FALSE,Investors!$K:$K,"&gt;"&amp;'NSST Print'!$B$3,Investors!$I:$I,"&lt;="&amp;'NSST Print'!$B$3,Investors!$A:$A,'Investor Exit List'!$A403,Investors!$E:$E,'Investor Exit List'!$C403,Investors!$L:$L,'Investor Exit List'!$B403)-(SUMIFS(Investors!$M:$M,Investors!$I:$I,"&lt;="&amp;'NSST Print'!$B$3,Investors!$J:$J,"&gt;"&amp;'NSST Print'!$B$3,Investors!$A:$A,'Investor Exit List'!$A403,Investors!$E:$E,'Investor Exit List'!$C403,Investors!$L:$L,'Investor Exit List'!$B403)+SUMIFS(Investors!$M:$M,Investors!$I:$I,"&lt;="&amp;'NSST Print'!$B$3,Investors!$J:$J,"",Investors!$A:$A,'Investor Exit List'!$A403,Investors!$E:$E,'Investor Exit List'!$C403,Investors!$L:$L,'Investor Exit List'!$B403))+SUMIFS(Investors!$S:$S,Investors!$O:$O,FALSE,Investors!$P:$P,FALSE,Investors!$K:$K,"&gt;"&amp;'NSST Print'!$B$3,Investors!$I:$I,"&lt;="&amp;'NSST Print'!$B$3,Investors!$A:$A,'Investor Exit List'!$A403,Investors!$E:$E,'Investor Exit List'!$C403,Investors!$L:$L,'Investor Exit List'!$B403)-(SUMIFS(Investors!$S:$S,Investors!$I:$I,"&lt;="&amp;'NSST Print'!$B$3,Investors!$J:$J,"&gt;"&amp;'NSST Print'!$B$3,Investors!$A:$A,'Investor Exit List'!$A403,Investors!$E:$E,'Investor Exit List'!$C403,Investors!$L:$L,'Investor Exit List'!$B403)+SUMIFS(Investors!$S:$S,Investors!$I:$I,"&lt;="&amp;'NSST Print'!$B$3,Investors!$J:$J,"",Investors!$A:$A,'Investor Exit List'!$A403,Investors!$E:$E,'Investor Exit List'!$C403,Investors!$L:$L,'Investor Exit List'!$B403))</f>
        <v/>
      </c>
      <c r="R403" s="94">
        <f>IF(AND(H403=TRUE,I403=FALSE),Q403,0)</f>
        <v/>
      </c>
      <c r="S403" s="94">
        <f>SUMIFS(Investors!$M:$M,Investors!$O:$O,TRUE,Investors!$A:$A,'Investor Exit List'!$A403,Investors!$E:$E,'Investor Exit List'!$C403,Investors!$L:$L,'Investor Exit List'!$B403)+SUMIFS(Investors!$S:$S,Investors!$O:$O,TRUE,Investors!$A:$A,'Investor Exit List'!$A403,Investors!$E:$E,'Investor Exit List'!$C403,Investors!$L:$L,'Investor Exit List'!$B403)</f>
        <v/>
      </c>
      <c r="T403" s="95">
        <f>IF(U403=TRUE,$J403,"")</f>
        <v/>
      </c>
      <c r="U403" s="93" t="b">
        <v>0</v>
      </c>
      <c r="V403" s="94">
        <f>IF(AND(H403=TRUE,OR(K403="",K403&gt;M403)),S403,0)</f>
        <v/>
      </c>
      <c r="W403" s="93" t="n">
        <v>0</v>
      </c>
      <c r="X403" s="93" t="b">
        <v>0</v>
      </c>
    </row>
    <row r="404">
      <c r="A404" s="93" t="inlineStr">
        <is>
          <t>ZKRO01</t>
        </is>
      </c>
      <c r="B404" s="93" t="n">
        <v>4</v>
      </c>
      <c r="C404" s="93" t="inlineStr">
        <is>
          <t>HVK403</t>
        </is>
      </c>
      <c r="D404" s="93" t="inlineStr">
        <is>
          <t>K</t>
        </is>
      </c>
      <c r="E404" s="93" t="inlineStr">
        <is>
          <t>van der Merwe Frans</t>
        </is>
      </c>
      <c r="F404" s="94">
        <f>SUMIFS(Investors!$M:$M,Investors!$O:$O,FALSE,Investors!$P:$P,FALSE,Investors!$K:$K,"&gt;"&amp;'NSST Print'!$B$3,Investors!$I:$I,"&lt;="&amp;'NSST Print'!$B$3,Investors!$A:$A,'Investor Exit List'!$A404,Investors!$E:$E,'Investor Exit List'!$C404,Investors!$L:$L,'Investor Exit List'!$B404)-(SUMIFS(Investors!$M:$M,Investors!$I:$I,"&lt;="&amp;'NSST Print'!$B$3,Investors!$J:$J,"&gt;"&amp;'NSST Print'!$B$3,Investors!$A:$A,'Investor Exit List'!$A404,Investors!$E:$E,'Investor Exit List'!$C404,Investors!$L:$L,'Investor Exit List'!$B404)+SUMIFS(Investors!$M:$M,Investors!$I:$I,"&lt;="&amp;'NSST Print'!$B$3,Investors!$J:$J,"",Investors!$A:$A,'Investor Exit List'!$A404,Investors!$E:$E,'Investor Exit List'!$C404,Investors!$L:$L,'Investor Exit List'!$B404))</f>
        <v/>
      </c>
      <c r="G404" s="95" t="n">
        <v>45072</v>
      </c>
      <c r="H404" s="93" t="b">
        <v>0</v>
      </c>
      <c r="I404" s="93" t="b">
        <v>0</v>
      </c>
      <c r="J404" s="95" t="n">
        <v>45510</v>
      </c>
      <c r="K404" s="95">
        <f>IF(I404=TRUE,J404,"")</f>
        <v/>
      </c>
      <c r="L404" s="95">
        <f>G404+730</f>
        <v/>
      </c>
      <c r="M404" s="95" t="n">
        <v>45382</v>
      </c>
      <c r="N404" s="96">
        <f>IFERROR(IF(G404&lt;&gt;"",IF(I404=TRUE,0,IF(U404=TRUE,0,L404-M404)),0),0)</f>
        <v/>
      </c>
      <c r="O404" s="96">
        <f>IF(N404&gt;0,IF(N404&lt;=180,N404,0),0)</f>
        <v/>
      </c>
      <c r="P404" s="94">
        <f>IF(AND(N404&lt;90,N404&gt;0),Q404,0)</f>
        <v/>
      </c>
      <c r="Q404" s="94">
        <f>SUMIFS(Investors!$M:$M,Investors!$O:$O,FALSE,Investors!$P:$P,FALSE,Investors!$K:$K,"&gt;"&amp;'NSST Print'!$B$3,Investors!$I:$I,"&lt;="&amp;'NSST Print'!$B$3,Investors!$A:$A,'Investor Exit List'!$A404,Investors!$E:$E,'Investor Exit List'!$C404,Investors!$L:$L,'Investor Exit List'!$B404)-(SUMIFS(Investors!$M:$M,Investors!$I:$I,"&lt;="&amp;'NSST Print'!$B$3,Investors!$J:$J,"&gt;"&amp;'NSST Print'!$B$3,Investors!$A:$A,'Investor Exit List'!$A404,Investors!$E:$E,'Investor Exit List'!$C404,Investors!$L:$L,'Investor Exit List'!$B404)+SUMIFS(Investors!$M:$M,Investors!$I:$I,"&lt;="&amp;'NSST Print'!$B$3,Investors!$J:$J,"",Investors!$A:$A,'Investor Exit List'!$A404,Investors!$E:$E,'Investor Exit List'!$C404,Investors!$L:$L,'Investor Exit List'!$B404))+SUMIFS(Investors!$S:$S,Investors!$O:$O,FALSE,Investors!$P:$P,FALSE,Investors!$K:$K,"&gt;"&amp;'NSST Print'!$B$3,Investors!$I:$I,"&lt;="&amp;'NSST Print'!$B$3,Investors!$A:$A,'Investor Exit List'!$A404,Investors!$E:$E,'Investor Exit List'!$C404,Investors!$L:$L,'Investor Exit List'!$B404)-(SUMIFS(Investors!$S:$S,Investors!$I:$I,"&lt;="&amp;'NSST Print'!$B$3,Investors!$J:$J,"&gt;"&amp;'NSST Print'!$B$3,Investors!$A:$A,'Investor Exit List'!$A404,Investors!$E:$E,'Investor Exit List'!$C404,Investors!$L:$L,'Investor Exit List'!$B404)+SUMIFS(Investors!$S:$S,Investors!$I:$I,"&lt;="&amp;'NSST Print'!$B$3,Investors!$J:$J,"",Investors!$A:$A,'Investor Exit List'!$A404,Investors!$E:$E,'Investor Exit List'!$C404,Investors!$L:$L,'Investor Exit List'!$B404))</f>
        <v/>
      </c>
      <c r="R404" s="94">
        <f>IF(AND(H404=TRUE,I404=FALSE),Q404,0)</f>
        <v/>
      </c>
      <c r="S404" s="94">
        <f>SUMIFS(Investors!$M:$M,Investors!$O:$O,TRUE,Investors!$A:$A,'Investor Exit List'!$A404,Investors!$E:$E,'Investor Exit List'!$C404,Investors!$L:$L,'Investor Exit List'!$B404)+SUMIFS(Investors!$S:$S,Investors!$O:$O,TRUE,Investors!$A:$A,'Investor Exit List'!$A404,Investors!$E:$E,'Investor Exit List'!$C404,Investors!$L:$L,'Investor Exit List'!$B404)</f>
        <v/>
      </c>
      <c r="T404" s="95">
        <f>IF(U404=TRUE,$J404,"")</f>
        <v/>
      </c>
      <c r="U404" s="93" t="b">
        <v>0</v>
      </c>
      <c r="V404" s="94">
        <f>IF(AND(H404=TRUE,OR(K404="",K404&gt;M404)),S404,0)</f>
        <v/>
      </c>
      <c r="W404" s="93" t="n">
        <v>0</v>
      </c>
      <c r="X404" s="93" t="b">
        <v>0</v>
      </c>
    </row>
    <row r="405">
      <c r="A405" s="93" t="inlineStr">
        <is>
          <t>ZLUN01</t>
        </is>
      </c>
      <c r="B405" s="93" t="n">
        <v>7</v>
      </c>
      <c r="C405" s="93" t="inlineStr">
        <is>
          <t>HVK403</t>
        </is>
      </c>
      <c r="D405" s="93" t="inlineStr">
        <is>
          <t>K</t>
        </is>
      </c>
      <c r="E405" s="93" t="inlineStr">
        <is>
          <t>Lunau Marc</t>
        </is>
      </c>
      <c r="F405" s="94">
        <f>SUMIFS(Investors!$M:$M,Investors!$O:$O,FALSE,Investors!$P:$P,FALSE,Investors!$K:$K,"&gt;"&amp;'NSST Print'!$B$3,Investors!$I:$I,"&lt;="&amp;'NSST Print'!$B$3,Investors!$A:$A,'Investor Exit List'!$A405,Investors!$E:$E,'Investor Exit List'!$C405,Investors!$L:$L,'Investor Exit List'!$B405)-(SUMIFS(Investors!$M:$M,Investors!$I:$I,"&lt;="&amp;'NSST Print'!$B$3,Investors!$J:$J,"&gt;"&amp;'NSST Print'!$B$3,Investors!$A:$A,'Investor Exit List'!$A405,Investors!$E:$E,'Investor Exit List'!$C405,Investors!$L:$L,'Investor Exit List'!$B405)+SUMIFS(Investors!$M:$M,Investors!$I:$I,"&lt;="&amp;'NSST Print'!$B$3,Investors!$J:$J,"",Investors!$A:$A,'Investor Exit List'!$A405,Investors!$E:$E,'Investor Exit List'!$C405,Investors!$L:$L,'Investor Exit List'!$B405))</f>
        <v/>
      </c>
      <c r="G405" s="95" t="n">
        <v>45107</v>
      </c>
      <c r="H405" s="93" t="b">
        <v>0</v>
      </c>
      <c r="I405" s="93" t="b">
        <v>0</v>
      </c>
      <c r="J405" s="95" t="n">
        <v>45510</v>
      </c>
      <c r="K405" s="95">
        <f>IF(I405=TRUE,J405,"")</f>
        <v/>
      </c>
      <c r="L405" s="95">
        <f>G405+730</f>
        <v/>
      </c>
      <c r="M405" s="95" t="n">
        <v>45382</v>
      </c>
      <c r="N405" s="96">
        <f>IFERROR(IF(G405&lt;&gt;"",IF(I405=TRUE,0,IF(U405=TRUE,0,L405-M405)),0),0)</f>
        <v/>
      </c>
      <c r="O405" s="96">
        <f>IF(N405&gt;0,IF(N405&lt;=180,N405,0),0)</f>
        <v/>
      </c>
      <c r="P405" s="94">
        <f>IF(AND(N405&lt;90,N405&gt;0),Q405,0)</f>
        <v/>
      </c>
      <c r="Q405" s="94">
        <f>SUMIFS(Investors!$M:$M,Investors!$O:$O,FALSE,Investors!$P:$P,FALSE,Investors!$K:$K,"&gt;"&amp;'NSST Print'!$B$3,Investors!$I:$I,"&lt;="&amp;'NSST Print'!$B$3,Investors!$A:$A,'Investor Exit List'!$A405,Investors!$E:$E,'Investor Exit List'!$C405,Investors!$L:$L,'Investor Exit List'!$B405)-(SUMIFS(Investors!$M:$M,Investors!$I:$I,"&lt;="&amp;'NSST Print'!$B$3,Investors!$J:$J,"&gt;"&amp;'NSST Print'!$B$3,Investors!$A:$A,'Investor Exit List'!$A405,Investors!$E:$E,'Investor Exit List'!$C405,Investors!$L:$L,'Investor Exit List'!$B405)+SUMIFS(Investors!$M:$M,Investors!$I:$I,"&lt;="&amp;'NSST Print'!$B$3,Investors!$J:$J,"",Investors!$A:$A,'Investor Exit List'!$A405,Investors!$E:$E,'Investor Exit List'!$C405,Investors!$L:$L,'Investor Exit List'!$B405))+SUMIFS(Investors!$S:$S,Investors!$O:$O,FALSE,Investors!$P:$P,FALSE,Investors!$K:$K,"&gt;"&amp;'NSST Print'!$B$3,Investors!$I:$I,"&lt;="&amp;'NSST Print'!$B$3,Investors!$A:$A,'Investor Exit List'!$A405,Investors!$E:$E,'Investor Exit List'!$C405,Investors!$L:$L,'Investor Exit List'!$B405)-(SUMIFS(Investors!$S:$S,Investors!$I:$I,"&lt;="&amp;'NSST Print'!$B$3,Investors!$J:$J,"&gt;"&amp;'NSST Print'!$B$3,Investors!$A:$A,'Investor Exit List'!$A405,Investors!$E:$E,'Investor Exit List'!$C405,Investors!$L:$L,'Investor Exit List'!$B405)+SUMIFS(Investors!$S:$S,Investors!$I:$I,"&lt;="&amp;'NSST Print'!$B$3,Investors!$J:$J,"",Investors!$A:$A,'Investor Exit List'!$A405,Investors!$E:$E,'Investor Exit List'!$C405,Investors!$L:$L,'Investor Exit List'!$B405))</f>
        <v/>
      </c>
      <c r="R405" s="94">
        <f>IF(AND(H405=TRUE,I405=FALSE),Q405,0)</f>
        <v/>
      </c>
      <c r="S405" s="94">
        <f>SUMIFS(Investors!$M:$M,Investors!$O:$O,TRUE,Investors!$A:$A,'Investor Exit List'!$A405,Investors!$E:$E,'Investor Exit List'!$C405,Investors!$L:$L,'Investor Exit List'!$B405)+SUMIFS(Investors!$S:$S,Investors!$O:$O,TRUE,Investors!$A:$A,'Investor Exit List'!$A405,Investors!$E:$E,'Investor Exit List'!$C405,Investors!$L:$L,'Investor Exit List'!$B405)</f>
        <v/>
      </c>
      <c r="T405" s="95">
        <f>IF(U405=TRUE,$J405,"")</f>
        <v/>
      </c>
      <c r="U405" s="93" t="b">
        <v>0</v>
      </c>
      <c r="V405" s="94">
        <f>IF(AND(H405=TRUE,OR(K405="",K405&gt;M405)),S405,0)</f>
        <v/>
      </c>
      <c r="W405" s="93" t="n">
        <v>0</v>
      </c>
      <c r="X405" s="93" t="b">
        <v>0</v>
      </c>
    </row>
    <row r="406">
      <c r="A406" s="93" t="inlineStr">
        <is>
          <t>ZMCK01</t>
        </is>
      </c>
      <c r="B406" s="93" t="n">
        <v>4</v>
      </c>
      <c r="C406" s="93" t="inlineStr">
        <is>
          <t>HVK403</t>
        </is>
      </c>
      <c r="D406" s="93" t="inlineStr">
        <is>
          <t>K</t>
        </is>
      </c>
      <c r="E406" s="93" t="inlineStr">
        <is>
          <t>MacKenzie-Jones Caitlin</t>
        </is>
      </c>
      <c r="F406" s="94">
        <f>SUMIFS(Investors!$M:$M,Investors!$O:$O,FALSE,Investors!$P:$P,FALSE,Investors!$K:$K,"&gt;"&amp;'NSST Print'!$B$3,Investors!$I:$I,"&lt;="&amp;'NSST Print'!$B$3,Investors!$A:$A,'Investor Exit List'!$A406,Investors!$E:$E,'Investor Exit List'!$C406,Investors!$L:$L,'Investor Exit List'!$B406)-(SUMIFS(Investors!$M:$M,Investors!$I:$I,"&lt;="&amp;'NSST Print'!$B$3,Investors!$J:$J,"&gt;"&amp;'NSST Print'!$B$3,Investors!$A:$A,'Investor Exit List'!$A406,Investors!$E:$E,'Investor Exit List'!$C406,Investors!$L:$L,'Investor Exit List'!$B406)+SUMIFS(Investors!$M:$M,Investors!$I:$I,"&lt;="&amp;'NSST Print'!$B$3,Investors!$J:$J,"",Investors!$A:$A,'Investor Exit List'!$A406,Investors!$E:$E,'Investor Exit List'!$C406,Investors!$L:$L,'Investor Exit List'!$B406))</f>
        <v/>
      </c>
      <c r="G406" s="95" t="n">
        <v>45072</v>
      </c>
      <c r="H406" s="93" t="b">
        <v>0</v>
      </c>
      <c r="I406" s="93" t="b">
        <v>0</v>
      </c>
      <c r="J406" s="95" t="n">
        <v>45510</v>
      </c>
      <c r="K406" s="95">
        <f>IF(I406=TRUE,J406,"")</f>
        <v/>
      </c>
      <c r="L406" s="95">
        <f>G406+730</f>
        <v/>
      </c>
      <c r="M406" s="95" t="n">
        <v>45382</v>
      </c>
      <c r="N406" s="96">
        <f>IFERROR(IF(G406&lt;&gt;"",IF(I406=TRUE,0,IF(U406=TRUE,0,L406-M406)),0),0)</f>
        <v/>
      </c>
      <c r="O406" s="96">
        <f>IF(N406&gt;0,IF(N406&lt;=180,N406,0),0)</f>
        <v/>
      </c>
      <c r="P406" s="94">
        <f>IF(AND(N406&lt;90,N406&gt;0),Q406,0)</f>
        <v/>
      </c>
      <c r="Q406" s="94">
        <f>SUMIFS(Investors!$M:$M,Investors!$O:$O,FALSE,Investors!$P:$P,FALSE,Investors!$K:$K,"&gt;"&amp;'NSST Print'!$B$3,Investors!$I:$I,"&lt;="&amp;'NSST Print'!$B$3,Investors!$A:$A,'Investor Exit List'!$A406,Investors!$E:$E,'Investor Exit List'!$C406,Investors!$L:$L,'Investor Exit List'!$B406)-(SUMIFS(Investors!$M:$M,Investors!$I:$I,"&lt;="&amp;'NSST Print'!$B$3,Investors!$J:$J,"&gt;"&amp;'NSST Print'!$B$3,Investors!$A:$A,'Investor Exit List'!$A406,Investors!$E:$E,'Investor Exit List'!$C406,Investors!$L:$L,'Investor Exit List'!$B406)+SUMIFS(Investors!$M:$M,Investors!$I:$I,"&lt;="&amp;'NSST Print'!$B$3,Investors!$J:$J,"",Investors!$A:$A,'Investor Exit List'!$A406,Investors!$E:$E,'Investor Exit List'!$C406,Investors!$L:$L,'Investor Exit List'!$B406))+SUMIFS(Investors!$S:$S,Investors!$O:$O,FALSE,Investors!$P:$P,FALSE,Investors!$K:$K,"&gt;"&amp;'NSST Print'!$B$3,Investors!$I:$I,"&lt;="&amp;'NSST Print'!$B$3,Investors!$A:$A,'Investor Exit List'!$A406,Investors!$E:$E,'Investor Exit List'!$C406,Investors!$L:$L,'Investor Exit List'!$B406)-(SUMIFS(Investors!$S:$S,Investors!$I:$I,"&lt;="&amp;'NSST Print'!$B$3,Investors!$J:$J,"&gt;"&amp;'NSST Print'!$B$3,Investors!$A:$A,'Investor Exit List'!$A406,Investors!$E:$E,'Investor Exit List'!$C406,Investors!$L:$L,'Investor Exit List'!$B406)+SUMIFS(Investors!$S:$S,Investors!$I:$I,"&lt;="&amp;'NSST Print'!$B$3,Investors!$J:$J,"",Investors!$A:$A,'Investor Exit List'!$A406,Investors!$E:$E,'Investor Exit List'!$C406,Investors!$L:$L,'Investor Exit List'!$B406))</f>
        <v/>
      </c>
      <c r="R406" s="94">
        <f>IF(AND(H406=TRUE,I406=FALSE),Q406,0)</f>
        <v/>
      </c>
      <c r="S406" s="94">
        <f>SUMIFS(Investors!$M:$M,Investors!$O:$O,TRUE,Investors!$A:$A,'Investor Exit List'!$A406,Investors!$E:$E,'Investor Exit List'!$C406,Investors!$L:$L,'Investor Exit List'!$B406)+SUMIFS(Investors!$S:$S,Investors!$O:$O,TRUE,Investors!$A:$A,'Investor Exit List'!$A406,Investors!$E:$E,'Investor Exit List'!$C406,Investors!$L:$L,'Investor Exit List'!$B406)</f>
        <v/>
      </c>
      <c r="T406" s="95">
        <f>IF(U406=TRUE,$J406,"")</f>
        <v/>
      </c>
      <c r="U406" s="93" t="b">
        <v>0</v>
      </c>
      <c r="V406" s="94">
        <f>IF(AND(H406=TRUE,OR(K406="",K406&gt;M406)),S406,0)</f>
        <v/>
      </c>
      <c r="W406" s="93" t="n">
        <v>0</v>
      </c>
      <c r="X406" s="93" t="b">
        <v>0</v>
      </c>
    </row>
    <row r="407">
      <c r="A407" s="93" t="inlineStr">
        <is>
          <t>ZTHA01</t>
        </is>
      </c>
      <c r="B407" s="93" t="n">
        <v>3</v>
      </c>
      <c r="C407" s="93" t="inlineStr">
        <is>
          <t>HVK403</t>
        </is>
      </c>
      <c r="D407" s="93" t="inlineStr">
        <is>
          <t>K</t>
        </is>
      </c>
      <c r="E407" s="93" t="inlineStr">
        <is>
          <t>Matthee Gerald Adriaan Odendal</t>
        </is>
      </c>
      <c r="F407" s="94">
        <f>SUMIFS(Investors!$M:$M,Investors!$O:$O,FALSE,Investors!$P:$P,FALSE,Investors!$K:$K,"&gt;"&amp;'NSST Print'!$B$3,Investors!$I:$I,"&lt;="&amp;'NSST Print'!$B$3,Investors!$A:$A,'Investor Exit List'!$A407,Investors!$E:$E,'Investor Exit List'!$C407,Investors!$L:$L,'Investor Exit List'!$B407)-(SUMIFS(Investors!$M:$M,Investors!$I:$I,"&lt;="&amp;'NSST Print'!$B$3,Investors!$J:$J,"&gt;"&amp;'NSST Print'!$B$3,Investors!$A:$A,'Investor Exit List'!$A407,Investors!$E:$E,'Investor Exit List'!$C407,Investors!$L:$L,'Investor Exit List'!$B407)+SUMIFS(Investors!$M:$M,Investors!$I:$I,"&lt;="&amp;'NSST Print'!$B$3,Investors!$J:$J,"",Investors!$A:$A,'Investor Exit List'!$A407,Investors!$E:$E,'Investor Exit List'!$C407,Investors!$L:$L,'Investor Exit List'!$B407))</f>
        <v/>
      </c>
      <c r="G407" s="95" t="n">
        <v>45008</v>
      </c>
      <c r="H407" s="93" t="b">
        <v>0</v>
      </c>
      <c r="I407" s="93" t="b">
        <v>0</v>
      </c>
      <c r="J407" s="95" t="n">
        <v>45510</v>
      </c>
      <c r="K407" s="95">
        <f>IF(I407=TRUE,J407,"")</f>
        <v/>
      </c>
      <c r="L407" s="95">
        <f>G407+730</f>
        <v/>
      </c>
      <c r="M407" s="95" t="n">
        <v>45382</v>
      </c>
      <c r="N407" s="96">
        <f>IFERROR(IF(G407&lt;&gt;"",IF(I407=TRUE,0,IF(U407=TRUE,0,L407-M407)),0),0)</f>
        <v/>
      </c>
      <c r="O407" s="96">
        <f>IF(N407&gt;0,IF(N407&lt;=180,N407,0),0)</f>
        <v/>
      </c>
      <c r="P407" s="94">
        <f>IF(AND(N407&lt;90,N407&gt;0),Q407,0)</f>
        <v/>
      </c>
      <c r="Q407" s="94">
        <f>SUMIFS(Investors!$M:$M,Investors!$O:$O,FALSE,Investors!$P:$P,FALSE,Investors!$K:$K,"&gt;"&amp;'NSST Print'!$B$3,Investors!$I:$I,"&lt;="&amp;'NSST Print'!$B$3,Investors!$A:$A,'Investor Exit List'!$A407,Investors!$E:$E,'Investor Exit List'!$C407,Investors!$L:$L,'Investor Exit List'!$B407)-(SUMIFS(Investors!$M:$M,Investors!$I:$I,"&lt;="&amp;'NSST Print'!$B$3,Investors!$J:$J,"&gt;"&amp;'NSST Print'!$B$3,Investors!$A:$A,'Investor Exit List'!$A407,Investors!$E:$E,'Investor Exit List'!$C407,Investors!$L:$L,'Investor Exit List'!$B407)+SUMIFS(Investors!$M:$M,Investors!$I:$I,"&lt;="&amp;'NSST Print'!$B$3,Investors!$J:$J,"",Investors!$A:$A,'Investor Exit List'!$A407,Investors!$E:$E,'Investor Exit List'!$C407,Investors!$L:$L,'Investor Exit List'!$B407))+SUMIFS(Investors!$S:$S,Investors!$O:$O,FALSE,Investors!$P:$P,FALSE,Investors!$K:$K,"&gt;"&amp;'NSST Print'!$B$3,Investors!$I:$I,"&lt;="&amp;'NSST Print'!$B$3,Investors!$A:$A,'Investor Exit List'!$A407,Investors!$E:$E,'Investor Exit List'!$C407,Investors!$L:$L,'Investor Exit List'!$B407)-(SUMIFS(Investors!$S:$S,Investors!$I:$I,"&lt;="&amp;'NSST Print'!$B$3,Investors!$J:$J,"&gt;"&amp;'NSST Print'!$B$3,Investors!$A:$A,'Investor Exit List'!$A407,Investors!$E:$E,'Investor Exit List'!$C407,Investors!$L:$L,'Investor Exit List'!$B407)+SUMIFS(Investors!$S:$S,Investors!$I:$I,"&lt;="&amp;'NSST Print'!$B$3,Investors!$J:$J,"",Investors!$A:$A,'Investor Exit List'!$A407,Investors!$E:$E,'Investor Exit List'!$C407,Investors!$L:$L,'Investor Exit List'!$B407))</f>
        <v/>
      </c>
      <c r="R407" s="94">
        <f>IF(AND(H407=TRUE,I407=FALSE),Q407,0)</f>
        <v/>
      </c>
      <c r="S407" s="94">
        <f>SUMIFS(Investors!$M:$M,Investors!$O:$O,TRUE,Investors!$A:$A,'Investor Exit List'!$A407,Investors!$E:$E,'Investor Exit List'!$C407,Investors!$L:$L,'Investor Exit List'!$B407)+SUMIFS(Investors!$S:$S,Investors!$O:$O,TRUE,Investors!$A:$A,'Investor Exit List'!$A407,Investors!$E:$E,'Investor Exit List'!$C407,Investors!$L:$L,'Investor Exit List'!$B407)</f>
        <v/>
      </c>
      <c r="T407" s="95">
        <f>IF(U407=TRUE,$J407,"")</f>
        <v/>
      </c>
      <c r="U407" s="93" t="b">
        <v>0</v>
      </c>
      <c r="V407" s="94">
        <f>IF(AND(H407=TRUE,OR(K407="",K407&gt;M407)),S407,0)</f>
        <v/>
      </c>
      <c r="W407" s="93" t="n">
        <v>0</v>
      </c>
      <c r="X407" s="93" t="b">
        <v>0</v>
      </c>
    </row>
    <row r="408">
      <c r="A408" s="93" t="inlineStr">
        <is>
          <t>ZMCK01</t>
        </is>
      </c>
      <c r="B408" s="93" t="n">
        <v>5</v>
      </c>
      <c r="C408" s="93" t="inlineStr">
        <is>
          <t>HVK404</t>
        </is>
      </c>
      <c r="D408" s="93" t="inlineStr">
        <is>
          <t>K</t>
        </is>
      </c>
      <c r="E408" s="93" t="inlineStr">
        <is>
          <t>MacKenzie-Jones Caitlin</t>
        </is>
      </c>
      <c r="F408" s="94">
        <f>SUMIFS(Investors!$M:$M,Investors!$O:$O,FALSE,Investors!$P:$P,FALSE,Investors!$K:$K,"&gt;"&amp;'NSST Print'!$B$3,Investors!$I:$I,"&lt;="&amp;'NSST Print'!$B$3,Investors!$A:$A,'Investor Exit List'!$A408,Investors!$E:$E,'Investor Exit List'!$C408,Investors!$L:$L,'Investor Exit List'!$B408)-(SUMIFS(Investors!$M:$M,Investors!$I:$I,"&lt;="&amp;'NSST Print'!$B$3,Investors!$J:$J,"&gt;"&amp;'NSST Print'!$B$3,Investors!$A:$A,'Investor Exit List'!$A408,Investors!$E:$E,'Investor Exit List'!$C408,Investors!$L:$L,'Investor Exit List'!$B408)+SUMIFS(Investors!$M:$M,Investors!$I:$I,"&lt;="&amp;'NSST Print'!$B$3,Investors!$J:$J,"",Investors!$A:$A,'Investor Exit List'!$A408,Investors!$E:$E,'Investor Exit List'!$C408,Investors!$L:$L,'Investor Exit List'!$B408))</f>
        <v/>
      </c>
      <c r="G408" s="95" t="n">
        <v>45072</v>
      </c>
      <c r="H408" s="93" t="b">
        <v>0</v>
      </c>
      <c r="I408" s="93" t="b">
        <v>0</v>
      </c>
      <c r="J408" s="95" t="n">
        <v>45510</v>
      </c>
      <c r="K408" s="95">
        <f>IF(I408=TRUE,J408,"")</f>
        <v/>
      </c>
      <c r="L408" s="95">
        <f>G408+730</f>
        <v/>
      </c>
      <c r="M408" s="95" t="n">
        <v>45382</v>
      </c>
      <c r="N408" s="96">
        <f>IFERROR(IF(G408&lt;&gt;"",IF(I408=TRUE,0,IF(U408=TRUE,0,L408-M408)),0),0)</f>
        <v/>
      </c>
      <c r="O408" s="96">
        <f>IF(N408&gt;0,IF(N408&lt;=180,N408,0),0)</f>
        <v/>
      </c>
      <c r="P408" s="94">
        <f>IF(AND(N408&lt;90,N408&gt;0),Q408,0)</f>
        <v/>
      </c>
      <c r="Q408" s="94">
        <f>SUMIFS(Investors!$M:$M,Investors!$O:$O,FALSE,Investors!$P:$P,FALSE,Investors!$K:$K,"&gt;"&amp;'NSST Print'!$B$3,Investors!$I:$I,"&lt;="&amp;'NSST Print'!$B$3,Investors!$A:$A,'Investor Exit List'!$A408,Investors!$E:$E,'Investor Exit List'!$C408,Investors!$L:$L,'Investor Exit List'!$B408)-(SUMIFS(Investors!$M:$M,Investors!$I:$I,"&lt;="&amp;'NSST Print'!$B$3,Investors!$J:$J,"&gt;"&amp;'NSST Print'!$B$3,Investors!$A:$A,'Investor Exit List'!$A408,Investors!$E:$E,'Investor Exit List'!$C408,Investors!$L:$L,'Investor Exit List'!$B408)+SUMIFS(Investors!$M:$M,Investors!$I:$I,"&lt;="&amp;'NSST Print'!$B$3,Investors!$J:$J,"",Investors!$A:$A,'Investor Exit List'!$A408,Investors!$E:$E,'Investor Exit List'!$C408,Investors!$L:$L,'Investor Exit List'!$B408))+SUMIFS(Investors!$S:$S,Investors!$O:$O,FALSE,Investors!$P:$P,FALSE,Investors!$K:$K,"&gt;"&amp;'NSST Print'!$B$3,Investors!$I:$I,"&lt;="&amp;'NSST Print'!$B$3,Investors!$A:$A,'Investor Exit List'!$A408,Investors!$E:$E,'Investor Exit List'!$C408,Investors!$L:$L,'Investor Exit List'!$B408)-(SUMIFS(Investors!$S:$S,Investors!$I:$I,"&lt;="&amp;'NSST Print'!$B$3,Investors!$J:$J,"&gt;"&amp;'NSST Print'!$B$3,Investors!$A:$A,'Investor Exit List'!$A408,Investors!$E:$E,'Investor Exit List'!$C408,Investors!$L:$L,'Investor Exit List'!$B408)+SUMIFS(Investors!$S:$S,Investors!$I:$I,"&lt;="&amp;'NSST Print'!$B$3,Investors!$J:$J,"",Investors!$A:$A,'Investor Exit List'!$A408,Investors!$E:$E,'Investor Exit List'!$C408,Investors!$L:$L,'Investor Exit List'!$B408))</f>
        <v/>
      </c>
      <c r="R408" s="94">
        <f>IF(AND(H408=TRUE,I408=FALSE),Q408,0)</f>
        <v/>
      </c>
      <c r="S408" s="94">
        <f>SUMIFS(Investors!$M:$M,Investors!$O:$O,TRUE,Investors!$A:$A,'Investor Exit List'!$A408,Investors!$E:$E,'Investor Exit List'!$C408,Investors!$L:$L,'Investor Exit List'!$B408)+SUMIFS(Investors!$S:$S,Investors!$O:$O,TRUE,Investors!$A:$A,'Investor Exit List'!$A408,Investors!$E:$E,'Investor Exit List'!$C408,Investors!$L:$L,'Investor Exit List'!$B408)</f>
        <v/>
      </c>
      <c r="T408" s="95">
        <f>IF(U408=TRUE,$J408,"")</f>
        <v/>
      </c>
      <c r="U408" s="93" t="b">
        <v>0</v>
      </c>
      <c r="V408" s="94">
        <f>IF(AND(H408=TRUE,OR(K408="",K408&gt;M408)),S408,0)</f>
        <v/>
      </c>
      <c r="W408" s="93" t="n">
        <v>0</v>
      </c>
      <c r="X408" s="93" t="b">
        <v>0</v>
      </c>
    </row>
    <row r="409">
      <c r="A409" s="93" t="inlineStr">
        <is>
          <t>ZVAN15</t>
        </is>
      </c>
      <c r="B409" s="93" t="n">
        <v>1</v>
      </c>
      <c r="C409" s="93" t="inlineStr">
        <is>
          <t>HVK405</t>
        </is>
      </c>
      <c r="D409" s="93" t="inlineStr">
        <is>
          <t>K</t>
        </is>
      </c>
      <c r="E409" s="93" t="inlineStr">
        <is>
          <t>van Vuren Clifford Roy</t>
        </is>
      </c>
      <c r="F409" s="94">
        <f>SUMIFS(Investors!$M:$M,Investors!$O:$O,FALSE,Investors!$P:$P,FALSE,Investors!$K:$K,"&gt;"&amp;'NSST Print'!$B$3,Investors!$I:$I,"&lt;="&amp;'NSST Print'!$B$3,Investors!$A:$A,'Investor Exit List'!$A409,Investors!$E:$E,'Investor Exit List'!$C409,Investors!$L:$L,'Investor Exit List'!$B409)-(SUMIFS(Investors!$M:$M,Investors!$I:$I,"&lt;="&amp;'NSST Print'!$B$3,Investors!$J:$J,"&gt;"&amp;'NSST Print'!$B$3,Investors!$A:$A,'Investor Exit List'!$A409,Investors!$E:$E,'Investor Exit List'!$C409,Investors!$L:$L,'Investor Exit List'!$B409)+SUMIFS(Investors!$M:$M,Investors!$I:$I,"&lt;="&amp;'NSST Print'!$B$3,Investors!$J:$J,"",Investors!$A:$A,'Investor Exit List'!$A409,Investors!$E:$E,'Investor Exit List'!$C409,Investors!$L:$L,'Investor Exit List'!$B409))</f>
        <v/>
      </c>
      <c r="G409" s="95" t="n">
        <v>45072</v>
      </c>
      <c r="H409" s="93" t="b">
        <v>0</v>
      </c>
      <c r="I409" s="93" t="b">
        <v>0</v>
      </c>
      <c r="J409" s="95" t="n">
        <v>45510</v>
      </c>
      <c r="K409" s="95">
        <f>IF(I409=TRUE,J409,"")</f>
        <v/>
      </c>
      <c r="L409" s="95">
        <f>G409+730</f>
        <v/>
      </c>
      <c r="M409" s="95" t="n">
        <v>45382</v>
      </c>
      <c r="N409" s="96">
        <f>IFERROR(IF(G409&lt;&gt;"",IF(I409=TRUE,0,IF(U409=TRUE,0,L409-M409)),0),0)</f>
        <v/>
      </c>
      <c r="O409" s="96">
        <f>IF(N409&gt;0,IF(N409&lt;=180,N409,0),0)</f>
        <v/>
      </c>
      <c r="P409" s="94">
        <f>IF(AND(N409&lt;90,N409&gt;0),Q409,0)</f>
        <v/>
      </c>
      <c r="Q409" s="94">
        <f>SUMIFS(Investors!$M:$M,Investors!$O:$O,FALSE,Investors!$P:$P,FALSE,Investors!$K:$K,"&gt;"&amp;'NSST Print'!$B$3,Investors!$I:$I,"&lt;="&amp;'NSST Print'!$B$3,Investors!$A:$A,'Investor Exit List'!$A409,Investors!$E:$E,'Investor Exit List'!$C409,Investors!$L:$L,'Investor Exit List'!$B409)-(SUMIFS(Investors!$M:$M,Investors!$I:$I,"&lt;="&amp;'NSST Print'!$B$3,Investors!$J:$J,"&gt;"&amp;'NSST Print'!$B$3,Investors!$A:$A,'Investor Exit List'!$A409,Investors!$E:$E,'Investor Exit List'!$C409,Investors!$L:$L,'Investor Exit List'!$B409)+SUMIFS(Investors!$M:$M,Investors!$I:$I,"&lt;="&amp;'NSST Print'!$B$3,Investors!$J:$J,"",Investors!$A:$A,'Investor Exit List'!$A409,Investors!$E:$E,'Investor Exit List'!$C409,Investors!$L:$L,'Investor Exit List'!$B409))+SUMIFS(Investors!$S:$S,Investors!$O:$O,FALSE,Investors!$P:$P,FALSE,Investors!$K:$K,"&gt;"&amp;'NSST Print'!$B$3,Investors!$I:$I,"&lt;="&amp;'NSST Print'!$B$3,Investors!$A:$A,'Investor Exit List'!$A409,Investors!$E:$E,'Investor Exit List'!$C409,Investors!$L:$L,'Investor Exit List'!$B409)-(SUMIFS(Investors!$S:$S,Investors!$I:$I,"&lt;="&amp;'NSST Print'!$B$3,Investors!$J:$J,"&gt;"&amp;'NSST Print'!$B$3,Investors!$A:$A,'Investor Exit List'!$A409,Investors!$E:$E,'Investor Exit List'!$C409,Investors!$L:$L,'Investor Exit List'!$B409)+SUMIFS(Investors!$S:$S,Investors!$I:$I,"&lt;="&amp;'NSST Print'!$B$3,Investors!$J:$J,"",Investors!$A:$A,'Investor Exit List'!$A409,Investors!$E:$E,'Investor Exit List'!$C409,Investors!$L:$L,'Investor Exit List'!$B409))</f>
        <v/>
      </c>
      <c r="R409" s="94">
        <f>IF(AND(H409=TRUE,I409=FALSE),Q409,0)</f>
        <v/>
      </c>
      <c r="S409" s="94">
        <f>SUMIFS(Investors!$M:$M,Investors!$O:$O,TRUE,Investors!$A:$A,'Investor Exit List'!$A409,Investors!$E:$E,'Investor Exit List'!$C409,Investors!$L:$L,'Investor Exit List'!$B409)+SUMIFS(Investors!$S:$S,Investors!$O:$O,TRUE,Investors!$A:$A,'Investor Exit List'!$A409,Investors!$E:$E,'Investor Exit List'!$C409,Investors!$L:$L,'Investor Exit List'!$B409)</f>
        <v/>
      </c>
      <c r="T409" s="95">
        <f>IF(U409=TRUE,$J409,"")</f>
        <v/>
      </c>
      <c r="U409" s="93" t="b">
        <v>0</v>
      </c>
      <c r="V409" s="94">
        <f>IF(AND(H409=TRUE,OR(K409="",K409&gt;M409)),S409,0)</f>
        <v/>
      </c>
      <c r="W409" s="93" t="n">
        <v>0</v>
      </c>
      <c r="X409" s="93" t="b">
        <v>0</v>
      </c>
    </row>
    <row r="410">
      <c r="A410" s="93" t="inlineStr">
        <is>
          <t>ZVER02</t>
        </is>
      </c>
      <c r="B410" s="93" t="n">
        <v>5</v>
      </c>
      <c r="C410" s="93" t="inlineStr">
        <is>
          <t>HVK405</t>
        </is>
      </c>
      <c r="D410" s="93" t="inlineStr">
        <is>
          <t>K</t>
        </is>
      </c>
      <c r="E410" s="93" t="inlineStr">
        <is>
          <t>Verhaeghe Jean-Jacques EP</t>
        </is>
      </c>
      <c r="F410" s="94">
        <f>SUMIFS(Investors!$M:$M,Investors!$O:$O,FALSE,Investors!$P:$P,FALSE,Investors!$K:$K,"&gt;"&amp;'NSST Print'!$B$3,Investors!$I:$I,"&lt;="&amp;'NSST Print'!$B$3,Investors!$A:$A,'Investor Exit List'!$A410,Investors!$E:$E,'Investor Exit List'!$C410,Investors!$L:$L,'Investor Exit List'!$B410)-(SUMIFS(Investors!$M:$M,Investors!$I:$I,"&lt;="&amp;'NSST Print'!$B$3,Investors!$J:$J,"&gt;"&amp;'NSST Print'!$B$3,Investors!$A:$A,'Investor Exit List'!$A410,Investors!$E:$E,'Investor Exit List'!$C410,Investors!$L:$L,'Investor Exit List'!$B410)+SUMIFS(Investors!$M:$M,Investors!$I:$I,"&lt;="&amp;'NSST Print'!$B$3,Investors!$J:$J,"",Investors!$A:$A,'Investor Exit List'!$A410,Investors!$E:$E,'Investor Exit List'!$C410,Investors!$L:$L,'Investor Exit List'!$B410))</f>
        <v/>
      </c>
      <c r="G410" s="95" t="n">
        <v>45072</v>
      </c>
      <c r="H410" s="93" t="b">
        <v>0</v>
      </c>
      <c r="I410" s="93" t="b">
        <v>0</v>
      </c>
      <c r="J410" s="95" t="n">
        <v>45510</v>
      </c>
      <c r="K410" s="95">
        <f>IF(I410=TRUE,J410,"")</f>
        <v/>
      </c>
      <c r="L410" s="95">
        <f>G410+730</f>
        <v/>
      </c>
      <c r="M410" s="95" t="n">
        <v>45382</v>
      </c>
      <c r="N410" s="96">
        <f>IFERROR(IF(G410&lt;&gt;"",IF(I410=TRUE,0,IF(U410=TRUE,0,L410-M410)),0),0)</f>
        <v/>
      </c>
      <c r="O410" s="96">
        <f>IF(N410&gt;0,IF(N410&lt;=180,N410,0),0)</f>
        <v/>
      </c>
      <c r="P410" s="94">
        <f>IF(AND(N410&lt;90,N410&gt;0),Q410,0)</f>
        <v/>
      </c>
      <c r="Q410" s="94">
        <f>SUMIFS(Investors!$M:$M,Investors!$O:$O,FALSE,Investors!$P:$P,FALSE,Investors!$K:$K,"&gt;"&amp;'NSST Print'!$B$3,Investors!$I:$I,"&lt;="&amp;'NSST Print'!$B$3,Investors!$A:$A,'Investor Exit List'!$A410,Investors!$E:$E,'Investor Exit List'!$C410,Investors!$L:$L,'Investor Exit List'!$B410)-(SUMIFS(Investors!$M:$M,Investors!$I:$I,"&lt;="&amp;'NSST Print'!$B$3,Investors!$J:$J,"&gt;"&amp;'NSST Print'!$B$3,Investors!$A:$A,'Investor Exit List'!$A410,Investors!$E:$E,'Investor Exit List'!$C410,Investors!$L:$L,'Investor Exit List'!$B410)+SUMIFS(Investors!$M:$M,Investors!$I:$I,"&lt;="&amp;'NSST Print'!$B$3,Investors!$J:$J,"",Investors!$A:$A,'Investor Exit List'!$A410,Investors!$E:$E,'Investor Exit List'!$C410,Investors!$L:$L,'Investor Exit List'!$B410))+SUMIFS(Investors!$S:$S,Investors!$O:$O,FALSE,Investors!$P:$P,FALSE,Investors!$K:$K,"&gt;"&amp;'NSST Print'!$B$3,Investors!$I:$I,"&lt;="&amp;'NSST Print'!$B$3,Investors!$A:$A,'Investor Exit List'!$A410,Investors!$E:$E,'Investor Exit List'!$C410,Investors!$L:$L,'Investor Exit List'!$B410)-(SUMIFS(Investors!$S:$S,Investors!$I:$I,"&lt;="&amp;'NSST Print'!$B$3,Investors!$J:$J,"&gt;"&amp;'NSST Print'!$B$3,Investors!$A:$A,'Investor Exit List'!$A410,Investors!$E:$E,'Investor Exit List'!$C410,Investors!$L:$L,'Investor Exit List'!$B410)+SUMIFS(Investors!$S:$S,Investors!$I:$I,"&lt;="&amp;'NSST Print'!$B$3,Investors!$J:$J,"",Investors!$A:$A,'Investor Exit List'!$A410,Investors!$E:$E,'Investor Exit List'!$C410,Investors!$L:$L,'Investor Exit List'!$B410))</f>
        <v/>
      </c>
      <c r="R410" s="94">
        <f>IF(AND(H410=TRUE,I410=FALSE),Q410,0)</f>
        <v/>
      </c>
      <c r="S410" s="94">
        <f>SUMIFS(Investors!$M:$M,Investors!$O:$O,TRUE,Investors!$A:$A,'Investor Exit List'!$A410,Investors!$E:$E,'Investor Exit List'!$C410,Investors!$L:$L,'Investor Exit List'!$B410)+SUMIFS(Investors!$S:$S,Investors!$O:$O,TRUE,Investors!$A:$A,'Investor Exit List'!$A410,Investors!$E:$E,'Investor Exit List'!$C410,Investors!$L:$L,'Investor Exit List'!$B410)</f>
        <v/>
      </c>
      <c r="T410" s="95">
        <f>IF(U410=TRUE,$J410,"")</f>
        <v/>
      </c>
      <c r="U410" s="93" t="b">
        <v>0</v>
      </c>
      <c r="V410" s="94">
        <f>IF(AND(H410=TRUE,OR(K410="",K410&gt;M410)),S410,0)</f>
        <v/>
      </c>
      <c r="W410" s="93" t="n">
        <v>0</v>
      </c>
      <c r="X410" s="93" t="b">
        <v>0</v>
      </c>
    </row>
    <row r="411">
      <c r="A411" s="93" t="inlineStr">
        <is>
          <t>ZVAN13</t>
        </is>
      </c>
      <c r="B411" s="93" t="n">
        <v>2</v>
      </c>
      <c r="C411" s="93" t="inlineStr">
        <is>
          <t>HVK406</t>
        </is>
      </c>
      <c r="D411" s="93" t="inlineStr">
        <is>
          <t>K</t>
        </is>
      </c>
      <c r="E411" s="93" t="inlineStr">
        <is>
          <t>van der Spuy Gian</t>
        </is>
      </c>
      <c r="F411" s="94">
        <f>SUMIFS(Investors!$M:$M,Investors!$O:$O,FALSE,Investors!$P:$P,FALSE,Investors!$K:$K,"&gt;"&amp;'NSST Print'!$B$3,Investors!$I:$I,"&lt;="&amp;'NSST Print'!$B$3,Investors!$A:$A,'Investor Exit List'!$A411,Investors!$E:$E,'Investor Exit List'!$C411,Investors!$L:$L,'Investor Exit List'!$B411)-(SUMIFS(Investors!$M:$M,Investors!$I:$I,"&lt;="&amp;'NSST Print'!$B$3,Investors!$J:$J,"&gt;"&amp;'NSST Print'!$B$3,Investors!$A:$A,'Investor Exit List'!$A411,Investors!$E:$E,'Investor Exit List'!$C411,Investors!$L:$L,'Investor Exit List'!$B411)+SUMIFS(Investors!$M:$M,Investors!$I:$I,"&lt;="&amp;'NSST Print'!$B$3,Investors!$J:$J,"",Investors!$A:$A,'Investor Exit List'!$A411,Investors!$E:$E,'Investor Exit List'!$C411,Investors!$L:$L,'Investor Exit List'!$B411))</f>
        <v/>
      </c>
      <c r="G411" s="95" t="n">
        <v>45016</v>
      </c>
      <c r="H411" s="93" t="b">
        <v>0</v>
      </c>
      <c r="I411" s="93" t="b">
        <v>0</v>
      </c>
      <c r="J411" s="95" t="n">
        <v>45510</v>
      </c>
      <c r="K411" s="95">
        <f>IF(I411=TRUE,J411,"")</f>
        <v/>
      </c>
      <c r="L411" s="95">
        <f>G411+730</f>
        <v/>
      </c>
      <c r="M411" s="95" t="n">
        <v>45382</v>
      </c>
      <c r="N411" s="96">
        <f>IFERROR(IF(G411&lt;&gt;"",IF(I411=TRUE,0,IF(U411=TRUE,0,L411-M411)),0),0)</f>
        <v/>
      </c>
      <c r="O411" s="96">
        <f>IF(N411&gt;0,IF(N411&lt;=180,N411,0),0)</f>
        <v/>
      </c>
      <c r="P411" s="94">
        <f>IF(AND(N411&lt;90,N411&gt;0),Q411,0)</f>
        <v/>
      </c>
      <c r="Q411" s="94">
        <f>SUMIFS(Investors!$M:$M,Investors!$O:$O,FALSE,Investors!$P:$P,FALSE,Investors!$K:$K,"&gt;"&amp;'NSST Print'!$B$3,Investors!$I:$I,"&lt;="&amp;'NSST Print'!$B$3,Investors!$A:$A,'Investor Exit List'!$A411,Investors!$E:$E,'Investor Exit List'!$C411,Investors!$L:$L,'Investor Exit List'!$B411)-(SUMIFS(Investors!$M:$M,Investors!$I:$I,"&lt;="&amp;'NSST Print'!$B$3,Investors!$J:$J,"&gt;"&amp;'NSST Print'!$B$3,Investors!$A:$A,'Investor Exit List'!$A411,Investors!$E:$E,'Investor Exit List'!$C411,Investors!$L:$L,'Investor Exit List'!$B411)+SUMIFS(Investors!$M:$M,Investors!$I:$I,"&lt;="&amp;'NSST Print'!$B$3,Investors!$J:$J,"",Investors!$A:$A,'Investor Exit List'!$A411,Investors!$E:$E,'Investor Exit List'!$C411,Investors!$L:$L,'Investor Exit List'!$B411))+SUMIFS(Investors!$S:$S,Investors!$O:$O,FALSE,Investors!$P:$P,FALSE,Investors!$K:$K,"&gt;"&amp;'NSST Print'!$B$3,Investors!$I:$I,"&lt;="&amp;'NSST Print'!$B$3,Investors!$A:$A,'Investor Exit List'!$A411,Investors!$E:$E,'Investor Exit List'!$C411,Investors!$L:$L,'Investor Exit List'!$B411)-(SUMIFS(Investors!$S:$S,Investors!$I:$I,"&lt;="&amp;'NSST Print'!$B$3,Investors!$J:$J,"&gt;"&amp;'NSST Print'!$B$3,Investors!$A:$A,'Investor Exit List'!$A411,Investors!$E:$E,'Investor Exit List'!$C411,Investors!$L:$L,'Investor Exit List'!$B411)+SUMIFS(Investors!$S:$S,Investors!$I:$I,"&lt;="&amp;'NSST Print'!$B$3,Investors!$J:$J,"",Investors!$A:$A,'Investor Exit List'!$A411,Investors!$E:$E,'Investor Exit List'!$C411,Investors!$L:$L,'Investor Exit List'!$B411))</f>
        <v/>
      </c>
      <c r="R411" s="94">
        <f>IF(AND(H411=TRUE,I411=FALSE),Q411,0)</f>
        <v/>
      </c>
      <c r="S411" s="94">
        <f>SUMIFS(Investors!$M:$M,Investors!$O:$O,TRUE,Investors!$A:$A,'Investor Exit List'!$A411,Investors!$E:$E,'Investor Exit List'!$C411,Investors!$L:$L,'Investor Exit List'!$B411)+SUMIFS(Investors!$S:$S,Investors!$O:$O,TRUE,Investors!$A:$A,'Investor Exit List'!$A411,Investors!$E:$E,'Investor Exit List'!$C411,Investors!$L:$L,'Investor Exit List'!$B411)</f>
        <v/>
      </c>
      <c r="T411" s="95">
        <f>IF(U411=TRUE,$J411,"")</f>
        <v/>
      </c>
      <c r="U411" s="93" t="b">
        <v>0</v>
      </c>
      <c r="V411" s="94">
        <f>IF(AND(H411=TRUE,OR(K411="",K411&gt;M411)),S411,0)</f>
        <v/>
      </c>
      <c r="W411" s="93" t="n">
        <v>0</v>
      </c>
      <c r="X411" s="93" t="b">
        <v>0</v>
      </c>
    </row>
    <row r="412">
      <c r="A412" s="93" t="inlineStr">
        <is>
          <t>ZVAN14</t>
        </is>
      </c>
      <c r="B412" s="93" t="n">
        <v>2</v>
      </c>
      <c r="C412" s="93" t="inlineStr">
        <is>
          <t>HVK406</t>
        </is>
      </c>
      <c r="D412" s="93" t="inlineStr">
        <is>
          <t>K</t>
        </is>
      </c>
      <c r="E412" s="93" t="inlineStr">
        <is>
          <t>van der Spuy Dorothy Anne</t>
        </is>
      </c>
      <c r="F412" s="94">
        <f>SUMIFS(Investors!$M:$M,Investors!$O:$O,FALSE,Investors!$P:$P,FALSE,Investors!$K:$K,"&gt;"&amp;'NSST Print'!$B$3,Investors!$I:$I,"&lt;="&amp;'NSST Print'!$B$3,Investors!$A:$A,'Investor Exit List'!$A412,Investors!$E:$E,'Investor Exit List'!$C412,Investors!$L:$L,'Investor Exit List'!$B412)-(SUMIFS(Investors!$M:$M,Investors!$I:$I,"&lt;="&amp;'NSST Print'!$B$3,Investors!$J:$J,"&gt;"&amp;'NSST Print'!$B$3,Investors!$A:$A,'Investor Exit List'!$A412,Investors!$E:$E,'Investor Exit List'!$C412,Investors!$L:$L,'Investor Exit List'!$B412)+SUMIFS(Investors!$M:$M,Investors!$I:$I,"&lt;="&amp;'NSST Print'!$B$3,Investors!$J:$J,"",Investors!$A:$A,'Investor Exit List'!$A412,Investors!$E:$E,'Investor Exit List'!$C412,Investors!$L:$L,'Investor Exit List'!$B412))</f>
        <v/>
      </c>
      <c r="G412" s="95" t="n">
        <v>45016</v>
      </c>
      <c r="H412" s="93" t="b">
        <v>0</v>
      </c>
      <c r="I412" s="93" t="b">
        <v>0</v>
      </c>
      <c r="J412" s="95" t="n">
        <v>45510</v>
      </c>
      <c r="K412" s="95">
        <f>IF(I412=TRUE,J412,"")</f>
        <v/>
      </c>
      <c r="L412" s="95">
        <f>G412+730</f>
        <v/>
      </c>
      <c r="M412" s="95" t="n">
        <v>45382</v>
      </c>
      <c r="N412" s="96">
        <f>IFERROR(IF(G412&lt;&gt;"",IF(I412=TRUE,0,IF(U412=TRUE,0,L412-M412)),0),0)</f>
        <v/>
      </c>
      <c r="O412" s="96">
        <f>IF(N412&gt;0,IF(N412&lt;=180,N412,0),0)</f>
        <v/>
      </c>
      <c r="P412" s="94">
        <f>IF(AND(N412&lt;90,N412&gt;0),Q412,0)</f>
        <v/>
      </c>
      <c r="Q412" s="94">
        <f>SUMIFS(Investors!$M:$M,Investors!$O:$O,FALSE,Investors!$P:$P,FALSE,Investors!$K:$K,"&gt;"&amp;'NSST Print'!$B$3,Investors!$I:$I,"&lt;="&amp;'NSST Print'!$B$3,Investors!$A:$A,'Investor Exit List'!$A412,Investors!$E:$E,'Investor Exit List'!$C412,Investors!$L:$L,'Investor Exit List'!$B412)-(SUMIFS(Investors!$M:$M,Investors!$I:$I,"&lt;="&amp;'NSST Print'!$B$3,Investors!$J:$J,"&gt;"&amp;'NSST Print'!$B$3,Investors!$A:$A,'Investor Exit List'!$A412,Investors!$E:$E,'Investor Exit List'!$C412,Investors!$L:$L,'Investor Exit List'!$B412)+SUMIFS(Investors!$M:$M,Investors!$I:$I,"&lt;="&amp;'NSST Print'!$B$3,Investors!$J:$J,"",Investors!$A:$A,'Investor Exit List'!$A412,Investors!$E:$E,'Investor Exit List'!$C412,Investors!$L:$L,'Investor Exit List'!$B412))+SUMIFS(Investors!$S:$S,Investors!$O:$O,FALSE,Investors!$P:$P,FALSE,Investors!$K:$K,"&gt;"&amp;'NSST Print'!$B$3,Investors!$I:$I,"&lt;="&amp;'NSST Print'!$B$3,Investors!$A:$A,'Investor Exit List'!$A412,Investors!$E:$E,'Investor Exit List'!$C412,Investors!$L:$L,'Investor Exit List'!$B412)-(SUMIFS(Investors!$S:$S,Investors!$I:$I,"&lt;="&amp;'NSST Print'!$B$3,Investors!$J:$J,"&gt;"&amp;'NSST Print'!$B$3,Investors!$A:$A,'Investor Exit List'!$A412,Investors!$E:$E,'Investor Exit List'!$C412,Investors!$L:$L,'Investor Exit List'!$B412)+SUMIFS(Investors!$S:$S,Investors!$I:$I,"&lt;="&amp;'NSST Print'!$B$3,Investors!$J:$J,"",Investors!$A:$A,'Investor Exit List'!$A412,Investors!$E:$E,'Investor Exit List'!$C412,Investors!$L:$L,'Investor Exit List'!$B412))</f>
        <v/>
      </c>
      <c r="R412" s="94">
        <f>IF(AND(H412=TRUE,I412=FALSE),Q412,0)</f>
        <v/>
      </c>
      <c r="S412" s="94">
        <f>SUMIFS(Investors!$M:$M,Investors!$O:$O,TRUE,Investors!$A:$A,'Investor Exit List'!$A412,Investors!$E:$E,'Investor Exit List'!$C412,Investors!$L:$L,'Investor Exit List'!$B412)+SUMIFS(Investors!$S:$S,Investors!$O:$O,TRUE,Investors!$A:$A,'Investor Exit List'!$A412,Investors!$E:$E,'Investor Exit List'!$C412,Investors!$L:$L,'Investor Exit List'!$B412)</f>
        <v/>
      </c>
      <c r="T412" s="95">
        <f>IF(U412=TRUE,$J412,"")</f>
        <v/>
      </c>
      <c r="U412" s="93" t="b">
        <v>0</v>
      </c>
      <c r="V412" s="94">
        <f>IF(AND(H412=TRUE,OR(K412="",K412&gt;M412)),S412,0)</f>
        <v/>
      </c>
      <c r="W412" s="93" t="n">
        <v>0</v>
      </c>
      <c r="X412" s="93" t="b">
        <v>0</v>
      </c>
    </row>
    <row r="413">
      <c r="A413" s="93" t="inlineStr">
        <is>
          <t>ZVOL01</t>
        </is>
      </c>
      <c r="B413" s="93" t="n">
        <v>5</v>
      </c>
      <c r="C413" s="93" t="inlineStr">
        <is>
          <t>HVK406</t>
        </is>
      </c>
      <c r="D413" s="93" t="inlineStr">
        <is>
          <t>K</t>
        </is>
      </c>
      <c r="E413" s="93" t="inlineStr">
        <is>
          <t>Volschenk Gideon Cornelius</t>
        </is>
      </c>
      <c r="F413" s="94">
        <f>SUMIFS(Investors!$M:$M,Investors!$O:$O,FALSE,Investors!$P:$P,FALSE,Investors!$K:$K,"&gt;"&amp;'NSST Print'!$B$3,Investors!$I:$I,"&lt;="&amp;'NSST Print'!$B$3,Investors!$A:$A,'Investor Exit List'!$A413,Investors!$E:$E,'Investor Exit List'!$C413,Investors!$L:$L,'Investor Exit List'!$B413)-(SUMIFS(Investors!$M:$M,Investors!$I:$I,"&lt;="&amp;'NSST Print'!$B$3,Investors!$J:$J,"&gt;"&amp;'NSST Print'!$B$3,Investors!$A:$A,'Investor Exit List'!$A413,Investors!$E:$E,'Investor Exit List'!$C413,Investors!$L:$L,'Investor Exit List'!$B413)+SUMIFS(Investors!$M:$M,Investors!$I:$I,"&lt;="&amp;'NSST Print'!$B$3,Investors!$J:$J,"",Investors!$A:$A,'Investor Exit List'!$A413,Investors!$E:$E,'Investor Exit List'!$C413,Investors!$L:$L,'Investor Exit List'!$B413))</f>
        <v/>
      </c>
      <c r="G413" s="95" t="n">
        <v>45016</v>
      </c>
      <c r="H413" s="93" t="b">
        <v>0</v>
      </c>
      <c r="I413" s="93" t="b">
        <v>0</v>
      </c>
      <c r="J413" s="95" t="n">
        <v>45510</v>
      </c>
      <c r="K413" s="95">
        <f>IF(I413=TRUE,J413,"")</f>
        <v/>
      </c>
      <c r="L413" s="95">
        <f>G413+730</f>
        <v/>
      </c>
      <c r="M413" s="95" t="n">
        <v>45382</v>
      </c>
      <c r="N413" s="96">
        <f>IFERROR(IF(G413&lt;&gt;"",IF(I413=TRUE,0,IF(U413=TRUE,0,L413-M413)),0),0)</f>
        <v/>
      </c>
      <c r="O413" s="96">
        <f>IF(N413&gt;0,IF(N413&lt;=180,N413,0),0)</f>
        <v/>
      </c>
      <c r="P413" s="94">
        <f>IF(AND(N413&lt;90,N413&gt;0),Q413,0)</f>
        <v/>
      </c>
      <c r="Q413" s="94">
        <f>SUMIFS(Investors!$M:$M,Investors!$O:$O,FALSE,Investors!$P:$P,FALSE,Investors!$K:$K,"&gt;"&amp;'NSST Print'!$B$3,Investors!$I:$I,"&lt;="&amp;'NSST Print'!$B$3,Investors!$A:$A,'Investor Exit List'!$A413,Investors!$E:$E,'Investor Exit List'!$C413,Investors!$L:$L,'Investor Exit List'!$B413)-(SUMIFS(Investors!$M:$M,Investors!$I:$I,"&lt;="&amp;'NSST Print'!$B$3,Investors!$J:$J,"&gt;"&amp;'NSST Print'!$B$3,Investors!$A:$A,'Investor Exit List'!$A413,Investors!$E:$E,'Investor Exit List'!$C413,Investors!$L:$L,'Investor Exit List'!$B413)+SUMIFS(Investors!$M:$M,Investors!$I:$I,"&lt;="&amp;'NSST Print'!$B$3,Investors!$J:$J,"",Investors!$A:$A,'Investor Exit List'!$A413,Investors!$E:$E,'Investor Exit List'!$C413,Investors!$L:$L,'Investor Exit List'!$B413))+SUMIFS(Investors!$S:$S,Investors!$O:$O,FALSE,Investors!$P:$P,FALSE,Investors!$K:$K,"&gt;"&amp;'NSST Print'!$B$3,Investors!$I:$I,"&lt;="&amp;'NSST Print'!$B$3,Investors!$A:$A,'Investor Exit List'!$A413,Investors!$E:$E,'Investor Exit List'!$C413,Investors!$L:$L,'Investor Exit List'!$B413)-(SUMIFS(Investors!$S:$S,Investors!$I:$I,"&lt;="&amp;'NSST Print'!$B$3,Investors!$J:$J,"&gt;"&amp;'NSST Print'!$B$3,Investors!$A:$A,'Investor Exit List'!$A413,Investors!$E:$E,'Investor Exit List'!$C413,Investors!$L:$L,'Investor Exit List'!$B413)+SUMIFS(Investors!$S:$S,Investors!$I:$I,"&lt;="&amp;'NSST Print'!$B$3,Investors!$J:$J,"",Investors!$A:$A,'Investor Exit List'!$A413,Investors!$E:$E,'Investor Exit List'!$C413,Investors!$L:$L,'Investor Exit List'!$B413))</f>
        <v/>
      </c>
      <c r="R413" s="94">
        <f>IF(AND(H413=TRUE,I413=FALSE),Q413,0)</f>
        <v/>
      </c>
      <c r="S413" s="94">
        <f>SUMIFS(Investors!$M:$M,Investors!$O:$O,TRUE,Investors!$A:$A,'Investor Exit List'!$A413,Investors!$E:$E,'Investor Exit List'!$C413,Investors!$L:$L,'Investor Exit List'!$B413)+SUMIFS(Investors!$S:$S,Investors!$O:$O,TRUE,Investors!$A:$A,'Investor Exit List'!$A413,Investors!$E:$E,'Investor Exit List'!$C413,Investors!$L:$L,'Investor Exit List'!$B413)</f>
        <v/>
      </c>
      <c r="T413" s="95">
        <f>IF(U413=TRUE,$J413,"")</f>
        <v/>
      </c>
      <c r="U413" s="93" t="b">
        <v>0</v>
      </c>
      <c r="V413" s="94">
        <f>IF(AND(H413=TRUE,OR(K413="",K413&gt;M413)),S413,0)</f>
        <v/>
      </c>
      <c r="W413" s="93" t="n">
        <v>0</v>
      </c>
      <c r="X413" s="93" t="b">
        <v>0</v>
      </c>
    </row>
    <row r="414">
      <c r="A414" s="93" t="inlineStr">
        <is>
          <t>ZMYB01</t>
        </is>
      </c>
      <c r="B414" s="93" t="n">
        <v>3</v>
      </c>
      <c r="C414" s="93" t="inlineStr">
        <is>
          <t>HVL101</t>
        </is>
      </c>
      <c r="D414" s="93" t="inlineStr">
        <is>
          <t>L</t>
        </is>
      </c>
      <c r="E414" s="93" t="inlineStr">
        <is>
          <t>Myburgh Hermanus Carel</t>
        </is>
      </c>
      <c r="F414" s="94">
        <f>SUMIFS(Investors!$M:$M,Investors!$O:$O,FALSE,Investors!$P:$P,FALSE,Investors!$K:$K,"&gt;"&amp;'NSST Print'!$B$3,Investors!$I:$I,"&lt;="&amp;'NSST Print'!$B$3,Investors!$A:$A,'Investor Exit List'!$A414,Investors!$E:$E,'Investor Exit List'!$C414,Investors!$L:$L,'Investor Exit List'!$B414)-(SUMIFS(Investors!$M:$M,Investors!$I:$I,"&lt;="&amp;'NSST Print'!$B$3,Investors!$J:$J,"&gt;"&amp;'NSST Print'!$B$3,Investors!$A:$A,'Investor Exit List'!$A414,Investors!$E:$E,'Investor Exit List'!$C414,Investors!$L:$L,'Investor Exit List'!$B414)+SUMIFS(Investors!$M:$M,Investors!$I:$I,"&lt;="&amp;'NSST Print'!$B$3,Investors!$J:$J,"",Investors!$A:$A,'Investor Exit List'!$A414,Investors!$E:$E,'Investor Exit List'!$C414,Investors!$L:$L,'Investor Exit List'!$B414))</f>
        <v/>
      </c>
      <c r="G414" s="95" t="n">
        <v>45280</v>
      </c>
      <c r="H414" s="93" t="b">
        <v>0</v>
      </c>
      <c r="I414" s="93" t="b">
        <v>0</v>
      </c>
      <c r="J414" s="95" t="n">
        <v>45524</v>
      </c>
      <c r="K414" s="95">
        <f>IF(I414=TRUE,J414,"")</f>
        <v/>
      </c>
      <c r="L414" s="95">
        <f>G414+730</f>
        <v/>
      </c>
      <c r="M414" s="95" t="n">
        <v>45382</v>
      </c>
      <c r="N414" s="96">
        <f>IFERROR(IF(G414&lt;&gt;"",IF(I414=TRUE,0,IF(U414=TRUE,0,L414-M414)),0),0)</f>
        <v/>
      </c>
      <c r="O414" s="96">
        <f>IF(N414&gt;0,IF(N414&lt;=180,N414,0),0)</f>
        <v/>
      </c>
      <c r="P414" s="94">
        <f>IF(AND(N414&lt;90,N414&gt;0),Q414,0)</f>
        <v/>
      </c>
      <c r="Q414" s="94">
        <f>SUMIFS(Investors!$M:$M,Investors!$O:$O,FALSE,Investors!$P:$P,FALSE,Investors!$K:$K,"&gt;"&amp;'NSST Print'!$B$3,Investors!$I:$I,"&lt;="&amp;'NSST Print'!$B$3,Investors!$A:$A,'Investor Exit List'!$A414,Investors!$E:$E,'Investor Exit List'!$C414,Investors!$L:$L,'Investor Exit List'!$B414)-(SUMIFS(Investors!$M:$M,Investors!$I:$I,"&lt;="&amp;'NSST Print'!$B$3,Investors!$J:$J,"&gt;"&amp;'NSST Print'!$B$3,Investors!$A:$A,'Investor Exit List'!$A414,Investors!$E:$E,'Investor Exit List'!$C414,Investors!$L:$L,'Investor Exit List'!$B414)+SUMIFS(Investors!$M:$M,Investors!$I:$I,"&lt;="&amp;'NSST Print'!$B$3,Investors!$J:$J,"",Investors!$A:$A,'Investor Exit List'!$A414,Investors!$E:$E,'Investor Exit List'!$C414,Investors!$L:$L,'Investor Exit List'!$B414))+SUMIFS(Investors!$S:$S,Investors!$O:$O,FALSE,Investors!$P:$P,FALSE,Investors!$K:$K,"&gt;"&amp;'NSST Print'!$B$3,Investors!$I:$I,"&lt;="&amp;'NSST Print'!$B$3,Investors!$A:$A,'Investor Exit List'!$A414,Investors!$E:$E,'Investor Exit List'!$C414,Investors!$L:$L,'Investor Exit List'!$B414)-(SUMIFS(Investors!$S:$S,Investors!$I:$I,"&lt;="&amp;'NSST Print'!$B$3,Investors!$J:$J,"&gt;"&amp;'NSST Print'!$B$3,Investors!$A:$A,'Investor Exit List'!$A414,Investors!$E:$E,'Investor Exit List'!$C414,Investors!$L:$L,'Investor Exit List'!$B414)+SUMIFS(Investors!$S:$S,Investors!$I:$I,"&lt;="&amp;'NSST Print'!$B$3,Investors!$J:$J,"",Investors!$A:$A,'Investor Exit List'!$A414,Investors!$E:$E,'Investor Exit List'!$C414,Investors!$L:$L,'Investor Exit List'!$B414))</f>
        <v/>
      </c>
      <c r="R414" s="94">
        <f>IF(AND(H414=TRUE,I414=FALSE),Q414,0)</f>
        <v/>
      </c>
      <c r="S414" s="94">
        <f>SUMIFS(Investors!$M:$M,Investors!$O:$O,TRUE,Investors!$A:$A,'Investor Exit List'!$A414,Investors!$E:$E,'Investor Exit List'!$C414,Investors!$L:$L,'Investor Exit List'!$B414)+SUMIFS(Investors!$S:$S,Investors!$O:$O,TRUE,Investors!$A:$A,'Investor Exit List'!$A414,Investors!$E:$E,'Investor Exit List'!$C414,Investors!$L:$L,'Investor Exit List'!$B414)</f>
        <v/>
      </c>
      <c r="T414" s="95">
        <f>IF(U414=TRUE,$J414,"")</f>
        <v/>
      </c>
      <c r="U414" s="93" t="b">
        <v>0</v>
      </c>
      <c r="V414" s="94">
        <f>IF(AND(H414=TRUE,OR(K414="",K414&gt;M414)),S414,0)</f>
        <v/>
      </c>
      <c r="W414" s="93" t="n">
        <v>0</v>
      </c>
      <c r="X414" s="93" t="b">
        <v>0</v>
      </c>
    </row>
    <row r="415">
      <c r="A415" s="93" t="inlineStr">
        <is>
          <t>ZMYB01</t>
        </is>
      </c>
      <c r="B415" s="93" t="n">
        <v>4</v>
      </c>
      <c r="C415" s="93" t="inlineStr">
        <is>
          <t>HVL102</t>
        </is>
      </c>
      <c r="D415" s="93" t="inlineStr">
        <is>
          <t>L</t>
        </is>
      </c>
      <c r="E415" s="93" t="inlineStr">
        <is>
          <t>Myburgh Hermanus Carel</t>
        </is>
      </c>
      <c r="F415" s="94">
        <f>SUMIFS(Investors!$M:$M,Investors!$O:$O,FALSE,Investors!$P:$P,FALSE,Investors!$K:$K,"&gt;"&amp;'NSST Print'!$B$3,Investors!$I:$I,"&lt;="&amp;'NSST Print'!$B$3,Investors!$A:$A,'Investor Exit List'!$A415,Investors!$E:$E,'Investor Exit List'!$C415,Investors!$L:$L,'Investor Exit List'!$B415)-(SUMIFS(Investors!$M:$M,Investors!$I:$I,"&lt;="&amp;'NSST Print'!$B$3,Investors!$J:$J,"&gt;"&amp;'NSST Print'!$B$3,Investors!$A:$A,'Investor Exit List'!$A415,Investors!$E:$E,'Investor Exit List'!$C415,Investors!$L:$L,'Investor Exit List'!$B415)+SUMIFS(Investors!$M:$M,Investors!$I:$I,"&lt;="&amp;'NSST Print'!$B$3,Investors!$J:$J,"",Investors!$A:$A,'Investor Exit List'!$A415,Investors!$E:$E,'Investor Exit List'!$C415,Investors!$L:$L,'Investor Exit List'!$B415))</f>
        <v/>
      </c>
      <c r="G415" s="95" t="n">
        <v>45280</v>
      </c>
      <c r="H415" s="93" t="b">
        <v>0</v>
      </c>
      <c r="I415" s="93" t="b">
        <v>0</v>
      </c>
      <c r="J415" s="95" t="n">
        <v>45524</v>
      </c>
      <c r="K415" s="95">
        <f>IF(I415=TRUE,J415,"")</f>
        <v/>
      </c>
      <c r="L415" s="95">
        <f>G415+730</f>
        <v/>
      </c>
      <c r="M415" s="95" t="n">
        <v>45382</v>
      </c>
      <c r="N415" s="96">
        <f>IFERROR(IF(G415&lt;&gt;"",IF(I415=TRUE,0,IF(U415=TRUE,0,L415-M415)),0),0)</f>
        <v/>
      </c>
      <c r="O415" s="96">
        <f>IF(N415&gt;0,IF(N415&lt;=180,N415,0),0)</f>
        <v/>
      </c>
      <c r="P415" s="94">
        <f>IF(AND(N415&lt;90,N415&gt;0),Q415,0)</f>
        <v/>
      </c>
      <c r="Q415" s="94">
        <f>SUMIFS(Investors!$M:$M,Investors!$O:$O,FALSE,Investors!$P:$P,FALSE,Investors!$K:$K,"&gt;"&amp;'NSST Print'!$B$3,Investors!$I:$I,"&lt;="&amp;'NSST Print'!$B$3,Investors!$A:$A,'Investor Exit List'!$A415,Investors!$E:$E,'Investor Exit List'!$C415,Investors!$L:$L,'Investor Exit List'!$B415)-(SUMIFS(Investors!$M:$M,Investors!$I:$I,"&lt;="&amp;'NSST Print'!$B$3,Investors!$J:$J,"&gt;"&amp;'NSST Print'!$B$3,Investors!$A:$A,'Investor Exit List'!$A415,Investors!$E:$E,'Investor Exit List'!$C415,Investors!$L:$L,'Investor Exit List'!$B415)+SUMIFS(Investors!$M:$M,Investors!$I:$I,"&lt;="&amp;'NSST Print'!$B$3,Investors!$J:$J,"",Investors!$A:$A,'Investor Exit List'!$A415,Investors!$E:$E,'Investor Exit List'!$C415,Investors!$L:$L,'Investor Exit List'!$B415))+SUMIFS(Investors!$S:$S,Investors!$O:$O,FALSE,Investors!$P:$P,FALSE,Investors!$K:$K,"&gt;"&amp;'NSST Print'!$B$3,Investors!$I:$I,"&lt;="&amp;'NSST Print'!$B$3,Investors!$A:$A,'Investor Exit List'!$A415,Investors!$E:$E,'Investor Exit List'!$C415,Investors!$L:$L,'Investor Exit List'!$B415)-(SUMIFS(Investors!$S:$S,Investors!$I:$I,"&lt;="&amp;'NSST Print'!$B$3,Investors!$J:$J,"&gt;"&amp;'NSST Print'!$B$3,Investors!$A:$A,'Investor Exit List'!$A415,Investors!$E:$E,'Investor Exit List'!$C415,Investors!$L:$L,'Investor Exit List'!$B415)+SUMIFS(Investors!$S:$S,Investors!$I:$I,"&lt;="&amp;'NSST Print'!$B$3,Investors!$J:$J,"",Investors!$A:$A,'Investor Exit List'!$A415,Investors!$E:$E,'Investor Exit List'!$C415,Investors!$L:$L,'Investor Exit List'!$B415))</f>
        <v/>
      </c>
      <c r="R415" s="94">
        <f>IF(AND(H415=TRUE,I415=FALSE),Q415,0)</f>
        <v/>
      </c>
      <c r="S415" s="94">
        <f>SUMIFS(Investors!$M:$M,Investors!$O:$O,TRUE,Investors!$A:$A,'Investor Exit List'!$A415,Investors!$E:$E,'Investor Exit List'!$C415,Investors!$L:$L,'Investor Exit List'!$B415)+SUMIFS(Investors!$S:$S,Investors!$O:$O,TRUE,Investors!$A:$A,'Investor Exit List'!$A415,Investors!$E:$E,'Investor Exit List'!$C415,Investors!$L:$L,'Investor Exit List'!$B415)</f>
        <v/>
      </c>
      <c r="T415" s="95">
        <f>IF(U415=TRUE,$J415,"")</f>
        <v/>
      </c>
      <c r="U415" s="93" t="b">
        <v>0</v>
      </c>
      <c r="V415" s="94">
        <f>IF(AND(H415=TRUE,OR(K415="",K415&gt;M415)),S415,0)</f>
        <v/>
      </c>
      <c r="W415" s="93" t="n">
        <v>0</v>
      </c>
      <c r="X415" s="93" t="b">
        <v>0</v>
      </c>
    </row>
    <row r="416">
      <c r="A416" s="93" t="inlineStr">
        <is>
          <t>ZTUR01</t>
        </is>
      </c>
      <c r="B416" s="93" t="n">
        <v>1</v>
      </c>
      <c r="C416" s="93" t="inlineStr">
        <is>
          <t>HVL102</t>
        </is>
      </c>
      <c r="D416" s="93" t="inlineStr">
        <is>
          <t>L</t>
        </is>
      </c>
      <c r="E416" s="93" t="inlineStr">
        <is>
          <t>Turunen Janne Petteri</t>
        </is>
      </c>
      <c r="F416" s="94">
        <f>SUMIFS(Investors!$M:$M,Investors!$O:$O,FALSE,Investors!$P:$P,FALSE,Investors!$K:$K,"&gt;"&amp;'NSST Print'!$B$3,Investors!$I:$I,"&lt;="&amp;'NSST Print'!$B$3,Investors!$A:$A,'Investor Exit List'!$A416,Investors!$E:$E,'Investor Exit List'!$C416,Investors!$L:$L,'Investor Exit List'!$B416)-(SUMIFS(Investors!$M:$M,Investors!$I:$I,"&lt;="&amp;'NSST Print'!$B$3,Investors!$J:$J,"&gt;"&amp;'NSST Print'!$B$3,Investors!$A:$A,'Investor Exit List'!$A416,Investors!$E:$E,'Investor Exit List'!$C416,Investors!$L:$L,'Investor Exit List'!$B416)+SUMIFS(Investors!$M:$M,Investors!$I:$I,"&lt;="&amp;'NSST Print'!$B$3,Investors!$J:$J,"",Investors!$A:$A,'Investor Exit List'!$A416,Investors!$E:$E,'Investor Exit List'!$C416,Investors!$L:$L,'Investor Exit List'!$B416))</f>
        <v/>
      </c>
      <c r="G416" s="95" t="n">
        <v>45259</v>
      </c>
      <c r="H416" s="93" t="b">
        <v>0</v>
      </c>
      <c r="I416" s="93" t="b">
        <v>0</v>
      </c>
      <c r="J416" s="95" t="n">
        <v>45524</v>
      </c>
      <c r="K416" s="95">
        <f>IF(I416=TRUE,J416,"")</f>
        <v/>
      </c>
      <c r="L416" s="95">
        <f>G416+730</f>
        <v/>
      </c>
      <c r="M416" s="95" t="n">
        <v>45382</v>
      </c>
      <c r="N416" s="96">
        <f>IFERROR(IF(G416&lt;&gt;"",IF(I416=TRUE,0,IF(U416=TRUE,0,L416-M416)),0),0)</f>
        <v/>
      </c>
      <c r="O416" s="96">
        <f>IF(N416&gt;0,IF(N416&lt;=180,N416,0),0)</f>
        <v/>
      </c>
      <c r="P416" s="94">
        <f>IF(AND(N416&lt;90,N416&gt;0),Q416,0)</f>
        <v/>
      </c>
      <c r="Q416" s="94">
        <f>SUMIFS(Investors!$M:$M,Investors!$O:$O,FALSE,Investors!$P:$P,FALSE,Investors!$K:$K,"&gt;"&amp;'NSST Print'!$B$3,Investors!$I:$I,"&lt;="&amp;'NSST Print'!$B$3,Investors!$A:$A,'Investor Exit List'!$A416,Investors!$E:$E,'Investor Exit List'!$C416,Investors!$L:$L,'Investor Exit List'!$B416)-(SUMIFS(Investors!$M:$M,Investors!$I:$I,"&lt;="&amp;'NSST Print'!$B$3,Investors!$J:$J,"&gt;"&amp;'NSST Print'!$B$3,Investors!$A:$A,'Investor Exit List'!$A416,Investors!$E:$E,'Investor Exit List'!$C416,Investors!$L:$L,'Investor Exit List'!$B416)+SUMIFS(Investors!$M:$M,Investors!$I:$I,"&lt;="&amp;'NSST Print'!$B$3,Investors!$J:$J,"",Investors!$A:$A,'Investor Exit List'!$A416,Investors!$E:$E,'Investor Exit List'!$C416,Investors!$L:$L,'Investor Exit List'!$B416))+SUMIFS(Investors!$S:$S,Investors!$O:$O,FALSE,Investors!$P:$P,FALSE,Investors!$K:$K,"&gt;"&amp;'NSST Print'!$B$3,Investors!$I:$I,"&lt;="&amp;'NSST Print'!$B$3,Investors!$A:$A,'Investor Exit List'!$A416,Investors!$E:$E,'Investor Exit List'!$C416,Investors!$L:$L,'Investor Exit List'!$B416)-(SUMIFS(Investors!$S:$S,Investors!$I:$I,"&lt;="&amp;'NSST Print'!$B$3,Investors!$J:$J,"&gt;"&amp;'NSST Print'!$B$3,Investors!$A:$A,'Investor Exit List'!$A416,Investors!$E:$E,'Investor Exit List'!$C416,Investors!$L:$L,'Investor Exit List'!$B416)+SUMIFS(Investors!$S:$S,Investors!$I:$I,"&lt;="&amp;'NSST Print'!$B$3,Investors!$J:$J,"",Investors!$A:$A,'Investor Exit List'!$A416,Investors!$E:$E,'Investor Exit List'!$C416,Investors!$L:$L,'Investor Exit List'!$B416))</f>
        <v/>
      </c>
      <c r="R416" s="94">
        <f>IF(AND(H416=TRUE,I416=FALSE),Q416,0)</f>
        <v/>
      </c>
      <c r="S416" s="94">
        <f>SUMIFS(Investors!$M:$M,Investors!$O:$O,TRUE,Investors!$A:$A,'Investor Exit List'!$A416,Investors!$E:$E,'Investor Exit List'!$C416,Investors!$L:$L,'Investor Exit List'!$B416)+SUMIFS(Investors!$S:$S,Investors!$O:$O,TRUE,Investors!$A:$A,'Investor Exit List'!$A416,Investors!$E:$E,'Investor Exit List'!$C416,Investors!$L:$L,'Investor Exit List'!$B416)</f>
        <v/>
      </c>
      <c r="T416" s="95">
        <f>IF(U416=TRUE,$J416,"")</f>
        <v/>
      </c>
      <c r="U416" s="93" t="b">
        <v>0</v>
      </c>
      <c r="V416" s="94">
        <f>IF(AND(H416=TRUE,OR(K416="",K416&gt;M416)),S416,0)</f>
        <v/>
      </c>
      <c r="W416" s="93" t="n">
        <v>0</v>
      </c>
      <c r="X416" s="93" t="b">
        <v>0</v>
      </c>
    </row>
    <row r="417">
      <c r="A417" s="93" t="inlineStr">
        <is>
          <t>ZVOL01</t>
        </is>
      </c>
      <c r="B417" s="93" t="n">
        <v>6</v>
      </c>
      <c r="C417" s="93" t="inlineStr">
        <is>
          <t>HVL102</t>
        </is>
      </c>
      <c r="D417" s="93" t="inlineStr">
        <is>
          <t>L</t>
        </is>
      </c>
      <c r="E417" s="93" t="inlineStr">
        <is>
          <t>Volschenk Gideon Cornelius</t>
        </is>
      </c>
      <c r="F417" s="94">
        <f>SUMIFS(Investors!$M:$M,Investors!$O:$O,FALSE,Investors!$P:$P,FALSE,Investors!$K:$K,"&gt;"&amp;'NSST Print'!$B$3,Investors!$I:$I,"&lt;="&amp;'NSST Print'!$B$3,Investors!$A:$A,'Investor Exit List'!$A417,Investors!$E:$E,'Investor Exit List'!$C417,Investors!$L:$L,'Investor Exit List'!$B417)-(SUMIFS(Investors!$M:$M,Investors!$I:$I,"&lt;="&amp;'NSST Print'!$B$3,Investors!$J:$J,"&gt;"&amp;'NSST Print'!$B$3,Investors!$A:$A,'Investor Exit List'!$A417,Investors!$E:$E,'Investor Exit List'!$C417,Investors!$L:$L,'Investor Exit List'!$B417)+SUMIFS(Investors!$M:$M,Investors!$I:$I,"&lt;="&amp;'NSST Print'!$B$3,Investors!$J:$J,"",Investors!$A:$A,'Investor Exit List'!$A417,Investors!$E:$E,'Investor Exit List'!$C417,Investors!$L:$L,'Investor Exit List'!$B417))</f>
        <v/>
      </c>
      <c r="G417" s="95" t="n">
        <v>45259</v>
      </c>
      <c r="H417" s="93" t="b">
        <v>0</v>
      </c>
      <c r="I417" s="93" t="b">
        <v>0</v>
      </c>
      <c r="J417" s="95" t="n">
        <v>45524</v>
      </c>
      <c r="K417" s="95">
        <f>IF(I417=TRUE,J417,"")</f>
        <v/>
      </c>
      <c r="L417" s="95">
        <f>G417+730</f>
        <v/>
      </c>
      <c r="M417" s="95" t="n">
        <v>45382</v>
      </c>
      <c r="N417" s="96">
        <f>IFERROR(IF(G417&lt;&gt;"",IF(I417=TRUE,0,IF(U417=TRUE,0,L417-M417)),0),0)</f>
        <v/>
      </c>
      <c r="O417" s="96">
        <f>IF(N417&gt;0,IF(N417&lt;=180,N417,0),0)</f>
        <v/>
      </c>
      <c r="P417" s="94">
        <f>IF(AND(N417&lt;90,N417&gt;0),Q417,0)</f>
        <v/>
      </c>
      <c r="Q417" s="94">
        <f>SUMIFS(Investors!$M:$M,Investors!$O:$O,FALSE,Investors!$P:$P,FALSE,Investors!$K:$K,"&gt;"&amp;'NSST Print'!$B$3,Investors!$I:$I,"&lt;="&amp;'NSST Print'!$B$3,Investors!$A:$A,'Investor Exit List'!$A417,Investors!$E:$E,'Investor Exit List'!$C417,Investors!$L:$L,'Investor Exit List'!$B417)-(SUMIFS(Investors!$M:$M,Investors!$I:$I,"&lt;="&amp;'NSST Print'!$B$3,Investors!$J:$J,"&gt;"&amp;'NSST Print'!$B$3,Investors!$A:$A,'Investor Exit List'!$A417,Investors!$E:$E,'Investor Exit List'!$C417,Investors!$L:$L,'Investor Exit List'!$B417)+SUMIFS(Investors!$M:$M,Investors!$I:$I,"&lt;="&amp;'NSST Print'!$B$3,Investors!$J:$J,"",Investors!$A:$A,'Investor Exit List'!$A417,Investors!$E:$E,'Investor Exit List'!$C417,Investors!$L:$L,'Investor Exit List'!$B417))+SUMIFS(Investors!$S:$S,Investors!$O:$O,FALSE,Investors!$P:$P,FALSE,Investors!$K:$K,"&gt;"&amp;'NSST Print'!$B$3,Investors!$I:$I,"&lt;="&amp;'NSST Print'!$B$3,Investors!$A:$A,'Investor Exit List'!$A417,Investors!$E:$E,'Investor Exit List'!$C417,Investors!$L:$L,'Investor Exit List'!$B417)-(SUMIFS(Investors!$S:$S,Investors!$I:$I,"&lt;="&amp;'NSST Print'!$B$3,Investors!$J:$J,"&gt;"&amp;'NSST Print'!$B$3,Investors!$A:$A,'Investor Exit List'!$A417,Investors!$E:$E,'Investor Exit List'!$C417,Investors!$L:$L,'Investor Exit List'!$B417)+SUMIFS(Investors!$S:$S,Investors!$I:$I,"&lt;="&amp;'NSST Print'!$B$3,Investors!$J:$J,"",Investors!$A:$A,'Investor Exit List'!$A417,Investors!$E:$E,'Investor Exit List'!$C417,Investors!$L:$L,'Investor Exit List'!$B417))</f>
        <v/>
      </c>
      <c r="R417" s="94">
        <f>IF(AND(H417=TRUE,I417=FALSE),Q417,0)</f>
        <v/>
      </c>
      <c r="S417" s="94">
        <f>SUMIFS(Investors!$M:$M,Investors!$O:$O,TRUE,Investors!$A:$A,'Investor Exit List'!$A417,Investors!$E:$E,'Investor Exit List'!$C417,Investors!$L:$L,'Investor Exit List'!$B417)+SUMIFS(Investors!$S:$S,Investors!$O:$O,TRUE,Investors!$A:$A,'Investor Exit List'!$A417,Investors!$E:$E,'Investor Exit List'!$C417,Investors!$L:$L,'Investor Exit List'!$B417)</f>
        <v/>
      </c>
      <c r="T417" s="95">
        <f>IF(U417=TRUE,$J417,"")</f>
        <v/>
      </c>
      <c r="U417" s="93" t="b">
        <v>0</v>
      </c>
      <c r="V417" s="94">
        <f>IF(AND(H417=TRUE,OR(K417="",K417&gt;M417)),S417,0)</f>
        <v/>
      </c>
      <c r="W417" s="93" t="n">
        <v>0</v>
      </c>
      <c r="X417" s="93" t="b">
        <v>0</v>
      </c>
    </row>
    <row r="418">
      <c r="A418" s="93" t="inlineStr">
        <is>
          <t>ZCRO02</t>
        </is>
      </c>
      <c r="B418" s="93" t="n">
        <v>2</v>
      </c>
      <c r="C418" s="93" t="inlineStr">
        <is>
          <t>HVL103</t>
        </is>
      </c>
      <c r="D418" s="93" t="inlineStr">
        <is>
          <t>L</t>
        </is>
      </c>
      <c r="E418" s="93" t="inlineStr">
        <is>
          <t>Crouse Gregory Murray</t>
        </is>
      </c>
      <c r="F418" s="94">
        <f>SUMIFS(Investors!$M:$M,Investors!$O:$O,FALSE,Investors!$P:$P,FALSE,Investors!$K:$K,"&gt;"&amp;'NSST Print'!$B$3,Investors!$I:$I,"&lt;="&amp;'NSST Print'!$B$3,Investors!$A:$A,'Investor Exit List'!$A418,Investors!$E:$E,'Investor Exit List'!$C418,Investors!$L:$L,'Investor Exit List'!$B418)-(SUMIFS(Investors!$M:$M,Investors!$I:$I,"&lt;="&amp;'NSST Print'!$B$3,Investors!$J:$J,"&gt;"&amp;'NSST Print'!$B$3,Investors!$A:$A,'Investor Exit List'!$A418,Investors!$E:$E,'Investor Exit List'!$C418,Investors!$L:$L,'Investor Exit List'!$B418)+SUMIFS(Investors!$M:$M,Investors!$I:$I,"&lt;="&amp;'NSST Print'!$B$3,Investors!$J:$J,"",Investors!$A:$A,'Investor Exit List'!$A418,Investors!$E:$E,'Investor Exit List'!$C418,Investors!$L:$L,'Investor Exit List'!$B418))</f>
        <v/>
      </c>
      <c r="G418" s="95" t="n">
        <v>45273</v>
      </c>
      <c r="H418" s="93" t="b">
        <v>0</v>
      </c>
      <c r="I418" s="93" t="b">
        <v>0</v>
      </c>
      <c r="J418" s="95" t="n">
        <v>45524</v>
      </c>
      <c r="K418" s="95">
        <f>IF(I418=TRUE,J418,"")</f>
        <v/>
      </c>
      <c r="L418" s="95">
        <f>G418+730</f>
        <v/>
      </c>
      <c r="M418" s="95" t="n">
        <v>45382</v>
      </c>
      <c r="N418" s="96">
        <f>IFERROR(IF(G418&lt;&gt;"",IF(I418=TRUE,0,IF(U418=TRUE,0,L418-M418)),0),0)</f>
        <v/>
      </c>
      <c r="O418" s="96">
        <f>IF(N418&gt;0,IF(N418&lt;=180,N418,0),0)</f>
        <v/>
      </c>
      <c r="P418" s="94">
        <f>IF(AND(N418&lt;90,N418&gt;0),Q418,0)</f>
        <v/>
      </c>
      <c r="Q418" s="94">
        <f>SUMIFS(Investors!$M:$M,Investors!$O:$O,FALSE,Investors!$P:$P,FALSE,Investors!$K:$K,"&gt;"&amp;'NSST Print'!$B$3,Investors!$I:$I,"&lt;="&amp;'NSST Print'!$B$3,Investors!$A:$A,'Investor Exit List'!$A418,Investors!$E:$E,'Investor Exit List'!$C418,Investors!$L:$L,'Investor Exit List'!$B418)-(SUMIFS(Investors!$M:$M,Investors!$I:$I,"&lt;="&amp;'NSST Print'!$B$3,Investors!$J:$J,"&gt;"&amp;'NSST Print'!$B$3,Investors!$A:$A,'Investor Exit List'!$A418,Investors!$E:$E,'Investor Exit List'!$C418,Investors!$L:$L,'Investor Exit List'!$B418)+SUMIFS(Investors!$M:$M,Investors!$I:$I,"&lt;="&amp;'NSST Print'!$B$3,Investors!$J:$J,"",Investors!$A:$A,'Investor Exit List'!$A418,Investors!$E:$E,'Investor Exit List'!$C418,Investors!$L:$L,'Investor Exit List'!$B418))+SUMIFS(Investors!$S:$S,Investors!$O:$O,FALSE,Investors!$P:$P,FALSE,Investors!$K:$K,"&gt;"&amp;'NSST Print'!$B$3,Investors!$I:$I,"&lt;="&amp;'NSST Print'!$B$3,Investors!$A:$A,'Investor Exit List'!$A418,Investors!$E:$E,'Investor Exit List'!$C418,Investors!$L:$L,'Investor Exit List'!$B418)-(SUMIFS(Investors!$S:$S,Investors!$I:$I,"&lt;="&amp;'NSST Print'!$B$3,Investors!$J:$J,"&gt;"&amp;'NSST Print'!$B$3,Investors!$A:$A,'Investor Exit List'!$A418,Investors!$E:$E,'Investor Exit List'!$C418,Investors!$L:$L,'Investor Exit List'!$B418)+SUMIFS(Investors!$S:$S,Investors!$I:$I,"&lt;="&amp;'NSST Print'!$B$3,Investors!$J:$J,"",Investors!$A:$A,'Investor Exit List'!$A418,Investors!$E:$E,'Investor Exit List'!$C418,Investors!$L:$L,'Investor Exit List'!$B418))</f>
        <v/>
      </c>
      <c r="R418" s="94">
        <f>IF(AND(H418=TRUE,I418=FALSE),Q418,0)</f>
        <v/>
      </c>
      <c r="S418" s="94">
        <f>SUMIFS(Investors!$M:$M,Investors!$O:$O,TRUE,Investors!$A:$A,'Investor Exit List'!$A418,Investors!$E:$E,'Investor Exit List'!$C418,Investors!$L:$L,'Investor Exit List'!$B418)+SUMIFS(Investors!$S:$S,Investors!$O:$O,TRUE,Investors!$A:$A,'Investor Exit List'!$A418,Investors!$E:$E,'Investor Exit List'!$C418,Investors!$L:$L,'Investor Exit List'!$B418)</f>
        <v/>
      </c>
      <c r="T418" s="95">
        <f>IF(U418=TRUE,$J418,"")</f>
        <v/>
      </c>
      <c r="U418" s="93" t="b">
        <v>0</v>
      </c>
      <c r="V418" s="94">
        <f>IF(AND(H418=TRUE,OR(K418="",K418&gt;M418)),S418,0)</f>
        <v/>
      </c>
      <c r="W418" s="93" t="n">
        <v>0</v>
      </c>
      <c r="X418" s="93" t="b">
        <v>0</v>
      </c>
    </row>
    <row r="419">
      <c r="A419" s="93" t="inlineStr">
        <is>
          <t>ZSIP01</t>
        </is>
      </c>
      <c r="B419" s="93" t="n">
        <v>1</v>
      </c>
      <c r="C419" s="93" t="inlineStr">
        <is>
          <t>HVL103</t>
        </is>
      </c>
      <c r="D419" s="93" t="inlineStr">
        <is>
          <t>L</t>
        </is>
      </c>
      <c r="E419" s="93" t="inlineStr">
        <is>
          <t>Sipongo Elaine Christilene</t>
        </is>
      </c>
      <c r="F419" s="94">
        <f>SUMIFS(Investors!$M:$M,Investors!$O:$O,FALSE,Investors!$P:$P,FALSE,Investors!$K:$K,"&gt;"&amp;'NSST Print'!$B$3,Investors!$I:$I,"&lt;="&amp;'NSST Print'!$B$3,Investors!$A:$A,'Investor Exit List'!$A419,Investors!$E:$E,'Investor Exit List'!$C419,Investors!$L:$L,'Investor Exit List'!$B419)-(SUMIFS(Investors!$M:$M,Investors!$I:$I,"&lt;="&amp;'NSST Print'!$B$3,Investors!$J:$J,"&gt;"&amp;'NSST Print'!$B$3,Investors!$A:$A,'Investor Exit List'!$A419,Investors!$E:$E,'Investor Exit List'!$C419,Investors!$L:$L,'Investor Exit List'!$B419)+SUMIFS(Investors!$M:$M,Investors!$I:$I,"&lt;="&amp;'NSST Print'!$B$3,Investors!$J:$J,"",Investors!$A:$A,'Investor Exit List'!$A419,Investors!$E:$E,'Investor Exit List'!$C419,Investors!$L:$L,'Investor Exit List'!$B419))</f>
        <v/>
      </c>
      <c r="G419" s="95" t="n">
        <v>45259</v>
      </c>
      <c r="H419" s="93" t="b">
        <v>0</v>
      </c>
      <c r="I419" s="93" t="b">
        <v>0</v>
      </c>
      <c r="J419" s="95" t="n">
        <v>45524</v>
      </c>
      <c r="K419" s="95">
        <f>IF(I419=TRUE,J419,"")</f>
        <v/>
      </c>
      <c r="L419" s="95">
        <f>G419+730</f>
        <v/>
      </c>
      <c r="M419" s="95" t="n">
        <v>45382</v>
      </c>
      <c r="N419" s="96">
        <f>IFERROR(IF(G419&lt;&gt;"",IF(I419=TRUE,0,IF(U419=TRUE,0,L419-M419)),0),0)</f>
        <v/>
      </c>
      <c r="O419" s="96">
        <f>IF(N419&gt;0,IF(N419&lt;=180,N419,0),0)</f>
        <v/>
      </c>
      <c r="P419" s="94">
        <f>IF(AND(N419&lt;90,N419&gt;0),Q419,0)</f>
        <v/>
      </c>
      <c r="Q419" s="94">
        <f>SUMIFS(Investors!$M:$M,Investors!$O:$O,FALSE,Investors!$P:$P,FALSE,Investors!$K:$K,"&gt;"&amp;'NSST Print'!$B$3,Investors!$I:$I,"&lt;="&amp;'NSST Print'!$B$3,Investors!$A:$A,'Investor Exit List'!$A419,Investors!$E:$E,'Investor Exit List'!$C419,Investors!$L:$L,'Investor Exit List'!$B419)-(SUMIFS(Investors!$M:$M,Investors!$I:$I,"&lt;="&amp;'NSST Print'!$B$3,Investors!$J:$J,"&gt;"&amp;'NSST Print'!$B$3,Investors!$A:$A,'Investor Exit List'!$A419,Investors!$E:$E,'Investor Exit List'!$C419,Investors!$L:$L,'Investor Exit List'!$B419)+SUMIFS(Investors!$M:$M,Investors!$I:$I,"&lt;="&amp;'NSST Print'!$B$3,Investors!$J:$J,"",Investors!$A:$A,'Investor Exit List'!$A419,Investors!$E:$E,'Investor Exit List'!$C419,Investors!$L:$L,'Investor Exit List'!$B419))+SUMIFS(Investors!$S:$S,Investors!$O:$O,FALSE,Investors!$P:$P,FALSE,Investors!$K:$K,"&gt;"&amp;'NSST Print'!$B$3,Investors!$I:$I,"&lt;="&amp;'NSST Print'!$B$3,Investors!$A:$A,'Investor Exit List'!$A419,Investors!$E:$E,'Investor Exit List'!$C419,Investors!$L:$L,'Investor Exit List'!$B419)-(SUMIFS(Investors!$S:$S,Investors!$I:$I,"&lt;="&amp;'NSST Print'!$B$3,Investors!$J:$J,"&gt;"&amp;'NSST Print'!$B$3,Investors!$A:$A,'Investor Exit List'!$A419,Investors!$E:$E,'Investor Exit List'!$C419,Investors!$L:$L,'Investor Exit List'!$B419)+SUMIFS(Investors!$S:$S,Investors!$I:$I,"&lt;="&amp;'NSST Print'!$B$3,Investors!$J:$J,"",Investors!$A:$A,'Investor Exit List'!$A419,Investors!$E:$E,'Investor Exit List'!$C419,Investors!$L:$L,'Investor Exit List'!$B419))</f>
        <v/>
      </c>
      <c r="R419" s="94">
        <f>IF(AND(H419=TRUE,I419=FALSE),Q419,0)</f>
        <v/>
      </c>
      <c r="S419" s="94">
        <f>SUMIFS(Investors!$M:$M,Investors!$O:$O,TRUE,Investors!$A:$A,'Investor Exit List'!$A419,Investors!$E:$E,'Investor Exit List'!$C419,Investors!$L:$L,'Investor Exit List'!$B419)+SUMIFS(Investors!$S:$S,Investors!$O:$O,TRUE,Investors!$A:$A,'Investor Exit List'!$A419,Investors!$E:$E,'Investor Exit List'!$C419,Investors!$L:$L,'Investor Exit List'!$B419)</f>
        <v/>
      </c>
      <c r="T419" s="95">
        <f>IF(U419=TRUE,$J419,"")</f>
        <v/>
      </c>
      <c r="U419" s="93" t="b">
        <v>0</v>
      </c>
      <c r="V419" s="94">
        <f>IF(AND(H419=TRUE,OR(K419="",K419&gt;M419)),S419,0)</f>
        <v/>
      </c>
      <c r="W419" s="93" t="n">
        <v>0</v>
      </c>
      <c r="X419" s="93" t="b">
        <v>0</v>
      </c>
    </row>
    <row r="420">
      <c r="A420" s="93" t="inlineStr">
        <is>
          <t>ZMYB01</t>
        </is>
      </c>
      <c r="B420" s="93" t="n">
        <v>5</v>
      </c>
      <c r="C420" s="93" t="inlineStr">
        <is>
          <t>HVL104</t>
        </is>
      </c>
      <c r="D420" s="93" t="inlineStr">
        <is>
          <t>L</t>
        </is>
      </c>
      <c r="E420" s="93" t="inlineStr">
        <is>
          <t>Myburgh Hermanus Carel</t>
        </is>
      </c>
      <c r="F420" s="94">
        <f>SUMIFS(Investors!$M:$M,Investors!$O:$O,FALSE,Investors!$P:$P,FALSE,Investors!$K:$K,"&gt;"&amp;'NSST Print'!$B$3,Investors!$I:$I,"&lt;="&amp;'NSST Print'!$B$3,Investors!$A:$A,'Investor Exit List'!$A420,Investors!$E:$E,'Investor Exit List'!$C420,Investors!$L:$L,'Investor Exit List'!$B420)-(SUMIFS(Investors!$M:$M,Investors!$I:$I,"&lt;="&amp;'NSST Print'!$B$3,Investors!$J:$J,"&gt;"&amp;'NSST Print'!$B$3,Investors!$A:$A,'Investor Exit List'!$A420,Investors!$E:$E,'Investor Exit List'!$C420,Investors!$L:$L,'Investor Exit List'!$B420)+SUMIFS(Investors!$M:$M,Investors!$I:$I,"&lt;="&amp;'NSST Print'!$B$3,Investors!$J:$J,"",Investors!$A:$A,'Investor Exit List'!$A420,Investors!$E:$E,'Investor Exit List'!$C420,Investors!$L:$L,'Investor Exit List'!$B420))</f>
        <v/>
      </c>
      <c r="G420" s="95" t="n">
        <v>45280</v>
      </c>
      <c r="H420" s="93" t="b">
        <v>0</v>
      </c>
      <c r="I420" s="93" t="b">
        <v>0</v>
      </c>
      <c r="J420" s="95" t="n">
        <v>45524</v>
      </c>
      <c r="K420" s="95">
        <f>IF(I420=TRUE,J420,"")</f>
        <v/>
      </c>
      <c r="L420" s="95">
        <f>G420+730</f>
        <v/>
      </c>
      <c r="M420" s="95" t="n">
        <v>45382</v>
      </c>
      <c r="N420" s="96">
        <f>IFERROR(IF(G420&lt;&gt;"",IF(I420=TRUE,0,IF(U420=TRUE,0,L420-M420)),0),0)</f>
        <v/>
      </c>
      <c r="O420" s="96">
        <f>IF(N420&gt;0,IF(N420&lt;=180,N420,0),0)</f>
        <v/>
      </c>
      <c r="P420" s="94">
        <f>IF(AND(N420&lt;90,N420&gt;0),Q420,0)</f>
        <v/>
      </c>
      <c r="Q420" s="94">
        <f>SUMIFS(Investors!$M:$M,Investors!$O:$O,FALSE,Investors!$P:$P,FALSE,Investors!$K:$K,"&gt;"&amp;'NSST Print'!$B$3,Investors!$I:$I,"&lt;="&amp;'NSST Print'!$B$3,Investors!$A:$A,'Investor Exit List'!$A420,Investors!$E:$E,'Investor Exit List'!$C420,Investors!$L:$L,'Investor Exit List'!$B420)-(SUMIFS(Investors!$M:$M,Investors!$I:$I,"&lt;="&amp;'NSST Print'!$B$3,Investors!$J:$J,"&gt;"&amp;'NSST Print'!$B$3,Investors!$A:$A,'Investor Exit List'!$A420,Investors!$E:$E,'Investor Exit List'!$C420,Investors!$L:$L,'Investor Exit List'!$B420)+SUMIFS(Investors!$M:$M,Investors!$I:$I,"&lt;="&amp;'NSST Print'!$B$3,Investors!$J:$J,"",Investors!$A:$A,'Investor Exit List'!$A420,Investors!$E:$E,'Investor Exit List'!$C420,Investors!$L:$L,'Investor Exit List'!$B420))+SUMIFS(Investors!$S:$S,Investors!$O:$O,FALSE,Investors!$P:$P,FALSE,Investors!$K:$K,"&gt;"&amp;'NSST Print'!$B$3,Investors!$I:$I,"&lt;="&amp;'NSST Print'!$B$3,Investors!$A:$A,'Investor Exit List'!$A420,Investors!$E:$E,'Investor Exit List'!$C420,Investors!$L:$L,'Investor Exit List'!$B420)-(SUMIFS(Investors!$S:$S,Investors!$I:$I,"&lt;="&amp;'NSST Print'!$B$3,Investors!$J:$J,"&gt;"&amp;'NSST Print'!$B$3,Investors!$A:$A,'Investor Exit List'!$A420,Investors!$E:$E,'Investor Exit List'!$C420,Investors!$L:$L,'Investor Exit List'!$B420)+SUMIFS(Investors!$S:$S,Investors!$I:$I,"&lt;="&amp;'NSST Print'!$B$3,Investors!$J:$J,"",Investors!$A:$A,'Investor Exit List'!$A420,Investors!$E:$E,'Investor Exit List'!$C420,Investors!$L:$L,'Investor Exit List'!$B420))</f>
        <v/>
      </c>
      <c r="R420" s="94">
        <f>IF(AND(H420=TRUE,I420=FALSE),Q420,0)</f>
        <v/>
      </c>
      <c r="S420" s="94">
        <f>SUMIFS(Investors!$M:$M,Investors!$O:$O,TRUE,Investors!$A:$A,'Investor Exit List'!$A420,Investors!$E:$E,'Investor Exit List'!$C420,Investors!$L:$L,'Investor Exit List'!$B420)+SUMIFS(Investors!$S:$S,Investors!$O:$O,TRUE,Investors!$A:$A,'Investor Exit List'!$A420,Investors!$E:$E,'Investor Exit List'!$C420,Investors!$L:$L,'Investor Exit List'!$B420)</f>
        <v/>
      </c>
      <c r="T420" s="95">
        <f>IF(U420=TRUE,$J420,"")</f>
        <v/>
      </c>
      <c r="U420" s="93" t="b">
        <v>0</v>
      </c>
      <c r="V420" s="94">
        <f>IF(AND(H420=TRUE,OR(K420="",K420&gt;M420)),S420,0)</f>
        <v/>
      </c>
      <c r="W420" s="93" t="n">
        <v>0</v>
      </c>
      <c r="X420" s="93" t="b">
        <v>0</v>
      </c>
    </row>
    <row r="421">
      <c r="A421" s="93" t="inlineStr">
        <is>
          <t>ZHAL03</t>
        </is>
      </c>
      <c r="B421" s="93" t="n">
        <v>2</v>
      </c>
      <c r="C421" s="93" t="inlineStr">
        <is>
          <t>HVL201</t>
        </is>
      </c>
      <c r="D421" s="93" t="inlineStr">
        <is>
          <t>L</t>
        </is>
      </c>
      <c r="E421" s="93" t="inlineStr">
        <is>
          <t>Hall Graeme Haffenden</t>
        </is>
      </c>
      <c r="F421" s="94">
        <f>SUMIFS(Investors!$M:$M,Investors!$O:$O,FALSE,Investors!$P:$P,FALSE,Investors!$K:$K,"&gt;"&amp;'NSST Print'!$B$3,Investors!$I:$I,"&lt;="&amp;'NSST Print'!$B$3,Investors!$A:$A,'Investor Exit List'!$A421,Investors!$E:$E,'Investor Exit List'!$C421,Investors!$L:$L,'Investor Exit List'!$B421)-(SUMIFS(Investors!$M:$M,Investors!$I:$I,"&lt;="&amp;'NSST Print'!$B$3,Investors!$J:$J,"&gt;"&amp;'NSST Print'!$B$3,Investors!$A:$A,'Investor Exit List'!$A421,Investors!$E:$E,'Investor Exit List'!$C421,Investors!$L:$L,'Investor Exit List'!$B421)+SUMIFS(Investors!$M:$M,Investors!$I:$I,"&lt;="&amp;'NSST Print'!$B$3,Investors!$J:$J,"",Investors!$A:$A,'Investor Exit List'!$A421,Investors!$E:$E,'Investor Exit List'!$C421,Investors!$L:$L,'Investor Exit List'!$B421))</f>
        <v/>
      </c>
      <c r="G421" s="95" t="n">
        <v>45363</v>
      </c>
      <c r="H421" s="93" t="b">
        <v>0</v>
      </c>
      <c r="I421" s="93" t="b">
        <v>0</v>
      </c>
      <c r="J421" s="95" t="n">
        <v>45524</v>
      </c>
      <c r="K421" s="95">
        <f>IF(I421=TRUE,J421,"")</f>
        <v/>
      </c>
      <c r="L421" s="95">
        <f>G421+730</f>
        <v/>
      </c>
      <c r="M421" s="95" t="n">
        <v>45382</v>
      </c>
      <c r="N421" s="96">
        <f>IFERROR(IF(G421&lt;&gt;"",IF(I421=TRUE,0,IF(U421=TRUE,0,L421-M421)),0),0)</f>
        <v/>
      </c>
      <c r="O421" s="96">
        <f>IF(N421&gt;0,IF(N421&lt;=180,N421,0),0)</f>
        <v/>
      </c>
      <c r="P421" s="94">
        <f>IF(AND(N421&lt;90,N421&gt;0),Q421,0)</f>
        <v/>
      </c>
      <c r="Q421" s="94">
        <f>SUMIFS(Investors!$M:$M,Investors!$O:$O,FALSE,Investors!$P:$P,FALSE,Investors!$K:$K,"&gt;"&amp;'NSST Print'!$B$3,Investors!$I:$I,"&lt;="&amp;'NSST Print'!$B$3,Investors!$A:$A,'Investor Exit List'!$A421,Investors!$E:$E,'Investor Exit List'!$C421,Investors!$L:$L,'Investor Exit List'!$B421)-(SUMIFS(Investors!$M:$M,Investors!$I:$I,"&lt;="&amp;'NSST Print'!$B$3,Investors!$J:$J,"&gt;"&amp;'NSST Print'!$B$3,Investors!$A:$A,'Investor Exit List'!$A421,Investors!$E:$E,'Investor Exit List'!$C421,Investors!$L:$L,'Investor Exit List'!$B421)+SUMIFS(Investors!$M:$M,Investors!$I:$I,"&lt;="&amp;'NSST Print'!$B$3,Investors!$J:$J,"",Investors!$A:$A,'Investor Exit List'!$A421,Investors!$E:$E,'Investor Exit List'!$C421,Investors!$L:$L,'Investor Exit List'!$B421))+SUMIFS(Investors!$S:$S,Investors!$O:$O,FALSE,Investors!$P:$P,FALSE,Investors!$K:$K,"&gt;"&amp;'NSST Print'!$B$3,Investors!$I:$I,"&lt;="&amp;'NSST Print'!$B$3,Investors!$A:$A,'Investor Exit List'!$A421,Investors!$E:$E,'Investor Exit List'!$C421,Investors!$L:$L,'Investor Exit List'!$B421)-(SUMIFS(Investors!$S:$S,Investors!$I:$I,"&lt;="&amp;'NSST Print'!$B$3,Investors!$J:$J,"&gt;"&amp;'NSST Print'!$B$3,Investors!$A:$A,'Investor Exit List'!$A421,Investors!$E:$E,'Investor Exit List'!$C421,Investors!$L:$L,'Investor Exit List'!$B421)+SUMIFS(Investors!$S:$S,Investors!$I:$I,"&lt;="&amp;'NSST Print'!$B$3,Investors!$J:$J,"",Investors!$A:$A,'Investor Exit List'!$A421,Investors!$E:$E,'Investor Exit List'!$C421,Investors!$L:$L,'Investor Exit List'!$B421))</f>
        <v/>
      </c>
      <c r="R421" s="94">
        <f>IF(AND(H421=TRUE,I421=FALSE),Q421,0)</f>
        <v/>
      </c>
      <c r="S421" s="94">
        <f>SUMIFS(Investors!$M:$M,Investors!$O:$O,TRUE,Investors!$A:$A,'Investor Exit List'!$A421,Investors!$E:$E,'Investor Exit List'!$C421,Investors!$L:$L,'Investor Exit List'!$B421)+SUMIFS(Investors!$S:$S,Investors!$O:$O,TRUE,Investors!$A:$A,'Investor Exit List'!$A421,Investors!$E:$E,'Investor Exit List'!$C421,Investors!$L:$L,'Investor Exit List'!$B421)</f>
        <v/>
      </c>
      <c r="T421" s="95">
        <f>IF(U421=TRUE,$J421,"")</f>
        <v/>
      </c>
      <c r="U421" s="93" t="b">
        <v>0</v>
      </c>
      <c r="V421" s="94">
        <f>IF(AND(H421=TRUE,OR(K421="",K421&gt;M421)),S421,0)</f>
        <v/>
      </c>
      <c r="W421" s="93" t="n">
        <v>0</v>
      </c>
      <c r="X421" s="93" t="b">
        <v>0</v>
      </c>
    </row>
    <row r="422">
      <c r="A422" s="93" t="inlineStr">
        <is>
          <t>ZHEN01</t>
        </is>
      </c>
      <c r="B422" s="93" t="n">
        <v>4</v>
      </c>
      <c r="C422" s="93" t="inlineStr">
        <is>
          <t>HVL201</t>
        </is>
      </c>
      <c r="D422" s="93" t="inlineStr">
        <is>
          <t>L</t>
        </is>
      </c>
      <c r="E422" s="93" t="inlineStr">
        <is>
          <t>Hendricks Theodore Shane</t>
        </is>
      </c>
      <c r="F422" s="94">
        <f>SUMIFS(Investors!$M:$M,Investors!$O:$O,FALSE,Investors!$P:$P,FALSE,Investors!$K:$K,"&gt;"&amp;'NSST Print'!$B$3,Investors!$I:$I,"&lt;="&amp;'NSST Print'!$B$3,Investors!$A:$A,'Investor Exit List'!$A422,Investors!$E:$E,'Investor Exit List'!$C422,Investors!$L:$L,'Investor Exit List'!$B422)-(SUMIFS(Investors!$M:$M,Investors!$I:$I,"&lt;="&amp;'NSST Print'!$B$3,Investors!$J:$J,"&gt;"&amp;'NSST Print'!$B$3,Investors!$A:$A,'Investor Exit List'!$A422,Investors!$E:$E,'Investor Exit List'!$C422,Investors!$L:$L,'Investor Exit List'!$B422)+SUMIFS(Investors!$M:$M,Investors!$I:$I,"&lt;="&amp;'NSST Print'!$B$3,Investors!$J:$J,"",Investors!$A:$A,'Investor Exit List'!$A422,Investors!$E:$E,'Investor Exit List'!$C422,Investors!$L:$L,'Investor Exit List'!$B422))</f>
        <v/>
      </c>
      <c r="G422" s="95" t="n">
        <v>45259</v>
      </c>
      <c r="H422" s="93" t="b">
        <v>0</v>
      </c>
      <c r="I422" s="93" t="b">
        <v>0</v>
      </c>
      <c r="J422" s="95" t="n">
        <v>45524</v>
      </c>
      <c r="K422" s="95">
        <f>IF(I422=TRUE,J422,"")</f>
        <v/>
      </c>
      <c r="L422" s="95">
        <f>G422+730</f>
        <v/>
      </c>
      <c r="M422" s="95" t="n">
        <v>45382</v>
      </c>
      <c r="N422" s="96">
        <f>IFERROR(IF(G422&lt;&gt;"",IF(I422=TRUE,0,IF(U422=TRUE,0,L422-M422)),0),0)</f>
        <v/>
      </c>
      <c r="O422" s="96">
        <f>IF(N422&gt;0,IF(N422&lt;=180,N422,0),0)</f>
        <v/>
      </c>
      <c r="P422" s="94">
        <f>IF(AND(N422&lt;90,N422&gt;0),Q422,0)</f>
        <v/>
      </c>
      <c r="Q422" s="94">
        <f>SUMIFS(Investors!$M:$M,Investors!$O:$O,FALSE,Investors!$P:$P,FALSE,Investors!$K:$K,"&gt;"&amp;'NSST Print'!$B$3,Investors!$I:$I,"&lt;="&amp;'NSST Print'!$B$3,Investors!$A:$A,'Investor Exit List'!$A422,Investors!$E:$E,'Investor Exit List'!$C422,Investors!$L:$L,'Investor Exit List'!$B422)-(SUMIFS(Investors!$M:$M,Investors!$I:$I,"&lt;="&amp;'NSST Print'!$B$3,Investors!$J:$J,"&gt;"&amp;'NSST Print'!$B$3,Investors!$A:$A,'Investor Exit List'!$A422,Investors!$E:$E,'Investor Exit List'!$C422,Investors!$L:$L,'Investor Exit List'!$B422)+SUMIFS(Investors!$M:$M,Investors!$I:$I,"&lt;="&amp;'NSST Print'!$B$3,Investors!$J:$J,"",Investors!$A:$A,'Investor Exit List'!$A422,Investors!$E:$E,'Investor Exit List'!$C422,Investors!$L:$L,'Investor Exit List'!$B422))+SUMIFS(Investors!$S:$S,Investors!$O:$O,FALSE,Investors!$P:$P,FALSE,Investors!$K:$K,"&gt;"&amp;'NSST Print'!$B$3,Investors!$I:$I,"&lt;="&amp;'NSST Print'!$B$3,Investors!$A:$A,'Investor Exit List'!$A422,Investors!$E:$E,'Investor Exit List'!$C422,Investors!$L:$L,'Investor Exit List'!$B422)-(SUMIFS(Investors!$S:$S,Investors!$I:$I,"&lt;="&amp;'NSST Print'!$B$3,Investors!$J:$J,"&gt;"&amp;'NSST Print'!$B$3,Investors!$A:$A,'Investor Exit List'!$A422,Investors!$E:$E,'Investor Exit List'!$C422,Investors!$L:$L,'Investor Exit List'!$B422)+SUMIFS(Investors!$S:$S,Investors!$I:$I,"&lt;="&amp;'NSST Print'!$B$3,Investors!$J:$J,"",Investors!$A:$A,'Investor Exit List'!$A422,Investors!$E:$E,'Investor Exit List'!$C422,Investors!$L:$L,'Investor Exit List'!$B422))</f>
        <v/>
      </c>
      <c r="R422" s="94">
        <f>IF(AND(H422=TRUE,I422=FALSE),Q422,0)</f>
        <v/>
      </c>
      <c r="S422" s="94">
        <f>SUMIFS(Investors!$M:$M,Investors!$O:$O,TRUE,Investors!$A:$A,'Investor Exit List'!$A422,Investors!$E:$E,'Investor Exit List'!$C422,Investors!$L:$L,'Investor Exit List'!$B422)+SUMIFS(Investors!$S:$S,Investors!$O:$O,TRUE,Investors!$A:$A,'Investor Exit List'!$A422,Investors!$E:$E,'Investor Exit List'!$C422,Investors!$L:$L,'Investor Exit List'!$B422)</f>
        <v/>
      </c>
      <c r="T422" s="95">
        <f>IF(U422=TRUE,$J422,"")</f>
        <v/>
      </c>
      <c r="U422" s="93" t="b">
        <v>0</v>
      </c>
      <c r="V422" s="94">
        <f>IF(AND(H422=TRUE,OR(K422="",K422&gt;M422)),S422,0)</f>
        <v/>
      </c>
      <c r="W422" s="93" t="n">
        <v>0</v>
      </c>
      <c r="X422" s="93" t="b">
        <v>0</v>
      </c>
    </row>
    <row r="423">
      <c r="A423" s="93" t="inlineStr">
        <is>
          <t>ZINT01</t>
        </is>
      </c>
      <c r="B423" s="93" t="n">
        <v>18</v>
      </c>
      <c r="C423" s="93" t="inlineStr">
        <is>
          <t>HVL201</t>
        </is>
      </c>
      <c r="D423" s="93" t="inlineStr">
        <is>
          <t>L</t>
        </is>
      </c>
      <c r="E423" s="93" t="inlineStr">
        <is>
          <t>Lunau Marc</t>
        </is>
      </c>
      <c r="F423" s="94">
        <f>SUMIFS(Investors!$M:$M,Investors!$O:$O,FALSE,Investors!$P:$P,FALSE,Investors!$K:$K,"&gt;"&amp;'NSST Print'!$B$3,Investors!$I:$I,"&lt;="&amp;'NSST Print'!$B$3,Investors!$A:$A,'Investor Exit List'!$A423,Investors!$E:$E,'Investor Exit List'!$C423,Investors!$L:$L,'Investor Exit List'!$B423)-(SUMIFS(Investors!$M:$M,Investors!$I:$I,"&lt;="&amp;'NSST Print'!$B$3,Investors!$J:$J,"&gt;"&amp;'NSST Print'!$B$3,Investors!$A:$A,'Investor Exit List'!$A423,Investors!$E:$E,'Investor Exit List'!$C423,Investors!$L:$L,'Investor Exit List'!$B423)+SUMIFS(Investors!$M:$M,Investors!$I:$I,"&lt;="&amp;'NSST Print'!$B$3,Investors!$J:$J,"",Investors!$A:$A,'Investor Exit List'!$A423,Investors!$E:$E,'Investor Exit List'!$C423,Investors!$L:$L,'Investor Exit List'!$B423))</f>
        <v/>
      </c>
      <c r="G423" s="95" t="n">
        <v>45371</v>
      </c>
      <c r="H423" s="93" t="b">
        <v>0</v>
      </c>
      <c r="I423" s="93" t="b">
        <v>0</v>
      </c>
      <c r="J423" s="95" t="n">
        <v>45524</v>
      </c>
      <c r="K423" s="95">
        <f>IF(I423=TRUE,J423,"")</f>
        <v/>
      </c>
      <c r="L423" s="95">
        <f>G423+730</f>
        <v/>
      </c>
      <c r="M423" s="95" t="n">
        <v>45382</v>
      </c>
      <c r="N423" s="96">
        <f>IFERROR(IF(G423&lt;&gt;"",IF(I423=TRUE,0,IF(U423=TRUE,0,L423-M423)),0),0)</f>
        <v/>
      </c>
      <c r="O423" s="96">
        <f>IF(N423&gt;0,IF(N423&lt;=180,N423,0),0)</f>
        <v/>
      </c>
      <c r="P423" s="94">
        <f>IF(AND(N423&lt;90,N423&gt;0),Q423,0)</f>
        <v/>
      </c>
      <c r="Q423" s="94">
        <f>SUMIFS(Investors!$M:$M,Investors!$O:$O,FALSE,Investors!$P:$P,FALSE,Investors!$K:$K,"&gt;"&amp;'NSST Print'!$B$3,Investors!$I:$I,"&lt;="&amp;'NSST Print'!$B$3,Investors!$A:$A,'Investor Exit List'!$A423,Investors!$E:$E,'Investor Exit List'!$C423,Investors!$L:$L,'Investor Exit List'!$B423)-(SUMIFS(Investors!$M:$M,Investors!$I:$I,"&lt;="&amp;'NSST Print'!$B$3,Investors!$J:$J,"&gt;"&amp;'NSST Print'!$B$3,Investors!$A:$A,'Investor Exit List'!$A423,Investors!$E:$E,'Investor Exit List'!$C423,Investors!$L:$L,'Investor Exit List'!$B423)+SUMIFS(Investors!$M:$M,Investors!$I:$I,"&lt;="&amp;'NSST Print'!$B$3,Investors!$J:$J,"",Investors!$A:$A,'Investor Exit List'!$A423,Investors!$E:$E,'Investor Exit List'!$C423,Investors!$L:$L,'Investor Exit List'!$B423))+SUMIFS(Investors!$S:$S,Investors!$O:$O,FALSE,Investors!$P:$P,FALSE,Investors!$K:$K,"&gt;"&amp;'NSST Print'!$B$3,Investors!$I:$I,"&lt;="&amp;'NSST Print'!$B$3,Investors!$A:$A,'Investor Exit List'!$A423,Investors!$E:$E,'Investor Exit List'!$C423,Investors!$L:$L,'Investor Exit List'!$B423)-(SUMIFS(Investors!$S:$S,Investors!$I:$I,"&lt;="&amp;'NSST Print'!$B$3,Investors!$J:$J,"&gt;"&amp;'NSST Print'!$B$3,Investors!$A:$A,'Investor Exit List'!$A423,Investors!$E:$E,'Investor Exit List'!$C423,Investors!$L:$L,'Investor Exit List'!$B423)+SUMIFS(Investors!$S:$S,Investors!$I:$I,"&lt;="&amp;'NSST Print'!$B$3,Investors!$J:$J,"",Investors!$A:$A,'Investor Exit List'!$A423,Investors!$E:$E,'Investor Exit List'!$C423,Investors!$L:$L,'Investor Exit List'!$B423))</f>
        <v/>
      </c>
      <c r="R423" s="94">
        <f>IF(AND(H423=TRUE,I423=FALSE),Q423,0)</f>
        <v/>
      </c>
      <c r="S423" s="94">
        <f>SUMIFS(Investors!$M:$M,Investors!$O:$O,TRUE,Investors!$A:$A,'Investor Exit List'!$A423,Investors!$E:$E,'Investor Exit List'!$C423,Investors!$L:$L,'Investor Exit List'!$B423)+SUMIFS(Investors!$S:$S,Investors!$O:$O,TRUE,Investors!$A:$A,'Investor Exit List'!$A423,Investors!$E:$E,'Investor Exit List'!$C423,Investors!$L:$L,'Investor Exit List'!$B423)</f>
        <v/>
      </c>
      <c r="T423" s="95">
        <f>IF(U423=TRUE,$J423,"")</f>
        <v/>
      </c>
      <c r="U423" s="93" t="b">
        <v>0</v>
      </c>
      <c r="V423" s="94">
        <f>IF(AND(H423=TRUE,OR(K423="",K423&gt;M423)),S423,0)</f>
        <v/>
      </c>
      <c r="W423" s="93" t="n">
        <v>0</v>
      </c>
      <c r="X423" s="93" t="b">
        <v>0</v>
      </c>
    </row>
    <row r="424">
      <c r="A424" s="93" t="inlineStr">
        <is>
          <t>ZKUS03</t>
        </is>
      </c>
      <c r="B424" s="93" t="n">
        <v>5</v>
      </c>
      <c r="C424" s="93" t="inlineStr">
        <is>
          <t>HVL201</t>
        </is>
      </c>
      <c r="D424" s="93" t="inlineStr">
        <is>
          <t>L</t>
        </is>
      </c>
      <c r="E424" s="93" t="inlineStr">
        <is>
          <t>Kuster Joanne Tracy</t>
        </is>
      </c>
      <c r="F424" s="94">
        <f>SUMIFS(Investors!$M:$M,Investors!$O:$O,FALSE,Investors!$P:$P,FALSE,Investors!$K:$K,"&gt;"&amp;'NSST Print'!$B$3,Investors!$I:$I,"&lt;="&amp;'NSST Print'!$B$3,Investors!$A:$A,'Investor Exit List'!$A424,Investors!$E:$E,'Investor Exit List'!$C424,Investors!$L:$L,'Investor Exit List'!$B424)-(SUMIFS(Investors!$M:$M,Investors!$I:$I,"&lt;="&amp;'NSST Print'!$B$3,Investors!$J:$J,"&gt;"&amp;'NSST Print'!$B$3,Investors!$A:$A,'Investor Exit List'!$A424,Investors!$E:$E,'Investor Exit List'!$C424,Investors!$L:$L,'Investor Exit List'!$B424)+SUMIFS(Investors!$M:$M,Investors!$I:$I,"&lt;="&amp;'NSST Print'!$B$3,Investors!$J:$J,"",Investors!$A:$A,'Investor Exit List'!$A424,Investors!$E:$E,'Investor Exit List'!$C424,Investors!$L:$L,'Investor Exit List'!$B424))</f>
        <v/>
      </c>
      <c r="G424" s="95" t="n">
        <v>45273</v>
      </c>
      <c r="H424" s="93" t="b">
        <v>0</v>
      </c>
      <c r="I424" s="93" t="b">
        <v>0</v>
      </c>
      <c r="J424" s="95" t="n">
        <v>45524</v>
      </c>
      <c r="K424" s="95">
        <f>IF(I424=TRUE,J424,"")</f>
        <v/>
      </c>
      <c r="L424" s="95">
        <f>G424+730</f>
        <v/>
      </c>
      <c r="M424" s="95" t="n">
        <v>45382</v>
      </c>
      <c r="N424" s="96">
        <f>IFERROR(IF(G424&lt;&gt;"",IF(I424=TRUE,0,IF(U424=TRUE,0,L424-M424)),0),0)</f>
        <v/>
      </c>
      <c r="O424" s="96">
        <f>IF(N424&gt;0,IF(N424&lt;=180,N424,0),0)</f>
        <v/>
      </c>
      <c r="P424" s="94">
        <f>IF(AND(N424&lt;90,N424&gt;0),Q424,0)</f>
        <v/>
      </c>
      <c r="Q424" s="94">
        <f>SUMIFS(Investors!$M:$M,Investors!$O:$O,FALSE,Investors!$P:$P,FALSE,Investors!$K:$K,"&gt;"&amp;'NSST Print'!$B$3,Investors!$I:$I,"&lt;="&amp;'NSST Print'!$B$3,Investors!$A:$A,'Investor Exit List'!$A424,Investors!$E:$E,'Investor Exit List'!$C424,Investors!$L:$L,'Investor Exit List'!$B424)-(SUMIFS(Investors!$M:$M,Investors!$I:$I,"&lt;="&amp;'NSST Print'!$B$3,Investors!$J:$J,"&gt;"&amp;'NSST Print'!$B$3,Investors!$A:$A,'Investor Exit List'!$A424,Investors!$E:$E,'Investor Exit List'!$C424,Investors!$L:$L,'Investor Exit List'!$B424)+SUMIFS(Investors!$M:$M,Investors!$I:$I,"&lt;="&amp;'NSST Print'!$B$3,Investors!$J:$J,"",Investors!$A:$A,'Investor Exit List'!$A424,Investors!$E:$E,'Investor Exit List'!$C424,Investors!$L:$L,'Investor Exit List'!$B424))+SUMIFS(Investors!$S:$S,Investors!$O:$O,FALSE,Investors!$P:$P,FALSE,Investors!$K:$K,"&gt;"&amp;'NSST Print'!$B$3,Investors!$I:$I,"&lt;="&amp;'NSST Print'!$B$3,Investors!$A:$A,'Investor Exit List'!$A424,Investors!$E:$E,'Investor Exit List'!$C424,Investors!$L:$L,'Investor Exit List'!$B424)-(SUMIFS(Investors!$S:$S,Investors!$I:$I,"&lt;="&amp;'NSST Print'!$B$3,Investors!$J:$J,"&gt;"&amp;'NSST Print'!$B$3,Investors!$A:$A,'Investor Exit List'!$A424,Investors!$E:$E,'Investor Exit List'!$C424,Investors!$L:$L,'Investor Exit List'!$B424)+SUMIFS(Investors!$S:$S,Investors!$I:$I,"&lt;="&amp;'NSST Print'!$B$3,Investors!$J:$J,"",Investors!$A:$A,'Investor Exit List'!$A424,Investors!$E:$E,'Investor Exit List'!$C424,Investors!$L:$L,'Investor Exit List'!$B424))</f>
        <v/>
      </c>
      <c r="R424" s="94">
        <f>IF(AND(H424=TRUE,I424=FALSE),Q424,0)</f>
        <v/>
      </c>
      <c r="S424" s="94">
        <f>SUMIFS(Investors!$M:$M,Investors!$O:$O,TRUE,Investors!$A:$A,'Investor Exit List'!$A424,Investors!$E:$E,'Investor Exit List'!$C424,Investors!$L:$L,'Investor Exit List'!$B424)+SUMIFS(Investors!$S:$S,Investors!$O:$O,TRUE,Investors!$A:$A,'Investor Exit List'!$A424,Investors!$E:$E,'Investor Exit List'!$C424,Investors!$L:$L,'Investor Exit List'!$B424)</f>
        <v/>
      </c>
      <c r="T424" s="95">
        <f>IF(U424=TRUE,$J424,"")</f>
        <v/>
      </c>
      <c r="U424" s="93" t="b">
        <v>0</v>
      </c>
      <c r="V424" s="94">
        <f>IF(AND(H424=TRUE,OR(K424="",K424&gt;M424)),S424,0)</f>
        <v/>
      </c>
      <c r="W424" s="93" t="n">
        <v>0</v>
      </c>
      <c r="X424" s="93" t="b">
        <v>0</v>
      </c>
    </row>
    <row r="425">
      <c r="A425" s="93" t="inlineStr">
        <is>
          <t>ZDEL01</t>
        </is>
      </c>
      <c r="B425" s="93" t="n">
        <v>12</v>
      </c>
      <c r="C425" s="93" t="inlineStr">
        <is>
          <t>HVL202</t>
        </is>
      </c>
      <c r="D425" s="93" t="inlineStr">
        <is>
          <t>L</t>
        </is>
      </c>
      <c r="E425" s="93" t="inlineStr">
        <is>
          <t>Jansen van Vuuren Pieter</t>
        </is>
      </c>
      <c r="F425" s="94">
        <f>SUMIFS(Investors!$M:$M,Investors!$O:$O,FALSE,Investors!$P:$P,FALSE,Investors!$K:$K,"&gt;"&amp;'NSST Print'!$B$3,Investors!$I:$I,"&lt;="&amp;'NSST Print'!$B$3,Investors!$A:$A,'Investor Exit List'!$A425,Investors!$E:$E,'Investor Exit List'!$C425,Investors!$L:$L,'Investor Exit List'!$B425)-(SUMIFS(Investors!$M:$M,Investors!$I:$I,"&lt;="&amp;'NSST Print'!$B$3,Investors!$J:$J,"&gt;"&amp;'NSST Print'!$B$3,Investors!$A:$A,'Investor Exit List'!$A425,Investors!$E:$E,'Investor Exit List'!$C425,Investors!$L:$L,'Investor Exit List'!$B425)+SUMIFS(Investors!$M:$M,Investors!$I:$I,"&lt;="&amp;'NSST Print'!$B$3,Investors!$J:$J,"",Investors!$A:$A,'Investor Exit List'!$A425,Investors!$E:$E,'Investor Exit List'!$C425,Investors!$L:$L,'Investor Exit List'!$B425))</f>
        <v/>
      </c>
      <c r="G425" s="95" t="n">
        <v>45321</v>
      </c>
      <c r="H425" s="93" t="b">
        <v>0</v>
      </c>
      <c r="I425" s="93" t="b">
        <v>0</v>
      </c>
      <c r="J425" s="95" t="n">
        <v>45524</v>
      </c>
      <c r="K425" s="95">
        <f>IF(I425=TRUE,J425,"")</f>
        <v/>
      </c>
      <c r="L425" s="95">
        <f>G425+730</f>
        <v/>
      </c>
      <c r="M425" s="95" t="n">
        <v>45382</v>
      </c>
      <c r="N425" s="96">
        <f>IFERROR(IF(G425&lt;&gt;"",IF(I425=TRUE,0,IF(U425=TRUE,0,L425-M425)),0),0)</f>
        <v/>
      </c>
      <c r="O425" s="96">
        <f>IF(N425&gt;0,IF(N425&lt;=180,N425,0),0)</f>
        <v/>
      </c>
      <c r="P425" s="94">
        <f>IF(AND(N425&lt;90,N425&gt;0),Q425,0)</f>
        <v/>
      </c>
      <c r="Q425" s="94">
        <f>SUMIFS(Investors!$M:$M,Investors!$O:$O,FALSE,Investors!$P:$P,FALSE,Investors!$K:$K,"&gt;"&amp;'NSST Print'!$B$3,Investors!$I:$I,"&lt;="&amp;'NSST Print'!$B$3,Investors!$A:$A,'Investor Exit List'!$A425,Investors!$E:$E,'Investor Exit List'!$C425,Investors!$L:$L,'Investor Exit List'!$B425)-(SUMIFS(Investors!$M:$M,Investors!$I:$I,"&lt;="&amp;'NSST Print'!$B$3,Investors!$J:$J,"&gt;"&amp;'NSST Print'!$B$3,Investors!$A:$A,'Investor Exit List'!$A425,Investors!$E:$E,'Investor Exit List'!$C425,Investors!$L:$L,'Investor Exit List'!$B425)+SUMIFS(Investors!$M:$M,Investors!$I:$I,"&lt;="&amp;'NSST Print'!$B$3,Investors!$J:$J,"",Investors!$A:$A,'Investor Exit List'!$A425,Investors!$E:$E,'Investor Exit List'!$C425,Investors!$L:$L,'Investor Exit List'!$B425))+SUMIFS(Investors!$S:$S,Investors!$O:$O,FALSE,Investors!$P:$P,FALSE,Investors!$K:$K,"&gt;"&amp;'NSST Print'!$B$3,Investors!$I:$I,"&lt;="&amp;'NSST Print'!$B$3,Investors!$A:$A,'Investor Exit List'!$A425,Investors!$E:$E,'Investor Exit List'!$C425,Investors!$L:$L,'Investor Exit List'!$B425)-(SUMIFS(Investors!$S:$S,Investors!$I:$I,"&lt;="&amp;'NSST Print'!$B$3,Investors!$J:$J,"&gt;"&amp;'NSST Print'!$B$3,Investors!$A:$A,'Investor Exit List'!$A425,Investors!$E:$E,'Investor Exit List'!$C425,Investors!$L:$L,'Investor Exit List'!$B425)+SUMIFS(Investors!$S:$S,Investors!$I:$I,"&lt;="&amp;'NSST Print'!$B$3,Investors!$J:$J,"",Investors!$A:$A,'Investor Exit List'!$A425,Investors!$E:$E,'Investor Exit List'!$C425,Investors!$L:$L,'Investor Exit List'!$B425))</f>
        <v/>
      </c>
      <c r="R425" s="94">
        <f>IF(AND(H425=TRUE,I425=FALSE),Q425,0)</f>
        <v/>
      </c>
      <c r="S425" s="94">
        <f>SUMIFS(Investors!$M:$M,Investors!$O:$O,TRUE,Investors!$A:$A,'Investor Exit List'!$A425,Investors!$E:$E,'Investor Exit List'!$C425,Investors!$L:$L,'Investor Exit List'!$B425)+SUMIFS(Investors!$S:$S,Investors!$O:$O,TRUE,Investors!$A:$A,'Investor Exit List'!$A425,Investors!$E:$E,'Investor Exit List'!$C425,Investors!$L:$L,'Investor Exit List'!$B425)</f>
        <v/>
      </c>
      <c r="T425" s="95">
        <f>IF(U425=TRUE,$J425,"")</f>
        <v/>
      </c>
      <c r="U425" s="93" t="b">
        <v>0</v>
      </c>
      <c r="V425" s="94">
        <f>IF(AND(H425=TRUE,OR(K425="",K425&gt;M425)),S425,0)</f>
        <v/>
      </c>
      <c r="W425" s="93" t="n">
        <v>0</v>
      </c>
      <c r="X425" s="93" t="b">
        <v>0</v>
      </c>
    </row>
    <row r="426">
      <c r="A426" s="93" t="inlineStr">
        <is>
          <t>ZBUM01</t>
        </is>
      </c>
      <c r="B426" s="93" t="n">
        <v>3</v>
      </c>
      <c r="C426" s="93" t="inlineStr">
        <is>
          <t>HVL203</t>
        </is>
      </c>
      <c r="D426" s="93" t="inlineStr">
        <is>
          <t>L</t>
        </is>
      </c>
      <c r="E426" s="93" t="inlineStr">
        <is>
          <t>Brummer Andre Gottfried</t>
        </is>
      </c>
      <c r="F426" s="94">
        <f>SUMIFS(Investors!$M:$M,Investors!$O:$O,FALSE,Investors!$P:$P,FALSE,Investors!$K:$K,"&gt;"&amp;'NSST Print'!$B$3,Investors!$I:$I,"&lt;="&amp;'NSST Print'!$B$3,Investors!$A:$A,'Investor Exit List'!$A426,Investors!$E:$E,'Investor Exit List'!$C426,Investors!$L:$L,'Investor Exit List'!$B426)-(SUMIFS(Investors!$M:$M,Investors!$I:$I,"&lt;="&amp;'NSST Print'!$B$3,Investors!$J:$J,"&gt;"&amp;'NSST Print'!$B$3,Investors!$A:$A,'Investor Exit List'!$A426,Investors!$E:$E,'Investor Exit List'!$C426,Investors!$L:$L,'Investor Exit List'!$B426)+SUMIFS(Investors!$M:$M,Investors!$I:$I,"&lt;="&amp;'NSST Print'!$B$3,Investors!$J:$J,"",Investors!$A:$A,'Investor Exit List'!$A426,Investors!$E:$E,'Investor Exit List'!$C426,Investors!$L:$L,'Investor Exit List'!$B426))</f>
        <v/>
      </c>
      <c r="G426" s="95" t="n">
        <v>45273</v>
      </c>
      <c r="H426" s="93" t="b">
        <v>0</v>
      </c>
      <c r="I426" s="93" t="b">
        <v>0</v>
      </c>
      <c r="J426" s="95" t="n">
        <v>45524</v>
      </c>
      <c r="K426" s="95">
        <f>IF(I426=TRUE,J426,"")</f>
        <v/>
      </c>
      <c r="L426" s="95">
        <f>G426+730</f>
        <v/>
      </c>
      <c r="M426" s="95" t="n">
        <v>45382</v>
      </c>
      <c r="N426" s="96">
        <f>IFERROR(IF(G426&lt;&gt;"",IF(I426=TRUE,0,IF(U426=TRUE,0,L426-M426)),0),0)</f>
        <v/>
      </c>
      <c r="O426" s="96">
        <f>IF(N426&gt;0,IF(N426&lt;=180,N426,0),0)</f>
        <v/>
      </c>
      <c r="P426" s="94">
        <f>IF(AND(N426&lt;90,N426&gt;0),Q426,0)</f>
        <v/>
      </c>
      <c r="Q426" s="94">
        <f>SUMIFS(Investors!$M:$M,Investors!$O:$O,FALSE,Investors!$P:$P,FALSE,Investors!$K:$K,"&gt;"&amp;'NSST Print'!$B$3,Investors!$I:$I,"&lt;="&amp;'NSST Print'!$B$3,Investors!$A:$A,'Investor Exit List'!$A426,Investors!$E:$E,'Investor Exit List'!$C426,Investors!$L:$L,'Investor Exit List'!$B426)-(SUMIFS(Investors!$M:$M,Investors!$I:$I,"&lt;="&amp;'NSST Print'!$B$3,Investors!$J:$J,"&gt;"&amp;'NSST Print'!$B$3,Investors!$A:$A,'Investor Exit List'!$A426,Investors!$E:$E,'Investor Exit List'!$C426,Investors!$L:$L,'Investor Exit List'!$B426)+SUMIFS(Investors!$M:$M,Investors!$I:$I,"&lt;="&amp;'NSST Print'!$B$3,Investors!$J:$J,"",Investors!$A:$A,'Investor Exit List'!$A426,Investors!$E:$E,'Investor Exit List'!$C426,Investors!$L:$L,'Investor Exit List'!$B426))+SUMIFS(Investors!$S:$S,Investors!$O:$O,FALSE,Investors!$P:$P,FALSE,Investors!$K:$K,"&gt;"&amp;'NSST Print'!$B$3,Investors!$I:$I,"&lt;="&amp;'NSST Print'!$B$3,Investors!$A:$A,'Investor Exit List'!$A426,Investors!$E:$E,'Investor Exit List'!$C426,Investors!$L:$L,'Investor Exit List'!$B426)-(SUMIFS(Investors!$S:$S,Investors!$I:$I,"&lt;="&amp;'NSST Print'!$B$3,Investors!$J:$J,"&gt;"&amp;'NSST Print'!$B$3,Investors!$A:$A,'Investor Exit List'!$A426,Investors!$E:$E,'Investor Exit List'!$C426,Investors!$L:$L,'Investor Exit List'!$B426)+SUMIFS(Investors!$S:$S,Investors!$I:$I,"&lt;="&amp;'NSST Print'!$B$3,Investors!$J:$J,"",Investors!$A:$A,'Investor Exit List'!$A426,Investors!$E:$E,'Investor Exit List'!$C426,Investors!$L:$L,'Investor Exit List'!$B426))</f>
        <v/>
      </c>
      <c r="R426" s="94">
        <f>IF(AND(H426=TRUE,I426=FALSE),Q426,0)</f>
        <v/>
      </c>
      <c r="S426" s="94">
        <f>SUMIFS(Investors!$M:$M,Investors!$O:$O,TRUE,Investors!$A:$A,'Investor Exit List'!$A426,Investors!$E:$E,'Investor Exit List'!$C426,Investors!$L:$L,'Investor Exit List'!$B426)+SUMIFS(Investors!$S:$S,Investors!$O:$O,TRUE,Investors!$A:$A,'Investor Exit List'!$A426,Investors!$E:$E,'Investor Exit List'!$C426,Investors!$L:$L,'Investor Exit List'!$B426)</f>
        <v/>
      </c>
      <c r="T426" s="95">
        <f>IF(U426=TRUE,$J426,"")</f>
        <v/>
      </c>
      <c r="U426" s="93" t="b">
        <v>0</v>
      </c>
      <c r="V426" s="94">
        <f>IF(AND(H426=TRUE,OR(K426="",K426&gt;M426)),S426,0)</f>
        <v/>
      </c>
      <c r="W426" s="93" t="n">
        <v>0</v>
      </c>
      <c r="X426" s="93" t="b">
        <v>0</v>
      </c>
    </row>
    <row r="427">
      <c r="A427" s="93" t="inlineStr">
        <is>
          <t>ZDEL01</t>
        </is>
      </c>
      <c r="B427" s="93" t="n">
        <v>13</v>
      </c>
      <c r="C427" s="93" t="inlineStr">
        <is>
          <t>HVL203</t>
        </is>
      </c>
      <c r="D427" s="93" t="inlineStr">
        <is>
          <t>L</t>
        </is>
      </c>
      <c r="E427" s="93" t="inlineStr">
        <is>
          <t>Jansen van Vuuren Pieter</t>
        </is>
      </c>
      <c r="F427" s="94">
        <f>SUMIFS(Investors!$M:$M,Investors!$O:$O,FALSE,Investors!$P:$P,FALSE,Investors!$K:$K,"&gt;"&amp;'NSST Print'!$B$3,Investors!$I:$I,"&lt;="&amp;'NSST Print'!$B$3,Investors!$A:$A,'Investor Exit List'!$A427,Investors!$E:$E,'Investor Exit List'!$C427,Investors!$L:$L,'Investor Exit List'!$B427)-(SUMIFS(Investors!$M:$M,Investors!$I:$I,"&lt;="&amp;'NSST Print'!$B$3,Investors!$J:$J,"&gt;"&amp;'NSST Print'!$B$3,Investors!$A:$A,'Investor Exit List'!$A427,Investors!$E:$E,'Investor Exit List'!$C427,Investors!$L:$L,'Investor Exit List'!$B427)+SUMIFS(Investors!$M:$M,Investors!$I:$I,"&lt;="&amp;'NSST Print'!$B$3,Investors!$J:$J,"",Investors!$A:$A,'Investor Exit List'!$A427,Investors!$E:$E,'Investor Exit List'!$C427,Investors!$L:$L,'Investor Exit List'!$B427))</f>
        <v/>
      </c>
      <c r="G427" s="95" t="n">
        <v>45273</v>
      </c>
      <c r="H427" s="93" t="b">
        <v>0</v>
      </c>
      <c r="I427" s="93" t="b">
        <v>0</v>
      </c>
      <c r="J427" s="95" t="n">
        <v>45524</v>
      </c>
      <c r="K427" s="95">
        <f>IF(I427=TRUE,J427,"")</f>
        <v/>
      </c>
      <c r="L427" s="95">
        <f>G427+730</f>
        <v/>
      </c>
      <c r="M427" s="95" t="n">
        <v>45382</v>
      </c>
      <c r="N427" s="96">
        <f>IFERROR(IF(G427&lt;&gt;"",IF(I427=TRUE,0,IF(U427=TRUE,0,L427-M427)),0),0)</f>
        <v/>
      </c>
      <c r="O427" s="96">
        <f>IF(N427&gt;0,IF(N427&lt;=180,N427,0),0)</f>
        <v/>
      </c>
      <c r="P427" s="94">
        <f>IF(AND(N427&lt;90,N427&gt;0),Q427,0)</f>
        <v/>
      </c>
      <c r="Q427" s="94">
        <f>SUMIFS(Investors!$M:$M,Investors!$O:$O,FALSE,Investors!$P:$P,FALSE,Investors!$K:$K,"&gt;"&amp;'NSST Print'!$B$3,Investors!$I:$I,"&lt;="&amp;'NSST Print'!$B$3,Investors!$A:$A,'Investor Exit List'!$A427,Investors!$E:$E,'Investor Exit List'!$C427,Investors!$L:$L,'Investor Exit List'!$B427)-(SUMIFS(Investors!$M:$M,Investors!$I:$I,"&lt;="&amp;'NSST Print'!$B$3,Investors!$J:$J,"&gt;"&amp;'NSST Print'!$B$3,Investors!$A:$A,'Investor Exit List'!$A427,Investors!$E:$E,'Investor Exit List'!$C427,Investors!$L:$L,'Investor Exit List'!$B427)+SUMIFS(Investors!$M:$M,Investors!$I:$I,"&lt;="&amp;'NSST Print'!$B$3,Investors!$J:$J,"",Investors!$A:$A,'Investor Exit List'!$A427,Investors!$E:$E,'Investor Exit List'!$C427,Investors!$L:$L,'Investor Exit List'!$B427))+SUMIFS(Investors!$S:$S,Investors!$O:$O,FALSE,Investors!$P:$P,FALSE,Investors!$K:$K,"&gt;"&amp;'NSST Print'!$B$3,Investors!$I:$I,"&lt;="&amp;'NSST Print'!$B$3,Investors!$A:$A,'Investor Exit List'!$A427,Investors!$E:$E,'Investor Exit List'!$C427,Investors!$L:$L,'Investor Exit List'!$B427)-(SUMIFS(Investors!$S:$S,Investors!$I:$I,"&lt;="&amp;'NSST Print'!$B$3,Investors!$J:$J,"&gt;"&amp;'NSST Print'!$B$3,Investors!$A:$A,'Investor Exit List'!$A427,Investors!$E:$E,'Investor Exit List'!$C427,Investors!$L:$L,'Investor Exit List'!$B427)+SUMIFS(Investors!$S:$S,Investors!$I:$I,"&lt;="&amp;'NSST Print'!$B$3,Investors!$J:$J,"",Investors!$A:$A,'Investor Exit List'!$A427,Investors!$E:$E,'Investor Exit List'!$C427,Investors!$L:$L,'Investor Exit List'!$B427))</f>
        <v/>
      </c>
      <c r="R427" s="94">
        <f>IF(AND(H427=TRUE,I427=FALSE),Q427,0)</f>
        <v/>
      </c>
      <c r="S427" s="94">
        <f>SUMIFS(Investors!$M:$M,Investors!$O:$O,TRUE,Investors!$A:$A,'Investor Exit List'!$A427,Investors!$E:$E,'Investor Exit List'!$C427,Investors!$L:$L,'Investor Exit List'!$B427)+SUMIFS(Investors!$S:$S,Investors!$O:$O,TRUE,Investors!$A:$A,'Investor Exit List'!$A427,Investors!$E:$E,'Investor Exit List'!$C427,Investors!$L:$L,'Investor Exit List'!$B427)</f>
        <v/>
      </c>
      <c r="T427" s="95">
        <f>IF(U427=TRUE,$J427,"")</f>
        <v/>
      </c>
      <c r="U427" s="93" t="b">
        <v>0</v>
      </c>
      <c r="V427" s="94">
        <f>IF(AND(H427=TRUE,OR(K427="",K427&gt;M427)),S427,0)</f>
        <v/>
      </c>
      <c r="W427" s="93" t="n">
        <v>0</v>
      </c>
      <c r="X427" s="93" t="b">
        <v>0</v>
      </c>
    </row>
    <row r="428">
      <c r="A428" s="93" t="inlineStr">
        <is>
          <t>ZERA02</t>
        </is>
      </c>
      <c r="B428" s="93" t="n">
        <v>3</v>
      </c>
      <c r="C428" s="93" t="inlineStr">
        <is>
          <t>HVL203</t>
        </is>
      </c>
      <c r="D428" s="93" t="inlineStr">
        <is>
          <t>L</t>
        </is>
      </c>
      <c r="E428" s="93" t="inlineStr">
        <is>
          <t>Erasmus Chantal Celeste Jafthaleen</t>
        </is>
      </c>
      <c r="F428" s="94">
        <f>SUMIFS(Investors!$M:$M,Investors!$O:$O,FALSE,Investors!$P:$P,FALSE,Investors!$K:$K,"&gt;"&amp;'NSST Print'!$B$3,Investors!$I:$I,"&lt;="&amp;'NSST Print'!$B$3,Investors!$A:$A,'Investor Exit List'!$A428,Investors!$E:$E,'Investor Exit List'!$C428,Investors!$L:$L,'Investor Exit List'!$B428)-(SUMIFS(Investors!$M:$M,Investors!$I:$I,"&lt;="&amp;'NSST Print'!$B$3,Investors!$J:$J,"&gt;"&amp;'NSST Print'!$B$3,Investors!$A:$A,'Investor Exit List'!$A428,Investors!$E:$E,'Investor Exit List'!$C428,Investors!$L:$L,'Investor Exit List'!$B428)+SUMIFS(Investors!$M:$M,Investors!$I:$I,"&lt;="&amp;'NSST Print'!$B$3,Investors!$J:$J,"",Investors!$A:$A,'Investor Exit List'!$A428,Investors!$E:$E,'Investor Exit List'!$C428,Investors!$L:$L,'Investor Exit List'!$B428))</f>
        <v/>
      </c>
      <c r="G428" s="95" t="n">
        <v>45273</v>
      </c>
      <c r="H428" s="93" t="b">
        <v>0</v>
      </c>
      <c r="I428" s="93" t="b">
        <v>0</v>
      </c>
      <c r="J428" s="95" t="n">
        <v>45524</v>
      </c>
      <c r="K428" s="95">
        <f>IF(I428=TRUE,J428,"")</f>
        <v/>
      </c>
      <c r="L428" s="95">
        <f>G428+730</f>
        <v/>
      </c>
      <c r="M428" s="95" t="n">
        <v>45382</v>
      </c>
      <c r="N428" s="96">
        <f>IFERROR(IF(G428&lt;&gt;"",IF(I428=TRUE,0,IF(U428=TRUE,0,L428-M428)),0),0)</f>
        <v/>
      </c>
      <c r="O428" s="96">
        <f>IF(N428&gt;0,IF(N428&lt;=180,N428,0),0)</f>
        <v/>
      </c>
      <c r="P428" s="94">
        <f>IF(AND(N428&lt;90,N428&gt;0),Q428,0)</f>
        <v/>
      </c>
      <c r="Q428" s="94">
        <f>SUMIFS(Investors!$M:$M,Investors!$O:$O,FALSE,Investors!$P:$P,FALSE,Investors!$K:$K,"&gt;"&amp;'NSST Print'!$B$3,Investors!$I:$I,"&lt;="&amp;'NSST Print'!$B$3,Investors!$A:$A,'Investor Exit List'!$A428,Investors!$E:$E,'Investor Exit List'!$C428,Investors!$L:$L,'Investor Exit List'!$B428)-(SUMIFS(Investors!$M:$M,Investors!$I:$I,"&lt;="&amp;'NSST Print'!$B$3,Investors!$J:$J,"&gt;"&amp;'NSST Print'!$B$3,Investors!$A:$A,'Investor Exit List'!$A428,Investors!$E:$E,'Investor Exit List'!$C428,Investors!$L:$L,'Investor Exit List'!$B428)+SUMIFS(Investors!$M:$M,Investors!$I:$I,"&lt;="&amp;'NSST Print'!$B$3,Investors!$J:$J,"",Investors!$A:$A,'Investor Exit List'!$A428,Investors!$E:$E,'Investor Exit List'!$C428,Investors!$L:$L,'Investor Exit List'!$B428))+SUMIFS(Investors!$S:$S,Investors!$O:$O,FALSE,Investors!$P:$P,FALSE,Investors!$K:$K,"&gt;"&amp;'NSST Print'!$B$3,Investors!$I:$I,"&lt;="&amp;'NSST Print'!$B$3,Investors!$A:$A,'Investor Exit List'!$A428,Investors!$E:$E,'Investor Exit List'!$C428,Investors!$L:$L,'Investor Exit List'!$B428)-(SUMIFS(Investors!$S:$S,Investors!$I:$I,"&lt;="&amp;'NSST Print'!$B$3,Investors!$J:$J,"&gt;"&amp;'NSST Print'!$B$3,Investors!$A:$A,'Investor Exit List'!$A428,Investors!$E:$E,'Investor Exit List'!$C428,Investors!$L:$L,'Investor Exit List'!$B428)+SUMIFS(Investors!$S:$S,Investors!$I:$I,"&lt;="&amp;'NSST Print'!$B$3,Investors!$J:$J,"",Investors!$A:$A,'Investor Exit List'!$A428,Investors!$E:$E,'Investor Exit List'!$C428,Investors!$L:$L,'Investor Exit List'!$B428))</f>
        <v/>
      </c>
      <c r="R428" s="94">
        <f>IF(AND(H428=TRUE,I428=FALSE),Q428,0)</f>
        <v/>
      </c>
      <c r="S428" s="94">
        <f>SUMIFS(Investors!$M:$M,Investors!$O:$O,TRUE,Investors!$A:$A,'Investor Exit List'!$A428,Investors!$E:$E,'Investor Exit List'!$C428,Investors!$L:$L,'Investor Exit List'!$B428)+SUMIFS(Investors!$S:$S,Investors!$O:$O,TRUE,Investors!$A:$A,'Investor Exit List'!$A428,Investors!$E:$E,'Investor Exit List'!$C428,Investors!$L:$L,'Investor Exit List'!$B428)</f>
        <v/>
      </c>
      <c r="T428" s="95">
        <f>IF(U428=TRUE,$J428,"")</f>
        <v/>
      </c>
      <c r="U428" s="93" t="b">
        <v>0</v>
      </c>
      <c r="V428" s="94">
        <f>IF(AND(H428=TRUE,OR(K428="",K428&gt;M428)),S428,0)</f>
        <v/>
      </c>
      <c r="W428" s="93" t="n">
        <v>0</v>
      </c>
      <c r="X428" s="93" t="b">
        <v>0</v>
      </c>
    </row>
    <row r="429">
      <c r="A429" s="93" t="inlineStr">
        <is>
          <t>ZHEN01</t>
        </is>
      </c>
      <c r="B429" s="93" t="n">
        <v>5</v>
      </c>
      <c r="C429" s="93" t="inlineStr">
        <is>
          <t>HVL203</t>
        </is>
      </c>
      <c r="D429" s="93" t="inlineStr">
        <is>
          <t>L</t>
        </is>
      </c>
      <c r="E429" s="93" t="inlineStr">
        <is>
          <t>Hendricks Theodore Shane</t>
        </is>
      </c>
      <c r="F429" s="94">
        <f>SUMIFS(Investors!$M:$M,Investors!$O:$O,FALSE,Investors!$P:$P,FALSE,Investors!$K:$K,"&gt;"&amp;'NSST Print'!$B$3,Investors!$I:$I,"&lt;="&amp;'NSST Print'!$B$3,Investors!$A:$A,'Investor Exit List'!$A429,Investors!$E:$E,'Investor Exit List'!$C429,Investors!$L:$L,'Investor Exit List'!$B429)-(SUMIFS(Investors!$M:$M,Investors!$I:$I,"&lt;="&amp;'NSST Print'!$B$3,Investors!$J:$J,"&gt;"&amp;'NSST Print'!$B$3,Investors!$A:$A,'Investor Exit List'!$A429,Investors!$E:$E,'Investor Exit List'!$C429,Investors!$L:$L,'Investor Exit List'!$B429)+SUMIFS(Investors!$M:$M,Investors!$I:$I,"&lt;="&amp;'NSST Print'!$B$3,Investors!$J:$J,"",Investors!$A:$A,'Investor Exit List'!$A429,Investors!$E:$E,'Investor Exit List'!$C429,Investors!$L:$L,'Investor Exit List'!$B429))</f>
        <v/>
      </c>
      <c r="G429" s="95" t="n">
        <v>45363</v>
      </c>
      <c r="H429" s="93" t="b">
        <v>0</v>
      </c>
      <c r="I429" s="93" t="b">
        <v>0</v>
      </c>
      <c r="J429" s="95" t="n">
        <v>45524</v>
      </c>
      <c r="K429" s="95">
        <f>IF(I429=TRUE,J429,"")</f>
        <v/>
      </c>
      <c r="L429" s="95">
        <f>G429+730</f>
        <v/>
      </c>
      <c r="M429" s="95" t="n">
        <v>45382</v>
      </c>
      <c r="N429" s="96">
        <f>IFERROR(IF(G429&lt;&gt;"",IF(I429=TRUE,0,IF(U429=TRUE,0,L429-M429)),0),0)</f>
        <v/>
      </c>
      <c r="O429" s="96">
        <f>IF(N429&gt;0,IF(N429&lt;=180,N429,0),0)</f>
        <v/>
      </c>
      <c r="P429" s="94">
        <f>IF(AND(N429&lt;90,N429&gt;0),Q429,0)</f>
        <v/>
      </c>
      <c r="Q429" s="94">
        <f>SUMIFS(Investors!$M:$M,Investors!$O:$O,FALSE,Investors!$P:$P,FALSE,Investors!$K:$K,"&gt;"&amp;'NSST Print'!$B$3,Investors!$I:$I,"&lt;="&amp;'NSST Print'!$B$3,Investors!$A:$A,'Investor Exit List'!$A429,Investors!$E:$E,'Investor Exit List'!$C429,Investors!$L:$L,'Investor Exit List'!$B429)-(SUMIFS(Investors!$M:$M,Investors!$I:$I,"&lt;="&amp;'NSST Print'!$B$3,Investors!$J:$J,"&gt;"&amp;'NSST Print'!$B$3,Investors!$A:$A,'Investor Exit List'!$A429,Investors!$E:$E,'Investor Exit List'!$C429,Investors!$L:$L,'Investor Exit List'!$B429)+SUMIFS(Investors!$M:$M,Investors!$I:$I,"&lt;="&amp;'NSST Print'!$B$3,Investors!$J:$J,"",Investors!$A:$A,'Investor Exit List'!$A429,Investors!$E:$E,'Investor Exit List'!$C429,Investors!$L:$L,'Investor Exit List'!$B429))+SUMIFS(Investors!$S:$S,Investors!$O:$O,FALSE,Investors!$P:$P,FALSE,Investors!$K:$K,"&gt;"&amp;'NSST Print'!$B$3,Investors!$I:$I,"&lt;="&amp;'NSST Print'!$B$3,Investors!$A:$A,'Investor Exit List'!$A429,Investors!$E:$E,'Investor Exit List'!$C429,Investors!$L:$L,'Investor Exit List'!$B429)-(SUMIFS(Investors!$S:$S,Investors!$I:$I,"&lt;="&amp;'NSST Print'!$B$3,Investors!$J:$J,"&gt;"&amp;'NSST Print'!$B$3,Investors!$A:$A,'Investor Exit List'!$A429,Investors!$E:$E,'Investor Exit List'!$C429,Investors!$L:$L,'Investor Exit List'!$B429)+SUMIFS(Investors!$S:$S,Investors!$I:$I,"&lt;="&amp;'NSST Print'!$B$3,Investors!$J:$J,"",Investors!$A:$A,'Investor Exit List'!$A429,Investors!$E:$E,'Investor Exit List'!$C429,Investors!$L:$L,'Investor Exit List'!$B429))</f>
        <v/>
      </c>
      <c r="R429" s="94">
        <f>IF(AND(H429=TRUE,I429=FALSE),Q429,0)</f>
        <v/>
      </c>
      <c r="S429" s="94">
        <f>SUMIFS(Investors!$M:$M,Investors!$O:$O,TRUE,Investors!$A:$A,'Investor Exit List'!$A429,Investors!$E:$E,'Investor Exit List'!$C429,Investors!$L:$L,'Investor Exit List'!$B429)+SUMIFS(Investors!$S:$S,Investors!$O:$O,TRUE,Investors!$A:$A,'Investor Exit List'!$A429,Investors!$E:$E,'Investor Exit List'!$C429,Investors!$L:$L,'Investor Exit List'!$B429)</f>
        <v/>
      </c>
      <c r="T429" s="95">
        <f>IF(U429=TRUE,$J429,"")</f>
        <v/>
      </c>
      <c r="U429" s="93" t="b">
        <v>0</v>
      </c>
      <c r="V429" s="94">
        <f>IF(AND(H429=TRUE,OR(K429="",K429&gt;M429)),S429,0)</f>
        <v/>
      </c>
      <c r="W429" s="93" t="n">
        <v>0</v>
      </c>
      <c r="X429" s="93" t="b">
        <v>0</v>
      </c>
    </row>
    <row r="430">
      <c r="A430" s="93" t="inlineStr">
        <is>
          <t>ZHUT01</t>
        </is>
      </c>
      <c r="B430" s="93" t="n">
        <v>9</v>
      </c>
      <c r="C430" s="93" t="inlineStr">
        <is>
          <t>HVL203</t>
        </is>
      </c>
      <c r="D430" s="93" t="inlineStr">
        <is>
          <t>L</t>
        </is>
      </c>
      <c r="E430" s="93" t="inlineStr">
        <is>
          <t>Hutchings Tracy Jane</t>
        </is>
      </c>
      <c r="F430" s="94">
        <f>SUMIFS(Investors!$M:$M,Investors!$O:$O,FALSE,Investors!$P:$P,FALSE,Investors!$K:$K,"&gt;"&amp;'NSST Print'!$B$3,Investors!$I:$I,"&lt;="&amp;'NSST Print'!$B$3,Investors!$A:$A,'Investor Exit List'!$A430,Investors!$E:$E,'Investor Exit List'!$C430,Investors!$L:$L,'Investor Exit List'!$B430)-(SUMIFS(Investors!$M:$M,Investors!$I:$I,"&lt;="&amp;'NSST Print'!$B$3,Investors!$J:$J,"&gt;"&amp;'NSST Print'!$B$3,Investors!$A:$A,'Investor Exit List'!$A430,Investors!$E:$E,'Investor Exit List'!$C430,Investors!$L:$L,'Investor Exit List'!$B430)+SUMIFS(Investors!$M:$M,Investors!$I:$I,"&lt;="&amp;'NSST Print'!$B$3,Investors!$J:$J,"",Investors!$A:$A,'Investor Exit List'!$A430,Investors!$E:$E,'Investor Exit List'!$C430,Investors!$L:$L,'Investor Exit List'!$B430))</f>
        <v/>
      </c>
      <c r="G430" s="95" t="n">
        <v>45371</v>
      </c>
      <c r="H430" s="93" t="b">
        <v>0</v>
      </c>
      <c r="I430" s="93" t="b">
        <v>0</v>
      </c>
      <c r="J430" s="95" t="n">
        <v>45524</v>
      </c>
      <c r="K430" s="95">
        <f>IF(I430=TRUE,J430,"")</f>
        <v/>
      </c>
      <c r="L430" s="95">
        <f>G430+730</f>
        <v/>
      </c>
      <c r="M430" s="95" t="n">
        <v>45382</v>
      </c>
      <c r="N430" s="96">
        <f>IFERROR(IF(G430&lt;&gt;"",IF(I430=TRUE,0,IF(U430=TRUE,0,L430-M430)),0),0)</f>
        <v/>
      </c>
      <c r="O430" s="96">
        <f>IF(N430&gt;0,IF(N430&lt;=180,N430,0),0)</f>
        <v/>
      </c>
      <c r="P430" s="94">
        <f>IF(AND(N430&lt;90,N430&gt;0),Q430,0)</f>
        <v/>
      </c>
      <c r="Q430" s="94">
        <f>SUMIFS(Investors!$M:$M,Investors!$O:$O,FALSE,Investors!$P:$P,FALSE,Investors!$K:$K,"&gt;"&amp;'NSST Print'!$B$3,Investors!$I:$I,"&lt;="&amp;'NSST Print'!$B$3,Investors!$A:$A,'Investor Exit List'!$A430,Investors!$E:$E,'Investor Exit List'!$C430,Investors!$L:$L,'Investor Exit List'!$B430)-(SUMIFS(Investors!$M:$M,Investors!$I:$I,"&lt;="&amp;'NSST Print'!$B$3,Investors!$J:$J,"&gt;"&amp;'NSST Print'!$B$3,Investors!$A:$A,'Investor Exit List'!$A430,Investors!$E:$E,'Investor Exit List'!$C430,Investors!$L:$L,'Investor Exit List'!$B430)+SUMIFS(Investors!$M:$M,Investors!$I:$I,"&lt;="&amp;'NSST Print'!$B$3,Investors!$J:$J,"",Investors!$A:$A,'Investor Exit List'!$A430,Investors!$E:$E,'Investor Exit List'!$C430,Investors!$L:$L,'Investor Exit List'!$B430))+SUMIFS(Investors!$S:$S,Investors!$O:$O,FALSE,Investors!$P:$P,FALSE,Investors!$K:$K,"&gt;"&amp;'NSST Print'!$B$3,Investors!$I:$I,"&lt;="&amp;'NSST Print'!$B$3,Investors!$A:$A,'Investor Exit List'!$A430,Investors!$E:$E,'Investor Exit List'!$C430,Investors!$L:$L,'Investor Exit List'!$B430)-(SUMIFS(Investors!$S:$S,Investors!$I:$I,"&lt;="&amp;'NSST Print'!$B$3,Investors!$J:$J,"&gt;"&amp;'NSST Print'!$B$3,Investors!$A:$A,'Investor Exit List'!$A430,Investors!$E:$E,'Investor Exit List'!$C430,Investors!$L:$L,'Investor Exit List'!$B430)+SUMIFS(Investors!$S:$S,Investors!$I:$I,"&lt;="&amp;'NSST Print'!$B$3,Investors!$J:$J,"",Investors!$A:$A,'Investor Exit List'!$A430,Investors!$E:$E,'Investor Exit List'!$C430,Investors!$L:$L,'Investor Exit List'!$B430))</f>
        <v/>
      </c>
      <c r="R430" s="94">
        <f>IF(AND(H430=TRUE,I430=FALSE),Q430,0)</f>
        <v/>
      </c>
      <c r="S430" s="94">
        <f>SUMIFS(Investors!$M:$M,Investors!$O:$O,TRUE,Investors!$A:$A,'Investor Exit List'!$A430,Investors!$E:$E,'Investor Exit List'!$C430,Investors!$L:$L,'Investor Exit List'!$B430)+SUMIFS(Investors!$S:$S,Investors!$O:$O,TRUE,Investors!$A:$A,'Investor Exit List'!$A430,Investors!$E:$E,'Investor Exit List'!$C430,Investors!$L:$L,'Investor Exit List'!$B430)</f>
        <v/>
      </c>
      <c r="T430" s="95">
        <f>IF(U430=TRUE,$J430,"")</f>
        <v/>
      </c>
      <c r="U430" s="93" t="b">
        <v>0</v>
      </c>
      <c r="V430" s="94">
        <f>IF(AND(H430=TRUE,OR(K430="",K430&gt;M430)),S430,0)</f>
        <v/>
      </c>
      <c r="W430" s="93" t="n">
        <v>0</v>
      </c>
      <c r="X430" s="93" t="b">
        <v>0</v>
      </c>
    </row>
    <row r="431">
      <c r="A431" s="93" t="inlineStr">
        <is>
          <t>ZROD01</t>
        </is>
      </c>
      <c r="B431" s="93" t="n">
        <v>3</v>
      </c>
      <c r="C431" s="93" t="inlineStr">
        <is>
          <t>HVL203</t>
        </is>
      </c>
      <c r="D431" s="93" t="inlineStr">
        <is>
          <t>L</t>
        </is>
      </c>
      <c r="E431" s="93" t="inlineStr">
        <is>
          <t>Rodolo Vuyisile Eustace</t>
        </is>
      </c>
      <c r="F431" s="94">
        <f>SUMIFS(Investors!$M:$M,Investors!$O:$O,FALSE,Investors!$P:$P,FALSE,Investors!$K:$K,"&gt;"&amp;'NSST Print'!$B$3,Investors!$I:$I,"&lt;="&amp;'NSST Print'!$B$3,Investors!$A:$A,'Investor Exit List'!$A431,Investors!$E:$E,'Investor Exit List'!$C431,Investors!$L:$L,'Investor Exit List'!$B431)-(SUMIFS(Investors!$M:$M,Investors!$I:$I,"&lt;="&amp;'NSST Print'!$B$3,Investors!$J:$J,"&gt;"&amp;'NSST Print'!$B$3,Investors!$A:$A,'Investor Exit List'!$A431,Investors!$E:$E,'Investor Exit List'!$C431,Investors!$L:$L,'Investor Exit List'!$B431)+SUMIFS(Investors!$M:$M,Investors!$I:$I,"&lt;="&amp;'NSST Print'!$B$3,Investors!$J:$J,"",Investors!$A:$A,'Investor Exit List'!$A431,Investors!$E:$E,'Investor Exit List'!$C431,Investors!$L:$L,'Investor Exit List'!$B431))</f>
        <v/>
      </c>
      <c r="G431" s="95" t="n">
        <v>45363</v>
      </c>
      <c r="H431" s="93" t="b">
        <v>0</v>
      </c>
      <c r="I431" s="93" t="b">
        <v>0</v>
      </c>
      <c r="J431" s="95" t="n">
        <v>45524</v>
      </c>
      <c r="K431" s="95">
        <f>IF(I431=TRUE,J431,"")</f>
        <v/>
      </c>
      <c r="L431" s="95">
        <f>G431+730</f>
        <v/>
      </c>
      <c r="M431" s="95" t="n">
        <v>45382</v>
      </c>
      <c r="N431" s="96">
        <f>IFERROR(IF(G431&lt;&gt;"",IF(I431=TRUE,0,IF(U431=TRUE,0,L431-M431)),0),0)</f>
        <v/>
      </c>
      <c r="O431" s="96">
        <f>IF(N431&gt;0,IF(N431&lt;=180,N431,0),0)</f>
        <v/>
      </c>
      <c r="P431" s="94">
        <f>IF(AND(N431&lt;90,N431&gt;0),Q431,0)</f>
        <v/>
      </c>
      <c r="Q431" s="94">
        <f>SUMIFS(Investors!$M:$M,Investors!$O:$O,FALSE,Investors!$P:$P,FALSE,Investors!$K:$K,"&gt;"&amp;'NSST Print'!$B$3,Investors!$I:$I,"&lt;="&amp;'NSST Print'!$B$3,Investors!$A:$A,'Investor Exit List'!$A431,Investors!$E:$E,'Investor Exit List'!$C431,Investors!$L:$L,'Investor Exit List'!$B431)-(SUMIFS(Investors!$M:$M,Investors!$I:$I,"&lt;="&amp;'NSST Print'!$B$3,Investors!$J:$J,"&gt;"&amp;'NSST Print'!$B$3,Investors!$A:$A,'Investor Exit List'!$A431,Investors!$E:$E,'Investor Exit List'!$C431,Investors!$L:$L,'Investor Exit List'!$B431)+SUMIFS(Investors!$M:$M,Investors!$I:$I,"&lt;="&amp;'NSST Print'!$B$3,Investors!$J:$J,"",Investors!$A:$A,'Investor Exit List'!$A431,Investors!$E:$E,'Investor Exit List'!$C431,Investors!$L:$L,'Investor Exit List'!$B431))+SUMIFS(Investors!$S:$S,Investors!$O:$O,FALSE,Investors!$P:$P,FALSE,Investors!$K:$K,"&gt;"&amp;'NSST Print'!$B$3,Investors!$I:$I,"&lt;="&amp;'NSST Print'!$B$3,Investors!$A:$A,'Investor Exit List'!$A431,Investors!$E:$E,'Investor Exit List'!$C431,Investors!$L:$L,'Investor Exit List'!$B431)-(SUMIFS(Investors!$S:$S,Investors!$I:$I,"&lt;="&amp;'NSST Print'!$B$3,Investors!$J:$J,"&gt;"&amp;'NSST Print'!$B$3,Investors!$A:$A,'Investor Exit List'!$A431,Investors!$E:$E,'Investor Exit List'!$C431,Investors!$L:$L,'Investor Exit List'!$B431)+SUMIFS(Investors!$S:$S,Investors!$I:$I,"&lt;="&amp;'NSST Print'!$B$3,Investors!$J:$J,"",Investors!$A:$A,'Investor Exit List'!$A431,Investors!$E:$E,'Investor Exit List'!$C431,Investors!$L:$L,'Investor Exit List'!$B431))</f>
        <v/>
      </c>
      <c r="R431" s="94">
        <f>IF(AND(H431=TRUE,I431=FALSE),Q431,0)</f>
        <v/>
      </c>
      <c r="S431" s="94">
        <f>SUMIFS(Investors!$M:$M,Investors!$O:$O,TRUE,Investors!$A:$A,'Investor Exit List'!$A431,Investors!$E:$E,'Investor Exit List'!$C431,Investors!$L:$L,'Investor Exit List'!$B431)+SUMIFS(Investors!$S:$S,Investors!$O:$O,TRUE,Investors!$A:$A,'Investor Exit List'!$A431,Investors!$E:$E,'Investor Exit List'!$C431,Investors!$L:$L,'Investor Exit List'!$B431)</f>
        <v/>
      </c>
      <c r="T431" s="95">
        <f>IF(U431=TRUE,$J431,"")</f>
        <v/>
      </c>
      <c r="U431" s="93" t="b">
        <v>0</v>
      </c>
      <c r="V431" s="94">
        <f>IF(AND(H431=TRUE,OR(K431="",K431&gt;M431)),S431,0)</f>
        <v/>
      </c>
      <c r="W431" s="93" t="n">
        <v>0</v>
      </c>
      <c r="X431" s="93" t="b">
        <v>0</v>
      </c>
    </row>
    <row r="432">
      <c r="A432" s="93" t="inlineStr">
        <is>
          <t>ZHEI01</t>
        </is>
      </c>
      <c r="B432" s="93" t="n">
        <v>12</v>
      </c>
      <c r="C432" s="93" t="inlineStr">
        <is>
          <t>HVL204</t>
        </is>
      </c>
      <c r="D432" s="93" t="inlineStr">
        <is>
          <t>L</t>
        </is>
      </c>
      <c r="E432" s="93" t="inlineStr">
        <is>
          <t>Heinze Dieter Raimund</t>
        </is>
      </c>
      <c r="F432" s="94">
        <f>SUMIFS(Investors!$M:$M,Investors!$O:$O,FALSE,Investors!$P:$P,FALSE,Investors!$K:$K,"&gt;"&amp;'NSST Print'!$B$3,Investors!$I:$I,"&lt;="&amp;'NSST Print'!$B$3,Investors!$A:$A,'Investor Exit List'!$A432,Investors!$E:$E,'Investor Exit List'!$C432,Investors!$L:$L,'Investor Exit List'!$B432)-(SUMIFS(Investors!$M:$M,Investors!$I:$I,"&lt;="&amp;'NSST Print'!$B$3,Investors!$J:$J,"&gt;"&amp;'NSST Print'!$B$3,Investors!$A:$A,'Investor Exit List'!$A432,Investors!$E:$E,'Investor Exit List'!$C432,Investors!$L:$L,'Investor Exit List'!$B432)+SUMIFS(Investors!$M:$M,Investors!$I:$I,"&lt;="&amp;'NSST Print'!$B$3,Investors!$J:$J,"",Investors!$A:$A,'Investor Exit List'!$A432,Investors!$E:$E,'Investor Exit List'!$C432,Investors!$L:$L,'Investor Exit List'!$B432))</f>
        <v/>
      </c>
      <c r="G432" s="95" t="n">
        <v>45371</v>
      </c>
      <c r="H432" s="93" t="b">
        <v>0</v>
      </c>
      <c r="I432" s="93" t="b">
        <v>0</v>
      </c>
      <c r="J432" s="95" t="n">
        <v>45524</v>
      </c>
      <c r="K432" s="95">
        <f>IF(I432=TRUE,J432,"")</f>
        <v/>
      </c>
      <c r="L432" s="95">
        <f>G432+730</f>
        <v/>
      </c>
      <c r="M432" s="95" t="n">
        <v>45382</v>
      </c>
      <c r="N432" s="96">
        <f>IFERROR(IF(G432&lt;&gt;"",IF(I432=TRUE,0,IF(U432=TRUE,0,L432-M432)),0),0)</f>
        <v/>
      </c>
      <c r="O432" s="96">
        <f>IF(N432&gt;0,IF(N432&lt;=180,N432,0),0)</f>
        <v/>
      </c>
      <c r="P432" s="94">
        <f>IF(AND(N432&lt;90,N432&gt;0),Q432,0)</f>
        <v/>
      </c>
      <c r="Q432" s="94">
        <f>SUMIFS(Investors!$M:$M,Investors!$O:$O,FALSE,Investors!$P:$P,FALSE,Investors!$K:$K,"&gt;"&amp;'NSST Print'!$B$3,Investors!$I:$I,"&lt;="&amp;'NSST Print'!$B$3,Investors!$A:$A,'Investor Exit List'!$A432,Investors!$E:$E,'Investor Exit List'!$C432,Investors!$L:$L,'Investor Exit List'!$B432)-(SUMIFS(Investors!$M:$M,Investors!$I:$I,"&lt;="&amp;'NSST Print'!$B$3,Investors!$J:$J,"&gt;"&amp;'NSST Print'!$B$3,Investors!$A:$A,'Investor Exit List'!$A432,Investors!$E:$E,'Investor Exit List'!$C432,Investors!$L:$L,'Investor Exit List'!$B432)+SUMIFS(Investors!$M:$M,Investors!$I:$I,"&lt;="&amp;'NSST Print'!$B$3,Investors!$J:$J,"",Investors!$A:$A,'Investor Exit List'!$A432,Investors!$E:$E,'Investor Exit List'!$C432,Investors!$L:$L,'Investor Exit List'!$B432))+SUMIFS(Investors!$S:$S,Investors!$O:$O,FALSE,Investors!$P:$P,FALSE,Investors!$K:$K,"&gt;"&amp;'NSST Print'!$B$3,Investors!$I:$I,"&lt;="&amp;'NSST Print'!$B$3,Investors!$A:$A,'Investor Exit List'!$A432,Investors!$E:$E,'Investor Exit List'!$C432,Investors!$L:$L,'Investor Exit List'!$B432)-(SUMIFS(Investors!$S:$S,Investors!$I:$I,"&lt;="&amp;'NSST Print'!$B$3,Investors!$J:$J,"&gt;"&amp;'NSST Print'!$B$3,Investors!$A:$A,'Investor Exit List'!$A432,Investors!$E:$E,'Investor Exit List'!$C432,Investors!$L:$L,'Investor Exit List'!$B432)+SUMIFS(Investors!$S:$S,Investors!$I:$I,"&lt;="&amp;'NSST Print'!$B$3,Investors!$J:$J,"",Investors!$A:$A,'Investor Exit List'!$A432,Investors!$E:$E,'Investor Exit List'!$C432,Investors!$L:$L,'Investor Exit List'!$B432))</f>
        <v/>
      </c>
      <c r="R432" s="94">
        <f>IF(AND(H432=TRUE,I432=FALSE),Q432,0)</f>
        <v/>
      </c>
      <c r="S432" s="94">
        <f>SUMIFS(Investors!$M:$M,Investors!$O:$O,TRUE,Investors!$A:$A,'Investor Exit List'!$A432,Investors!$E:$E,'Investor Exit List'!$C432,Investors!$L:$L,'Investor Exit List'!$B432)+SUMIFS(Investors!$S:$S,Investors!$O:$O,TRUE,Investors!$A:$A,'Investor Exit List'!$A432,Investors!$E:$E,'Investor Exit List'!$C432,Investors!$L:$L,'Investor Exit List'!$B432)</f>
        <v/>
      </c>
      <c r="T432" s="95">
        <f>IF(U432=TRUE,$J432,"")</f>
        <v/>
      </c>
      <c r="U432" s="93" t="b">
        <v>0</v>
      </c>
      <c r="V432" s="94">
        <f>IF(AND(H432=TRUE,OR(K432="",K432&gt;M432)),S432,0)</f>
        <v/>
      </c>
      <c r="W432" s="93" t="n">
        <v>0</v>
      </c>
      <c r="X432" s="93" t="b">
        <v>0</v>
      </c>
    </row>
    <row r="433">
      <c r="A433" s="93" t="inlineStr">
        <is>
          <t>ZINT01</t>
        </is>
      </c>
      <c r="B433" s="93" t="n">
        <v>17</v>
      </c>
      <c r="C433" s="93" t="inlineStr">
        <is>
          <t>HVL204</t>
        </is>
      </c>
      <c r="D433" s="93" t="inlineStr">
        <is>
          <t>L</t>
        </is>
      </c>
      <c r="E433" s="93" t="inlineStr">
        <is>
          <t>Lunau Marc</t>
        </is>
      </c>
      <c r="F433" s="94">
        <f>SUMIFS(Investors!$M:$M,Investors!$O:$O,FALSE,Investors!$P:$P,FALSE,Investors!$K:$K,"&gt;"&amp;'NSST Print'!$B$3,Investors!$I:$I,"&lt;="&amp;'NSST Print'!$B$3,Investors!$A:$A,'Investor Exit List'!$A433,Investors!$E:$E,'Investor Exit List'!$C433,Investors!$L:$L,'Investor Exit List'!$B433)-(SUMIFS(Investors!$M:$M,Investors!$I:$I,"&lt;="&amp;'NSST Print'!$B$3,Investors!$J:$J,"&gt;"&amp;'NSST Print'!$B$3,Investors!$A:$A,'Investor Exit List'!$A433,Investors!$E:$E,'Investor Exit List'!$C433,Investors!$L:$L,'Investor Exit List'!$B433)+SUMIFS(Investors!$M:$M,Investors!$I:$I,"&lt;="&amp;'NSST Print'!$B$3,Investors!$J:$J,"",Investors!$A:$A,'Investor Exit List'!$A433,Investors!$E:$E,'Investor Exit List'!$C433,Investors!$L:$L,'Investor Exit List'!$B433))</f>
        <v/>
      </c>
      <c r="G433" s="95" t="n">
        <v>45161</v>
      </c>
      <c r="H433" s="93" t="b">
        <v>0</v>
      </c>
      <c r="I433" s="93" t="b">
        <v>0</v>
      </c>
      <c r="J433" s="95" t="n">
        <v>45524</v>
      </c>
      <c r="K433" s="95">
        <f>IF(I433=TRUE,J433,"")</f>
        <v/>
      </c>
      <c r="L433" s="95">
        <f>G433+730</f>
        <v/>
      </c>
      <c r="M433" s="95" t="n">
        <v>45382</v>
      </c>
      <c r="N433" s="96">
        <f>IFERROR(IF(G433&lt;&gt;"",IF(I433=TRUE,0,IF(U433=TRUE,0,L433-M433)),0),0)</f>
        <v/>
      </c>
      <c r="O433" s="96">
        <f>IF(N433&gt;0,IF(N433&lt;=180,N433,0),0)</f>
        <v/>
      </c>
      <c r="P433" s="94">
        <f>IF(AND(N433&lt;90,N433&gt;0),Q433,0)</f>
        <v/>
      </c>
      <c r="Q433" s="94">
        <f>SUMIFS(Investors!$M:$M,Investors!$O:$O,FALSE,Investors!$P:$P,FALSE,Investors!$K:$K,"&gt;"&amp;'NSST Print'!$B$3,Investors!$I:$I,"&lt;="&amp;'NSST Print'!$B$3,Investors!$A:$A,'Investor Exit List'!$A433,Investors!$E:$E,'Investor Exit List'!$C433,Investors!$L:$L,'Investor Exit List'!$B433)-(SUMIFS(Investors!$M:$M,Investors!$I:$I,"&lt;="&amp;'NSST Print'!$B$3,Investors!$J:$J,"&gt;"&amp;'NSST Print'!$B$3,Investors!$A:$A,'Investor Exit List'!$A433,Investors!$E:$E,'Investor Exit List'!$C433,Investors!$L:$L,'Investor Exit List'!$B433)+SUMIFS(Investors!$M:$M,Investors!$I:$I,"&lt;="&amp;'NSST Print'!$B$3,Investors!$J:$J,"",Investors!$A:$A,'Investor Exit List'!$A433,Investors!$E:$E,'Investor Exit List'!$C433,Investors!$L:$L,'Investor Exit List'!$B433))+SUMIFS(Investors!$S:$S,Investors!$O:$O,FALSE,Investors!$P:$P,FALSE,Investors!$K:$K,"&gt;"&amp;'NSST Print'!$B$3,Investors!$I:$I,"&lt;="&amp;'NSST Print'!$B$3,Investors!$A:$A,'Investor Exit List'!$A433,Investors!$E:$E,'Investor Exit List'!$C433,Investors!$L:$L,'Investor Exit List'!$B433)-(SUMIFS(Investors!$S:$S,Investors!$I:$I,"&lt;="&amp;'NSST Print'!$B$3,Investors!$J:$J,"&gt;"&amp;'NSST Print'!$B$3,Investors!$A:$A,'Investor Exit List'!$A433,Investors!$E:$E,'Investor Exit List'!$C433,Investors!$L:$L,'Investor Exit List'!$B433)+SUMIFS(Investors!$S:$S,Investors!$I:$I,"&lt;="&amp;'NSST Print'!$B$3,Investors!$J:$J,"",Investors!$A:$A,'Investor Exit List'!$A433,Investors!$E:$E,'Investor Exit List'!$C433,Investors!$L:$L,'Investor Exit List'!$B433))</f>
        <v/>
      </c>
      <c r="R433" s="94">
        <f>IF(AND(H433=TRUE,I433=FALSE),Q433,0)</f>
        <v/>
      </c>
      <c r="S433" s="94">
        <f>SUMIFS(Investors!$M:$M,Investors!$O:$O,TRUE,Investors!$A:$A,'Investor Exit List'!$A433,Investors!$E:$E,'Investor Exit List'!$C433,Investors!$L:$L,'Investor Exit List'!$B433)+SUMIFS(Investors!$S:$S,Investors!$O:$O,TRUE,Investors!$A:$A,'Investor Exit List'!$A433,Investors!$E:$E,'Investor Exit List'!$C433,Investors!$L:$L,'Investor Exit List'!$B433)</f>
        <v/>
      </c>
      <c r="T433" s="95">
        <f>IF(U433=TRUE,$J433,"")</f>
        <v/>
      </c>
      <c r="U433" s="93" t="b">
        <v>0</v>
      </c>
      <c r="V433" s="94">
        <f>IF(AND(H433=TRUE,OR(K433="",K433&gt;M433)),S433,0)</f>
        <v/>
      </c>
      <c r="W433" s="93" t="n">
        <v>0</v>
      </c>
      <c r="X433" s="93" t="b">
        <v>0</v>
      </c>
    </row>
    <row r="434">
      <c r="A434" s="93" t="inlineStr">
        <is>
          <t>ZNIE02</t>
        </is>
      </c>
      <c r="B434" s="93" t="n">
        <v>3</v>
      </c>
      <c r="C434" s="93" t="inlineStr">
        <is>
          <t>HVL204</t>
        </is>
      </c>
      <c r="D434" s="93" t="inlineStr">
        <is>
          <t>L</t>
        </is>
      </c>
      <c r="E434" s="93" t="inlineStr">
        <is>
          <t>van Niekerk Linda Kathleen</t>
        </is>
      </c>
      <c r="F434" s="94">
        <f>SUMIFS(Investors!$M:$M,Investors!$O:$O,FALSE,Investors!$P:$P,FALSE,Investors!$K:$K,"&gt;"&amp;'NSST Print'!$B$3,Investors!$I:$I,"&lt;="&amp;'NSST Print'!$B$3,Investors!$A:$A,'Investor Exit List'!$A434,Investors!$E:$E,'Investor Exit List'!$C434,Investors!$L:$L,'Investor Exit List'!$B434)-(SUMIFS(Investors!$M:$M,Investors!$I:$I,"&lt;="&amp;'NSST Print'!$B$3,Investors!$J:$J,"&gt;"&amp;'NSST Print'!$B$3,Investors!$A:$A,'Investor Exit List'!$A434,Investors!$E:$E,'Investor Exit List'!$C434,Investors!$L:$L,'Investor Exit List'!$B434)+SUMIFS(Investors!$M:$M,Investors!$I:$I,"&lt;="&amp;'NSST Print'!$B$3,Investors!$J:$J,"",Investors!$A:$A,'Investor Exit List'!$A434,Investors!$E:$E,'Investor Exit List'!$C434,Investors!$L:$L,'Investor Exit List'!$B434))</f>
        <v/>
      </c>
      <c r="G434" s="95" t="n">
        <v>45273</v>
      </c>
      <c r="H434" s="93" t="b">
        <v>0</v>
      </c>
      <c r="I434" s="93" t="b">
        <v>0</v>
      </c>
      <c r="J434" s="95" t="n">
        <v>45524</v>
      </c>
      <c r="K434" s="95">
        <f>IF(I434=TRUE,J434,"")</f>
        <v/>
      </c>
      <c r="L434" s="95">
        <f>G434+730</f>
        <v/>
      </c>
      <c r="M434" s="95" t="n">
        <v>45382</v>
      </c>
      <c r="N434" s="96">
        <f>IFERROR(IF(G434&lt;&gt;"",IF(I434=TRUE,0,IF(U434=TRUE,0,L434-M434)),0),0)</f>
        <v/>
      </c>
      <c r="O434" s="96">
        <f>IF(N434&gt;0,IF(N434&lt;=180,N434,0),0)</f>
        <v/>
      </c>
      <c r="P434" s="94">
        <f>IF(AND(N434&lt;90,N434&gt;0),Q434,0)</f>
        <v/>
      </c>
      <c r="Q434" s="94">
        <f>SUMIFS(Investors!$M:$M,Investors!$O:$O,FALSE,Investors!$P:$P,FALSE,Investors!$K:$K,"&gt;"&amp;'NSST Print'!$B$3,Investors!$I:$I,"&lt;="&amp;'NSST Print'!$B$3,Investors!$A:$A,'Investor Exit List'!$A434,Investors!$E:$E,'Investor Exit List'!$C434,Investors!$L:$L,'Investor Exit List'!$B434)-(SUMIFS(Investors!$M:$M,Investors!$I:$I,"&lt;="&amp;'NSST Print'!$B$3,Investors!$J:$J,"&gt;"&amp;'NSST Print'!$B$3,Investors!$A:$A,'Investor Exit List'!$A434,Investors!$E:$E,'Investor Exit List'!$C434,Investors!$L:$L,'Investor Exit List'!$B434)+SUMIFS(Investors!$M:$M,Investors!$I:$I,"&lt;="&amp;'NSST Print'!$B$3,Investors!$J:$J,"",Investors!$A:$A,'Investor Exit List'!$A434,Investors!$E:$E,'Investor Exit List'!$C434,Investors!$L:$L,'Investor Exit List'!$B434))+SUMIFS(Investors!$S:$S,Investors!$O:$O,FALSE,Investors!$P:$P,FALSE,Investors!$K:$K,"&gt;"&amp;'NSST Print'!$B$3,Investors!$I:$I,"&lt;="&amp;'NSST Print'!$B$3,Investors!$A:$A,'Investor Exit List'!$A434,Investors!$E:$E,'Investor Exit List'!$C434,Investors!$L:$L,'Investor Exit List'!$B434)-(SUMIFS(Investors!$S:$S,Investors!$I:$I,"&lt;="&amp;'NSST Print'!$B$3,Investors!$J:$J,"&gt;"&amp;'NSST Print'!$B$3,Investors!$A:$A,'Investor Exit List'!$A434,Investors!$E:$E,'Investor Exit List'!$C434,Investors!$L:$L,'Investor Exit List'!$B434)+SUMIFS(Investors!$S:$S,Investors!$I:$I,"&lt;="&amp;'NSST Print'!$B$3,Investors!$J:$J,"",Investors!$A:$A,'Investor Exit List'!$A434,Investors!$E:$E,'Investor Exit List'!$C434,Investors!$L:$L,'Investor Exit List'!$B434))</f>
        <v/>
      </c>
      <c r="R434" s="94">
        <f>IF(AND(H434=TRUE,I434=FALSE),Q434,0)</f>
        <v/>
      </c>
      <c r="S434" s="94">
        <f>SUMIFS(Investors!$M:$M,Investors!$O:$O,TRUE,Investors!$A:$A,'Investor Exit List'!$A434,Investors!$E:$E,'Investor Exit List'!$C434,Investors!$L:$L,'Investor Exit List'!$B434)+SUMIFS(Investors!$S:$S,Investors!$O:$O,TRUE,Investors!$A:$A,'Investor Exit List'!$A434,Investors!$E:$E,'Investor Exit List'!$C434,Investors!$L:$L,'Investor Exit List'!$B434)</f>
        <v/>
      </c>
      <c r="T434" s="95">
        <f>IF(U434=TRUE,$J434,"")</f>
        <v/>
      </c>
      <c r="U434" s="93" t="b">
        <v>0</v>
      </c>
      <c r="V434" s="94">
        <f>IF(AND(H434=TRUE,OR(K434="",K434&gt;M434)),S434,0)</f>
        <v/>
      </c>
      <c r="W434" s="93" t="n">
        <v>0</v>
      </c>
      <c r="X434" s="93" t="b">
        <v>0</v>
      </c>
    </row>
    <row r="435">
      <c r="A435" s="93" t="inlineStr">
        <is>
          <t>ZAFR01</t>
        </is>
      </c>
      <c r="B435" s="93" t="n">
        <v>4</v>
      </c>
      <c r="C435" s="93" t="inlineStr">
        <is>
          <t>HVM101</t>
        </is>
      </c>
      <c r="D435" s="93" t="inlineStr">
        <is>
          <t>M</t>
        </is>
      </c>
      <c r="E435" s="93" t="inlineStr">
        <is>
          <t>Zylstra John Robert</t>
        </is>
      </c>
      <c r="F435" s="94">
        <f>SUMIFS(Investors!$M:$M,Investors!$O:$O,FALSE,Investors!$P:$P,FALSE,Investors!$K:$K,"&gt;"&amp;'NSST Print'!$B$3,Investors!$I:$I,"&lt;="&amp;'NSST Print'!$B$3,Investors!$A:$A,'Investor Exit List'!$A435,Investors!$E:$E,'Investor Exit List'!$C435,Investors!$L:$L,'Investor Exit List'!$B435)-(SUMIFS(Investors!$M:$M,Investors!$I:$I,"&lt;="&amp;'NSST Print'!$B$3,Investors!$J:$J,"&gt;"&amp;'NSST Print'!$B$3,Investors!$A:$A,'Investor Exit List'!$A435,Investors!$E:$E,'Investor Exit List'!$C435,Investors!$L:$L,'Investor Exit List'!$B435)+SUMIFS(Investors!$M:$M,Investors!$I:$I,"&lt;="&amp;'NSST Print'!$B$3,Investors!$J:$J,"",Investors!$A:$A,'Investor Exit List'!$A435,Investors!$E:$E,'Investor Exit List'!$C435,Investors!$L:$L,'Investor Exit List'!$B435))</f>
        <v/>
      </c>
      <c r="G435" s="95" t="n">
        <v>45129</v>
      </c>
      <c r="H435" s="93" t="b">
        <v>0</v>
      </c>
      <c r="I435" s="93" t="b">
        <v>0</v>
      </c>
      <c r="J435" s="95" t="n">
        <v>45450</v>
      </c>
      <c r="K435" s="95">
        <f>IF(I435=TRUE,J435,"")</f>
        <v/>
      </c>
      <c r="L435" s="95">
        <f>G435+730</f>
        <v/>
      </c>
      <c r="M435" s="95" t="n">
        <v>45382</v>
      </c>
      <c r="N435" s="96">
        <f>IFERROR(IF(G435&lt;&gt;"",IF(I435=TRUE,0,IF(U435=TRUE,0,L435-M435)),0),0)</f>
        <v/>
      </c>
      <c r="O435" s="96">
        <f>IF(N435&gt;0,IF(N435&lt;=180,N435,0),0)</f>
        <v/>
      </c>
      <c r="P435" s="94">
        <f>IF(AND(N435&lt;90,N435&gt;0),Q435,0)</f>
        <v/>
      </c>
      <c r="Q435" s="94">
        <f>SUMIFS(Investors!$M:$M,Investors!$O:$O,FALSE,Investors!$P:$P,FALSE,Investors!$K:$K,"&gt;"&amp;'NSST Print'!$B$3,Investors!$I:$I,"&lt;="&amp;'NSST Print'!$B$3,Investors!$A:$A,'Investor Exit List'!$A435,Investors!$E:$E,'Investor Exit List'!$C435,Investors!$L:$L,'Investor Exit List'!$B435)-(SUMIFS(Investors!$M:$M,Investors!$I:$I,"&lt;="&amp;'NSST Print'!$B$3,Investors!$J:$J,"&gt;"&amp;'NSST Print'!$B$3,Investors!$A:$A,'Investor Exit List'!$A435,Investors!$E:$E,'Investor Exit List'!$C435,Investors!$L:$L,'Investor Exit List'!$B435)+SUMIFS(Investors!$M:$M,Investors!$I:$I,"&lt;="&amp;'NSST Print'!$B$3,Investors!$J:$J,"",Investors!$A:$A,'Investor Exit List'!$A435,Investors!$E:$E,'Investor Exit List'!$C435,Investors!$L:$L,'Investor Exit List'!$B435))+SUMIFS(Investors!$S:$S,Investors!$O:$O,FALSE,Investors!$P:$P,FALSE,Investors!$K:$K,"&gt;"&amp;'NSST Print'!$B$3,Investors!$I:$I,"&lt;="&amp;'NSST Print'!$B$3,Investors!$A:$A,'Investor Exit List'!$A435,Investors!$E:$E,'Investor Exit List'!$C435,Investors!$L:$L,'Investor Exit List'!$B435)-(SUMIFS(Investors!$S:$S,Investors!$I:$I,"&lt;="&amp;'NSST Print'!$B$3,Investors!$J:$J,"&gt;"&amp;'NSST Print'!$B$3,Investors!$A:$A,'Investor Exit List'!$A435,Investors!$E:$E,'Investor Exit List'!$C435,Investors!$L:$L,'Investor Exit List'!$B435)+SUMIFS(Investors!$S:$S,Investors!$I:$I,"&lt;="&amp;'NSST Print'!$B$3,Investors!$J:$J,"",Investors!$A:$A,'Investor Exit List'!$A435,Investors!$E:$E,'Investor Exit List'!$C435,Investors!$L:$L,'Investor Exit List'!$B435))</f>
        <v/>
      </c>
      <c r="R435" s="94">
        <f>IF(AND(H435=TRUE,I435=FALSE),Q435,0)</f>
        <v/>
      </c>
      <c r="S435" s="94">
        <f>SUMIFS(Investors!$M:$M,Investors!$O:$O,TRUE,Investors!$A:$A,'Investor Exit List'!$A435,Investors!$E:$E,'Investor Exit List'!$C435,Investors!$L:$L,'Investor Exit List'!$B435)+SUMIFS(Investors!$S:$S,Investors!$O:$O,TRUE,Investors!$A:$A,'Investor Exit List'!$A435,Investors!$E:$E,'Investor Exit List'!$C435,Investors!$L:$L,'Investor Exit List'!$B435)</f>
        <v/>
      </c>
      <c r="T435" s="95">
        <f>IF(U435=TRUE,$J435,"")</f>
        <v/>
      </c>
      <c r="U435" s="93" t="b">
        <v>0</v>
      </c>
      <c r="V435" s="94">
        <f>IF(AND(H435=TRUE,OR(K435="",K435&gt;M435)),S435,0)</f>
        <v/>
      </c>
      <c r="W435" s="93" t="n">
        <v>0</v>
      </c>
      <c r="X435" s="93" t="b">
        <v>0</v>
      </c>
    </row>
    <row r="436">
      <c r="A436" s="93" t="inlineStr">
        <is>
          <t>ZKOO01</t>
        </is>
      </c>
      <c r="B436" s="93" t="n">
        <v>3</v>
      </c>
      <c r="C436" s="93" t="inlineStr">
        <is>
          <t>HVM101</t>
        </is>
      </c>
      <c r="D436" s="93" t="inlineStr">
        <is>
          <t>M</t>
        </is>
      </c>
      <c r="E436" s="93" t="inlineStr">
        <is>
          <t>Koovarjee Jayprakash Brijbukhandas</t>
        </is>
      </c>
      <c r="F436" s="94">
        <f>SUMIFS(Investors!$M:$M,Investors!$O:$O,FALSE,Investors!$P:$P,FALSE,Investors!$K:$K,"&gt;"&amp;'NSST Print'!$B$3,Investors!$I:$I,"&lt;="&amp;'NSST Print'!$B$3,Investors!$A:$A,'Investor Exit List'!$A436,Investors!$E:$E,'Investor Exit List'!$C436,Investors!$L:$L,'Investor Exit List'!$B436)-(SUMIFS(Investors!$M:$M,Investors!$I:$I,"&lt;="&amp;'NSST Print'!$B$3,Investors!$J:$J,"&gt;"&amp;'NSST Print'!$B$3,Investors!$A:$A,'Investor Exit List'!$A436,Investors!$E:$E,'Investor Exit List'!$C436,Investors!$L:$L,'Investor Exit List'!$B436)+SUMIFS(Investors!$M:$M,Investors!$I:$I,"&lt;="&amp;'NSST Print'!$B$3,Investors!$J:$J,"",Investors!$A:$A,'Investor Exit List'!$A436,Investors!$E:$E,'Investor Exit List'!$C436,Investors!$L:$L,'Investor Exit List'!$B436))</f>
        <v/>
      </c>
      <c r="G436" s="95" t="n">
        <v>45161</v>
      </c>
      <c r="H436" s="93" t="b">
        <v>0</v>
      </c>
      <c r="I436" s="93" t="b">
        <v>0</v>
      </c>
      <c r="J436" s="95" t="n">
        <v>45450</v>
      </c>
      <c r="K436" s="95">
        <f>IF(I436=TRUE,J436,"")</f>
        <v/>
      </c>
      <c r="L436" s="95">
        <f>G436+730</f>
        <v/>
      </c>
      <c r="M436" s="95" t="n">
        <v>45382</v>
      </c>
      <c r="N436" s="96">
        <f>IFERROR(IF(G436&lt;&gt;"",IF(I436=TRUE,0,IF(U436=TRUE,0,L436-M436)),0),0)</f>
        <v/>
      </c>
      <c r="O436" s="96">
        <f>IF(N436&gt;0,IF(N436&lt;=180,N436,0),0)</f>
        <v/>
      </c>
      <c r="P436" s="94">
        <f>IF(AND(N436&lt;90,N436&gt;0),Q436,0)</f>
        <v/>
      </c>
      <c r="Q436" s="94">
        <f>SUMIFS(Investors!$M:$M,Investors!$O:$O,FALSE,Investors!$P:$P,FALSE,Investors!$K:$K,"&gt;"&amp;'NSST Print'!$B$3,Investors!$I:$I,"&lt;="&amp;'NSST Print'!$B$3,Investors!$A:$A,'Investor Exit List'!$A436,Investors!$E:$E,'Investor Exit List'!$C436,Investors!$L:$L,'Investor Exit List'!$B436)-(SUMIFS(Investors!$M:$M,Investors!$I:$I,"&lt;="&amp;'NSST Print'!$B$3,Investors!$J:$J,"&gt;"&amp;'NSST Print'!$B$3,Investors!$A:$A,'Investor Exit List'!$A436,Investors!$E:$E,'Investor Exit List'!$C436,Investors!$L:$L,'Investor Exit List'!$B436)+SUMIFS(Investors!$M:$M,Investors!$I:$I,"&lt;="&amp;'NSST Print'!$B$3,Investors!$J:$J,"",Investors!$A:$A,'Investor Exit List'!$A436,Investors!$E:$E,'Investor Exit List'!$C436,Investors!$L:$L,'Investor Exit List'!$B436))+SUMIFS(Investors!$S:$S,Investors!$O:$O,FALSE,Investors!$P:$P,FALSE,Investors!$K:$K,"&gt;"&amp;'NSST Print'!$B$3,Investors!$I:$I,"&lt;="&amp;'NSST Print'!$B$3,Investors!$A:$A,'Investor Exit List'!$A436,Investors!$E:$E,'Investor Exit List'!$C436,Investors!$L:$L,'Investor Exit List'!$B436)-(SUMIFS(Investors!$S:$S,Investors!$I:$I,"&lt;="&amp;'NSST Print'!$B$3,Investors!$J:$J,"&gt;"&amp;'NSST Print'!$B$3,Investors!$A:$A,'Investor Exit List'!$A436,Investors!$E:$E,'Investor Exit List'!$C436,Investors!$L:$L,'Investor Exit List'!$B436)+SUMIFS(Investors!$S:$S,Investors!$I:$I,"&lt;="&amp;'NSST Print'!$B$3,Investors!$J:$J,"",Investors!$A:$A,'Investor Exit List'!$A436,Investors!$E:$E,'Investor Exit List'!$C436,Investors!$L:$L,'Investor Exit List'!$B436))</f>
        <v/>
      </c>
      <c r="R436" s="94">
        <f>IF(AND(H436=TRUE,I436=FALSE),Q436,0)</f>
        <v/>
      </c>
      <c r="S436" s="94">
        <f>SUMIFS(Investors!$M:$M,Investors!$O:$O,TRUE,Investors!$A:$A,'Investor Exit List'!$A436,Investors!$E:$E,'Investor Exit List'!$C436,Investors!$L:$L,'Investor Exit List'!$B436)+SUMIFS(Investors!$S:$S,Investors!$O:$O,TRUE,Investors!$A:$A,'Investor Exit List'!$A436,Investors!$E:$E,'Investor Exit List'!$C436,Investors!$L:$L,'Investor Exit List'!$B436)</f>
        <v/>
      </c>
      <c r="T436" s="95">
        <f>IF(U436=TRUE,$J436,"")</f>
        <v/>
      </c>
      <c r="U436" s="93" t="b">
        <v>0</v>
      </c>
      <c r="V436" s="94">
        <f>IF(AND(H436=TRUE,OR(K436="",K436&gt;M436)),S436,0)</f>
        <v/>
      </c>
      <c r="W436" s="93" t="n">
        <v>0</v>
      </c>
      <c r="X436" s="93" t="b">
        <v>0</v>
      </c>
    </row>
    <row r="437">
      <c r="A437" s="93" t="inlineStr">
        <is>
          <t>ZRIT01</t>
        </is>
      </c>
      <c r="B437" s="93" t="n">
        <v>12</v>
      </c>
      <c r="C437" s="93" t="inlineStr">
        <is>
          <t>HVM101</t>
        </is>
      </c>
      <c r="D437" s="93" t="inlineStr">
        <is>
          <t>M</t>
        </is>
      </c>
      <c r="E437" s="93" t="inlineStr">
        <is>
          <t>Ritter Dennis</t>
        </is>
      </c>
      <c r="F437" s="94">
        <f>SUMIFS(Investors!$M:$M,Investors!$O:$O,FALSE,Investors!$P:$P,FALSE,Investors!$K:$K,"&gt;"&amp;'NSST Print'!$B$3,Investors!$I:$I,"&lt;="&amp;'NSST Print'!$B$3,Investors!$A:$A,'Investor Exit List'!$A437,Investors!$E:$E,'Investor Exit List'!$C437,Investors!$L:$L,'Investor Exit List'!$B437)-(SUMIFS(Investors!$M:$M,Investors!$I:$I,"&lt;="&amp;'NSST Print'!$B$3,Investors!$J:$J,"&gt;"&amp;'NSST Print'!$B$3,Investors!$A:$A,'Investor Exit List'!$A437,Investors!$E:$E,'Investor Exit List'!$C437,Investors!$L:$L,'Investor Exit List'!$B437)+SUMIFS(Investors!$M:$M,Investors!$I:$I,"&lt;="&amp;'NSST Print'!$B$3,Investors!$J:$J,"",Investors!$A:$A,'Investor Exit List'!$A437,Investors!$E:$E,'Investor Exit List'!$C437,Investors!$L:$L,'Investor Exit List'!$B437))</f>
        <v/>
      </c>
      <c r="G437" s="95" t="n">
        <v>45161</v>
      </c>
      <c r="H437" s="93" t="b">
        <v>0</v>
      </c>
      <c r="I437" s="93" t="b">
        <v>0</v>
      </c>
      <c r="J437" s="95" t="n">
        <v>45450</v>
      </c>
      <c r="K437" s="95">
        <f>IF(I437=TRUE,J437,"")</f>
        <v/>
      </c>
      <c r="L437" s="95">
        <f>G437+730</f>
        <v/>
      </c>
      <c r="M437" s="95" t="n">
        <v>45382</v>
      </c>
      <c r="N437" s="96">
        <f>IFERROR(IF(G437&lt;&gt;"",IF(I437=TRUE,0,IF(U437=TRUE,0,L437-M437)),0),0)</f>
        <v/>
      </c>
      <c r="O437" s="96">
        <f>IF(N437&gt;0,IF(N437&lt;=180,N437,0),0)</f>
        <v/>
      </c>
      <c r="P437" s="94">
        <f>IF(AND(N437&lt;90,N437&gt;0),Q437,0)</f>
        <v/>
      </c>
      <c r="Q437" s="94">
        <f>SUMIFS(Investors!$M:$M,Investors!$O:$O,FALSE,Investors!$P:$P,FALSE,Investors!$K:$K,"&gt;"&amp;'NSST Print'!$B$3,Investors!$I:$I,"&lt;="&amp;'NSST Print'!$B$3,Investors!$A:$A,'Investor Exit List'!$A437,Investors!$E:$E,'Investor Exit List'!$C437,Investors!$L:$L,'Investor Exit List'!$B437)-(SUMIFS(Investors!$M:$M,Investors!$I:$I,"&lt;="&amp;'NSST Print'!$B$3,Investors!$J:$J,"&gt;"&amp;'NSST Print'!$B$3,Investors!$A:$A,'Investor Exit List'!$A437,Investors!$E:$E,'Investor Exit List'!$C437,Investors!$L:$L,'Investor Exit List'!$B437)+SUMIFS(Investors!$M:$M,Investors!$I:$I,"&lt;="&amp;'NSST Print'!$B$3,Investors!$J:$J,"",Investors!$A:$A,'Investor Exit List'!$A437,Investors!$E:$E,'Investor Exit List'!$C437,Investors!$L:$L,'Investor Exit List'!$B437))+SUMIFS(Investors!$S:$S,Investors!$O:$O,FALSE,Investors!$P:$P,FALSE,Investors!$K:$K,"&gt;"&amp;'NSST Print'!$B$3,Investors!$I:$I,"&lt;="&amp;'NSST Print'!$B$3,Investors!$A:$A,'Investor Exit List'!$A437,Investors!$E:$E,'Investor Exit List'!$C437,Investors!$L:$L,'Investor Exit List'!$B437)-(SUMIFS(Investors!$S:$S,Investors!$I:$I,"&lt;="&amp;'NSST Print'!$B$3,Investors!$J:$J,"&gt;"&amp;'NSST Print'!$B$3,Investors!$A:$A,'Investor Exit List'!$A437,Investors!$E:$E,'Investor Exit List'!$C437,Investors!$L:$L,'Investor Exit List'!$B437)+SUMIFS(Investors!$S:$S,Investors!$I:$I,"&lt;="&amp;'NSST Print'!$B$3,Investors!$J:$J,"",Investors!$A:$A,'Investor Exit List'!$A437,Investors!$E:$E,'Investor Exit List'!$C437,Investors!$L:$L,'Investor Exit List'!$B437))</f>
        <v/>
      </c>
      <c r="R437" s="94">
        <f>IF(AND(H437=TRUE,I437=FALSE),Q437,0)</f>
        <v/>
      </c>
      <c r="S437" s="94">
        <f>SUMIFS(Investors!$M:$M,Investors!$O:$O,TRUE,Investors!$A:$A,'Investor Exit List'!$A437,Investors!$E:$E,'Investor Exit List'!$C437,Investors!$L:$L,'Investor Exit List'!$B437)+SUMIFS(Investors!$S:$S,Investors!$O:$O,TRUE,Investors!$A:$A,'Investor Exit List'!$A437,Investors!$E:$E,'Investor Exit List'!$C437,Investors!$L:$L,'Investor Exit List'!$B437)</f>
        <v/>
      </c>
      <c r="T437" s="95">
        <f>IF(U437=TRUE,$J437,"")</f>
        <v/>
      </c>
      <c r="U437" s="93" t="b">
        <v>0</v>
      </c>
      <c r="V437" s="94">
        <f>IF(AND(H437=TRUE,OR(K437="",K437&gt;M437)),S437,0)</f>
        <v/>
      </c>
      <c r="W437" s="93" t="n">
        <v>0</v>
      </c>
      <c r="X437" s="93" t="b">
        <v>0</v>
      </c>
    </row>
    <row r="438">
      <c r="A438" s="93" t="inlineStr">
        <is>
          <t>ZNUN01</t>
        </is>
      </c>
      <c r="B438" s="93" t="n">
        <v>9</v>
      </c>
      <c r="C438" s="93" t="inlineStr">
        <is>
          <t>HVM102</t>
        </is>
      </c>
      <c r="D438" s="93" t="inlineStr">
        <is>
          <t>M</t>
        </is>
      </c>
      <c r="E438" s="93" t="inlineStr">
        <is>
          <t>Nunes Francisco Antonio</t>
        </is>
      </c>
      <c r="F438" s="94">
        <f>SUMIFS(Investors!$M:$M,Investors!$O:$O,FALSE,Investors!$P:$P,FALSE,Investors!$K:$K,"&gt;"&amp;'NSST Print'!$B$3,Investors!$I:$I,"&lt;="&amp;'NSST Print'!$B$3,Investors!$A:$A,'Investor Exit List'!$A438,Investors!$E:$E,'Investor Exit List'!$C438,Investors!$L:$L,'Investor Exit List'!$B438)-(SUMIFS(Investors!$M:$M,Investors!$I:$I,"&lt;="&amp;'NSST Print'!$B$3,Investors!$J:$J,"&gt;"&amp;'NSST Print'!$B$3,Investors!$A:$A,'Investor Exit List'!$A438,Investors!$E:$E,'Investor Exit List'!$C438,Investors!$L:$L,'Investor Exit List'!$B438)+SUMIFS(Investors!$M:$M,Investors!$I:$I,"&lt;="&amp;'NSST Print'!$B$3,Investors!$J:$J,"",Investors!$A:$A,'Investor Exit List'!$A438,Investors!$E:$E,'Investor Exit List'!$C438,Investors!$L:$L,'Investor Exit List'!$B438))</f>
        <v/>
      </c>
      <c r="G438" s="95" t="n">
        <v>45129</v>
      </c>
      <c r="H438" s="93" t="b">
        <v>0</v>
      </c>
      <c r="I438" s="93" t="b">
        <v>0</v>
      </c>
      <c r="J438" s="95" t="n">
        <v>45450</v>
      </c>
      <c r="K438" s="95">
        <f>IF(I438=TRUE,J438,"")</f>
        <v/>
      </c>
      <c r="L438" s="95">
        <f>G438+730</f>
        <v/>
      </c>
      <c r="M438" s="95" t="n">
        <v>45382</v>
      </c>
      <c r="N438" s="96">
        <f>IFERROR(IF(G438&lt;&gt;"",IF(I438=TRUE,0,IF(U438=TRUE,0,L438-M438)),0),0)</f>
        <v/>
      </c>
      <c r="O438" s="96">
        <f>IF(N438&gt;0,IF(N438&lt;=180,N438,0),0)</f>
        <v/>
      </c>
      <c r="P438" s="94">
        <f>IF(AND(N438&lt;90,N438&gt;0),Q438,0)</f>
        <v/>
      </c>
      <c r="Q438" s="94">
        <f>SUMIFS(Investors!$M:$M,Investors!$O:$O,FALSE,Investors!$P:$P,FALSE,Investors!$K:$K,"&gt;"&amp;'NSST Print'!$B$3,Investors!$I:$I,"&lt;="&amp;'NSST Print'!$B$3,Investors!$A:$A,'Investor Exit List'!$A438,Investors!$E:$E,'Investor Exit List'!$C438,Investors!$L:$L,'Investor Exit List'!$B438)-(SUMIFS(Investors!$M:$M,Investors!$I:$I,"&lt;="&amp;'NSST Print'!$B$3,Investors!$J:$J,"&gt;"&amp;'NSST Print'!$B$3,Investors!$A:$A,'Investor Exit List'!$A438,Investors!$E:$E,'Investor Exit List'!$C438,Investors!$L:$L,'Investor Exit List'!$B438)+SUMIFS(Investors!$M:$M,Investors!$I:$I,"&lt;="&amp;'NSST Print'!$B$3,Investors!$J:$J,"",Investors!$A:$A,'Investor Exit List'!$A438,Investors!$E:$E,'Investor Exit List'!$C438,Investors!$L:$L,'Investor Exit List'!$B438))+SUMIFS(Investors!$S:$S,Investors!$O:$O,FALSE,Investors!$P:$P,FALSE,Investors!$K:$K,"&gt;"&amp;'NSST Print'!$B$3,Investors!$I:$I,"&lt;="&amp;'NSST Print'!$B$3,Investors!$A:$A,'Investor Exit List'!$A438,Investors!$E:$E,'Investor Exit List'!$C438,Investors!$L:$L,'Investor Exit List'!$B438)-(SUMIFS(Investors!$S:$S,Investors!$I:$I,"&lt;="&amp;'NSST Print'!$B$3,Investors!$J:$J,"&gt;"&amp;'NSST Print'!$B$3,Investors!$A:$A,'Investor Exit List'!$A438,Investors!$E:$E,'Investor Exit List'!$C438,Investors!$L:$L,'Investor Exit List'!$B438)+SUMIFS(Investors!$S:$S,Investors!$I:$I,"&lt;="&amp;'NSST Print'!$B$3,Investors!$J:$J,"",Investors!$A:$A,'Investor Exit List'!$A438,Investors!$E:$E,'Investor Exit List'!$C438,Investors!$L:$L,'Investor Exit List'!$B438))</f>
        <v/>
      </c>
      <c r="R438" s="94">
        <f>IF(AND(H438=TRUE,I438=FALSE),Q438,0)</f>
        <v/>
      </c>
      <c r="S438" s="94">
        <f>SUMIFS(Investors!$M:$M,Investors!$O:$O,TRUE,Investors!$A:$A,'Investor Exit List'!$A438,Investors!$E:$E,'Investor Exit List'!$C438,Investors!$L:$L,'Investor Exit List'!$B438)+SUMIFS(Investors!$S:$S,Investors!$O:$O,TRUE,Investors!$A:$A,'Investor Exit List'!$A438,Investors!$E:$E,'Investor Exit List'!$C438,Investors!$L:$L,'Investor Exit List'!$B438)</f>
        <v/>
      </c>
      <c r="T438" s="95">
        <f>IF(U438=TRUE,$J438,"")</f>
        <v/>
      </c>
      <c r="U438" s="93" t="b">
        <v>0</v>
      </c>
      <c r="V438" s="94">
        <f>IF(AND(H438=TRUE,OR(K438="",K438&gt;M438)),S438,0)</f>
        <v/>
      </c>
      <c r="W438" s="93" t="n">
        <v>0</v>
      </c>
      <c r="X438" s="93" t="b">
        <v>0</v>
      </c>
    </row>
    <row r="439">
      <c r="A439" s="93" t="inlineStr">
        <is>
          <t>ZRIT01</t>
        </is>
      </c>
      <c r="B439" s="93" t="n">
        <v>13</v>
      </c>
      <c r="C439" s="93" t="inlineStr">
        <is>
          <t>HVM102</t>
        </is>
      </c>
      <c r="D439" s="93" t="inlineStr">
        <is>
          <t>M</t>
        </is>
      </c>
      <c r="E439" s="93" t="inlineStr">
        <is>
          <t>Ritter Dennis</t>
        </is>
      </c>
      <c r="F439" s="94">
        <f>SUMIFS(Investors!$M:$M,Investors!$O:$O,FALSE,Investors!$P:$P,FALSE,Investors!$K:$K,"&gt;"&amp;'NSST Print'!$B$3,Investors!$I:$I,"&lt;="&amp;'NSST Print'!$B$3,Investors!$A:$A,'Investor Exit List'!$A439,Investors!$E:$E,'Investor Exit List'!$C439,Investors!$L:$L,'Investor Exit List'!$B439)-(SUMIFS(Investors!$M:$M,Investors!$I:$I,"&lt;="&amp;'NSST Print'!$B$3,Investors!$J:$J,"&gt;"&amp;'NSST Print'!$B$3,Investors!$A:$A,'Investor Exit List'!$A439,Investors!$E:$E,'Investor Exit List'!$C439,Investors!$L:$L,'Investor Exit List'!$B439)+SUMIFS(Investors!$M:$M,Investors!$I:$I,"&lt;="&amp;'NSST Print'!$B$3,Investors!$J:$J,"",Investors!$A:$A,'Investor Exit List'!$A439,Investors!$E:$E,'Investor Exit List'!$C439,Investors!$L:$L,'Investor Exit List'!$B439))</f>
        <v/>
      </c>
      <c r="G439" s="95" t="n">
        <v>45161</v>
      </c>
      <c r="H439" s="93" t="b">
        <v>0</v>
      </c>
      <c r="I439" s="93" t="b">
        <v>0</v>
      </c>
      <c r="J439" s="95" t="n">
        <v>45450</v>
      </c>
      <c r="K439" s="95">
        <f>IF(I439=TRUE,J439,"")</f>
        <v/>
      </c>
      <c r="L439" s="95">
        <f>G439+730</f>
        <v/>
      </c>
      <c r="M439" s="95" t="n">
        <v>45382</v>
      </c>
      <c r="N439" s="96">
        <f>IFERROR(IF(G439&lt;&gt;"",IF(I439=TRUE,0,IF(U439=TRUE,0,L439-M439)),0),0)</f>
        <v/>
      </c>
      <c r="O439" s="96">
        <f>IF(N439&gt;0,IF(N439&lt;=180,N439,0),0)</f>
        <v/>
      </c>
      <c r="P439" s="94">
        <f>IF(AND(N439&lt;90,N439&gt;0),Q439,0)</f>
        <v/>
      </c>
      <c r="Q439" s="94">
        <f>SUMIFS(Investors!$M:$M,Investors!$O:$O,FALSE,Investors!$P:$P,FALSE,Investors!$K:$K,"&gt;"&amp;'NSST Print'!$B$3,Investors!$I:$I,"&lt;="&amp;'NSST Print'!$B$3,Investors!$A:$A,'Investor Exit List'!$A439,Investors!$E:$E,'Investor Exit List'!$C439,Investors!$L:$L,'Investor Exit List'!$B439)-(SUMIFS(Investors!$M:$M,Investors!$I:$I,"&lt;="&amp;'NSST Print'!$B$3,Investors!$J:$J,"&gt;"&amp;'NSST Print'!$B$3,Investors!$A:$A,'Investor Exit List'!$A439,Investors!$E:$E,'Investor Exit List'!$C439,Investors!$L:$L,'Investor Exit List'!$B439)+SUMIFS(Investors!$M:$M,Investors!$I:$I,"&lt;="&amp;'NSST Print'!$B$3,Investors!$J:$J,"",Investors!$A:$A,'Investor Exit List'!$A439,Investors!$E:$E,'Investor Exit List'!$C439,Investors!$L:$L,'Investor Exit List'!$B439))+SUMIFS(Investors!$S:$S,Investors!$O:$O,FALSE,Investors!$P:$P,FALSE,Investors!$K:$K,"&gt;"&amp;'NSST Print'!$B$3,Investors!$I:$I,"&lt;="&amp;'NSST Print'!$B$3,Investors!$A:$A,'Investor Exit List'!$A439,Investors!$E:$E,'Investor Exit List'!$C439,Investors!$L:$L,'Investor Exit List'!$B439)-(SUMIFS(Investors!$S:$S,Investors!$I:$I,"&lt;="&amp;'NSST Print'!$B$3,Investors!$J:$J,"&gt;"&amp;'NSST Print'!$B$3,Investors!$A:$A,'Investor Exit List'!$A439,Investors!$E:$E,'Investor Exit List'!$C439,Investors!$L:$L,'Investor Exit List'!$B439)+SUMIFS(Investors!$S:$S,Investors!$I:$I,"&lt;="&amp;'NSST Print'!$B$3,Investors!$J:$J,"",Investors!$A:$A,'Investor Exit List'!$A439,Investors!$E:$E,'Investor Exit List'!$C439,Investors!$L:$L,'Investor Exit List'!$B439))</f>
        <v/>
      </c>
      <c r="R439" s="94">
        <f>IF(AND(H439=TRUE,I439=FALSE),Q439,0)</f>
        <v/>
      </c>
      <c r="S439" s="94">
        <f>SUMIFS(Investors!$M:$M,Investors!$O:$O,TRUE,Investors!$A:$A,'Investor Exit List'!$A439,Investors!$E:$E,'Investor Exit List'!$C439,Investors!$L:$L,'Investor Exit List'!$B439)+SUMIFS(Investors!$S:$S,Investors!$O:$O,TRUE,Investors!$A:$A,'Investor Exit List'!$A439,Investors!$E:$E,'Investor Exit List'!$C439,Investors!$L:$L,'Investor Exit List'!$B439)</f>
        <v/>
      </c>
      <c r="T439" s="95">
        <f>IF(U439=TRUE,$J439,"")</f>
        <v/>
      </c>
      <c r="U439" s="93" t="b">
        <v>0</v>
      </c>
      <c r="V439" s="94">
        <f>IF(AND(H439=TRUE,OR(K439="",K439&gt;M439)),S439,0)</f>
        <v/>
      </c>
      <c r="W439" s="93" t="n">
        <v>0</v>
      </c>
      <c r="X439" s="93" t="b">
        <v>0</v>
      </c>
    </row>
    <row r="440">
      <c r="A440" s="93" t="inlineStr">
        <is>
          <t>ZSCH04</t>
        </is>
      </c>
      <c r="B440" s="93" t="n">
        <v>2</v>
      </c>
      <c r="C440" s="93" t="inlineStr">
        <is>
          <t>HVM102</t>
        </is>
      </c>
      <c r="D440" s="93" t="inlineStr">
        <is>
          <t>M</t>
        </is>
      </c>
      <c r="E440" s="93" t="inlineStr">
        <is>
          <t>Schroder Christiaan</t>
        </is>
      </c>
      <c r="F440" s="94">
        <f>SUMIFS(Investors!$M:$M,Investors!$O:$O,FALSE,Investors!$P:$P,FALSE,Investors!$K:$K,"&gt;"&amp;'NSST Print'!$B$3,Investors!$I:$I,"&lt;="&amp;'NSST Print'!$B$3,Investors!$A:$A,'Investor Exit List'!$A440,Investors!$E:$E,'Investor Exit List'!$C440,Investors!$L:$L,'Investor Exit List'!$B440)-(SUMIFS(Investors!$M:$M,Investors!$I:$I,"&lt;="&amp;'NSST Print'!$B$3,Investors!$J:$J,"&gt;"&amp;'NSST Print'!$B$3,Investors!$A:$A,'Investor Exit List'!$A440,Investors!$E:$E,'Investor Exit List'!$C440,Investors!$L:$L,'Investor Exit List'!$B440)+SUMIFS(Investors!$M:$M,Investors!$I:$I,"&lt;="&amp;'NSST Print'!$B$3,Investors!$J:$J,"",Investors!$A:$A,'Investor Exit List'!$A440,Investors!$E:$E,'Investor Exit List'!$C440,Investors!$L:$L,'Investor Exit List'!$B440))</f>
        <v/>
      </c>
      <c r="G440" s="95" t="n">
        <v>45129</v>
      </c>
      <c r="H440" s="93" t="b">
        <v>0</v>
      </c>
      <c r="I440" s="93" t="b">
        <v>0</v>
      </c>
      <c r="J440" s="95" t="n">
        <v>45450</v>
      </c>
      <c r="K440" s="95">
        <f>IF(I440=TRUE,J440,"")</f>
        <v/>
      </c>
      <c r="L440" s="95">
        <f>G440+730</f>
        <v/>
      </c>
      <c r="M440" s="95" t="n">
        <v>45382</v>
      </c>
      <c r="N440" s="96">
        <f>IFERROR(IF(G440&lt;&gt;"",IF(I440=TRUE,0,IF(U440=TRUE,0,L440-M440)),0),0)</f>
        <v/>
      </c>
      <c r="O440" s="96">
        <f>IF(N440&gt;0,IF(N440&lt;=180,N440,0),0)</f>
        <v/>
      </c>
      <c r="P440" s="94">
        <f>IF(AND(N440&lt;90,N440&gt;0),Q440,0)</f>
        <v/>
      </c>
      <c r="Q440" s="94">
        <f>SUMIFS(Investors!$M:$M,Investors!$O:$O,FALSE,Investors!$P:$P,FALSE,Investors!$K:$K,"&gt;"&amp;'NSST Print'!$B$3,Investors!$I:$I,"&lt;="&amp;'NSST Print'!$B$3,Investors!$A:$A,'Investor Exit List'!$A440,Investors!$E:$E,'Investor Exit List'!$C440,Investors!$L:$L,'Investor Exit List'!$B440)-(SUMIFS(Investors!$M:$M,Investors!$I:$I,"&lt;="&amp;'NSST Print'!$B$3,Investors!$J:$J,"&gt;"&amp;'NSST Print'!$B$3,Investors!$A:$A,'Investor Exit List'!$A440,Investors!$E:$E,'Investor Exit List'!$C440,Investors!$L:$L,'Investor Exit List'!$B440)+SUMIFS(Investors!$M:$M,Investors!$I:$I,"&lt;="&amp;'NSST Print'!$B$3,Investors!$J:$J,"",Investors!$A:$A,'Investor Exit List'!$A440,Investors!$E:$E,'Investor Exit List'!$C440,Investors!$L:$L,'Investor Exit List'!$B440))+SUMIFS(Investors!$S:$S,Investors!$O:$O,FALSE,Investors!$P:$P,FALSE,Investors!$K:$K,"&gt;"&amp;'NSST Print'!$B$3,Investors!$I:$I,"&lt;="&amp;'NSST Print'!$B$3,Investors!$A:$A,'Investor Exit List'!$A440,Investors!$E:$E,'Investor Exit List'!$C440,Investors!$L:$L,'Investor Exit List'!$B440)-(SUMIFS(Investors!$S:$S,Investors!$I:$I,"&lt;="&amp;'NSST Print'!$B$3,Investors!$J:$J,"&gt;"&amp;'NSST Print'!$B$3,Investors!$A:$A,'Investor Exit List'!$A440,Investors!$E:$E,'Investor Exit List'!$C440,Investors!$L:$L,'Investor Exit List'!$B440)+SUMIFS(Investors!$S:$S,Investors!$I:$I,"&lt;="&amp;'NSST Print'!$B$3,Investors!$J:$J,"",Investors!$A:$A,'Investor Exit List'!$A440,Investors!$E:$E,'Investor Exit List'!$C440,Investors!$L:$L,'Investor Exit List'!$B440))</f>
        <v/>
      </c>
      <c r="R440" s="94">
        <f>IF(AND(H440=TRUE,I440=FALSE),Q440,0)</f>
        <v/>
      </c>
      <c r="S440" s="94">
        <f>SUMIFS(Investors!$M:$M,Investors!$O:$O,TRUE,Investors!$A:$A,'Investor Exit List'!$A440,Investors!$E:$E,'Investor Exit List'!$C440,Investors!$L:$L,'Investor Exit List'!$B440)+SUMIFS(Investors!$S:$S,Investors!$O:$O,TRUE,Investors!$A:$A,'Investor Exit List'!$A440,Investors!$E:$E,'Investor Exit List'!$C440,Investors!$L:$L,'Investor Exit List'!$B440)</f>
        <v/>
      </c>
      <c r="T440" s="95">
        <f>IF(U440=TRUE,$J440,"")</f>
        <v/>
      </c>
      <c r="U440" s="93" t="b">
        <v>0</v>
      </c>
      <c r="V440" s="94">
        <f>IF(AND(H440=TRUE,OR(K440="",K440&gt;M440)),S440,0)</f>
        <v/>
      </c>
      <c r="W440" s="93" t="n">
        <v>0</v>
      </c>
      <c r="X440" s="93" t="b">
        <v>0</v>
      </c>
    </row>
    <row r="441">
      <c r="A441" s="93" t="inlineStr">
        <is>
          <t>ZRIT01</t>
        </is>
      </c>
      <c r="B441" s="93" t="n">
        <v>14</v>
      </c>
      <c r="C441" s="93" t="inlineStr">
        <is>
          <t>HVM103</t>
        </is>
      </c>
      <c r="D441" s="93" t="inlineStr">
        <is>
          <t>M</t>
        </is>
      </c>
      <c r="E441" s="93" t="inlineStr">
        <is>
          <t>Ritter Dennis</t>
        </is>
      </c>
      <c r="F441" s="94">
        <f>SUMIFS(Investors!$M:$M,Investors!$O:$O,FALSE,Investors!$P:$P,FALSE,Investors!$K:$K,"&gt;"&amp;'NSST Print'!$B$3,Investors!$I:$I,"&lt;="&amp;'NSST Print'!$B$3,Investors!$A:$A,'Investor Exit List'!$A441,Investors!$E:$E,'Investor Exit List'!$C441,Investors!$L:$L,'Investor Exit List'!$B441)-(SUMIFS(Investors!$M:$M,Investors!$I:$I,"&lt;="&amp;'NSST Print'!$B$3,Investors!$J:$J,"&gt;"&amp;'NSST Print'!$B$3,Investors!$A:$A,'Investor Exit List'!$A441,Investors!$E:$E,'Investor Exit List'!$C441,Investors!$L:$L,'Investor Exit List'!$B441)+SUMIFS(Investors!$M:$M,Investors!$I:$I,"&lt;="&amp;'NSST Print'!$B$3,Investors!$J:$J,"",Investors!$A:$A,'Investor Exit List'!$A441,Investors!$E:$E,'Investor Exit List'!$C441,Investors!$L:$L,'Investor Exit List'!$B441))</f>
        <v/>
      </c>
      <c r="G441" s="95" t="n">
        <v>45161</v>
      </c>
      <c r="H441" s="93" t="b">
        <v>0</v>
      </c>
      <c r="I441" s="93" t="b">
        <v>0</v>
      </c>
      <c r="J441" s="95" t="n">
        <v>45450</v>
      </c>
      <c r="K441" s="95">
        <f>IF(I441=TRUE,J441,"")</f>
        <v/>
      </c>
      <c r="L441" s="95">
        <f>G441+730</f>
        <v/>
      </c>
      <c r="M441" s="95" t="n">
        <v>45382</v>
      </c>
      <c r="N441" s="96">
        <f>IFERROR(IF(G441&lt;&gt;"",IF(I441=TRUE,0,IF(U441=TRUE,0,L441-M441)),0),0)</f>
        <v/>
      </c>
      <c r="O441" s="96">
        <f>IF(N441&gt;0,IF(N441&lt;=180,N441,0),0)</f>
        <v/>
      </c>
      <c r="P441" s="94">
        <f>IF(AND(N441&lt;90,N441&gt;0),Q441,0)</f>
        <v/>
      </c>
      <c r="Q441" s="94">
        <f>SUMIFS(Investors!$M:$M,Investors!$O:$O,FALSE,Investors!$P:$P,FALSE,Investors!$K:$K,"&gt;"&amp;'NSST Print'!$B$3,Investors!$I:$I,"&lt;="&amp;'NSST Print'!$B$3,Investors!$A:$A,'Investor Exit List'!$A441,Investors!$E:$E,'Investor Exit List'!$C441,Investors!$L:$L,'Investor Exit List'!$B441)-(SUMIFS(Investors!$M:$M,Investors!$I:$I,"&lt;="&amp;'NSST Print'!$B$3,Investors!$J:$J,"&gt;"&amp;'NSST Print'!$B$3,Investors!$A:$A,'Investor Exit List'!$A441,Investors!$E:$E,'Investor Exit List'!$C441,Investors!$L:$L,'Investor Exit List'!$B441)+SUMIFS(Investors!$M:$M,Investors!$I:$I,"&lt;="&amp;'NSST Print'!$B$3,Investors!$J:$J,"",Investors!$A:$A,'Investor Exit List'!$A441,Investors!$E:$E,'Investor Exit List'!$C441,Investors!$L:$L,'Investor Exit List'!$B441))+SUMIFS(Investors!$S:$S,Investors!$O:$O,FALSE,Investors!$P:$P,FALSE,Investors!$K:$K,"&gt;"&amp;'NSST Print'!$B$3,Investors!$I:$I,"&lt;="&amp;'NSST Print'!$B$3,Investors!$A:$A,'Investor Exit List'!$A441,Investors!$E:$E,'Investor Exit List'!$C441,Investors!$L:$L,'Investor Exit List'!$B441)-(SUMIFS(Investors!$S:$S,Investors!$I:$I,"&lt;="&amp;'NSST Print'!$B$3,Investors!$J:$J,"&gt;"&amp;'NSST Print'!$B$3,Investors!$A:$A,'Investor Exit List'!$A441,Investors!$E:$E,'Investor Exit List'!$C441,Investors!$L:$L,'Investor Exit List'!$B441)+SUMIFS(Investors!$S:$S,Investors!$I:$I,"&lt;="&amp;'NSST Print'!$B$3,Investors!$J:$J,"",Investors!$A:$A,'Investor Exit List'!$A441,Investors!$E:$E,'Investor Exit List'!$C441,Investors!$L:$L,'Investor Exit List'!$B441))</f>
        <v/>
      </c>
      <c r="R441" s="94">
        <f>IF(AND(H441=TRUE,I441=FALSE),Q441,0)</f>
        <v/>
      </c>
      <c r="S441" s="94">
        <f>SUMIFS(Investors!$M:$M,Investors!$O:$O,TRUE,Investors!$A:$A,'Investor Exit List'!$A441,Investors!$E:$E,'Investor Exit List'!$C441,Investors!$L:$L,'Investor Exit List'!$B441)+SUMIFS(Investors!$S:$S,Investors!$O:$O,TRUE,Investors!$A:$A,'Investor Exit List'!$A441,Investors!$E:$E,'Investor Exit List'!$C441,Investors!$L:$L,'Investor Exit List'!$B441)</f>
        <v/>
      </c>
      <c r="T441" s="95">
        <f>IF(U441=TRUE,$J441,"")</f>
        <v/>
      </c>
      <c r="U441" s="93" t="b">
        <v>0</v>
      </c>
      <c r="V441" s="94">
        <f>IF(AND(H441=TRUE,OR(K441="",K441&gt;M441)),S441,0)</f>
        <v/>
      </c>
      <c r="W441" s="93" t="n">
        <v>0</v>
      </c>
      <c r="X441" s="93" t="b">
        <v>0</v>
      </c>
    </row>
    <row r="442">
      <c r="A442" s="93" t="inlineStr">
        <is>
          <t>ZROU01</t>
        </is>
      </c>
      <c r="B442" s="93" t="n">
        <v>2</v>
      </c>
      <c r="C442" s="93" t="inlineStr">
        <is>
          <t>HVM103</t>
        </is>
      </c>
      <c r="D442" s="93" t="inlineStr">
        <is>
          <t>M</t>
        </is>
      </c>
      <c r="E442" s="93" t="inlineStr">
        <is>
          <t>Roux Laura</t>
        </is>
      </c>
      <c r="F442" s="94">
        <f>SUMIFS(Investors!$M:$M,Investors!$O:$O,FALSE,Investors!$P:$P,FALSE,Investors!$K:$K,"&gt;"&amp;'NSST Print'!$B$3,Investors!$I:$I,"&lt;="&amp;'NSST Print'!$B$3,Investors!$A:$A,'Investor Exit List'!$A442,Investors!$E:$E,'Investor Exit List'!$C442,Investors!$L:$L,'Investor Exit List'!$B442)-(SUMIFS(Investors!$M:$M,Investors!$I:$I,"&lt;="&amp;'NSST Print'!$B$3,Investors!$J:$J,"&gt;"&amp;'NSST Print'!$B$3,Investors!$A:$A,'Investor Exit List'!$A442,Investors!$E:$E,'Investor Exit List'!$C442,Investors!$L:$L,'Investor Exit List'!$B442)+SUMIFS(Investors!$M:$M,Investors!$I:$I,"&lt;="&amp;'NSST Print'!$B$3,Investors!$J:$J,"",Investors!$A:$A,'Investor Exit List'!$A442,Investors!$E:$E,'Investor Exit List'!$C442,Investors!$L:$L,'Investor Exit List'!$B442))</f>
        <v/>
      </c>
      <c r="G442" s="95" t="n">
        <v>45129</v>
      </c>
      <c r="H442" s="93" t="b">
        <v>0</v>
      </c>
      <c r="I442" s="93" t="b">
        <v>0</v>
      </c>
      <c r="J442" s="95" t="n">
        <v>45450</v>
      </c>
      <c r="K442" s="95">
        <f>IF(I442=TRUE,J442,"")</f>
        <v/>
      </c>
      <c r="L442" s="95">
        <f>G442+730</f>
        <v/>
      </c>
      <c r="M442" s="95" t="n">
        <v>45382</v>
      </c>
      <c r="N442" s="96">
        <f>IFERROR(IF(G442&lt;&gt;"",IF(I442=TRUE,0,IF(U442=TRUE,0,L442-M442)),0),0)</f>
        <v/>
      </c>
      <c r="O442" s="96">
        <f>IF(N442&gt;0,IF(N442&lt;=180,N442,0),0)</f>
        <v/>
      </c>
      <c r="P442" s="94">
        <f>IF(AND(N442&lt;90,N442&gt;0),Q442,0)</f>
        <v/>
      </c>
      <c r="Q442" s="94">
        <f>SUMIFS(Investors!$M:$M,Investors!$O:$O,FALSE,Investors!$P:$P,FALSE,Investors!$K:$K,"&gt;"&amp;'NSST Print'!$B$3,Investors!$I:$I,"&lt;="&amp;'NSST Print'!$B$3,Investors!$A:$A,'Investor Exit List'!$A442,Investors!$E:$E,'Investor Exit List'!$C442,Investors!$L:$L,'Investor Exit List'!$B442)-(SUMIFS(Investors!$M:$M,Investors!$I:$I,"&lt;="&amp;'NSST Print'!$B$3,Investors!$J:$J,"&gt;"&amp;'NSST Print'!$B$3,Investors!$A:$A,'Investor Exit List'!$A442,Investors!$E:$E,'Investor Exit List'!$C442,Investors!$L:$L,'Investor Exit List'!$B442)+SUMIFS(Investors!$M:$M,Investors!$I:$I,"&lt;="&amp;'NSST Print'!$B$3,Investors!$J:$J,"",Investors!$A:$A,'Investor Exit List'!$A442,Investors!$E:$E,'Investor Exit List'!$C442,Investors!$L:$L,'Investor Exit List'!$B442))+SUMIFS(Investors!$S:$S,Investors!$O:$O,FALSE,Investors!$P:$P,FALSE,Investors!$K:$K,"&gt;"&amp;'NSST Print'!$B$3,Investors!$I:$I,"&lt;="&amp;'NSST Print'!$B$3,Investors!$A:$A,'Investor Exit List'!$A442,Investors!$E:$E,'Investor Exit List'!$C442,Investors!$L:$L,'Investor Exit List'!$B442)-(SUMIFS(Investors!$S:$S,Investors!$I:$I,"&lt;="&amp;'NSST Print'!$B$3,Investors!$J:$J,"&gt;"&amp;'NSST Print'!$B$3,Investors!$A:$A,'Investor Exit List'!$A442,Investors!$E:$E,'Investor Exit List'!$C442,Investors!$L:$L,'Investor Exit List'!$B442)+SUMIFS(Investors!$S:$S,Investors!$I:$I,"&lt;="&amp;'NSST Print'!$B$3,Investors!$J:$J,"",Investors!$A:$A,'Investor Exit List'!$A442,Investors!$E:$E,'Investor Exit List'!$C442,Investors!$L:$L,'Investor Exit List'!$B442))</f>
        <v/>
      </c>
      <c r="R442" s="94">
        <f>IF(AND(H442=TRUE,I442=FALSE),Q442,0)</f>
        <v/>
      </c>
      <c r="S442" s="94">
        <f>SUMIFS(Investors!$M:$M,Investors!$O:$O,TRUE,Investors!$A:$A,'Investor Exit List'!$A442,Investors!$E:$E,'Investor Exit List'!$C442,Investors!$L:$L,'Investor Exit List'!$B442)+SUMIFS(Investors!$S:$S,Investors!$O:$O,TRUE,Investors!$A:$A,'Investor Exit List'!$A442,Investors!$E:$E,'Investor Exit List'!$C442,Investors!$L:$L,'Investor Exit List'!$B442)</f>
        <v/>
      </c>
      <c r="T442" s="95">
        <f>IF(U442=TRUE,$J442,"")</f>
        <v/>
      </c>
      <c r="U442" s="93" t="b">
        <v>0</v>
      </c>
      <c r="V442" s="94">
        <f>IF(AND(H442=TRUE,OR(K442="",K442&gt;M442)),S442,0)</f>
        <v/>
      </c>
      <c r="W442" s="93" t="n">
        <v>0</v>
      </c>
      <c r="X442" s="93" t="b">
        <v>0</v>
      </c>
    </row>
    <row r="443">
      <c r="A443" s="93" t="inlineStr">
        <is>
          <t>ZSCH04</t>
        </is>
      </c>
      <c r="B443" s="93" t="n">
        <v>3</v>
      </c>
      <c r="C443" s="93" t="inlineStr">
        <is>
          <t>HVM103</t>
        </is>
      </c>
      <c r="D443" s="93" t="inlineStr">
        <is>
          <t>M</t>
        </is>
      </c>
      <c r="E443" s="93" t="inlineStr">
        <is>
          <t>Schroder Christiaan</t>
        </is>
      </c>
      <c r="F443" s="94">
        <f>SUMIFS(Investors!$M:$M,Investors!$O:$O,FALSE,Investors!$P:$P,FALSE,Investors!$K:$K,"&gt;"&amp;'NSST Print'!$B$3,Investors!$I:$I,"&lt;="&amp;'NSST Print'!$B$3,Investors!$A:$A,'Investor Exit List'!$A443,Investors!$E:$E,'Investor Exit List'!$C443,Investors!$L:$L,'Investor Exit List'!$B443)-(SUMIFS(Investors!$M:$M,Investors!$I:$I,"&lt;="&amp;'NSST Print'!$B$3,Investors!$J:$J,"&gt;"&amp;'NSST Print'!$B$3,Investors!$A:$A,'Investor Exit List'!$A443,Investors!$E:$E,'Investor Exit List'!$C443,Investors!$L:$L,'Investor Exit List'!$B443)+SUMIFS(Investors!$M:$M,Investors!$I:$I,"&lt;="&amp;'NSST Print'!$B$3,Investors!$J:$J,"",Investors!$A:$A,'Investor Exit List'!$A443,Investors!$E:$E,'Investor Exit List'!$C443,Investors!$L:$L,'Investor Exit List'!$B443))</f>
        <v/>
      </c>
      <c r="G443" s="95" t="n">
        <v>45161</v>
      </c>
      <c r="H443" s="93" t="b">
        <v>0</v>
      </c>
      <c r="I443" s="93" t="b">
        <v>0</v>
      </c>
      <c r="J443" s="95" t="n">
        <v>45450</v>
      </c>
      <c r="K443" s="95">
        <f>IF(I443=TRUE,J443,"")</f>
        <v/>
      </c>
      <c r="L443" s="95">
        <f>G443+730</f>
        <v/>
      </c>
      <c r="M443" s="95" t="n">
        <v>45382</v>
      </c>
      <c r="N443" s="96">
        <f>IFERROR(IF(G443&lt;&gt;"",IF(I443=TRUE,0,IF(U443=TRUE,0,L443-M443)),0),0)</f>
        <v/>
      </c>
      <c r="O443" s="96">
        <f>IF(N443&gt;0,IF(N443&lt;=180,N443,0),0)</f>
        <v/>
      </c>
      <c r="P443" s="94">
        <f>IF(AND(N443&lt;90,N443&gt;0),Q443,0)</f>
        <v/>
      </c>
      <c r="Q443" s="94">
        <f>SUMIFS(Investors!$M:$M,Investors!$O:$O,FALSE,Investors!$P:$P,FALSE,Investors!$K:$K,"&gt;"&amp;'NSST Print'!$B$3,Investors!$I:$I,"&lt;="&amp;'NSST Print'!$B$3,Investors!$A:$A,'Investor Exit List'!$A443,Investors!$E:$E,'Investor Exit List'!$C443,Investors!$L:$L,'Investor Exit List'!$B443)-(SUMIFS(Investors!$M:$M,Investors!$I:$I,"&lt;="&amp;'NSST Print'!$B$3,Investors!$J:$J,"&gt;"&amp;'NSST Print'!$B$3,Investors!$A:$A,'Investor Exit List'!$A443,Investors!$E:$E,'Investor Exit List'!$C443,Investors!$L:$L,'Investor Exit List'!$B443)+SUMIFS(Investors!$M:$M,Investors!$I:$I,"&lt;="&amp;'NSST Print'!$B$3,Investors!$J:$J,"",Investors!$A:$A,'Investor Exit List'!$A443,Investors!$E:$E,'Investor Exit List'!$C443,Investors!$L:$L,'Investor Exit List'!$B443))+SUMIFS(Investors!$S:$S,Investors!$O:$O,FALSE,Investors!$P:$P,FALSE,Investors!$K:$K,"&gt;"&amp;'NSST Print'!$B$3,Investors!$I:$I,"&lt;="&amp;'NSST Print'!$B$3,Investors!$A:$A,'Investor Exit List'!$A443,Investors!$E:$E,'Investor Exit List'!$C443,Investors!$L:$L,'Investor Exit List'!$B443)-(SUMIFS(Investors!$S:$S,Investors!$I:$I,"&lt;="&amp;'NSST Print'!$B$3,Investors!$J:$J,"&gt;"&amp;'NSST Print'!$B$3,Investors!$A:$A,'Investor Exit List'!$A443,Investors!$E:$E,'Investor Exit List'!$C443,Investors!$L:$L,'Investor Exit List'!$B443)+SUMIFS(Investors!$S:$S,Investors!$I:$I,"&lt;="&amp;'NSST Print'!$B$3,Investors!$J:$J,"",Investors!$A:$A,'Investor Exit List'!$A443,Investors!$E:$E,'Investor Exit List'!$C443,Investors!$L:$L,'Investor Exit List'!$B443))</f>
        <v/>
      </c>
      <c r="R443" s="94">
        <f>IF(AND(H443=TRUE,I443=FALSE),Q443,0)</f>
        <v/>
      </c>
      <c r="S443" s="94">
        <f>SUMIFS(Investors!$M:$M,Investors!$O:$O,TRUE,Investors!$A:$A,'Investor Exit List'!$A443,Investors!$E:$E,'Investor Exit List'!$C443,Investors!$L:$L,'Investor Exit List'!$B443)+SUMIFS(Investors!$S:$S,Investors!$O:$O,TRUE,Investors!$A:$A,'Investor Exit List'!$A443,Investors!$E:$E,'Investor Exit List'!$C443,Investors!$L:$L,'Investor Exit List'!$B443)</f>
        <v/>
      </c>
      <c r="T443" s="95">
        <f>IF(U443=TRUE,$J443,"")</f>
        <v/>
      </c>
      <c r="U443" s="93" t="b">
        <v>0</v>
      </c>
      <c r="V443" s="94">
        <f>IF(AND(H443=TRUE,OR(K443="",K443&gt;M443)),S443,0)</f>
        <v/>
      </c>
      <c r="W443" s="93" t="n">
        <v>0</v>
      </c>
      <c r="X443" s="93" t="b">
        <v>0</v>
      </c>
    </row>
    <row r="444">
      <c r="A444" s="93" t="inlineStr">
        <is>
          <t>ZDEB01</t>
        </is>
      </c>
      <c r="B444" s="93" t="n">
        <v>8</v>
      </c>
      <c r="C444" s="93" t="inlineStr">
        <is>
          <t>HVM104</t>
        </is>
      </c>
      <c r="D444" s="93" t="inlineStr">
        <is>
          <t>M</t>
        </is>
      </c>
      <c r="E444" s="93" t="inlineStr">
        <is>
          <t>De Beer William Henry</t>
        </is>
      </c>
      <c r="F444" s="94">
        <f>SUMIFS(Investors!$M:$M,Investors!$O:$O,FALSE,Investors!$P:$P,FALSE,Investors!$K:$K,"&gt;"&amp;'NSST Print'!$B$3,Investors!$I:$I,"&lt;="&amp;'NSST Print'!$B$3,Investors!$A:$A,'Investor Exit List'!$A444,Investors!$E:$E,'Investor Exit List'!$C444,Investors!$L:$L,'Investor Exit List'!$B444)-(SUMIFS(Investors!$M:$M,Investors!$I:$I,"&lt;="&amp;'NSST Print'!$B$3,Investors!$J:$J,"&gt;"&amp;'NSST Print'!$B$3,Investors!$A:$A,'Investor Exit List'!$A444,Investors!$E:$E,'Investor Exit List'!$C444,Investors!$L:$L,'Investor Exit List'!$B444)+SUMIFS(Investors!$M:$M,Investors!$I:$I,"&lt;="&amp;'NSST Print'!$B$3,Investors!$J:$J,"",Investors!$A:$A,'Investor Exit List'!$A444,Investors!$E:$E,'Investor Exit List'!$C444,Investors!$L:$L,'Investor Exit List'!$B444))</f>
        <v/>
      </c>
      <c r="G444" s="95" t="n">
        <v>45107</v>
      </c>
      <c r="H444" s="93" t="b">
        <v>0</v>
      </c>
      <c r="I444" s="93" t="b">
        <v>0</v>
      </c>
      <c r="J444" s="95" t="n">
        <v>45450</v>
      </c>
      <c r="K444" s="95">
        <f>IF(I444=TRUE,J444,"")</f>
        <v/>
      </c>
      <c r="L444" s="95">
        <f>G444+730</f>
        <v/>
      </c>
      <c r="M444" s="95" t="n">
        <v>45382</v>
      </c>
      <c r="N444" s="96">
        <f>IFERROR(IF(G444&lt;&gt;"",IF(I444=TRUE,0,IF(U444=TRUE,0,L444-M444)),0),0)</f>
        <v/>
      </c>
      <c r="O444" s="96">
        <f>IF(N444&gt;0,IF(N444&lt;=180,N444,0),0)</f>
        <v/>
      </c>
      <c r="P444" s="94">
        <f>IF(AND(N444&lt;90,N444&gt;0),Q444,0)</f>
        <v/>
      </c>
      <c r="Q444" s="94">
        <f>SUMIFS(Investors!$M:$M,Investors!$O:$O,FALSE,Investors!$P:$P,FALSE,Investors!$K:$K,"&gt;"&amp;'NSST Print'!$B$3,Investors!$I:$I,"&lt;="&amp;'NSST Print'!$B$3,Investors!$A:$A,'Investor Exit List'!$A444,Investors!$E:$E,'Investor Exit List'!$C444,Investors!$L:$L,'Investor Exit List'!$B444)-(SUMIFS(Investors!$M:$M,Investors!$I:$I,"&lt;="&amp;'NSST Print'!$B$3,Investors!$J:$J,"&gt;"&amp;'NSST Print'!$B$3,Investors!$A:$A,'Investor Exit List'!$A444,Investors!$E:$E,'Investor Exit List'!$C444,Investors!$L:$L,'Investor Exit List'!$B444)+SUMIFS(Investors!$M:$M,Investors!$I:$I,"&lt;="&amp;'NSST Print'!$B$3,Investors!$J:$J,"",Investors!$A:$A,'Investor Exit List'!$A444,Investors!$E:$E,'Investor Exit List'!$C444,Investors!$L:$L,'Investor Exit List'!$B444))+SUMIFS(Investors!$S:$S,Investors!$O:$O,FALSE,Investors!$P:$P,FALSE,Investors!$K:$K,"&gt;"&amp;'NSST Print'!$B$3,Investors!$I:$I,"&lt;="&amp;'NSST Print'!$B$3,Investors!$A:$A,'Investor Exit List'!$A444,Investors!$E:$E,'Investor Exit List'!$C444,Investors!$L:$L,'Investor Exit List'!$B444)-(SUMIFS(Investors!$S:$S,Investors!$I:$I,"&lt;="&amp;'NSST Print'!$B$3,Investors!$J:$J,"&gt;"&amp;'NSST Print'!$B$3,Investors!$A:$A,'Investor Exit List'!$A444,Investors!$E:$E,'Investor Exit List'!$C444,Investors!$L:$L,'Investor Exit List'!$B444)+SUMIFS(Investors!$S:$S,Investors!$I:$I,"&lt;="&amp;'NSST Print'!$B$3,Investors!$J:$J,"",Investors!$A:$A,'Investor Exit List'!$A444,Investors!$E:$E,'Investor Exit List'!$C444,Investors!$L:$L,'Investor Exit List'!$B444))</f>
        <v/>
      </c>
      <c r="R444" s="94">
        <f>IF(AND(H444=TRUE,I444=FALSE),Q444,0)</f>
        <v/>
      </c>
      <c r="S444" s="94">
        <f>SUMIFS(Investors!$M:$M,Investors!$O:$O,TRUE,Investors!$A:$A,'Investor Exit List'!$A444,Investors!$E:$E,'Investor Exit List'!$C444,Investors!$L:$L,'Investor Exit List'!$B444)+SUMIFS(Investors!$S:$S,Investors!$O:$O,TRUE,Investors!$A:$A,'Investor Exit List'!$A444,Investors!$E:$E,'Investor Exit List'!$C444,Investors!$L:$L,'Investor Exit List'!$B444)</f>
        <v/>
      </c>
      <c r="T444" s="95">
        <f>IF(U444=TRUE,$J444,"")</f>
        <v/>
      </c>
      <c r="U444" s="93" t="b">
        <v>0</v>
      </c>
      <c r="V444" s="94">
        <f>IF(AND(H444=TRUE,OR(K444="",K444&gt;M444)),S444,0)</f>
        <v/>
      </c>
      <c r="W444" s="93" t="n">
        <v>0</v>
      </c>
      <c r="X444" s="93" t="b">
        <v>0</v>
      </c>
    </row>
    <row r="445">
      <c r="A445" s="93" t="inlineStr">
        <is>
          <t>ZGOF01</t>
        </is>
      </c>
      <c r="B445" s="93" t="n">
        <v>2</v>
      </c>
      <c r="C445" s="93" t="inlineStr">
        <is>
          <t>HVM201</t>
        </is>
      </c>
      <c r="D445" s="93" t="inlineStr">
        <is>
          <t>M</t>
        </is>
      </c>
      <c r="E445" s="93" t="inlineStr">
        <is>
          <t>Goff Angela</t>
        </is>
      </c>
      <c r="F445" s="94">
        <f>SUMIFS(Investors!$M:$M,Investors!$O:$O,FALSE,Investors!$P:$P,FALSE,Investors!$K:$K,"&gt;"&amp;'NSST Print'!$B$3,Investors!$I:$I,"&lt;="&amp;'NSST Print'!$B$3,Investors!$A:$A,'Investor Exit List'!$A445,Investors!$E:$E,'Investor Exit List'!$C445,Investors!$L:$L,'Investor Exit List'!$B445)-(SUMIFS(Investors!$M:$M,Investors!$I:$I,"&lt;="&amp;'NSST Print'!$B$3,Investors!$J:$J,"&gt;"&amp;'NSST Print'!$B$3,Investors!$A:$A,'Investor Exit List'!$A445,Investors!$E:$E,'Investor Exit List'!$C445,Investors!$L:$L,'Investor Exit List'!$B445)+SUMIFS(Investors!$M:$M,Investors!$I:$I,"&lt;="&amp;'NSST Print'!$B$3,Investors!$J:$J,"",Investors!$A:$A,'Investor Exit List'!$A445,Investors!$E:$E,'Investor Exit List'!$C445,Investors!$L:$L,'Investor Exit List'!$B445))</f>
        <v/>
      </c>
      <c r="G445" s="95" t="n">
        <v>45129</v>
      </c>
      <c r="H445" s="93" t="b">
        <v>0</v>
      </c>
      <c r="I445" s="93" t="b">
        <v>0</v>
      </c>
      <c r="J445" s="95" t="n">
        <v>45450</v>
      </c>
      <c r="K445" s="95">
        <f>IF(I445=TRUE,J445,"")</f>
        <v/>
      </c>
      <c r="L445" s="95">
        <f>G445+730</f>
        <v/>
      </c>
      <c r="M445" s="95" t="n">
        <v>45382</v>
      </c>
      <c r="N445" s="96">
        <f>IFERROR(IF(G445&lt;&gt;"",IF(I445=TRUE,0,IF(U445=TRUE,0,L445-M445)),0),0)</f>
        <v/>
      </c>
      <c r="O445" s="96">
        <f>IF(N445&gt;0,IF(N445&lt;=180,N445,0),0)</f>
        <v/>
      </c>
      <c r="P445" s="94">
        <f>IF(AND(N445&lt;90,N445&gt;0),Q445,0)</f>
        <v/>
      </c>
      <c r="Q445" s="94">
        <f>SUMIFS(Investors!$M:$M,Investors!$O:$O,FALSE,Investors!$P:$P,FALSE,Investors!$K:$K,"&gt;"&amp;'NSST Print'!$B$3,Investors!$I:$I,"&lt;="&amp;'NSST Print'!$B$3,Investors!$A:$A,'Investor Exit List'!$A445,Investors!$E:$E,'Investor Exit List'!$C445,Investors!$L:$L,'Investor Exit List'!$B445)-(SUMIFS(Investors!$M:$M,Investors!$I:$I,"&lt;="&amp;'NSST Print'!$B$3,Investors!$J:$J,"&gt;"&amp;'NSST Print'!$B$3,Investors!$A:$A,'Investor Exit List'!$A445,Investors!$E:$E,'Investor Exit List'!$C445,Investors!$L:$L,'Investor Exit List'!$B445)+SUMIFS(Investors!$M:$M,Investors!$I:$I,"&lt;="&amp;'NSST Print'!$B$3,Investors!$J:$J,"",Investors!$A:$A,'Investor Exit List'!$A445,Investors!$E:$E,'Investor Exit List'!$C445,Investors!$L:$L,'Investor Exit List'!$B445))+SUMIFS(Investors!$S:$S,Investors!$O:$O,FALSE,Investors!$P:$P,FALSE,Investors!$K:$K,"&gt;"&amp;'NSST Print'!$B$3,Investors!$I:$I,"&lt;="&amp;'NSST Print'!$B$3,Investors!$A:$A,'Investor Exit List'!$A445,Investors!$E:$E,'Investor Exit List'!$C445,Investors!$L:$L,'Investor Exit List'!$B445)-(SUMIFS(Investors!$S:$S,Investors!$I:$I,"&lt;="&amp;'NSST Print'!$B$3,Investors!$J:$J,"&gt;"&amp;'NSST Print'!$B$3,Investors!$A:$A,'Investor Exit List'!$A445,Investors!$E:$E,'Investor Exit List'!$C445,Investors!$L:$L,'Investor Exit List'!$B445)+SUMIFS(Investors!$S:$S,Investors!$I:$I,"&lt;="&amp;'NSST Print'!$B$3,Investors!$J:$J,"",Investors!$A:$A,'Investor Exit List'!$A445,Investors!$E:$E,'Investor Exit List'!$C445,Investors!$L:$L,'Investor Exit List'!$B445))</f>
        <v/>
      </c>
      <c r="R445" s="94">
        <f>IF(AND(H445=TRUE,I445=FALSE),Q445,0)</f>
        <v/>
      </c>
      <c r="S445" s="94">
        <f>SUMIFS(Investors!$M:$M,Investors!$O:$O,TRUE,Investors!$A:$A,'Investor Exit List'!$A445,Investors!$E:$E,'Investor Exit List'!$C445,Investors!$L:$L,'Investor Exit List'!$B445)+SUMIFS(Investors!$S:$S,Investors!$O:$O,TRUE,Investors!$A:$A,'Investor Exit List'!$A445,Investors!$E:$E,'Investor Exit List'!$C445,Investors!$L:$L,'Investor Exit List'!$B445)</f>
        <v/>
      </c>
      <c r="T445" s="95">
        <f>IF(U445=TRUE,$J445,"")</f>
        <v/>
      </c>
      <c r="U445" s="93" t="b">
        <v>0</v>
      </c>
      <c r="V445" s="94">
        <f>IF(AND(H445=TRUE,OR(K445="",K445&gt;M445)),S445,0)</f>
        <v/>
      </c>
      <c r="W445" s="93" t="n">
        <v>0</v>
      </c>
      <c r="X445" s="93" t="b">
        <v>0</v>
      </c>
    </row>
    <row r="446">
      <c r="A446" s="93" t="inlineStr">
        <is>
          <t>ZAFR01</t>
        </is>
      </c>
      <c r="B446" s="93" t="n">
        <v>5</v>
      </c>
      <c r="C446" s="93" t="inlineStr">
        <is>
          <t>HVM202</t>
        </is>
      </c>
      <c r="D446" s="93" t="inlineStr">
        <is>
          <t>M</t>
        </is>
      </c>
      <c r="E446" s="93" t="inlineStr">
        <is>
          <t>Zylstra John Robert</t>
        </is>
      </c>
      <c r="F446" s="94">
        <f>SUMIFS(Investors!$M:$M,Investors!$O:$O,FALSE,Investors!$P:$P,FALSE,Investors!$K:$K,"&gt;"&amp;'NSST Print'!$B$3,Investors!$I:$I,"&lt;="&amp;'NSST Print'!$B$3,Investors!$A:$A,'Investor Exit List'!$A446,Investors!$E:$E,'Investor Exit List'!$C446,Investors!$L:$L,'Investor Exit List'!$B446)-(SUMIFS(Investors!$M:$M,Investors!$I:$I,"&lt;="&amp;'NSST Print'!$B$3,Investors!$J:$J,"&gt;"&amp;'NSST Print'!$B$3,Investors!$A:$A,'Investor Exit List'!$A446,Investors!$E:$E,'Investor Exit List'!$C446,Investors!$L:$L,'Investor Exit List'!$B446)+SUMIFS(Investors!$M:$M,Investors!$I:$I,"&lt;="&amp;'NSST Print'!$B$3,Investors!$J:$J,"",Investors!$A:$A,'Investor Exit List'!$A446,Investors!$E:$E,'Investor Exit List'!$C446,Investors!$L:$L,'Investor Exit List'!$B446))</f>
        <v/>
      </c>
      <c r="G446" s="95" t="n">
        <v>45129</v>
      </c>
      <c r="H446" s="93" t="b">
        <v>0</v>
      </c>
      <c r="I446" s="93" t="b">
        <v>0</v>
      </c>
      <c r="J446" s="95" t="n">
        <v>45450</v>
      </c>
      <c r="K446" s="95">
        <f>IF(I446=TRUE,J446,"")</f>
        <v/>
      </c>
      <c r="L446" s="95">
        <f>G446+730</f>
        <v/>
      </c>
      <c r="M446" s="95" t="n">
        <v>45382</v>
      </c>
      <c r="N446" s="96">
        <f>IFERROR(IF(G446&lt;&gt;"",IF(I446=TRUE,0,IF(U446=TRUE,0,L446-M446)),0),0)</f>
        <v/>
      </c>
      <c r="O446" s="96">
        <f>IF(N446&gt;0,IF(N446&lt;=180,N446,0),0)</f>
        <v/>
      </c>
      <c r="P446" s="94">
        <f>IF(AND(N446&lt;90,N446&gt;0),Q446,0)</f>
        <v/>
      </c>
      <c r="Q446" s="94">
        <f>SUMIFS(Investors!$M:$M,Investors!$O:$O,FALSE,Investors!$P:$P,FALSE,Investors!$K:$K,"&gt;"&amp;'NSST Print'!$B$3,Investors!$I:$I,"&lt;="&amp;'NSST Print'!$B$3,Investors!$A:$A,'Investor Exit List'!$A446,Investors!$E:$E,'Investor Exit List'!$C446,Investors!$L:$L,'Investor Exit List'!$B446)-(SUMIFS(Investors!$M:$M,Investors!$I:$I,"&lt;="&amp;'NSST Print'!$B$3,Investors!$J:$J,"&gt;"&amp;'NSST Print'!$B$3,Investors!$A:$A,'Investor Exit List'!$A446,Investors!$E:$E,'Investor Exit List'!$C446,Investors!$L:$L,'Investor Exit List'!$B446)+SUMIFS(Investors!$M:$M,Investors!$I:$I,"&lt;="&amp;'NSST Print'!$B$3,Investors!$J:$J,"",Investors!$A:$A,'Investor Exit List'!$A446,Investors!$E:$E,'Investor Exit List'!$C446,Investors!$L:$L,'Investor Exit List'!$B446))+SUMIFS(Investors!$S:$S,Investors!$O:$O,FALSE,Investors!$P:$P,FALSE,Investors!$K:$K,"&gt;"&amp;'NSST Print'!$B$3,Investors!$I:$I,"&lt;="&amp;'NSST Print'!$B$3,Investors!$A:$A,'Investor Exit List'!$A446,Investors!$E:$E,'Investor Exit List'!$C446,Investors!$L:$L,'Investor Exit List'!$B446)-(SUMIFS(Investors!$S:$S,Investors!$I:$I,"&lt;="&amp;'NSST Print'!$B$3,Investors!$J:$J,"&gt;"&amp;'NSST Print'!$B$3,Investors!$A:$A,'Investor Exit List'!$A446,Investors!$E:$E,'Investor Exit List'!$C446,Investors!$L:$L,'Investor Exit List'!$B446)+SUMIFS(Investors!$S:$S,Investors!$I:$I,"&lt;="&amp;'NSST Print'!$B$3,Investors!$J:$J,"",Investors!$A:$A,'Investor Exit List'!$A446,Investors!$E:$E,'Investor Exit List'!$C446,Investors!$L:$L,'Investor Exit List'!$B446))</f>
        <v/>
      </c>
      <c r="R446" s="94">
        <f>IF(AND(H446=TRUE,I446=FALSE),Q446,0)</f>
        <v/>
      </c>
      <c r="S446" s="94">
        <f>SUMIFS(Investors!$M:$M,Investors!$O:$O,TRUE,Investors!$A:$A,'Investor Exit List'!$A446,Investors!$E:$E,'Investor Exit List'!$C446,Investors!$L:$L,'Investor Exit List'!$B446)+SUMIFS(Investors!$S:$S,Investors!$O:$O,TRUE,Investors!$A:$A,'Investor Exit List'!$A446,Investors!$E:$E,'Investor Exit List'!$C446,Investors!$L:$L,'Investor Exit List'!$B446)</f>
        <v/>
      </c>
      <c r="T446" s="95">
        <f>IF(U446=TRUE,$J446,"")</f>
        <v/>
      </c>
      <c r="U446" s="93" t="b">
        <v>0</v>
      </c>
      <c r="V446" s="94">
        <f>IF(AND(H446=TRUE,OR(K446="",K446&gt;M446)),S446,0)</f>
        <v/>
      </c>
      <c r="W446" s="93" t="n">
        <v>0</v>
      </c>
      <c r="X446" s="93" t="b">
        <v>0</v>
      </c>
    </row>
    <row r="447">
      <c r="A447" s="93" t="inlineStr">
        <is>
          <t>ZPED01</t>
        </is>
      </c>
      <c r="B447" s="93" t="n">
        <v>4</v>
      </c>
      <c r="C447" s="93" t="inlineStr">
        <is>
          <t>HVM203</t>
        </is>
      </c>
      <c r="D447" s="93" t="inlineStr">
        <is>
          <t>M</t>
        </is>
      </c>
      <c r="E447" s="93" t="inlineStr">
        <is>
          <t>Pedersen Wendy</t>
        </is>
      </c>
      <c r="F447" s="94">
        <f>SUMIFS(Investors!$M:$M,Investors!$O:$O,FALSE,Investors!$P:$P,FALSE,Investors!$K:$K,"&gt;"&amp;'NSST Print'!$B$3,Investors!$I:$I,"&lt;="&amp;'NSST Print'!$B$3,Investors!$A:$A,'Investor Exit List'!$A447,Investors!$E:$E,'Investor Exit List'!$C447,Investors!$L:$L,'Investor Exit List'!$B447)-(SUMIFS(Investors!$M:$M,Investors!$I:$I,"&lt;="&amp;'NSST Print'!$B$3,Investors!$J:$J,"&gt;"&amp;'NSST Print'!$B$3,Investors!$A:$A,'Investor Exit List'!$A447,Investors!$E:$E,'Investor Exit List'!$C447,Investors!$L:$L,'Investor Exit List'!$B447)+SUMIFS(Investors!$M:$M,Investors!$I:$I,"&lt;="&amp;'NSST Print'!$B$3,Investors!$J:$J,"",Investors!$A:$A,'Investor Exit List'!$A447,Investors!$E:$E,'Investor Exit List'!$C447,Investors!$L:$L,'Investor Exit List'!$B447))</f>
        <v/>
      </c>
      <c r="G447" s="95" t="n">
        <v>45129</v>
      </c>
      <c r="H447" s="93" t="b">
        <v>0</v>
      </c>
      <c r="I447" s="93" t="b">
        <v>0</v>
      </c>
      <c r="J447" s="95" t="n">
        <v>45450</v>
      </c>
      <c r="K447" s="95">
        <f>IF(I447=TRUE,J447,"")</f>
        <v/>
      </c>
      <c r="L447" s="95">
        <f>G447+730</f>
        <v/>
      </c>
      <c r="M447" s="95" t="n">
        <v>45382</v>
      </c>
      <c r="N447" s="96">
        <f>IFERROR(IF(G447&lt;&gt;"",IF(I447=TRUE,0,IF(U447=TRUE,0,L447-M447)),0),0)</f>
        <v/>
      </c>
      <c r="O447" s="96">
        <f>IF(N447&gt;0,IF(N447&lt;=180,N447,0),0)</f>
        <v/>
      </c>
      <c r="P447" s="94">
        <f>IF(AND(N447&lt;90,N447&gt;0),Q447,0)</f>
        <v/>
      </c>
      <c r="Q447" s="94">
        <f>SUMIFS(Investors!$M:$M,Investors!$O:$O,FALSE,Investors!$P:$P,FALSE,Investors!$K:$K,"&gt;"&amp;'NSST Print'!$B$3,Investors!$I:$I,"&lt;="&amp;'NSST Print'!$B$3,Investors!$A:$A,'Investor Exit List'!$A447,Investors!$E:$E,'Investor Exit List'!$C447,Investors!$L:$L,'Investor Exit List'!$B447)-(SUMIFS(Investors!$M:$M,Investors!$I:$I,"&lt;="&amp;'NSST Print'!$B$3,Investors!$J:$J,"&gt;"&amp;'NSST Print'!$B$3,Investors!$A:$A,'Investor Exit List'!$A447,Investors!$E:$E,'Investor Exit List'!$C447,Investors!$L:$L,'Investor Exit List'!$B447)+SUMIFS(Investors!$M:$M,Investors!$I:$I,"&lt;="&amp;'NSST Print'!$B$3,Investors!$J:$J,"",Investors!$A:$A,'Investor Exit List'!$A447,Investors!$E:$E,'Investor Exit List'!$C447,Investors!$L:$L,'Investor Exit List'!$B447))+SUMIFS(Investors!$S:$S,Investors!$O:$O,FALSE,Investors!$P:$P,FALSE,Investors!$K:$K,"&gt;"&amp;'NSST Print'!$B$3,Investors!$I:$I,"&lt;="&amp;'NSST Print'!$B$3,Investors!$A:$A,'Investor Exit List'!$A447,Investors!$E:$E,'Investor Exit List'!$C447,Investors!$L:$L,'Investor Exit List'!$B447)-(SUMIFS(Investors!$S:$S,Investors!$I:$I,"&lt;="&amp;'NSST Print'!$B$3,Investors!$J:$J,"&gt;"&amp;'NSST Print'!$B$3,Investors!$A:$A,'Investor Exit List'!$A447,Investors!$E:$E,'Investor Exit List'!$C447,Investors!$L:$L,'Investor Exit List'!$B447)+SUMIFS(Investors!$S:$S,Investors!$I:$I,"&lt;="&amp;'NSST Print'!$B$3,Investors!$J:$J,"",Investors!$A:$A,'Investor Exit List'!$A447,Investors!$E:$E,'Investor Exit List'!$C447,Investors!$L:$L,'Investor Exit List'!$B447))</f>
        <v/>
      </c>
      <c r="R447" s="94">
        <f>IF(AND(H447=TRUE,I447=FALSE),Q447,0)</f>
        <v/>
      </c>
      <c r="S447" s="94">
        <f>SUMIFS(Investors!$M:$M,Investors!$O:$O,TRUE,Investors!$A:$A,'Investor Exit List'!$A447,Investors!$E:$E,'Investor Exit List'!$C447,Investors!$L:$L,'Investor Exit List'!$B447)+SUMIFS(Investors!$S:$S,Investors!$O:$O,TRUE,Investors!$A:$A,'Investor Exit List'!$A447,Investors!$E:$E,'Investor Exit List'!$C447,Investors!$L:$L,'Investor Exit List'!$B447)</f>
        <v/>
      </c>
      <c r="T447" s="95">
        <f>IF(U447=TRUE,$J447,"")</f>
        <v/>
      </c>
      <c r="U447" s="93" t="b">
        <v>0</v>
      </c>
      <c r="V447" s="94">
        <f>IF(AND(H447=TRUE,OR(K447="",K447&gt;M447)),S447,0)</f>
        <v/>
      </c>
      <c r="W447" s="93" t="n">
        <v>0</v>
      </c>
      <c r="X447" s="93" t="b">
        <v>0</v>
      </c>
    </row>
    <row r="448">
      <c r="A448" s="93" t="inlineStr">
        <is>
          <t>ZDAD01</t>
        </is>
      </c>
      <c r="B448" s="93" t="n">
        <v>5</v>
      </c>
      <c r="C448" s="93" t="inlineStr">
        <is>
          <t>HVM204</t>
        </is>
      </c>
      <c r="D448" s="93" t="inlineStr">
        <is>
          <t>M</t>
        </is>
      </c>
      <c r="E448" s="93" t="inlineStr">
        <is>
          <t>Dadoo Feroz</t>
        </is>
      </c>
      <c r="F448" s="94">
        <f>SUMIFS(Investors!$M:$M,Investors!$O:$O,FALSE,Investors!$P:$P,FALSE,Investors!$K:$K,"&gt;"&amp;'NSST Print'!$B$3,Investors!$I:$I,"&lt;="&amp;'NSST Print'!$B$3,Investors!$A:$A,'Investor Exit List'!$A448,Investors!$E:$E,'Investor Exit List'!$C448,Investors!$L:$L,'Investor Exit List'!$B448)-(SUMIFS(Investors!$M:$M,Investors!$I:$I,"&lt;="&amp;'NSST Print'!$B$3,Investors!$J:$J,"&gt;"&amp;'NSST Print'!$B$3,Investors!$A:$A,'Investor Exit List'!$A448,Investors!$E:$E,'Investor Exit List'!$C448,Investors!$L:$L,'Investor Exit List'!$B448)+SUMIFS(Investors!$M:$M,Investors!$I:$I,"&lt;="&amp;'NSST Print'!$B$3,Investors!$J:$J,"",Investors!$A:$A,'Investor Exit List'!$A448,Investors!$E:$E,'Investor Exit List'!$C448,Investors!$L:$L,'Investor Exit List'!$B448))</f>
        <v/>
      </c>
      <c r="G448" s="95" t="n">
        <v>45129</v>
      </c>
      <c r="H448" s="93" t="b">
        <v>0</v>
      </c>
      <c r="I448" s="93" t="b">
        <v>0</v>
      </c>
      <c r="J448" s="95" t="n">
        <v>45450</v>
      </c>
      <c r="K448" s="95">
        <f>IF(I448=TRUE,J448,"")</f>
        <v/>
      </c>
      <c r="L448" s="95">
        <f>G448+730</f>
        <v/>
      </c>
      <c r="M448" s="95" t="n">
        <v>45382</v>
      </c>
      <c r="N448" s="96">
        <f>IFERROR(IF(G448&lt;&gt;"",IF(I448=TRUE,0,IF(U448=TRUE,0,L448-M448)),0),0)</f>
        <v/>
      </c>
      <c r="O448" s="96">
        <f>IF(N448&gt;0,IF(N448&lt;=180,N448,0),0)</f>
        <v/>
      </c>
      <c r="P448" s="94">
        <f>IF(AND(N448&lt;90,N448&gt;0),Q448,0)</f>
        <v/>
      </c>
      <c r="Q448" s="94">
        <f>SUMIFS(Investors!$M:$M,Investors!$O:$O,FALSE,Investors!$P:$P,FALSE,Investors!$K:$K,"&gt;"&amp;'NSST Print'!$B$3,Investors!$I:$I,"&lt;="&amp;'NSST Print'!$B$3,Investors!$A:$A,'Investor Exit List'!$A448,Investors!$E:$E,'Investor Exit List'!$C448,Investors!$L:$L,'Investor Exit List'!$B448)-(SUMIFS(Investors!$M:$M,Investors!$I:$I,"&lt;="&amp;'NSST Print'!$B$3,Investors!$J:$J,"&gt;"&amp;'NSST Print'!$B$3,Investors!$A:$A,'Investor Exit List'!$A448,Investors!$E:$E,'Investor Exit List'!$C448,Investors!$L:$L,'Investor Exit List'!$B448)+SUMIFS(Investors!$M:$M,Investors!$I:$I,"&lt;="&amp;'NSST Print'!$B$3,Investors!$J:$J,"",Investors!$A:$A,'Investor Exit List'!$A448,Investors!$E:$E,'Investor Exit List'!$C448,Investors!$L:$L,'Investor Exit List'!$B448))+SUMIFS(Investors!$S:$S,Investors!$O:$O,FALSE,Investors!$P:$P,FALSE,Investors!$K:$K,"&gt;"&amp;'NSST Print'!$B$3,Investors!$I:$I,"&lt;="&amp;'NSST Print'!$B$3,Investors!$A:$A,'Investor Exit List'!$A448,Investors!$E:$E,'Investor Exit List'!$C448,Investors!$L:$L,'Investor Exit List'!$B448)-(SUMIFS(Investors!$S:$S,Investors!$I:$I,"&lt;="&amp;'NSST Print'!$B$3,Investors!$J:$J,"&gt;"&amp;'NSST Print'!$B$3,Investors!$A:$A,'Investor Exit List'!$A448,Investors!$E:$E,'Investor Exit List'!$C448,Investors!$L:$L,'Investor Exit List'!$B448)+SUMIFS(Investors!$S:$S,Investors!$I:$I,"&lt;="&amp;'NSST Print'!$B$3,Investors!$J:$J,"",Investors!$A:$A,'Investor Exit List'!$A448,Investors!$E:$E,'Investor Exit List'!$C448,Investors!$L:$L,'Investor Exit List'!$B448))</f>
        <v/>
      </c>
      <c r="R448" s="94">
        <f>IF(AND(H448=TRUE,I448=FALSE),Q448,0)</f>
        <v/>
      </c>
      <c r="S448" s="94">
        <f>SUMIFS(Investors!$M:$M,Investors!$O:$O,TRUE,Investors!$A:$A,'Investor Exit List'!$A448,Investors!$E:$E,'Investor Exit List'!$C448,Investors!$L:$L,'Investor Exit List'!$B448)+SUMIFS(Investors!$S:$S,Investors!$O:$O,TRUE,Investors!$A:$A,'Investor Exit List'!$A448,Investors!$E:$E,'Investor Exit List'!$C448,Investors!$L:$L,'Investor Exit List'!$B448)</f>
        <v/>
      </c>
      <c r="T448" s="95">
        <f>IF(U448=TRUE,$J448,"")</f>
        <v/>
      </c>
      <c r="U448" s="93" t="b">
        <v>0</v>
      </c>
      <c r="V448" s="94">
        <f>IF(AND(H448=TRUE,OR(K448="",K448&gt;M448)),S448,0)</f>
        <v/>
      </c>
      <c r="W448" s="93" t="n">
        <v>0</v>
      </c>
      <c r="X448" s="93" t="b">
        <v>0</v>
      </c>
    </row>
    <row r="449">
      <c r="A449" s="93" t="inlineStr">
        <is>
          <t>ZKRI03</t>
        </is>
      </c>
      <c r="B449" s="93" t="n">
        <v>2</v>
      </c>
      <c r="C449" s="93" t="inlineStr">
        <is>
          <t>HVM204</t>
        </is>
      </c>
      <c r="D449" s="93" t="inlineStr">
        <is>
          <t>M</t>
        </is>
      </c>
      <c r="E449" s="93" t="inlineStr">
        <is>
          <t>Kriel Helena Jacoba</t>
        </is>
      </c>
      <c r="F449" s="94">
        <f>SUMIFS(Investors!$M:$M,Investors!$O:$O,FALSE,Investors!$P:$P,FALSE,Investors!$K:$K,"&gt;"&amp;'NSST Print'!$B$3,Investors!$I:$I,"&lt;="&amp;'NSST Print'!$B$3,Investors!$A:$A,'Investor Exit List'!$A449,Investors!$E:$E,'Investor Exit List'!$C449,Investors!$L:$L,'Investor Exit List'!$B449)-(SUMIFS(Investors!$M:$M,Investors!$I:$I,"&lt;="&amp;'NSST Print'!$B$3,Investors!$J:$J,"&gt;"&amp;'NSST Print'!$B$3,Investors!$A:$A,'Investor Exit List'!$A449,Investors!$E:$E,'Investor Exit List'!$C449,Investors!$L:$L,'Investor Exit List'!$B449)+SUMIFS(Investors!$M:$M,Investors!$I:$I,"&lt;="&amp;'NSST Print'!$B$3,Investors!$J:$J,"",Investors!$A:$A,'Investor Exit List'!$A449,Investors!$E:$E,'Investor Exit List'!$C449,Investors!$L:$L,'Investor Exit List'!$B449))</f>
        <v/>
      </c>
      <c r="G449" s="95" t="n">
        <v>45168</v>
      </c>
      <c r="H449" s="93" t="b">
        <v>0</v>
      </c>
      <c r="I449" s="93" t="b">
        <v>0</v>
      </c>
      <c r="J449" s="95" t="n">
        <v>45450</v>
      </c>
      <c r="K449" s="95">
        <f>IF(I449=TRUE,J449,"")</f>
        <v/>
      </c>
      <c r="L449" s="95">
        <f>G449+730</f>
        <v/>
      </c>
      <c r="M449" s="95" t="n">
        <v>45382</v>
      </c>
      <c r="N449" s="96">
        <f>IFERROR(IF(G449&lt;&gt;"",IF(I449=TRUE,0,IF(U449=TRUE,0,L449-M449)),0),0)</f>
        <v/>
      </c>
      <c r="O449" s="96">
        <f>IF(N449&gt;0,IF(N449&lt;=180,N449,0),0)</f>
        <v/>
      </c>
      <c r="P449" s="94">
        <f>IF(AND(N449&lt;90,N449&gt;0),Q449,0)</f>
        <v/>
      </c>
      <c r="Q449" s="94">
        <f>SUMIFS(Investors!$M:$M,Investors!$O:$O,FALSE,Investors!$P:$P,FALSE,Investors!$K:$K,"&gt;"&amp;'NSST Print'!$B$3,Investors!$I:$I,"&lt;="&amp;'NSST Print'!$B$3,Investors!$A:$A,'Investor Exit List'!$A449,Investors!$E:$E,'Investor Exit List'!$C449,Investors!$L:$L,'Investor Exit List'!$B449)-(SUMIFS(Investors!$M:$M,Investors!$I:$I,"&lt;="&amp;'NSST Print'!$B$3,Investors!$J:$J,"&gt;"&amp;'NSST Print'!$B$3,Investors!$A:$A,'Investor Exit List'!$A449,Investors!$E:$E,'Investor Exit List'!$C449,Investors!$L:$L,'Investor Exit List'!$B449)+SUMIFS(Investors!$M:$M,Investors!$I:$I,"&lt;="&amp;'NSST Print'!$B$3,Investors!$J:$J,"",Investors!$A:$A,'Investor Exit List'!$A449,Investors!$E:$E,'Investor Exit List'!$C449,Investors!$L:$L,'Investor Exit List'!$B449))+SUMIFS(Investors!$S:$S,Investors!$O:$O,FALSE,Investors!$P:$P,FALSE,Investors!$K:$K,"&gt;"&amp;'NSST Print'!$B$3,Investors!$I:$I,"&lt;="&amp;'NSST Print'!$B$3,Investors!$A:$A,'Investor Exit List'!$A449,Investors!$E:$E,'Investor Exit List'!$C449,Investors!$L:$L,'Investor Exit List'!$B449)-(SUMIFS(Investors!$S:$S,Investors!$I:$I,"&lt;="&amp;'NSST Print'!$B$3,Investors!$J:$J,"&gt;"&amp;'NSST Print'!$B$3,Investors!$A:$A,'Investor Exit List'!$A449,Investors!$E:$E,'Investor Exit List'!$C449,Investors!$L:$L,'Investor Exit List'!$B449)+SUMIFS(Investors!$S:$S,Investors!$I:$I,"&lt;="&amp;'NSST Print'!$B$3,Investors!$J:$J,"",Investors!$A:$A,'Investor Exit List'!$A449,Investors!$E:$E,'Investor Exit List'!$C449,Investors!$L:$L,'Investor Exit List'!$B449))</f>
        <v/>
      </c>
      <c r="R449" s="94">
        <f>IF(AND(H449=TRUE,I449=FALSE),Q449,0)</f>
        <v/>
      </c>
      <c r="S449" s="94">
        <f>SUMIFS(Investors!$M:$M,Investors!$O:$O,TRUE,Investors!$A:$A,'Investor Exit List'!$A449,Investors!$E:$E,'Investor Exit List'!$C449,Investors!$L:$L,'Investor Exit List'!$B449)+SUMIFS(Investors!$S:$S,Investors!$O:$O,TRUE,Investors!$A:$A,'Investor Exit List'!$A449,Investors!$E:$E,'Investor Exit List'!$C449,Investors!$L:$L,'Investor Exit List'!$B449)</f>
        <v/>
      </c>
      <c r="T449" s="95">
        <f>IF(U449=TRUE,$J449,"")</f>
        <v/>
      </c>
      <c r="U449" s="93" t="b">
        <v>0</v>
      </c>
      <c r="V449" s="94">
        <f>IF(AND(H449=TRUE,OR(K449="",K449&gt;M449)),S449,0)</f>
        <v/>
      </c>
      <c r="W449" s="93" t="n">
        <v>0</v>
      </c>
      <c r="X449" s="93" t="b">
        <v>0</v>
      </c>
    </row>
    <row r="450" hidden="1">
      <c r="A450" s="89" t="inlineStr">
        <is>
          <t>ZFER01</t>
        </is>
      </c>
      <c r="B450" s="89" t="n">
        <v>1</v>
      </c>
      <c r="C450" s="89" t="inlineStr">
        <is>
          <t>HVN101</t>
        </is>
      </c>
      <c r="D450" s="89" t="inlineStr">
        <is>
          <t>N</t>
        </is>
      </c>
      <c r="E450" s="89" t="inlineStr">
        <is>
          <t>Ferreira Leon</t>
        </is>
      </c>
      <c r="F450" s="90">
        <f>SUMIFS(Investors!$M:$M,Investors!$O:$O,FALSE,Investors!$P:$P,FALSE,Investors!$K:$K,"&gt;"&amp;'NSST Print'!$B$3,Investors!$I:$I,"&lt;="&amp;'NSST Print'!$B$3,Investors!$A:$A,'Investor Exit List'!$A450,Investors!$E:$E,'Investor Exit List'!$C450,Investors!$L:$L,'Investor Exit List'!$B450)-(SUMIFS(Investors!$M:$M,Investors!$I:$I,"&lt;="&amp;'NSST Print'!$B$3,Investors!$J:$J,"&gt;"&amp;'NSST Print'!$B$3,Investors!$A:$A,'Investor Exit List'!$A450,Investors!$E:$E,'Investor Exit List'!$C450,Investors!$L:$L,'Investor Exit List'!$B450)+SUMIFS(Investors!$M:$M,Investors!$I:$I,"&lt;="&amp;'NSST Print'!$B$3,Investors!$J:$J,"",Investors!$A:$A,'Investor Exit List'!$A450,Investors!$E:$E,'Investor Exit List'!$C450,Investors!$L:$L,'Investor Exit List'!$B450))</f>
        <v/>
      </c>
      <c r="G450" s="91" t="n">
        <v>44783</v>
      </c>
      <c r="H450" s="89" t="b">
        <v>1</v>
      </c>
      <c r="I450" s="89" t="b">
        <v>1</v>
      </c>
      <c r="J450" s="91" t="n">
        <v>45310</v>
      </c>
      <c r="K450" s="91">
        <f>IF(I450=TRUE,J450,"")</f>
        <v/>
      </c>
      <c r="L450" s="91">
        <f>G450+730</f>
        <v/>
      </c>
      <c r="M450" s="91" t="n">
        <v>45382</v>
      </c>
      <c r="N450" s="92">
        <f>IFERROR(IF(G450&lt;&gt;"",IF(I450=TRUE,0,IF(U450=TRUE,0,L450-M450)),0),0)</f>
        <v/>
      </c>
      <c r="O450" s="92">
        <f>IF(N450&gt;0,IF(N450&lt;=180,N450,0),0)</f>
        <v/>
      </c>
      <c r="P450" s="90">
        <f>IF(AND(N450&lt;90,N450&gt;0),Q450,0)</f>
        <v/>
      </c>
      <c r="Q450" s="90">
        <f>SUMIFS(Investors!$M:$M,Investors!$O:$O,FALSE,Investors!$P:$P,FALSE,Investors!$K:$K,"&gt;"&amp;'NSST Print'!$B$3,Investors!$I:$I,"&lt;="&amp;'NSST Print'!$B$3,Investors!$A:$A,'Investor Exit List'!$A450,Investors!$E:$E,'Investor Exit List'!$C450,Investors!$L:$L,'Investor Exit List'!$B450)-(SUMIFS(Investors!$M:$M,Investors!$I:$I,"&lt;="&amp;'NSST Print'!$B$3,Investors!$J:$J,"&gt;"&amp;'NSST Print'!$B$3,Investors!$A:$A,'Investor Exit List'!$A450,Investors!$E:$E,'Investor Exit List'!$C450,Investors!$L:$L,'Investor Exit List'!$B450)+SUMIFS(Investors!$M:$M,Investors!$I:$I,"&lt;="&amp;'NSST Print'!$B$3,Investors!$J:$J,"",Investors!$A:$A,'Investor Exit List'!$A450,Investors!$E:$E,'Investor Exit List'!$C450,Investors!$L:$L,'Investor Exit List'!$B450))+SUMIFS(Investors!$S:$S,Investors!$O:$O,FALSE,Investors!$P:$P,FALSE,Investors!$K:$K,"&gt;"&amp;'NSST Print'!$B$3,Investors!$I:$I,"&lt;="&amp;'NSST Print'!$B$3,Investors!$A:$A,'Investor Exit List'!$A450,Investors!$E:$E,'Investor Exit List'!$C450,Investors!$L:$L,'Investor Exit List'!$B450)-(SUMIFS(Investors!$S:$S,Investors!$I:$I,"&lt;="&amp;'NSST Print'!$B$3,Investors!$J:$J,"&gt;"&amp;'NSST Print'!$B$3,Investors!$A:$A,'Investor Exit List'!$A450,Investors!$E:$E,'Investor Exit List'!$C450,Investors!$L:$L,'Investor Exit List'!$B450)+SUMIFS(Investors!$S:$S,Investors!$I:$I,"&lt;="&amp;'NSST Print'!$B$3,Investors!$J:$J,"",Investors!$A:$A,'Investor Exit List'!$A450,Investors!$E:$E,'Investor Exit List'!$C450,Investors!$L:$L,'Investor Exit List'!$B450))</f>
        <v/>
      </c>
      <c r="R450" s="90">
        <f>IF(AND(H450=TRUE,I450=FALSE),Q450,0)</f>
        <v/>
      </c>
      <c r="S450" s="90">
        <f>SUMIFS(Investors!$M:$M,Investors!$O:$O,TRUE,Investors!$A:$A,'Investor Exit List'!$A450,Investors!$E:$E,'Investor Exit List'!$C450,Investors!$L:$L,'Investor Exit List'!$B450)+SUMIFS(Investors!$S:$S,Investors!$O:$O,TRUE,Investors!$A:$A,'Investor Exit List'!$A450,Investors!$E:$E,'Investor Exit List'!$C450,Investors!$L:$L,'Investor Exit List'!$B450)</f>
        <v/>
      </c>
      <c r="T450" s="91">
        <f>IF(U450=TRUE,$J450,"")</f>
        <v/>
      </c>
      <c r="U450" s="89" t="b">
        <v>0</v>
      </c>
      <c r="V450" s="90">
        <f>IF(AND(H450=TRUE,OR(K450="",K450&gt;M450)),S450,0)</f>
        <v/>
      </c>
      <c r="W450" s="89" t="n">
        <v>0</v>
      </c>
      <c r="X450" s="89" t="b">
        <v>0</v>
      </c>
    </row>
    <row r="451" hidden="1">
      <c r="A451" s="89" t="inlineStr">
        <is>
          <t>ZMAQ01</t>
        </is>
      </c>
      <c r="B451" s="89" t="n">
        <v>1</v>
      </c>
      <c r="C451" s="89" t="inlineStr">
        <is>
          <t>HVN101</t>
        </is>
      </c>
      <c r="D451" s="89" t="inlineStr">
        <is>
          <t>N</t>
        </is>
      </c>
      <c r="E451" s="89" t="inlineStr">
        <is>
          <t>Maqubela Stanley Tamsanqa</t>
        </is>
      </c>
      <c r="F451" s="90">
        <f>SUMIFS(Investors!$M:$M,Investors!$O:$O,FALSE,Investors!$P:$P,FALSE,Investors!$K:$K,"&gt;"&amp;'NSST Print'!$B$3,Investors!$I:$I,"&lt;="&amp;'NSST Print'!$B$3,Investors!$A:$A,'Investor Exit List'!$A451,Investors!$E:$E,'Investor Exit List'!$C451,Investors!$L:$L,'Investor Exit List'!$B451)-(SUMIFS(Investors!$M:$M,Investors!$I:$I,"&lt;="&amp;'NSST Print'!$B$3,Investors!$J:$J,"&gt;"&amp;'NSST Print'!$B$3,Investors!$A:$A,'Investor Exit List'!$A451,Investors!$E:$E,'Investor Exit List'!$C451,Investors!$L:$L,'Investor Exit List'!$B451)+SUMIFS(Investors!$M:$M,Investors!$I:$I,"&lt;="&amp;'NSST Print'!$B$3,Investors!$J:$J,"",Investors!$A:$A,'Investor Exit List'!$A451,Investors!$E:$E,'Investor Exit List'!$C451,Investors!$L:$L,'Investor Exit List'!$B451))</f>
        <v/>
      </c>
      <c r="G451" s="91" t="n">
        <v>44783</v>
      </c>
      <c r="H451" s="89" t="b">
        <v>1</v>
      </c>
      <c r="I451" s="89" t="b">
        <v>1</v>
      </c>
      <c r="J451" s="91" t="n">
        <v>45310</v>
      </c>
      <c r="K451" s="91">
        <f>IF(I451=TRUE,J451,"")</f>
        <v/>
      </c>
      <c r="L451" s="91">
        <f>G451+730</f>
        <v/>
      </c>
      <c r="M451" s="91" t="n">
        <v>45382</v>
      </c>
      <c r="N451" s="92">
        <f>IFERROR(IF(G451&lt;&gt;"",IF(I451=TRUE,0,IF(U451=TRUE,0,L451-M451)),0),0)</f>
        <v/>
      </c>
      <c r="O451" s="92">
        <f>IF(N451&gt;0,IF(N451&lt;=180,N451,0),0)</f>
        <v/>
      </c>
      <c r="P451" s="90">
        <f>IF(AND(N451&lt;90,N451&gt;0),Q451,0)</f>
        <v/>
      </c>
      <c r="Q451" s="90">
        <f>SUMIFS(Investors!$M:$M,Investors!$O:$O,FALSE,Investors!$P:$P,FALSE,Investors!$K:$K,"&gt;"&amp;'NSST Print'!$B$3,Investors!$I:$I,"&lt;="&amp;'NSST Print'!$B$3,Investors!$A:$A,'Investor Exit List'!$A451,Investors!$E:$E,'Investor Exit List'!$C451,Investors!$L:$L,'Investor Exit List'!$B451)-(SUMIFS(Investors!$M:$M,Investors!$I:$I,"&lt;="&amp;'NSST Print'!$B$3,Investors!$J:$J,"&gt;"&amp;'NSST Print'!$B$3,Investors!$A:$A,'Investor Exit List'!$A451,Investors!$E:$E,'Investor Exit List'!$C451,Investors!$L:$L,'Investor Exit List'!$B451)+SUMIFS(Investors!$M:$M,Investors!$I:$I,"&lt;="&amp;'NSST Print'!$B$3,Investors!$J:$J,"",Investors!$A:$A,'Investor Exit List'!$A451,Investors!$E:$E,'Investor Exit List'!$C451,Investors!$L:$L,'Investor Exit List'!$B451))+SUMIFS(Investors!$S:$S,Investors!$O:$O,FALSE,Investors!$P:$P,FALSE,Investors!$K:$K,"&gt;"&amp;'NSST Print'!$B$3,Investors!$I:$I,"&lt;="&amp;'NSST Print'!$B$3,Investors!$A:$A,'Investor Exit List'!$A451,Investors!$E:$E,'Investor Exit List'!$C451,Investors!$L:$L,'Investor Exit List'!$B451)-(SUMIFS(Investors!$S:$S,Investors!$I:$I,"&lt;="&amp;'NSST Print'!$B$3,Investors!$J:$J,"&gt;"&amp;'NSST Print'!$B$3,Investors!$A:$A,'Investor Exit List'!$A451,Investors!$E:$E,'Investor Exit List'!$C451,Investors!$L:$L,'Investor Exit List'!$B451)+SUMIFS(Investors!$S:$S,Investors!$I:$I,"&lt;="&amp;'NSST Print'!$B$3,Investors!$J:$J,"",Investors!$A:$A,'Investor Exit List'!$A451,Investors!$E:$E,'Investor Exit List'!$C451,Investors!$L:$L,'Investor Exit List'!$B451))</f>
        <v/>
      </c>
      <c r="R451" s="90">
        <f>IF(AND(H451=TRUE,I451=FALSE),Q451,0)</f>
        <v/>
      </c>
      <c r="S451" s="90">
        <f>SUMIFS(Investors!$M:$M,Investors!$O:$O,TRUE,Investors!$A:$A,'Investor Exit List'!$A451,Investors!$E:$E,'Investor Exit List'!$C451,Investors!$L:$L,'Investor Exit List'!$B451)+SUMIFS(Investors!$S:$S,Investors!$O:$O,TRUE,Investors!$A:$A,'Investor Exit List'!$A451,Investors!$E:$E,'Investor Exit List'!$C451,Investors!$L:$L,'Investor Exit List'!$B451)</f>
        <v/>
      </c>
      <c r="T451" s="91">
        <f>IF(U451=TRUE,$J451,"")</f>
        <v/>
      </c>
      <c r="U451" s="89" t="b">
        <v>0</v>
      </c>
      <c r="V451" s="90">
        <f>IF(AND(H451=TRUE,OR(K451="",K451&gt;M451)),S451,0)</f>
        <v/>
      </c>
      <c r="W451" s="89" t="n">
        <v>0</v>
      </c>
      <c r="X451" s="89" t="b">
        <v>0</v>
      </c>
    </row>
    <row r="452" hidden="1">
      <c r="A452" s="89" t="inlineStr">
        <is>
          <t>ZMAT01</t>
        </is>
      </c>
      <c r="B452" s="89" t="n">
        <v>5</v>
      </c>
      <c r="C452" s="89" t="inlineStr">
        <is>
          <t>HVN101</t>
        </is>
      </c>
      <c r="D452" s="89" t="inlineStr">
        <is>
          <t>N</t>
        </is>
      </c>
      <c r="E452" s="89" t="inlineStr">
        <is>
          <t>Matthews Natalie</t>
        </is>
      </c>
      <c r="F452" s="90">
        <f>SUMIFS(Investors!$M:$M,Investors!$O:$O,FALSE,Investors!$P:$P,FALSE,Investors!$K:$K,"&gt;"&amp;'NSST Print'!$B$3,Investors!$I:$I,"&lt;="&amp;'NSST Print'!$B$3,Investors!$A:$A,'Investor Exit List'!$A452,Investors!$E:$E,'Investor Exit List'!$C452,Investors!$L:$L,'Investor Exit List'!$B452)-(SUMIFS(Investors!$M:$M,Investors!$I:$I,"&lt;="&amp;'NSST Print'!$B$3,Investors!$J:$J,"&gt;"&amp;'NSST Print'!$B$3,Investors!$A:$A,'Investor Exit List'!$A452,Investors!$E:$E,'Investor Exit List'!$C452,Investors!$L:$L,'Investor Exit List'!$B452)+SUMIFS(Investors!$M:$M,Investors!$I:$I,"&lt;="&amp;'NSST Print'!$B$3,Investors!$J:$J,"",Investors!$A:$A,'Investor Exit List'!$A452,Investors!$E:$E,'Investor Exit List'!$C452,Investors!$L:$L,'Investor Exit List'!$B452))</f>
        <v/>
      </c>
      <c r="G452" s="91" t="n">
        <v>44777</v>
      </c>
      <c r="H452" s="89" t="b">
        <v>1</v>
      </c>
      <c r="I452" s="89" t="b">
        <v>1</v>
      </c>
      <c r="J452" s="91" t="n">
        <v>45310</v>
      </c>
      <c r="K452" s="91">
        <f>IF(I452=TRUE,J452,"")</f>
        <v/>
      </c>
      <c r="L452" s="91">
        <f>G452+730</f>
        <v/>
      </c>
      <c r="M452" s="91" t="n">
        <v>45382</v>
      </c>
      <c r="N452" s="92">
        <f>IFERROR(IF(G452&lt;&gt;"",IF(I452=TRUE,0,IF(U452=TRUE,0,L452-M452)),0),0)</f>
        <v/>
      </c>
      <c r="O452" s="92">
        <f>IF(N452&gt;0,IF(N452&lt;=180,N452,0),0)</f>
        <v/>
      </c>
      <c r="P452" s="90">
        <f>IF(AND(N452&lt;90,N452&gt;0),Q452,0)</f>
        <v/>
      </c>
      <c r="Q452" s="90">
        <f>SUMIFS(Investors!$M:$M,Investors!$O:$O,FALSE,Investors!$P:$P,FALSE,Investors!$K:$K,"&gt;"&amp;'NSST Print'!$B$3,Investors!$I:$I,"&lt;="&amp;'NSST Print'!$B$3,Investors!$A:$A,'Investor Exit List'!$A452,Investors!$E:$E,'Investor Exit List'!$C452,Investors!$L:$L,'Investor Exit List'!$B452)-(SUMIFS(Investors!$M:$M,Investors!$I:$I,"&lt;="&amp;'NSST Print'!$B$3,Investors!$J:$J,"&gt;"&amp;'NSST Print'!$B$3,Investors!$A:$A,'Investor Exit List'!$A452,Investors!$E:$E,'Investor Exit List'!$C452,Investors!$L:$L,'Investor Exit List'!$B452)+SUMIFS(Investors!$M:$M,Investors!$I:$I,"&lt;="&amp;'NSST Print'!$B$3,Investors!$J:$J,"",Investors!$A:$A,'Investor Exit List'!$A452,Investors!$E:$E,'Investor Exit List'!$C452,Investors!$L:$L,'Investor Exit List'!$B452))+SUMIFS(Investors!$S:$S,Investors!$O:$O,FALSE,Investors!$P:$P,FALSE,Investors!$K:$K,"&gt;"&amp;'NSST Print'!$B$3,Investors!$I:$I,"&lt;="&amp;'NSST Print'!$B$3,Investors!$A:$A,'Investor Exit List'!$A452,Investors!$E:$E,'Investor Exit List'!$C452,Investors!$L:$L,'Investor Exit List'!$B452)-(SUMIFS(Investors!$S:$S,Investors!$I:$I,"&lt;="&amp;'NSST Print'!$B$3,Investors!$J:$J,"&gt;"&amp;'NSST Print'!$B$3,Investors!$A:$A,'Investor Exit List'!$A452,Investors!$E:$E,'Investor Exit List'!$C452,Investors!$L:$L,'Investor Exit List'!$B452)+SUMIFS(Investors!$S:$S,Investors!$I:$I,"&lt;="&amp;'NSST Print'!$B$3,Investors!$J:$J,"",Investors!$A:$A,'Investor Exit List'!$A452,Investors!$E:$E,'Investor Exit List'!$C452,Investors!$L:$L,'Investor Exit List'!$B452))</f>
        <v/>
      </c>
      <c r="R452" s="90">
        <f>IF(AND(H452=TRUE,I452=FALSE),Q452,0)</f>
        <v/>
      </c>
      <c r="S452" s="90">
        <f>SUMIFS(Investors!$M:$M,Investors!$O:$O,TRUE,Investors!$A:$A,'Investor Exit List'!$A452,Investors!$E:$E,'Investor Exit List'!$C452,Investors!$L:$L,'Investor Exit List'!$B452)+SUMIFS(Investors!$S:$S,Investors!$O:$O,TRUE,Investors!$A:$A,'Investor Exit List'!$A452,Investors!$E:$E,'Investor Exit List'!$C452,Investors!$L:$L,'Investor Exit List'!$B452)</f>
        <v/>
      </c>
      <c r="T452" s="91">
        <f>IF(U452=TRUE,$J452,"")</f>
        <v/>
      </c>
      <c r="U452" s="89" t="b">
        <v>0</v>
      </c>
      <c r="V452" s="90">
        <f>IF(AND(H452=TRUE,OR(K452="",K452&gt;M452)),S452,0)</f>
        <v/>
      </c>
      <c r="W452" s="89" t="n">
        <v>0</v>
      </c>
      <c r="X452" s="89" t="b">
        <v>0</v>
      </c>
    </row>
    <row r="453" hidden="1">
      <c r="A453" s="89" t="inlineStr">
        <is>
          <t>ZVAN03</t>
        </is>
      </c>
      <c r="B453" s="89" t="n">
        <v>2</v>
      </c>
      <c r="C453" s="89" t="inlineStr">
        <is>
          <t>HVN101</t>
        </is>
      </c>
      <c r="D453" s="89" t="inlineStr">
        <is>
          <t>N</t>
        </is>
      </c>
      <c r="E453" s="89" t="inlineStr">
        <is>
          <t>van der Westhuizen Johan George</t>
        </is>
      </c>
      <c r="F453" s="90">
        <f>SUMIFS(Investors!$M:$M,Investors!$O:$O,FALSE,Investors!$P:$P,FALSE,Investors!$K:$K,"&gt;"&amp;'NSST Print'!$B$3,Investors!$I:$I,"&lt;="&amp;'NSST Print'!$B$3,Investors!$A:$A,'Investor Exit List'!$A453,Investors!$E:$E,'Investor Exit List'!$C453,Investors!$L:$L,'Investor Exit List'!$B453)-(SUMIFS(Investors!$M:$M,Investors!$I:$I,"&lt;="&amp;'NSST Print'!$B$3,Investors!$J:$J,"&gt;"&amp;'NSST Print'!$B$3,Investors!$A:$A,'Investor Exit List'!$A453,Investors!$E:$E,'Investor Exit List'!$C453,Investors!$L:$L,'Investor Exit List'!$B453)+SUMIFS(Investors!$M:$M,Investors!$I:$I,"&lt;="&amp;'NSST Print'!$B$3,Investors!$J:$J,"",Investors!$A:$A,'Investor Exit List'!$A453,Investors!$E:$E,'Investor Exit List'!$C453,Investors!$L:$L,'Investor Exit List'!$B453))</f>
        <v/>
      </c>
      <c r="G453" s="91" t="n">
        <v>44743</v>
      </c>
      <c r="H453" s="89" t="b">
        <v>1</v>
      </c>
      <c r="I453" s="89" t="b">
        <v>1</v>
      </c>
      <c r="J453" s="91" t="n">
        <v>45310</v>
      </c>
      <c r="K453" s="91">
        <f>IF(I453=TRUE,J453,"")</f>
        <v/>
      </c>
      <c r="L453" s="91">
        <f>G453+730</f>
        <v/>
      </c>
      <c r="M453" s="91" t="n">
        <v>45382</v>
      </c>
      <c r="N453" s="92">
        <f>IFERROR(IF(G453&lt;&gt;"",IF(I453=TRUE,0,IF(U453=TRUE,0,L453-M453)),0),0)</f>
        <v/>
      </c>
      <c r="O453" s="92">
        <f>IF(N453&gt;0,IF(N453&lt;=180,N453,0),0)</f>
        <v/>
      </c>
      <c r="P453" s="90">
        <f>IF(AND(N453&lt;90,N453&gt;0),Q453,0)</f>
        <v/>
      </c>
      <c r="Q453" s="90">
        <f>SUMIFS(Investors!$M:$M,Investors!$O:$O,FALSE,Investors!$P:$P,FALSE,Investors!$K:$K,"&gt;"&amp;'NSST Print'!$B$3,Investors!$I:$I,"&lt;="&amp;'NSST Print'!$B$3,Investors!$A:$A,'Investor Exit List'!$A453,Investors!$E:$E,'Investor Exit List'!$C453,Investors!$L:$L,'Investor Exit List'!$B453)-(SUMIFS(Investors!$M:$M,Investors!$I:$I,"&lt;="&amp;'NSST Print'!$B$3,Investors!$J:$J,"&gt;"&amp;'NSST Print'!$B$3,Investors!$A:$A,'Investor Exit List'!$A453,Investors!$E:$E,'Investor Exit List'!$C453,Investors!$L:$L,'Investor Exit List'!$B453)+SUMIFS(Investors!$M:$M,Investors!$I:$I,"&lt;="&amp;'NSST Print'!$B$3,Investors!$J:$J,"",Investors!$A:$A,'Investor Exit List'!$A453,Investors!$E:$E,'Investor Exit List'!$C453,Investors!$L:$L,'Investor Exit List'!$B453))+SUMIFS(Investors!$S:$S,Investors!$O:$O,FALSE,Investors!$P:$P,FALSE,Investors!$K:$K,"&gt;"&amp;'NSST Print'!$B$3,Investors!$I:$I,"&lt;="&amp;'NSST Print'!$B$3,Investors!$A:$A,'Investor Exit List'!$A453,Investors!$E:$E,'Investor Exit List'!$C453,Investors!$L:$L,'Investor Exit List'!$B453)-(SUMIFS(Investors!$S:$S,Investors!$I:$I,"&lt;="&amp;'NSST Print'!$B$3,Investors!$J:$J,"&gt;"&amp;'NSST Print'!$B$3,Investors!$A:$A,'Investor Exit List'!$A453,Investors!$E:$E,'Investor Exit List'!$C453,Investors!$L:$L,'Investor Exit List'!$B453)+SUMIFS(Investors!$S:$S,Investors!$I:$I,"&lt;="&amp;'NSST Print'!$B$3,Investors!$J:$J,"",Investors!$A:$A,'Investor Exit List'!$A453,Investors!$E:$E,'Investor Exit List'!$C453,Investors!$L:$L,'Investor Exit List'!$B453))</f>
        <v/>
      </c>
      <c r="R453" s="90">
        <f>IF(AND(H453=TRUE,I453=FALSE),Q453,0)</f>
        <v/>
      </c>
      <c r="S453" s="90">
        <f>SUMIFS(Investors!$M:$M,Investors!$O:$O,TRUE,Investors!$A:$A,'Investor Exit List'!$A453,Investors!$E:$E,'Investor Exit List'!$C453,Investors!$L:$L,'Investor Exit List'!$B453)+SUMIFS(Investors!$S:$S,Investors!$O:$O,TRUE,Investors!$A:$A,'Investor Exit List'!$A453,Investors!$E:$E,'Investor Exit List'!$C453,Investors!$L:$L,'Investor Exit List'!$B453)</f>
        <v/>
      </c>
      <c r="T453" s="91">
        <f>IF(U453=TRUE,$J453,"")</f>
        <v/>
      </c>
      <c r="U453" s="89" t="b">
        <v>0</v>
      </c>
      <c r="V453" s="90">
        <f>IF(AND(H453=TRUE,OR(K453="",K453&gt;M453)),S453,0)</f>
        <v/>
      </c>
      <c r="W453" s="89" t="n">
        <v>0</v>
      </c>
      <c r="X453" s="89" t="b">
        <v>0</v>
      </c>
    </row>
    <row r="454" hidden="1">
      <c r="A454" s="89" t="inlineStr">
        <is>
          <t>ZZYL01</t>
        </is>
      </c>
      <c r="B454" s="89" t="n">
        <v>4</v>
      </c>
      <c r="C454" s="89" t="inlineStr">
        <is>
          <t>HVN101</t>
        </is>
      </c>
      <c r="D454" s="89" t="inlineStr">
        <is>
          <t>N</t>
        </is>
      </c>
      <c r="E454" s="89" t="inlineStr">
        <is>
          <t>Zylstra John Robert</t>
        </is>
      </c>
      <c r="F454" s="90">
        <f>SUMIFS(Investors!$M:$M,Investors!$O:$O,FALSE,Investors!$P:$P,FALSE,Investors!$K:$K,"&gt;"&amp;'NSST Print'!$B$3,Investors!$I:$I,"&lt;="&amp;'NSST Print'!$B$3,Investors!$A:$A,'Investor Exit List'!$A454,Investors!$E:$E,'Investor Exit List'!$C454,Investors!$L:$L,'Investor Exit List'!$B454)-(SUMIFS(Investors!$M:$M,Investors!$I:$I,"&lt;="&amp;'NSST Print'!$B$3,Investors!$J:$J,"&gt;"&amp;'NSST Print'!$B$3,Investors!$A:$A,'Investor Exit List'!$A454,Investors!$E:$E,'Investor Exit List'!$C454,Investors!$L:$L,'Investor Exit List'!$B454)+SUMIFS(Investors!$M:$M,Investors!$I:$I,"&lt;="&amp;'NSST Print'!$B$3,Investors!$J:$J,"",Investors!$A:$A,'Investor Exit List'!$A454,Investors!$E:$E,'Investor Exit List'!$C454,Investors!$L:$L,'Investor Exit List'!$B454))</f>
        <v/>
      </c>
      <c r="G454" s="91" t="n">
        <v>44763</v>
      </c>
      <c r="H454" s="89" t="b">
        <v>1</v>
      </c>
      <c r="I454" s="89" t="b">
        <v>1</v>
      </c>
      <c r="J454" s="91" t="n">
        <v>45310</v>
      </c>
      <c r="K454" s="91">
        <f>IF(I454=TRUE,J454,"")</f>
        <v/>
      </c>
      <c r="L454" s="91">
        <f>G454+730</f>
        <v/>
      </c>
      <c r="M454" s="91" t="n">
        <v>45382</v>
      </c>
      <c r="N454" s="92">
        <f>IFERROR(IF(G454&lt;&gt;"",IF(I454=TRUE,0,IF(U454=TRUE,0,L454-M454)),0),0)</f>
        <v/>
      </c>
      <c r="O454" s="92">
        <f>IF(N454&gt;0,IF(N454&lt;=180,N454,0),0)</f>
        <v/>
      </c>
      <c r="P454" s="90">
        <f>IF(AND(N454&lt;90,N454&gt;0),Q454,0)</f>
        <v/>
      </c>
      <c r="Q454" s="90">
        <f>SUMIFS(Investors!$M:$M,Investors!$O:$O,FALSE,Investors!$P:$P,FALSE,Investors!$K:$K,"&gt;"&amp;'NSST Print'!$B$3,Investors!$I:$I,"&lt;="&amp;'NSST Print'!$B$3,Investors!$A:$A,'Investor Exit List'!$A454,Investors!$E:$E,'Investor Exit List'!$C454,Investors!$L:$L,'Investor Exit List'!$B454)-(SUMIFS(Investors!$M:$M,Investors!$I:$I,"&lt;="&amp;'NSST Print'!$B$3,Investors!$J:$J,"&gt;"&amp;'NSST Print'!$B$3,Investors!$A:$A,'Investor Exit List'!$A454,Investors!$E:$E,'Investor Exit List'!$C454,Investors!$L:$L,'Investor Exit List'!$B454)+SUMIFS(Investors!$M:$M,Investors!$I:$I,"&lt;="&amp;'NSST Print'!$B$3,Investors!$J:$J,"",Investors!$A:$A,'Investor Exit List'!$A454,Investors!$E:$E,'Investor Exit List'!$C454,Investors!$L:$L,'Investor Exit List'!$B454))+SUMIFS(Investors!$S:$S,Investors!$O:$O,FALSE,Investors!$P:$P,FALSE,Investors!$K:$K,"&gt;"&amp;'NSST Print'!$B$3,Investors!$I:$I,"&lt;="&amp;'NSST Print'!$B$3,Investors!$A:$A,'Investor Exit List'!$A454,Investors!$E:$E,'Investor Exit List'!$C454,Investors!$L:$L,'Investor Exit List'!$B454)-(SUMIFS(Investors!$S:$S,Investors!$I:$I,"&lt;="&amp;'NSST Print'!$B$3,Investors!$J:$J,"&gt;"&amp;'NSST Print'!$B$3,Investors!$A:$A,'Investor Exit List'!$A454,Investors!$E:$E,'Investor Exit List'!$C454,Investors!$L:$L,'Investor Exit List'!$B454)+SUMIFS(Investors!$S:$S,Investors!$I:$I,"&lt;="&amp;'NSST Print'!$B$3,Investors!$J:$J,"",Investors!$A:$A,'Investor Exit List'!$A454,Investors!$E:$E,'Investor Exit List'!$C454,Investors!$L:$L,'Investor Exit List'!$B454))</f>
        <v/>
      </c>
      <c r="R454" s="90">
        <f>IF(AND(H454=TRUE,I454=FALSE),Q454,0)</f>
        <v/>
      </c>
      <c r="S454" s="90">
        <f>SUMIFS(Investors!$M:$M,Investors!$O:$O,TRUE,Investors!$A:$A,'Investor Exit List'!$A454,Investors!$E:$E,'Investor Exit List'!$C454,Investors!$L:$L,'Investor Exit List'!$B454)+SUMIFS(Investors!$S:$S,Investors!$O:$O,TRUE,Investors!$A:$A,'Investor Exit List'!$A454,Investors!$E:$E,'Investor Exit List'!$C454,Investors!$L:$L,'Investor Exit List'!$B454)</f>
        <v/>
      </c>
      <c r="T454" s="91">
        <f>IF(U454=TRUE,$J454,"")</f>
        <v/>
      </c>
      <c r="U454" s="89" t="b">
        <v>0</v>
      </c>
      <c r="V454" s="90">
        <f>IF(AND(H454=TRUE,OR(K454="",K454&gt;M454)),S454,0)</f>
        <v/>
      </c>
      <c r="W454" s="89" t="n">
        <v>0</v>
      </c>
      <c r="X454" s="89" t="b">
        <v>0</v>
      </c>
    </row>
    <row r="455">
      <c r="A455" s="97" t="inlineStr">
        <is>
          <t>ZZYL01</t>
        </is>
      </c>
      <c r="B455" s="97" t="n">
        <v>5</v>
      </c>
      <c r="C455" s="97" t="inlineStr">
        <is>
          <t>HVN102</t>
        </is>
      </c>
      <c r="D455" s="97" t="inlineStr">
        <is>
          <t>N</t>
        </is>
      </c>
      <c r="E455" s="97" t="inlineStr">
        <is>
          <t>Zylstra John Robert</t>
        </is>
      </c>
      <c r="F455" s="98">
        <f>SUMIFS(Investors!$M:$M,Investors!$O:$O,FALSE,Investors!$P:$P,FALSE,Investors!$K:$K,"&gt;"&amp;'NSST Print'!$B$3,Investors!$I:$I,"&lt;="&amp;'NSST Print'!$B$3,Investors!$A:$A,'Investor Exit List'!$A455,Investors!$E:$E,'Investor Exit List'!$C455,Investors!$L:$L,'Investor Exit List'!$B455)-(SUMIFS(Investors!$M:$M,Investors!$I:$I,"&lt;="&amp;'NSST Print'!$B$3,Investors!$J:$J,"&gt;"&amp;'NSST Print'!$B$3,Investors!$A:$A,'Investor Exit List'!$A455,Investors!$E:$E,'Investor Exit List'!$C455,Investors!$L:$L,'Investor Exit List'!$B455)+SUMIFS(Investors!$M:$M,Investors!$I:$I,"&lt;="&amp;'NSST Print'!$B$3,Investors!$J:$J,"",Investors!$A:$A,'Investor Exit List'!$A455,Investors!$E:$E,'Investor Exit List'!$C455,Investors!$L:$L,'Investor Exit List'!$B455))</f>
        <v/>
      </c>
      <c r="G455" s="99" t="n">
        <v>44770</v>
      </c>
      <c r="H455" s="97" t="b">
        <v>1</v>
      </c>
      <c r="I455" s="97" t="b">
        <v>0</v>
      </c>
      <c r="J455" s="99" t="n">
        <v>45428</v>
      </c>
      <c r="K455" s="99">
        <f>IF(I455=TRUE,J455,"")</f>
        <v/>
      </c>
      <c r="L455" s="99">
        <f>G455+730</f>
        <v/>
      </c>
      <c r="M455" s="99" t="n">
        <v>45382</v>
      </c>
      <c r="N455" s="100">
        <f>IFERROR(IF(G455&lt;&gt;"",IF(I455=TRUE,0,IF(U455=TRUE,0,L455-M455)),0),0)</f>
        <v/>
      </c>
      <c r="O455" s="100">
        <f>IF(N455&gt;0,IF(N455&lt;=180,N455,0),0)</f>
        <v/>
      </c>
      <c r="P455" s="98">
        <f>IF(AND(N455&lt;90,N455&gt;0),Q455,0)</f>
        <v/>
      </c>
      <c r="Q455" s="98">
        <f>SUMIFS(Investors!$M:$M,Investors!$O:$O,FALSE,Investors!$P:$P,FALSE,Investors!$K:$K,"&gt;"&amp;'NSST Print'!$B$3,Investors!$I:$I,"&lt;="&amp;'NSST Print'!$B$3,Investors!$A:$A,'Investor Exit List'!$A455,Investors!$E:$E,'Investor Exit List'!$C455,Investors!$L:$L,'Investor Exit List'!$B455)-(SUMIFS(Investors!$M:$M,Investors!$I:$I,"&lt;="&amp;'NSST Print'!$B$3,Investors!$J:$J,"&gt;"&amp;'NSST Print'!$B$3,Investors!$A:$A,'Investor Exit List'!$A455,Investors!$E:$E,'Investor Exit List'!$C455,Investors!$L:$L,'Investor Exit List'!$B455)+SUMIFS(Investors!$M:$M,Investors!$I:$I,"&lt;="&amp;'NSST Print'!$B$3,Investors!$J:$J,"",Investors!$A:$A,'Investor Exit List'!$A455,Investors!$E:$E,'Investor Exit List'!$C455,Investors!$L:$L,'Investor Exit List'!$B455))+SUMIFS(Investors!$S:$S,Investors!$O:$O,FALSE,Investors!$P:$P,FALSE,Investors!$K:$K,"&gt;"&amp;'NSST Print'!$B$3,Investors!$I:$I,"&lt;="&amp;'NSST Print'!$B$3,Investors!$A:$A,'Investor Exit List'!$A455,Investors!$E:$E,'Investor Exit List'!$C455,Investors!$L:$L,'Investor Exit List'!$B455)-(SUMIFS(Investors!$S:$S,Investors!$I:$I,"&lt;="&amp;'NSST Print'!$B$3,Investors!$J:$J,"&gt;"&amp;'NSST Print'!$B$3,Investors!$A:$A,'Investor Exit List'!$A455,Investors!$E:$E,'Investor Exit List'!$C455,Investors!$L:$L,'Investor Exit List'!$B455)+SUMIFS(Investors!$S:$S,Investors!$I:$I,"&lt;="&amp;'NSST Print'!$B$3,Investors!$J:$J,"",Investors!$A:$A,'Investor Exit List'!$A455,Investors!$E:$E,'Investor Exit List'!$C455,Investors!$L:$L,'Investor Exit List'!$B455))</f>
        <v/>
      </c>
      <c r="R455" s="98">
        <f>IF(AND(H455=TRUE,I455=FALSE),Q455,0)</f>
        <v/>
      </c>
      <c r="S455" s="98">
        <f>SUMIFS(Investors!$M:$M,Investors!$O:$O,TRUE,Investors!$A:$A,'Investor Exit List'!$A455,Investors!$E:$E,'Investor Exit List'!$C455,Investors!$L:$L,'Investor Exit List'!$B455)+SUMIFS(Investors!$S:$S,Investors!$O:$O,TRUE,Investors!$A:$A,'Investor Exit List'!$A455,Investors!$E:$E,'Investor Exit List'!$C455,Investors!$L:$L,'Investor Exit List'!$B455)</f>
        <v/>
      </c>
      <c r="T455" s="99">
        <f>IF(U455=TRUE,$J455,"")</f>
        <v/>
      </c>
      <c r="U455" s="97" t="b">
        <v>0</v>
      </c>
      <c r="V455" s="98">
        <f>IF(AND(H455=TRUE,OR(K455="",K455&gt;M455)),S455,0)</f>
        <v/>
      </c>
      <c r="W455" s="97" t="n">
        <v>0</v>
      </c>
      <c r="X455" s="97" t="b">
        <v>0</v>
      </c>
    </row>
    <row r="456" hidden="1">
      <c r="A456" s="89" t="inlineStr">
        <is>
          <t>ZLER01</t>
        </is>
      </c>
      <c r="B456" s="89" t="n">
        <v>1</v>
      </c>
      <c r="C456" s="89" t="inlineStr">
        <is>
          <t>HVN103</t>
        </is>
      </c>
      <c r="D456" s="89" t="inlineStr">
        <is>
          <t>N</t>
        </is>
      </c>
      <c r="E456" s="89" t="inlineStr">
        <is>
          <t>Kloppers Lydia</t>
        </is>
      </c>
      <c r="F456" s="90">
        <f>SUMIFS(Investors!$M:$M,Investors!$O:$O,FALSE,Investors!$P:$P,FALSE,Investors!$K:$K,"&gt;"&amp;'NSST Print'!$B$3,Investors!$I:$I,"&lt;="&amp;'NSST Print'!$B$3,Investors!$A:$A,'Investor Exit List'!$A456,Investors!$E:$E,'Investor Exit List'!$C456,Investors!$L:$L,'Investor Exit List'!$B456)-(SUMIFS(Investors!$M:$M,Investors!$I:$I,"&lt;="&amp;'NSST Print'!$B$3,Investors!$J:$J,"&gt;"&amp;'NSST Print'!$B$3,Investors!$A:$A,'Investor Exit List'!$A456,Investors!$E:$E,'Investor Exit List'!$C456,Investors!$L:$L,'Investor Exit List'!$B456)+SUMIFS(Investors!$M:$M,Investors!$I:$I,"&lt;="&amp;'NSST Print'!$B$3,Investors!$J:$J,"",Investors!$A:$A,'Investor Exit List'!$A456,Investors!$E:$E,'Investor Exit List'!$C456,Investors!$L:$L,'Investor Exit List'!$B456))</f>
        <v/>
      </c>
      <c r="G456" s="91" t="n">
        <v>44763</v>
      </c>
      <c r="H456" s="89" t="b">
        <v>1</v>
      </c>
      <c r="I456" s="89" t="b">
        <v>1</v>
      </c>
      <c r="J456" s="91" t="n">
        <v>45308</v>
      </c>
      <c r="K456" s="91">
        <f>IF(I456=TRUE,J456,"")</f>
        <v/>
      </c>
      <c r="L456" s="91">
        <f>G456+730</f>
        <v/>
      </c>
      <c r="M456" s="91" t="n">
        <v>45382</v>
      </c>
      <c r="N456" s="92">
        <f>IFERROR(IF(G456&lt;&gt;"",IF(I456=TRUE,0,IF(U456=TRUE,0,L456-M456)),0),0)</f>
        <v/>
      </c>
      <c r="O456" s="92">
        <f>IF(N456&gt;0,IF(N456&lt;=180,N456,0),0)</f>
        <v/>
      </c>
      <c r="P456" s="90">
        <f>IF(AND(N456&lt;90,N456&gt;0),Q456,0)</f>
        <v/>
      </c>
      <c r="Q456" s="90">
        <f>SUMIFS(Investors!$M:$M,Investors!$O:$O,FALSE,Investors!$P:$P,FALSE,Investors!$K:$K,"&gt;"&amp;'NSST Print'!$B$3,Investors!$I:$I,"&lt;="&amp;'NSST Print'!$B$3,Investors!$A:$A,'Investor Exit List'!$A456,Investors!$E:$E,'Investor Exit List'!$C456,Investors!$L:$L,'Investor Exit List'!$B456)-(SUMIFS(Investors!$M:$M,Investors!$I:$I,"&lt;="&amp;'NSST Print'!$B$3,Investors!$J:$J,"&gt;"&amp;'NSST Print'!$B$3,Investors!$A:$A,'Investor Exit List'!$A456,Investors!$E:$E,'Investor Exit List'!$C456,Investors!$L:$L,'Investor Exit List'!$B456)+SUMIFS(Investors!$M:$M,Investors!$I:$I,"&lt;="&amp;'NSST Print'!$B$3,Investors!$J:$J,"",Investors!$A:$A,'Investor Exit List'!$A456,Investors!$E:$E,'Investor Exit List'!$C456,Investors!$L:$L,'Investor Exit List'!$B456))+SUMIFS(Investors!$S:$S,Investors!$O:$O,FALSE,Investors!$P:$P,FALSE,Investors!$K:$K,"&gt;"&amp;'NSST Print'!$B$3,Investors!$I:$I,"&lt;="&amp;'NSST Print'!$B$3,Investors!$A:$A,'Investor Exit List'!$A456,Investors!$E:$E,'Investor Exit List'!$C456,Investors!$L:$L,'Investor Exit List'!$B456)-(SUMIFS(Investors!$S:$S,Investors!$I:$I,"&lt;="&amp;'NSST Print'!$B$3,Investors!$J:$J,"&gt;"&amp;'NSST Print'!$B$3,Investors!$A:$A,'Investor Exit List'!$A456,Investors!$E:$E,'Investor Exit List'!$C456,Investors!$L:$L,'Investor Exit List'!$B456)+SUMIFS(Investors!$S:$S,Investors!$I:$I,"&lt;="&amp;'NSST Print'!$B$3,Investors!$J:$J,"",Investors!$A:$A,'Investor Exit List'!$A456,Investors!$E:$E,'Investor Exit List'!$C456,Investors!$L:$L,'Investor Exit List'!$B456))</f>
        <v/>
      </c>
      <c r="R456" s="90">
        <f>IF(AND(H456=TRUE,I456=FALSE),Q456,0)</f>
        <v/>
      </c>
      <c r="S456" s="90">
        <f>SUMIFS(Investors!$M:$M,Investors!$O:$O,TRUE,Investors!$A:$A,'Investor Exit List'!$A456,Investors!$E:$E,'Investor Exit List'!$C456,Investors!$L:$L,'Investor Exit List'!$B456)+SUMIFS(Investors!$S:$S,Investors!$O:$O,TRUE,Investors!$A:$A,'Investor Exit List'!$A456,Investors!$E:$E,'Investor Exit List'!$C456,Investors!$L:$L,'Investor Exit List'!$B456)</f>
        <v/>
      </c>
      <c r="T456" s="91">
        <f>IF(U456=TRUE,$J456,"")</f>
        <v/>
      </c>
      <c r="U456" s="89" t="b">
        <v>0</v>
      </c>
      <c r="V456" s="90">
        <f>IF(AND(H456=TRUE,OR(K456="",K456&gt;M456)),S456,0)</f>
        <v/>
      </c>
      <c r="W456" s="89" t="n">
        <v>0</v>
      </c>
      <c r="X456" s="89" t="b">
        <v>0</v>
      </c>
    </row>
    <row r="457" hidden="1">
      <c r="A457" s="89" t="inlineStr">
        <is>
          <t>ZWAT01</t>
        </is>
      </c>
      <c r="B457" s="89" t="n">
        <v>12</v>
      </c>
      <c r="C457" s="89" t="inlineStr">
        <is>
          <t>HVN103</t>
        </is>
      </c>
      <c r="D457" s="89" t="inlineStr">
        <is>
          <t>N</t>
        </is>
      </c>
      <c r="E457" s="89" t="inlineStr">
        <is>
          <t>Watts Peter Gregory</t>
        </is>
      </c>
      <c r="F457" s="90">
        <f>SUMIFS(Investors!$M:$M,Investors!$O:$O,FALSE,Investors!$P:$P,FALSE,Investors!$K:$K,"&gt;"&amp;'NSST Print'!$B$3,Investors!$I:$I,"&lt;="&amp;'NSST Print'!$B$3,Investors!$A:$A,'Investor Exit List'!$A457,Investors!$E:$E,'Investor Exit List'!$C457,Investors!$L:$L,'Investor Exit List'!$B457)-(SUMIFS(Investors!$M:$M,Investors!$I:$I,"&lt;="&amp;'NSST Print'!$B$3,Investors!$J:$J,"&gt;"&amp;'NSST Print'!$B$3,Investors!$A:$A,'Investor Exit List'!$A457,Investors!$E:$E,'Investor Exit List'!$C457,Investors!$L:$L,'Investor Exit List'!$B457)+SUMIFS(Investors!$M:$M,Investors!$I:$I,"&lt;="&amp;'NSST Print'!$B$3,Investors!$J:$J,"",Investors!$A:$A,'Investor Exit List'!$A457,Investors!$E:$E,'Investor Exit List'!$C457,Investors!$L:$L,'Investor Exit List'!$B457))</f>
        <v/>
      </c>
      <c r="G457" s="91" t="n">
        <v>44743</v>
      </c>
      <c r="H457" s="89" t="b">
        <v>1</v>
      </c>
      <c r="I457" s="89" t="b">
        <v>1</v>
      </c>
      <c r="J457" s="91" t="n">
        <v>45272</v>
      </c>
      <c r="K457" s="91">
        <f>IF(I457=TRUE,J457,"")</f>
        <v/>
      </c>
      <c r="L457" s="91">
        <f>G457+730</f>
        <v/>
      </c>
      <c r="M457" s="91" t="n">
        <v>45382</v>
      </c>
      <c r="N457" s="92">
        <f>IFERROR(IF(G457&lt;&gt;"",IF(I457=TRUE,0,IF(U457=TRUE,0,L457-M457)),0),0)</f>
        <v/>
      </c>
      <c r="O457" s="92">
        <f>IF(N457&gt;0,IF(N457&lt;=180,N457,0),0)</f>
        <v/>
      </c>
      <c r="P457" s="90">
        <f>IF(AND(N457&lt;90,N457&gt;0),Q457,0)</f>
        <v/>
      </c>
      <c r="Q457" s="90">
        <f>SUMIFS(Investors!$M:$M,Investors!$O:$O,FALSE,Investors!$P:$P,FALSE,Investors!$K:$K,"&gt;"&amp;'NSST Print'!$B$3,Investors!$I:$I,"&lt;="&amp;'NSST Print'!$B$3,Investors!$A:$A,'Investor Exit List'!$A457,Investors!$E:$E,'Investor Exit List'!$C457,Investors!$L:$L,'Investor Exit List'!$B457)-(SUMIFS(Investors!$M:$M,Investors!$I:$I,"&lt;="&amp;'NSST Print'!$B$3,Investors!$J:$J,"&gt;"&amp;'NSST Print'!$B$3,Investors!$A:$A,'Investor Exit List'!$A457,Investors!$E:$E,'Investor Exit List'!$C457,Investors!$L:$L,'Investor Exit List'!$B457)+SUMIFS(Investors!$M:$M,Investors!$I:$I,"&lt;="&amp;'NSST Print'!$B$3,Investors!$J:$J,"",Investors!$A:$A,'Investor Exit List'!$A457,Investors!$E:$E,'Investor Exit List'!$C457,Investors!$L:$L,'Investor Exit List'!$B457))+SUMIFS(Investors!$S:$S,Investors!$O:$O,FALSE,Investors!$P:$P,FALSE,Investors!$K:$K,"&gt;"&amp;'NSST Print'!$B$3,Investors!$I:$I,"&lt;="&amp;'NSST Print'!$B$3,Investors!$A:$A,'Investor Exit List'!$A457,Investors!$E:$E,'Investor Exit List'!$C457,Investors!$L:$L,'Investor Exit List'!$B457)-(SUMIFS(Investors!$S:$S,Investors!$I:$I,"&lt;="&amp;'NSST Print'!$B$3,Investors!$J:$J,"&gt;"&amp;'NSST Print'!$B$3,Investors!$A:$A,'Investor Exit List'!$A457,Investors!$E:$E,'Investor Exit List'!$C457,Investors!$L:$L,'Investor Exit List'!$B457)+SUMIFS(Investors!$S:$S,Investors!$I:$I,"&lt;="&amp;'NSST Print'!$B$3,Investors!$J:$J,"",Investors!$A:$A,'Investor Exit List'!$A457,Investors!$E:$E,'Investor Exit List'!$C457,Investors!$L:$L,'Investor Exit List'!$B457))</f>
        <v/>
      </c>
      <c r="R457" s="90">
        <f>IF(AND(H457=TRUE,I457=FALSE),Q457,0)</f>
        <v/>
      </c>
      <c r="S457" s="90">
        <f>SUMIFS(Investors!$M:$M,Investors!$O:$O,TRUE,Investors!$A:$A,'Investor Exit List'!$A457,Investors!$E:$E,'Investor Exit List'!$C457,Investors!$L:$L,'Investor Exit List'!$B457)+SUMIFS(Investors!$S:$S,Investors!$O:$O,TRUE,Investors!$A:$A,'Investor Exit List'!$A457,Investors!$E:$E,'Investor Exit List'!$C457,Investors!$L:$L,'Investor Exit List'!$B457)</f>
        <v/>
      </c>
      <c r="T457" s="91">
        <f>IF(U457=TRUE,$J457,"")</f>
        <v/>
      </c>
      <c r="U457" s="89" t="b">
        <v>1</v>
      </c>
      <c r="V457" s="90">
        <f>IF(AND(H457=TRUE,OR(K457="",K457&gt;M457)),S457,0)</f>
        <v/>
      </c>
      <c r="W457" s="89" t="n">
        <v>0</v>
      </c>
      <c r="X457" s="89" t="b">
        <v>0</v>
      </c>
    </row>
    <row r="458" hidden="1">
      <c r="A458" s="89" t="inlineStr">
        <is>
          <t>ZDEL01</t>
        </is>
      </c>
      <c r="B458" s="89" t="n">
        <v>4</v>
      </c>
      <c r="C458" s="89" t="inlineStr">
        <is>
          <t>HVN104</t>
        </is>
      </c>
      <c r="D458" s="89" t="inlineStr">
        <is>
          <t>N</t>
        </is>
      </c>
      <c r="E458" s="89" t="inlineStr">
        <is>
          <t>Jansen van Vuuren Pieter</t>
        </is>
      </c>
      <c r="F458" s="90">
        <f>SUMIFS(Investors!$M:$M,Investors!$O:$O,FALSE,Investors!$P:$P,FALSE,Investors!$K:$K,"&gt;"&amp;'NSST Print'!$B$3,Investors!$I:$I,"&lt;="&amp;'NSST Print'!$B$3,Investors!$A:$A,'Investor Exit List'!$A458,Investors!$E:$E,'Investor Exit List'!$C458,Investors!$L:$L,'Investor Exit List'!$B458)-(SUMIFS(Investors!$M:$M,Investors!$I:$I,"&lt;="&amp;'NSST Print'!$B$3,Investors!$J:$J,"&gt;"&amp;'NSST Print'!$B$3,Investors!$A:$A,'Investor Exit List'!$A458,Investors!$E:$E,'Investor Exit List'!$C458,Investors!$L:$L,'Investor Exit List'!$B458)+SUMIFS(Investors!$M:$M,Investors!$I:$I,"&lt;="&amp;'NSST Print'!$B$3,Investors!$J:$J,"",Investors!$A:$A,'Investor Exit List'!$A458,Investors!$E:$E,'Investor Exit List'!$C458,Investors!$L:$L,'Investor Exit List'!$B458))</f>
        <v/>
      </c>
      <c r="G458" s="91" t="n">
        <v>44743</v>
      </c>
      <c r="H458" s="89" t="b">
        <v>1</v>
      </c>
      <c r="I458" s="89" t="b">
        <v>1</v>
      </c>
      <c r="J458" s="91" t="n">
        <v>45369</v>
      </c>
      <c r="K458" s="91">
        <f>IF(I458=TRUE,J458,"")</f>
        <v/>
      </c>
      <c r="L458" s="91">
        <f>G458+730</f>
        <v/>
      </c>
      <c r="M458" s="91" t="n">
        <v>45382</v>
      </c>
      <c r="N458" s="92">
        <f>IFERROR(IF(G458&lt;&gt;"",IF(I458=TRUE,0,IF(U458=TRUE,0,L458-M458)),0),0)</f>
        <v/>
      </c>
      <c r="O458" s="92">
        <f>IF(N458&gt;0,IF(N458&lt;=180,N458,0),0)</f>
        <v/>
      </c>
      <c r="P458" s="90">
        <f>IF(AND(N458&lt;90,N458&gt;0),Q458,0)</f>
        <v/>
      </c>
      <c r="Q458" s="90">
        <f>SUMIFS(Investors!$M:$M,Investors!$O:$O,FALSE,Investors!$P:$P,FALSE,Investors!$K:$K,"&gt;"&amp;'NSST Print'!$B$3,Investors!$I:$I,"&lt;="&amp;'NSST Print'!$B$3,Investors!$A:$A,'Investor Exit List'!$A458,Investors!$E:$E,'Investor Exit List'!$C458,Investors!$L:$L,'Investor Exit List'!$B458)-(SUMIFS(Investors!$M:$M,Investors!$I:$I,"&lt;="&amp;'NSST Print'!$B$3,Investors!$J:$J,"&gt;"&amp;'NSST Print'!$B$3,Investors!$A:$A,'Investor Exit List'!$A458,Investors!$E:$E,'Investor Exit List'!$C458,Investors!$L:$L,'Investor Exit List'!$B458)+SUMIFS(Investors!$M:$M,Investors!$I:$I,"&lt;="&amp;'NSST Print'!$B$3,Investors!$J:$J,"",Investors!$A:$A,'Investor Exit List'!$A458,Investors!$E:$E,'Investor Exit List'!$C458,Investors!$L:$L,'Investor Exit List'!$B458))+SUMIFS(Investors!$S:$S,Investors!$O:$O,FALSE,Investors!$P:$P,FALSE,Investors!$K:$K,"&gt;"&amp;'NSST Print'!$B$3,Investors!$I:$I,"&lt;="&amp;'NSST Print'!$B$3,Investors!$A:$A,'Investor Exit List'!$A458,Investors!$E:$E,'Investor Exit List'!$C458,Investors!$L:$L,'Investor Exit List'!$B458)-(SUMIFS(Investors!$S:$S,Investors!$I:$I,"&lt;="&amp;'NSST Print'!$B$3,Investors!$J:$J,"&gt;"&amp;'NSST Print'!$B$3,Investors!$A:$A,'Investor Exit List'!$A458,Investors!$E:$E,'Investor Exit List'!$C458,Investors!$L:$L,'Investor Exit List'!$B458)+SUMIFS(Investors!$S:$S,Investors!$I:$I,"&lt;="&amp;'NSST Print'!$B$3,Investors!$J:$J,"",Investors!$A:$A,'Investor Exit List'!$A458,Investors!$E:$E,'Investor Exit List'!$C458,Investors!$L:$L,'Investor Exit List'!$B458))</f>
        <v/>
      </c>
      <c r="R458" s="90">
        <f>IF(AND(H458=TRUE,I458=FALSE),Q458,0)</f>
        <v/>
      </c>
      <c r="S458" s="90">
        <f>SUMIFS(Investors!$M:$M,Investors!$O:$O,TRUE,Investors!$A:$A,'Investor Exit List'!$A458,Investors!$E:$E,'Investor Exit List'!$C458,Investors!$L:$L,'Investor Exit List'!$B458)+SUMIFS(Investors!$S:$S,Investors!$O:$O,TRUE,Investors!$A:$A,'Investor Exit List'!$A458,Investors!$E:$E,'Investor Exit List'!$C458,Investors!$L:$L,'Investor Exit List'!$B458)</f>
        <v/>
      </c>
      <c r="T458" s="91">
        <f>IF(U458=TRUE,$J458,"")</f>
        <v/>
      </c>
      <c r="U458" s="89" t="b">
        <v>0</v>
      </c>
      <c r="V458" s="90">
        <f>IF(AND(H458=TRUE,OR(K458="",K458&gt;M458)),S458,0)</f>
        <v/>
      </c>
      <c r="W458" s="89" t="n">
        <v>0</v>
      </c>
      <c r="X458" s="89" t="b">
        <v>0</v>
      </c>
    </row>
    <row r="459" hidden="1">
      <c r="A459" s="89" t="inlineStr">
        <is>
          <t>ZLEB01</t>
        </is>
      </c>
      <c r="B459" s="89" t="n">
        <v>12</v>
      </c>
      <c r="C459" s="89" t="inlineStr">
        <is>
          <t>HVN104</t>
        </is>
      </c>
      <c r="D459" s="89" t="inlineStr">
        <is>
          <t>N</t>
        </is>
      </c>
      <c r="E459" s="89" t="inlineStr">
        <is>
          <t>Lebusa Hopolang</t>
        </is>
      </c>
      <c r="F459" s="90">
        <f>SUMIFS(Investors!$M:$M,Investors!$O:$O,FALSE,Investors!$P:$P,FALSE,Investors!$K:$K,"&gt;"&amp;'NSST Print'!$B$3,Investors!$I:$I,"&lt;="&amp;'NSST Print'!$B$3,Investors!$A:$A,'Investor Exit List'!$A459,Investors!$E:$E,'Investor Exit List'!$C459,Investors!$L:$L,'Investor Exit List'!$B459)-(SUMIFS(Investors!$M:$M,Investors!$I:$I,"&lt;="&amp;'NSST Print'!$B$3,Investors!$J:$J,"&gt;"&amp;'NSST Print'!$B$3,Investors!$A:$A,'Investor Exit List'!$A459,Investors!$E:$E,'Investor Exit List'!$C459,Investors!$L:$L,'Investor Exit List'!$B459)+SUMIFS(Investors!$M:$M,Investors!$I:$I,"&lt;="&amp;'NSST Print'!$B$3,Investors!$J:$J,"",Investors!$A:$A,'Investor Exit List'!$A459,Investors!$E:$E,'Investor Exit List'!$C459,Investors!$L:$L,'Investor Exit List'!$B459))</f>
        <v/>
      </c>
      <c r="G459" s="91" t="n">
        <v>44743</v>
      </c>
      <c r="H459" s="89" t="b">
        <v>1</v>
      </c>
      <c r="I459" s="89" t="b">
        <v>1</v>
      </c>
      <c r="J459" s="91" t="n">
        <v>45369</v>
      </c>
      <c r="K459" s="91">
        <f>IF(I459=TRUE,J459,"")</f>
        <v/>
      </c>
      <c r="L459" s="91">
        <f>G459+730</f>
        <v/>
      </c>
      <c r="M459" s="91" t="n">
        <v>45382</v>
      </c>
      <c r="N459" s="92">
        <f>IFERROR(IF(G459&lt;&gt;"",IF(I459=TRUE,0,IF(U459=TRUE,0,L459-M459)),0),0)</f>
        <v/>
      </c>
      <c r="O459" s="92">
        <f>IF(N459&gt;0,IF(N459&lt;=180,N459,0),0)</f>
        <v/>
      </c>
      <c r="P459" s="90">
        <f>IF(AND(N459&lt;90,N459&gt;0),Q459,0)</f>
        <v/>
      </c>
      <c r="Q459" s="90">
        <f>SUMIFS(Investors!$M:$M,Investors!$O:$O,FALSE,Investors!$P:$P,FALSE,Investors!$K:$K,"&gt;"&amp;'NSST Print'!$B$3,Investors!$I:$I,"&lt;="&amp;'NSST Print'!$B$3,Investors!$A:$A,'Investor Exit List'!$A459,Investors!$E:$E,'Investor Exit List'!$C459,Investors!$L:$L,'Investor Exit List'!$B459)-(SUMIFS(Investors!$M:$M,Investors!$I:$I,"&lt;="&amp;'NSST Print'!$B$3,Investors!$J:$J,"&gt;"&amp;'NSST Print'!$B$3,Investors!$A:$A,'Investor Exit List'!$A459,Investors!$E:$E,'Investor Exit List'!$C459,Investors!$L:$L,'Investor Exit List'!$B459)+SUMIFS(Investors!$M:$M,Investors!$I:$I,"&lt;="&amp;'NSST Print'!$B$3,Investors!$J:$J,"",Investors!$A:$A,'Investor Exit List'!$A459,Investors!$E:$E,'Investor Exit List'!$C459,Investors!$L:$L,'Investor Exit List'!$B459))+SUMIFS(Investors!$S:$S,Investors!$O:$O,FALSE,Investors!$P:$P,FALSE,Investors!$K:$K,"&gt;"&amp;'NSST Print'!$B$3,Investors!$I:$I,"&lt;="&amp;'NSST Print'!$B$3,Investors!$A:$A,'Investor Exit List'!$A459,Investors!$E:$E,'Investor Exit List'!$C459,Investors!$L:$L,'Investor Exit List'!$B459)-(SUMIFS(Investors!$S:$S,Investors!$I:$I,"&lt;="&amp;'NSST Print'!$B$3,Investors!$J:$J,"&gt;"&amp;'NSST Print'!$B$3,Investors!$A:$A,'Investor Exit List'!$A459,Investors!$E:$E,'Investor Exit List'!$C459,Investors!$L:$L,'Investor Exit List'!$B459)+SUMIFS(Investors!$S:$S,Investors!$I:$I,"&lt;="&amp;'NSST Print'!$B$3,Investors!$J:$J,"",Investors!$A:$A,'Investor Exit List'!$A459,Investors!$E:$E,'Investor Exit List'!$C459,Investors!$L:$L,'Investor Exit List'!$B459))</f>
        <v/>
      </c>
      <c r="R459" s="90">
        <f>IF(AND(H459=TRUE,I459=FALSE),Q459,0)</f>
        <v/>
      </c>
      <c r="S459" s="90">
        <f>SUMIFS(Investors!$M:$M,Investors!$O:$O,TRUE,Investors!$A:$A,'Investor Exit List'!$A459,Investors!$E:$E,'Investor Exit List'!$C459,Investors!$L:$L,'Investor Exit List'!$B459)+SUMIFS(Investors!$S:$S,Investors!$O:$O,TRUE,Investors!$A:$A,'Investor Exit List'!$A459,Investors!$E:$E,'Investor Exit List'!$C459,Investors!$L:$L,'Investor Exit List'!$B459)</f>
        <v/>
      </c>
      <c r="T459" s="91">
        <f>IF(U459=TRUE,$J459,"")</f>
        <v/>
      </c>
      <c r="U459" s="89" t="b">
        <v>0</v>
      </c>
      <c r="V459" s="90">
        <f>IF(AND(H459=TRUE,OR(K459="",K459&gt;M459)),S459,0)</f>
        <v/>
      </c>
      <c r="W459" s="89" t="n">
        <v>0</v>
      </c>
      <c r="X459" s="89" t="b">
        <v>0</v>
      </c>
    </row>
    <row r="460" hidden="1">
      <c r="A460" s="89" t="inlineStr">
        <is>
          <t>ZDEL01</t>
        </is>
      </c>
      <c r="B460" s="89" t="n">
        <v>5</v>
      </c>
      <c r="C460" s="89" t="inlineStr">
        <is>
          <t>HVN201</t>
        </is>
      </c>
      <c r="D460" s="89" t="inlineStr">
        <is>
          <t>N</t>
        </is>
      </c>
      <c r="E460" s="89" t="inlineStr">
        <is>
          <t>Jansen van Vuuren Pieter</t>
        </is>
      </c>
      <c r="F460" s="90">
        <f>SUMIFS(Investors!$M:$M,Investors!$O:$O,FALSE,Investors!$P:$P,FALSE,Investors!$K:$K,"&gt;"&amp;'NSST Print'!$B$3,Investors!$I:$I,"&lt;="&amp;'NSST Print'!$B$3,Investors!$A:$A,'Investor Exit List'!$A460,Investors!$E:$E,'Investor Exit List'!$C460,Investors!$L:$L,'Investor Exit List'!$B460)-(SUMIFS(Investors!$M:$M,Investors!$I:$I,"&lt;="&amp;'NSST Print'!$B$3,Investors!$J:$J,"&gt;"&amp;'NSST Print'!$B$3,Investors!$A:$A,'Investor Exit List'!$A460,Investors!$E:$E,'Investor Exit List'!$C460,Investors!$L:$L,'Investor Exit List'!$B460)+SUMIFS(Investors!$M:$M,Investors!$I:$I,"&lt;="&amp;'NSST Print'!$B$3,Investors!$J:$J,"",Investors!$A:$A,'Investor Exit List'!$A460,Investors!$E:$E,'Investor Exit List'!$C460,Investors!$L:$L,'Investor Exit List'!$B460))</f>
        <v/>
      </c>
      <c r="G460" s="91" t="n">
        <v>44743</v>
      </c>
      <c r="H460" s="89" t="b">
        <v>1</v>
      </c>
      <c r="I460" s="89" t="b">
        <v>1</v>
      </c>
      <c r="J460" s="91" t="n">
        <v>45308</v>
      </c>
      <c r="K460" s="91">
        <f>IF(I460=TRUE,J460,"")</f>
        <v/>
      </c>
      <c r="L460" s="91">
        <f>G460+730</f>
        <v/>
      </c>
      <c r="M460" s="91" t="n">
        <v>45382</v>
      </c>
      <c r="N460" s="92">
        <f>IFERROR(IF(G460&lt;&gt;"",IF(I460=TRUE,0,IF(U460=TRUE,0,L460-M460)),0),0)</f>
        <v/>
      </c>
      <c r="O460" s="92">
        <f>IF(N460&gt;0,IF(N460&lt;=180,N460,0),0)</f>
        <v/>
      </c>
      <c r="P460" s="90">
        <f>IF(AND(N460&lt;90,N460&gt;0),Q460,0)</f>
        <v/>
      </c>
      <c r="Q460" s="90">
        <f>SUMIFS(Investors!$M:$M,Investors!$O:$O,FALSE,Investors!$P:$P,FALSE,Investors!$K:$K,"&gt;"&amp;'NSST Print'!$B$3,Investors!$I:$I,"&lt;="&amp;'NSST Print'!$B$3,Investors!$A:$A,'Investor Exit List'!$A460,Investors!$E:$E,'Investor Exit List'!$C460,Investors!$L:$L,'Investor Exit List'!$B460)-(SUMIFS(Investors!$M:$M,Investors!$I:$I,"&lt;="&amp;'NSST Print'!$B$3,Investors!$J:$J,"&gt;"&amp;'NSST Print'!$B$3,Investors!$A:$A,'Investor Exit List'!$A460,Investors!$E:$E,'Investor Exit List'!$C460,Investors!$L:$L,'Investor Exit List'!$B460)+SUMIFS(Investors!$M:$M,Investors!$I:$I,"&lt;="&amp;'NSST Print'!$B$3,Investors!$J:$J,"",Investors!$A:$A,'Investor Exit List'!$A460,Investors!$E:$E,'Investor Exit List'!$C460,Investors!$L:$L,'Investor Exit List'!$B460))+SUMIFS(Investors!$S:$S,Investors!$O:$O,FALSE,Investors!$P:$P,FALSE,Investors!$K:$K,"&gt;"&amp;'NSST Print'!$B$3,Investors!$I:$I,"&lt;="&amp;'NSST Print'!$B$3,Investors!$A:$A,'Investor Exit List'!$A460,Investors!$E:$E,'Investor Exit List'!$C460,Investors!$L:$L,'Investor Exit List'!$B460)-(SUMIFS(Investors!$S:$S,Investors!$I:$I,"&lt;="&amp;'NSST Print'!$B$3,Investors!$J:$J,"&gt;"&amp;'NSST Print'!$B$3,Investors!$A:$A,'Investor Exit List'!$A460,Investors!$E:$E,'Investor Exit List'!$C460,Investors!$L:$L,'Investor Exit List'!$B460)+SUMIFS(Investors!$S:$S,Investors!$I:$I,"&lt;="&amp;'NSST Print'!$B$3,Investors!$J:$J,"",Investors!$A:$A,'Investor Exit List'!$A460,Investors!$E:$E,'Investor Exit List'!$C460,Investors!$L:$L,'Investor Exit List'!$B460))</f>
        <v/>
      </c>
      <c r="R460" s="90">
        <f>IF(AND(H460=TRUE,I460=FALSE),Q460,0)</f>
        <v/>
      </c>
      <c r="S460" s="90">
        <f>SUMIFS(Investors!$M:$M,Investors!$O:$O,TRUE,Investors!$A:$A,'Investor Exit List'!$A460,Investors!$E:$E,'Investor Exit List'!$C460,Investors!$L:$L,'Investor Exit List'!$B460)+SUMIFS(Investors!$S:$S,Investors!$O:$O,TRUE,Investors!$A:$A,'Investor Exit List'!$A460,Investors!$E:$E,'Investor Exit List'!$C460,Investors!$L:$L,'Investor Exit List'!$B460)</f>
        <v/>
      </c>
      <c r="T460" s="91">
        <f>IF(U460=TRUE,$J460,"")</f>
        <v/>
      </c>
      <c r="U460" s="89" t="b">
        <v>0</v>
      </c>
      <c r="V460" s="90">
        <f>IF(AND(H460=TRUE,OR(K460="",K460&gt;M460)),S460,0)</f>
        <v/>
      </c>
      <c r="W460" s="89" t="n">
        <v>0</v>
      </c>
      <c r="X460" s="89" t="b">
        <v>0</v>
      </c>
    </row>
    <row r="461" hidden="1">
      <c r="A461" s="89" t="inlineStr">
        <is>
          <t>ZERF01</t>
        </is>
      </c>
      <c r="B461" s="89" t="n">
        <v>1</v>
      </c>
      <c r="C461" s="89" t="inlineStr">
        <is>
          <t>HVN202</t>
        </is>
      </c>
      <c r="D461" s="89" t="inlineStr">
        <is>
          <t>N</t>
        </is>
      </c>
      <c r="E461" s="89" t="inlineStr">
        <is>
          <t>Jansen van Vuuren Hermanus Gerhardus (Gerhard)</t>
        </is>
      </c>
      <c r="F461" s="90">
        <f>SUMIFS(Investors!$M:$M,Investors!$O:$O,FALSE,Investors!$P:$P,FALSE,Investors!$K:$K,"&gt;"&amp;'NSST Print'!$B$3,Investors!$I:$I,"&lt;="&amp;'NSST Print'!$B$3,Investors!$A:$A,'Investor Exit List'!$A461,Investors!$E:$E,'Investor Exit List'!$C461,Investors!$L:$L,'Investor Exit List'!$B461)-(SUMIFS(Investors!$M:$M,Investors!$I:$I,"&lt;="&amp;'NSST Print'!$B$3,Investors!$J:$J,"&gt;"&amp;'NSST Print'!$B$3,Investors!$A:$A,'Investor Exit List'!$A461,Investors!$E:$E,'Investor Exit List'!$C461,Investors!$L:$L,'Investor Exit List'!$B461)+SUMIFS(Investors!$M:$M,Investors!$I:$I,"&lt;="&amp;'NSST Print'!$B$3,Investors!$J:$J,"",Investors!$A:$A,'Investor Exit List'!$A461,Investors!$E:$E,'Investor Exit List'!$C461,Investors!$L:$L,'Investor Exit List'!$B461))</f>
        <v/>
      </c>
      <c r="G461" s="91" t="n">
        <v>44770</v>
      </c>
      <c r="H461" s="89" t="b">
        <v>1</v>
      </c>
      <c r="I461" s="89" t="b">
        <v>1</v>
      </c>
      <c r="J461" s="91" t="n">
        <v>45327</v>
      </c>
      <c r="K461" s="91">
        <f>IF(I461=TRUE,J461,"")</f>
        <v/>
      </c>
      <c r="L461" s="91">
        <f>G461+730</f>
        <v/>
      </c>
      <c r="M461" s="91" t="n">
        <v>45382</v>
      </c>
      <c r="N461" s="92">
        <f>IFERROR(IF(G461&lt;&gt;"",IF(I461=TRUE,0,IF(U461=TRUE,0,L461-M461)),0),0)</f>
        <v/>
      </c>
      <c r="O461" s="92">
        <f>IF(N461&gt;0,IF(N461&lt;=180,N461,0),0)</f>
        <v/>
      </c>
      <c r="P461" s="90">
        <f>IF(AND(N461&lt;90,N461&gt;0),Q461,0)</f>
        <v/>
      </c>
      <c r="Q461" s="90">
        <f>SUMIFS(Investors!$M:$M,Investors!$O:$O,FALSE,Investors!$P:$P,FALSE,Investors!$K:$K,"&gt;"&amp;'NSST Print'!$B$3,Investors!$I:$I,"&lt;="&amp;'NSST Print'!$B$3,Investors!$A:$A,'Investor Exit List'!$A461,Investors!$E:$E,'Investor Exit List'!$C461,Investors!$L:$L,'Investor Exit List'!$B461)-(SUMIFS(Investors!$M:$M,Investors!$I:$I,"&lt;="&amp;'NSST Print'!$B$3,Investors!$J:$J,"&gt;"&amp;'NSST Print'!$B$3,Investors!$A:$A,'Investor Exit List'!$A461,Investors!$E:$E,'Investor Exit List'!$C461,Investors!$L:$L,'Investor Exit List'!$B461)+SUMIFS(Investors!$M:$M,Investors!$I:$I,"&lt;="&amp;'NSST Print'!$B$3,Investors!$J:$J,"",Investors!$A:$A,'Investor Exit List'!$A461,Investors!$E:$E,'Investor Exit List'!$C461,Investors!$L:$L,'Investor Exit List'!$B461))+SUMIFS(Investors!$S:$S,Investors!$O:$O,FALSE,Investors!$P:$P,FALSE,Investors!$K:$K,"&gt;"&amp;'NSST Print'!$B$3,Investors!$I:$I,"&lt;="&amp;'NSST Print'!$B$3,Investors!$A:$A,'Investor Exit List'!$A461,Investors!$E:$E,'Investor Exit List'!$C461,Investors!$L:$L,'Investor Exit List'!$B461)-(SUMIFS(Investors!$S:$S,Investors!$I:$I,"&lt;="&amp;'NSST Print'!$B$3,Investors!$J:$J,"&gt;"&amp;'NSST Print'!$B$3,Investors!$A:$A,'Investor Exit List'!$A461,Investors!$E:$E,'Investor Exit List'!$C461,Investors!$L:$L,'Investor Exit List'!$B461)+SUMIFS(Investors!$S:$S,Investors!$I:$I,"&lt;="&amp;'NSST Print'!$B$3,Investors!$J:$J,"",Investors!$A:$A,'Investor Exit List'!$A461,Investors!$E:$E,'Investor Exit List'!$C461,Investors!$L:$L,'Investor Exit List'!$B461))</f>
        <v/>
      </c>
      <c r="R461" s="90">
        <f>IF(AND(H461=TRUE,I461=FALSE),Q461,0)</f>
        <v/>
      </c>
      <c r="S461" s="90">
        <f>SUMIFS(Investors!$M:$M,Investors!$O:$O,TRUE,Investors!$A:$A,'Investor Exit List'!$A461,Investors!$E:$E,'Investor Exit List'!$C461,Investors!$L:$L,'Investor Exit List'!$B461)+SUMIFS(Investors!$S:$S,Investors!$O:$O,TRUE,Investors!$A:$A,'Investor Exit List'!$A461,Investors!$E:$E,'Investor Exit List'!$C461,Investors!$L:$L,'Investor Exit List'!$B461)</f>
        <v/>
      </c>
      <c r="T461" s="91">
        <f>IF(U461=TRUE,$J461,"")</f>
        <v/>
      </c>
      <c r="U461" s="89" t="b">
        <v>0</v>
      </c>
      <c r="V461" s="90">
        <f>IF(AND(H461=TRUE,OR(K461="",K461&gt;M461)),S461,0)</f>
        <v/>
      </c>
      <c r="W461" s="89" t="n">
        <v>0</v>
      </c>
      <c r="X461" s="89" t="b">
        <v>0</v>
      </c>
    </row>
    <row r="462" hidden="1">
      <c r="A462" s="89" t="inlineStr">
        <is>
          <t>ZDEL01</t>
        </is>
      </c>
      <c r="B462" s="89" t="n">
        <v>6</v>
      </c>
      <c r="C462" s="89" t="inlineStr">
        <is>
          <t>HVN203</t>
        </is>
      </c>
      <c r="D462" s="89" t="inlineStr">
        <is>
          <t>N</t>
        </is>
      </c>
      <c r="E462" s="89" t="inlineStr">
        <is>
          <t>Jansen van Vuuren Pieter</t>
        </is>
      </c>
      <c r="F462" s="90">
        <f>SUMIFS(Investors!$M:$M,Investors!$O:$O,FALSE,Investors!$P:$P,FALSE,Investors!$K:$K,"&gt;"&amp;'NSST Print'!$B$3,Investors!$I:$I,"&lt;="&amp;'NSST Print'!$B$3,Investors!$A:$A,'Investor Exit List'!$A462,Investors!$E:$E,'Investor Exit List'!$C462,Investors!$L:$L,'Investor Exit List'!$B462)-(SUMIFS(Investors!$M:$M,Investors!$I:$I,"&lt;="&amp;'NSST Print'!$B$3,Investors!$J:$J,"&gt;"&amp;'NSST Print'!$B$3,Investors!$A:$A,'Investor Exit List'!$A462,Investors!$E:$E,'Investor Exit List'!$C462,Investors!$L:$L,'Investor Exit List'!$B462)+SUMIFS(Investors!$M:$M,Investors!$I:$I,"&lt;="&amp;'NSST Print'!$B$3,Investors!$J:$J,"",Investors!$A:$A,'Investor Exit List'!$A462,Investors!$E:$E,'Investor Exit List'!$C462,Investors!$L:$L,'Investor Exit List'!$B462))</f>
        <v/>
      </c>
      <c r="G462" s="91" t="n">
        <v>44743</v>
      </c>
      <c r="H462" s="89" t="b">
        <v>1</v>
      </c>
      <c r="I462" s="89" t="b">
        <v>1</v>
      </c>
      <c r="J462" s="91" t="n">
        <v>45323</v>
      </c>
      <c r="K462" s="91">
        <f>IF(I462=TRUE,J462,"")</f>
        <v/>
      </c>
      <c r="L462" s="91">
        <f>G462+730</f>
        <v/>
      </c>
      <c r="M462" s="91" t="n">
        <v>45382</v>
      </c>
      <c r="N462" s="92">
        <f>IFERROR(IF(G462&lt;&gt;"",IF(I462=TRUE,0,IF(U462=TRUE,0,L462-M462)),0),0)</f>
        <v/>
      </c>
      <c r="O462" s="92">
        <f>IF(N462&gt;0,IF(N462&lt;=180,N462,0),0)</f>
        <v/>
      </c>
      <c r="P462" s="90">
        <f>IF(AND(N462&lt;90,N462&gt;0),Q462,0)</f>
        <v/>
      </c>
      <c r="Q462" s="90">
        <f>SUMIFS(Investors!$M:$M,Investors!$O:$O,FALSE,Investors!$P:$P,FALSE,Investors!$K:$K,"&gt;"&amp;'NSST Print'!$B$3,Investors!$I:$I,"&lt;="&amp;'NSST Print'!$B$3,Investors!$A:$A,'Investor Exit List'!$A462,Investors!$E:$E,'Investor Exit List'!$C462,Investors!$L:$L,'Investor Exit List'!$B462)-(SUMIFS(Investors!$M:$M,Investors!$I:$I,"&lt;="&amp;'NSST Print'!$B$3,Investors!$J:$J,"&gt;"&amp;'NSST Print'!$B$3,Investors!$A:$A,'Investor Exit List'!$A462,Investors!$E:$E,'Investor Exit List'!$C462,Investors!$L:$L,'Investor Exit List'!$B462)+SUMIFS(Investors!$M:$M,Investors!$I:$I,"&lt;="&amp;'NSST Print'!$B$3,Investors!$J:$J,"",Investors!$A:$A,'Investor Exit List'!$A462,Investors!$E:$E,'Investor Exit List'!$C462,Investors!$L:$L,'Investor Exit List'!$B462))+SUMIFS(Investors!$S:$S,Investors!$O:$O,FALSE,Investors!$P:$P,FALSE,Investors!$K:$K,"&gt;"&amp;'NSST Print'!$B$3,Investors!$I:$I,"&lt;="&amp;'NSST Print'!$B$3,Investors!$A:$A,'Investor Exit List'!$A462,Investors!$E:$E,'Investor Exit List'!$C462,Investors!$L:$L,'Investor Exit List'!$B462)-(SUMIFS(Investors!$S:$S,Investors!$I:$I,"&lt;="&amp;'NSST Print'!$B$3,Investors!$J:$J,"&gt;"&amp;'NSST Print'!$B$3,Investors!$A:$A,'Investor Exit List'!$A462,Investors!$E:$E,'Investor Exit List'!$C462,Investors!$L:$L,'Investor Exit List'!$B462)+SUMIFS(Investors!$S:$S,Investors!$I:$I,"&lt;="&amp;'NSST Print'!$B$3,Investors!$J:$J,"",Investors!$A:$A,'Investor Exit List'!$A462,Investors!$E:$E,'Investor Exit List'!$C462,Investors!$L:$L,'Investor Exit List'!$B462))</f>
        <v/>
      </c>
      <c r="R462" s="90">
        <f>IF(AND(H462=TRUE,I462=FALSE),Q462,0)</f>
        <v/>
      </c>
      <c r="S462" s="90">
        <f>SUMIFS(Investors!$M:$M,Investors!$O:$O,TRUE,Investors!$A:$A,'Investor Exit List'!$A462,Investors!$E:$E,'Investor Exit List'!$C462,Investors!$L:$L,'Investor Exit List'!$B462)+SUMIFS(Investors!$S:$S,Investors!$O:$O,TRUE,Investors!$A:$A,'Investor Exit List'!$A462,Investors!$E:$E,'Investor Exit List'!$C462,Investors!$L:$L,'Investor Exit List'!$B462)</f>
        <v/>
      </c>
      <c r="T462" s="91">
        <f>IF(U462=TRUE,$J462,"")</f>
        <v/>
      </c>
      <c r="U462" s="89" t="b">
        <v>1</v>
      </c>
      <c r="V462" s="90">
        <f>IF(AND(H462=TRUE,OR(K462="",K462&gt;M462)),S462,0)</f>
        <v/>
      </c>
      <c r="W462" s="89" t="n">
        <v>0</v>
      </c>
      <c r="X462" s="89" t="b">
        <v>0</v>
      </c>
    </row>
    <row r="463" hidden="1">
      <c r="A463" s="89" t="inlineStr">
        <is>
          <t>ZLER01</t>
        </is>
      </c>
      <c r="B463" s="89" t="n">
        <v>2</v>
      </c>
      <c r="C463" s="89" t="inlineStr">
        <is>
          <t>HVN203</t>
        </is>
      </c>
      <c r="D463" s="89" t="inlineStr">
        <is>
          <t>N</t>
        </is>
      </c>
      <c r="E463" s="89" t="inlineStr">
        <is>
          <t>Kloppers Lydia</t>
        </is>
      </c>
      <c r="F463" s="90">
        <f>SUMIFS(Investors!$M:$M,Investors!$O:$O,FALSE,Investors!$P:$P,FALSE,Investors!$K:$K,"&gt;"&amp;'NSST Print'!$B$3,Investors!$I:$I,"&lt;="&amp;'NSST Print'!$B$3,Investors!$A:$A,'Investor Exit List'!$A463,Investors!$E:$E,'Investor Exit List'!$C463,Investors!$L:$L,'Investor Exit List'!$B463)-(SUMIFS(Investors!$M:$M,Investors!$I:$I,"&lt;="&amp;'NSST Print'!$B$3,Investors!$J:$J,"&gt;"&amp;'NSST Print'!$B$3,Investors!$A:$A,'Investor Exit List'!$A463,Investors!$E:$E,'Investor Exit List'!$C463,Investors!$L:$L,'Investor Exit List'!$B463)+SUMIFS(Investors!$M:$M,Investors!$I:$I,"&lt;="&amp;'NSST Print'!$B$3,Investors!$J:$J,"",Investors!$A:$A,'Investor Exit List'!$A463,Investors!$E:$E,'Investor Exit List'!$C463,Investors!$L:$L,'Investor Exit List'!$B463))</f>
        <v/>
      </c>
      <c r="G463" s="91" t="n">
        <v>44757</v>
      </c>
      <c r="H463" s="89" t="b">
        <v>1</v>
      </c>
      <c r="I463" s="89" t="b">
        <v>1</v>
      </c>
      <c r="J463" s="91" t="n">
        <v>45336</v>
      </c>
      <c r="K463" s="91">
        <f>IF(I463=TRUE,J463,"")</f>
        <v/>
      </c>
      <c r="L463" s="91">
        <f>G463+730</f>
        <v/>
      </c>
      <c r="M463" s="91" t="n">
        <v>45382</v>
      </c>
      <c r="N463" s="92">
        <f>IFERROR(IF(G463&lt;&gt;"",IF(I463=TRUE,0,IF(U463=TRUE,0,L463-M463)),0),0)</f>
        <v/>
      </c>
      <c r="O463" s="92">
        <f>IF(N463&gt;0,IF(N463&lt;=180,N463,0),0)</f>
        <v/>
      </c>
      <c r="P463" s="90">
        <f>IF(AND(N463&lt;90,N463&gt;0),Q463,0)</f>
        <v/>
      </c>
      <c r="Q463" s="90">
        <f>SUMIFS(Investors!$M:$M,Investors!$O:$O,FALSE,Investors!$P:$P,FALSE,Investors!$K:$K,"&gt;"&amp;'NSST Print'!$B$3,Investors!$I:$I,"&lt;="&amp;'NSST Print'!$B$3,Investors!$A:$A,'Investor Exit List'!$A463,Investors!$E:$E,'Investor Exit List'!$C463,Investors!$L:$L,'Investor Exit List'!$B463)-(SUMIFS(Investors!$M:$M,Investors!$I:$I,"&lt;="&amp;'NSST Print'!$B$3,Investors!$J:$J,"&gt;"&amp;'NSST Print'!$B$3,Investors!$A:$A,'Investor Exit List'!$A463,Investors!$E:$E,'Investor Exit List'!$C463,Investors!$L:$L,'Investor Exit List'!$B463)+SUMIFS(Investors!$M:$M,Investors!$I:$I,"&lt;="&amp;'NSST Print'!$B$3,Investors!$J:$J,"",Investors!$A:$A,'Investor Exit List'!$A463,Investors!$E:$E,'Investor Exit List'!$C463,Investors!$L:$L,'Investor Exit List'!$B463))+SUMIFS(Investors!$S:$S,Investors!$O:$O,FALSE,Investors!$P:$P,FALSE,Investors!$K:$K,"&gt;"&amp;'NSST Print'!$B$3,Investors!$I:$I,"&lt;="&amp;'NSST Print'!$B$3,Investors!$A:$A,'Investor Exit List'!$A463,Investors!$E:$E,'Investor Exit List'!$C463,Investors!$L:$L,'Investor Exit List'!$B463)-(SUMIFS(Investors!$S:$S,Investors!$I:$I,"&lt;="&amp;'NSST Print'!$B$3,Investors!$J:$J,"&gt;"&amp;'NSST Print'!$B$3,Investors!$A:$A,'Investor Exit List'!$A463,Investors!$E:$E,'Investor Exit List'!$C463,Investors!$L:$L,'Investor Exit List'!$B463)+SUMIFS(Investors!$S:$S,Investors!$I:$I,"&lt;="&amp;'NSST Print'!$B$3,Investors!$J:$J,"",Investors!$A:$A,'Investor Exit List'!$A463,Investors!$E:$E,'Investor Exit List'!$C463,Investors!$L:$L,'Investor Exit List'!$B463))</f>
        <v/>
      </c>
      <c r="R463" s="90">
        <f>IF(AND(H463=TRUE,I463=FALSE),Q463,0)</f>
        <v/>
      </c>
      <c r="S463" s="90">
        <f>SUMIFS(Investors!$M:$M,Investors!$O:$O,TRUE,Investors!$A:$A,'Investor Exit List'!$A463,Investors!$E:$E,'Investor Exit List'!$C463,Investors!$L:$L,'Investor Exit List'!$B463)+SUMIFS(Investors!$S:$S,Investors!$O:$O,TRUE,Investors!$A:$A,'Investor Exit List'!$A463,Investors!$E:$E,'Investor Exit List'!$C463,Investors!$L:$L,'Investor Exit List'!$B463)</f>
        <v/>
      </c>
      <c r="T463" s="91">
        <f>IF(U463=TRUE,$J463,"")</f>
        <v/>
      </c>
      <c r="U463" s="89" t="b">
        <v>0</v>
      </c>
      <c r="V463" s="90">
        <f>IF(AND(H463=TRUE,OR(K463="",K463&gt;M463)),S463,0)</f>
        <v/>
      </c>
      <c r="W463" s="89" t="n">
        <v>0</v>
      </c>
      <c r="X463" s="89" t="b">
        <v>0</v>
      </c>
    </row>
    <row r="464" hidden="1">
      <c r="A464" s="89" t="inlineStr">
        <is>
          <t>ZVAL03</t>
        </is>
      </c>
      <c r="B464" s="89" t="n">
        <v>1</v>
      </c>
      <c r="C464" s="89" t="inlineStr">
        <is>
          <t>HVN204</t>
        </is>
      </c>
      <c r="D464" s="89" t="inlineStr">
        <is>
          <t>N</t>
        </is>
      </c>
      <c r="E464" s="89" t="inlineStr">
        <is>
          <t>Valentin Marinda</t>
        </is>
      </c>
      <c r="F464" s="90">
        <f>SUMIFS(Investors!$M:$M,Investors!$O:$O,FALSE,Investors!$P:$P,FALSE,Investors!$K:$K,"&gt;"&amp;'NSST Print'!$B$3,Investors!$I:$I,"&lt;="&amp;'NSST Print'!$B$3,Investors!$A:$A,'Investor Exit List'!$A464,Investors!$E:$E,'Investor Exit List'!$C464,Investors!$L:$L,'Investor Exit List'!$B464)-(SUMIFS(Investors!$M:$M,Investors!$I:$I,"&lt;="&amp;'NSST Print'!$B$3,Investors!$J:$J,"&gt;"&amp;'NSST Print'!$B$3,Investors!$A:$A,'Investor Exit List'!$A464,Investors!$E:$E,'Investor Exit List'!$C464,Investors!$L:$L,'Investor Exit List'!$B464)+SUMIFS(Investors!$M:$M,Investors!$I:$I,"&lt;="&amp;'NSST Print'!$B$3,Investors!$J:$J,"",Investors!$A:$A,'Investor Exit List'!$A464,Investors!$E:$E,'Investor Exit List'!$C464,Investors!$L:$L,'Investor Exit List'!$B464))</f>
        <v/>
      </c>
      <c r="G464" s="91" t="n">
        <v>44763</v>
      </c>
      <c r="H464" s="89" t="b">
        <v>1</v>
      </c>
      <c r="I464" s="89" t="b">
        <v>1</v>
      </c>
      <c r="J464" s="91" t="n">
        <v>45314</v>
      </c>
      <c r="K464" s="91">
        <f>IF(I464=TRUE,J464,"")</f>
        <v/>
      </c>
      <c r="L464" s="91">
        <f>G464+730</f>
        <v/>
      </c>
      <c r="M464" s="91" t="n">
        <v>45382</v>
      </c>
      <c r="N464" s="92">
        <f>IFERROR(IF(G464&lt;&gt;"",IF(I464=TRUE,0,IF(U464=TRUE,0,L464-M464)),0),0)</f>
        <v/>
      </c>
      <c r="O464" s="92">
        <f>IF(N464&gt;0,IF(N464&lt;=180,N464,0),0)</f>
        <v/>
      </c>
      <c r="P464" s="90">
        <f>IF(AND(N464&lt;90,N464&gt;0),Q464,0)</f>
        <v/>
      </c>
      <c r="Q464" s="90">
        <f>SUMIFS(Investors!$M:$M,Investors!$O:$O,FALSE,Investors!$P:$P,FALSE,Investors!$K:$K,"&gt;"&amp;'NSST Print'!$B$3,Investors!$I:$I,"&lt;="&amp;'NSST Print'!$B$3,Investors!$A:$A,'Investor Exit List'!$A464,Investors!$E:$E,'Investor Exit List'!$C464,Investors!$L:$L,'Investor Exit List'!$B464)-(SUMIFS(Investors!$M:$M,Investors!$I:$I,"&lt;="&amp;'NSST Print'!$B$3,Investors!$J:$J,"&gt;"&amp;'NSST Print'!$B$3,Investors!$A:$A,'Investor Exit List'!$A464,Investors!$E:$E,'Investor Exit List'!$C464,Investors!$L:$L,'Investor Exit List'!$B464)+SUMIFS(Investors!$M:$M,Investors!$I:$I,"&lt;="&amp;'NSST Print'!$B$3,Investors!$J:$J,"",Investors!$A:$A,'Investor Exit List'!$A464,Investors!$E:$E,'Investor Exit List'!$C464,Investors!$L:$L,'Investor Exit List'!$B464))+SUMIFS(Investors!$S:$S,Investors!$O:$O,FALSE,Investors!$P:$P,FALSE,Investors!$K:$K,"&gt;"&amp;'NSST Print'!$B$3,Investors!$I:$I,"&lt;="&amp;'NSST Print'!$B$3,Investors!$A:$A,'Investor Exit List'!$A464,Investors!$E:$E,'Investor Exit List'!$C464,Investors!$L:$L,'Investor Exit List'!$B464)-(SUMIFS(Investors!$S:$S,Investors!$I:$I,"&lt;="&amp;'NSST Print'!$B$3,Investors!$J:$J,"&gt;"&amp;'NSST Print'!$B$3,Investors!$A:$A,'Investor Exit List'!$A464,Investors!$E:$E,'Investor Exit List'!$C464,Investors!$L:$L,'Investor Exit List'!$B464)+SUMIFS(Investors!$S:$S,Investors!$I:$I,"&lt;="&amp;'NSST Print'!$B$3,Investors!$J:$J,"",Investors!$A:$A,'Investor Exit List'!$A464,Investors!$E:$E,'Investor Exit List'!$C464,Investors!$L:$L,'Investor Exit List'!$B464))</f>
        <v/>
      </c>
      <c r="R464" s="90">
        <f>IF(AND(H464=TRUE,I464=FALSE),Q464,0)</f>
        <v/>
      </c>
      <c r="S464" s="90">
        <f>SUMIFS(Investors!$M:$M,Investors!$O:$O,TRUE,Investors!$A:$A,'Investor Exit List'!$A464,Investors!$E:$E,'Investor Exit List'!$C464,Investors!$L:$L,'Investor Exit List'!$B464)+SUMIFS(Investors!$S:$S,Investors!$O:$O,TRUE,Investors!$A:$A,'Investor Exit List'!$A464,Investors!$E:$E,'Investor Exit List'!$C464,Investors!$L:$L,'Investor Exit List'!$B464)</f>
        <v/>
      </c>
      <c r="T464" s="91">
        <f>IF(U464=TRUE,$J464,"")</f>
        <v/>
      </c>
      <c r="U464" s="89" t="b">
        <v>0</v>
      </c>
      <c r="V464" s="90">
        <f>IF(AND(H464=TRUE,OR(K464="",K464&gt;M464)),S464,0)</f>
        <v/>
      </c>
      <c r="W464" s="89" t="n">
        <v>0</v>
      </c>
      <c r="X464" s="89" t="b">
        <v>0</v>
      </c>
    </row>
    <row r="465">
      <c r="A465" s="97" t="inlineStr">
        <is>
          <t>ZDEL01</t>
        </is>
      </c>
      <c r="B465" s="97" t="n">
        <v>7</v>
      </c>
      <c r="C465" s="97" t="inlineStr">
        <is>
          <t>HVN301</t>
        </is>
      </c>
      <c r="D465" s="97" t="inlineStr">
        <is>
          <t>N</t>
        </is>
      </c>
      <c r="E465" s="97" t="inlineStr">
        <is>
          <t>Jansen van Vuuren Pieter</t>
        </is>
      </c>
      <c r="F465" s="98">
        <f>SUMIFS(Investors!$M:$M,Investors!$O:$O,FALSE,Investors!$P:$P,FALSE,Investors!$K:$K,"&gt;"&amp;'NSST Print'!$B$3,Investors!$I:$I,"&lt;="&amp;'NSST Print'!$B$3,Investors!$A:$A,'Investor Exit List'!$A465,Investors!$E:$E,'Investor Exit List'!$C465,Investors!$L:$L,'Investor Exit List'!$B465)-(SUMIFS(Investors!$M:$M,Investors!$I:$I,"&lt;="&amp;'NSST Print'!$B$3,Investors!$J:$J,"&gt;"&amp;'NSST Print'!$B$3,Investors!$A:$A,'Investor Exit List'!$A465,Investors!$E:$E,'Investor Exit List'!$C465,Investors!$L:$L,'Investor Exit List'!$B465)+SUMIFS(Investors!$M:$M,Investors!$I:$I,"&lt;="&amp;'NSST Print'!$B$3,Investors!$J:$J,"",Investors!$A:$A,'Investor Exit List'!$A465,Investors!$E:$E,'Investor Exit List'!$C465,Investors!$L:$L,'Investor Exit List'!$B465))</f>
        <v/>
      </c>
      <c r="G465" s="99" t="n">
        <v>44743</v>
      </c>
      <c r="H465" s="97" t="b">
        <v>1</v>
      </c>
      <c r="I465" s="97" t="b">
        <v>0</v>
      </c>
      <c r="J465" s="99" t="n">
        <v>45449</v>
      </c>
      <c r="K465" s="99">
        <f>IF(I465=TRUE,J465,"")</f>
        <v/>
      </c>
      <c r="L465" s="99">
        <f>G465+730</f>
        <v/>
      </c>
      <c r="M465" s="99" t="n">
        <v>45382</v>
      </c>
      <c r="N465" s="100">
        <f>IFERROR(IF(G465&lt;&gt;"",IF(I465=TRUE,0,IF(U465=TRUE,0,L465-M465)),0),0)</f>
        <v/>
      </c>
      <c r="O465" s="100">
        <f>IF(N465&gt;0,IF(N465&lt;=180,N465,0),0)</f>
        <v/>
      </c>
      <c r="P465" s="98">
        <f>IF(AND(N465&lt;90,N465&gt;0),Q465,0)</f>
        <v/>
      </c>
      <c r="Q465" s="98">
        <f>SUMIFS(Investors!$M:$M,Investors!$O:$O,FALSE,Investors!$P:$P,FALSE,Investors!$K:$K,"&gt;"&amp;'NSST Print'!$B$3,Investors!$I:$I,"&lt;="&amp;'NSST Print'!$B$3,Investors!$A:$A,'Investor Exit List'!$A465,Investors!$E:$E,'Investor Exit List'!$C465,Investors!$L:$L,'Investor Exit List'!$B465)-(SUMIFS(Investors!$M:$M,Investors!$I:$I,"&lt;="&amp;'NSST Print'!$B$3,Investors!$J:$J,"&gt;"&amp;'NSST Print'!$B$3,Investors!$A:$A,'Investor Exit List'!$A465,Investors!$E:$E,'Investor Exit List'!$C465,Investors!$L:$L,'Investor Exit List'!$B465)+SUMIFS(Investors!$M:$M,Investors!$I:$I,"&lt;="&amp;'NSST Print'!$B$3,Investors!$J:$J,"",Investors!$A:$A,'Investor Exit List'!$A465,Investors!$E:$E,'Investor Exit List'!$C465,Investors!$L:$L,'Investor Exit List'!$B465))+SUMIFS(Investors!$S:$S,Investors!$O:$O,FALSE,Investors!$P:$P,FALSE,Investors!$K:$K,"&gt;"&amp;'NSST Print'!$B$3,Investors!$I:$I,"&lt;="&amp;'NSST Print'!$B$3,Investors!$A:$A,'Investor Exit List'!$A465,Investors!$E:$E,'Investor Exit List'!$C465,Investors!$L:$L,'Investor Exit List'!$B465)-(SUMIFS(Investors!$S:$S,Investors!$I:$I,"&lt;="&amp;'NSST Print'!$B$3,Investors!$J:$J,"&gt;"&amp;'NSST Print'!$B$3,Investors!$A:$A,'Investor Exit List'!$A465,Investors!$E:$E,'Investor Exit List'!$C465,Investors!$L:$L,'Investor Exit List'!$B465)+SUMIFS(Investors!$S:$S,Investors!$I:$I,"&lt;="&amp;'NSST Print'!$B$3,Investors!$J:$J,"",Investors!$A:$A,'Investor Exit List'!$A465,Investors!$E:$E,'Investor Exit List'!$C465,Investors!$L:$L,'Investor Exit List'!$B465))</f>
        <v/>
      </c>
      <c r="R465" s="98">
        <f>IF(AND(H465=TRUE,I465=FALSE),Q465,0)</f>
        <v/>
      </c>
      <c r="S465" s="98">
        <f>SUMIFS(Investors!$M:$M,Investors!$O:$O,TRUE,Investors!$A:$A,'Investor Exit List'!$A465,Investors!$E:$E,'Investor Exit List'!$C465,Investors!$L:$L,'Investor Exit List'!$B465)+SUMIFS(Investors!$S:$S,Investors!$O:$O,TRUE,Investors!$A:$A,'Investor Exit List'!$A465,Investors!$E:$E,'Investor Exit List'!$C465,Investors!$L:$L,'Investor Exit List'!$B465)</f>
        <v/>
      </c>
      <c r="T465" s="99">
        <f>IF(U465=TRUE,$J465,"")</f>
        <v/>
      </c>
      <c r="U465" s="97" t="b">
        <v>0</v>
      </c>
      <c r="V465" s="98">
        <f>IF(AND(H465=TRUE,OR(K465="",K465&gt;M465)),S465,0)</f>
        <v/>
      </c>
      <c r="W465" s="97" t="n">
        <v>0</v>
      </c>
      <c r="X465" s="97" t="b">
        <v>0</v>
      </c>
    </row>
    <row r="466">
      <c r="A466" s="93" t="inlineStr">
        <is>
          <t>ZAMP01</t>
        </is>
      </c>
      <c r="B466" s="93" t="n">
        <v>1</v>
      </c>
      <c r="C466" s="93" t="inlineStr">
        <is>
          <t>HVN302</t>
        </is>
      </c>
      <c r="D466" s="93" t="inlineStr">
        <is>
          <t>N</t>
        </is>
      </c>
      <c r="E466" s="93" t="inlineStr">
        <is>
          <t>De Villiers Andre</t>
        </is>
      </c>
      <c r="F466" s="94">
        <f>SUMIFS(Investors!$M:$M,Investors!$O:$O,FALSE,Investors!$P:$P,FALSE,Investors!$K:$K,"&gt;"&amp;'NSST Print'!$B$3,Investors!$I:$I,"&lt;="&amp;'NSST Print'!$B$3,Investors!$A:$A,'Investor Exit List'!$A466,Investors!$E:$E,'Investor Exit List'!$C466,Investors!$L:$L,'Investor Exit List'!$B466)-(SUMIFS(Investors!$M:$M,Investors!$I:$I,"&lt;="&amp;'NSST Print'!$B$3,Investors!$J:$J,"&gt;"&amp;'NSST Print'!$B$3,Investors!$A:$A,'Investor Exit List'!$A466,Investors!$E:$E,'Investor Exit List'!$C466,Investors!$L:$L,'Investor Exit List'!$B466)+SUMIFS(Investors!$M:$M,Investors!$I:$I,"&lt;="&amp;'NSST Print'!$B$3,Investors!$J:$J,"",Investors!$A:$A,'Investor Exit List'!$A466,Investors!$E:$E,'Investor Exit List'!$C466,Investors!$L:$L,'Investor Exit List'!$B466))</f>
        <v/>
      </c>
      <c r="G466" s="95" t="n">
        <v>44763</v>
      </c>
      <c r="H466" s="93" t="b">
        <v>0</v>
      </c>
      <c r="I466" s="93" t="b">
        <v>0</v>
      </c>
      <c r="J466" s="95" t="n">
        <v>45464</v>
      </c>
      <c r="K466" s="95">
        <f>IF(I466=TRUE,J466,"")</f>
        <v/>
      </c>
      <c r="L466" s="95">
        <f>G466+730</f>
        <v/>
      </c>
      <c r="M466" s="95" t="n">
        <v>45382</v>
      </c>
      <c r="N466" s="96">
        <f>IFERROR(IF(G466&lt;&gt;"",IF(I466=TRUE,0,IF(U466=TRUE,0,L466-M466)),0),0)</f>
        <v/>
      </c>
      <c r="O466" s="96">
        <f>IF(N466&gt;0,IF(N466&lt;=180,N466,0),0)</f>
        <v/>
      </c>
      <c r="P466" s="94">
        <f>IF(AND(N466&lt;90,N466&gt;0),Q466,0)</f>
        <v/>
      </c>
      <c r="Q466" s="94">
        <f>SUMIFS(Investors!$M:$M,Investors!$O:$O,FALSE,Investors!$P:$P,FALSE,Investors!$K:$K,"&gt;"&amp;'NSST Print'!$B$3,Investors!$I:$I,"&lt;="&amp;'NSST Print'!$B$3,Investors!$A:$A,'Investor Exit List'!$A466,Investors!$E:$E,'Investor Exit List'!$C466,Investors!$L:$L,'Investor Exit List'!$B466)-(SUMIFS(Investors!$M:$M,Investors!$I:$I,"&lt;="&amp;'NSST Print'!$B$3,Investors!$J:$J,"&gt;"&amp;'NSST Print'!$B$3,Investors!$A:$A,'Investor Exit List'!$A466,Investors!$E:$E,'Investor Exit List'!$C466,Investors!$L:$L,'Investor Exit List'!$B466)+SUMIFS(Investors!$M:$M,Investors!$I:$I,"&lt;="&amp;'NSST Print'!$B$3,Investors!$J:$J,"",Investors!$A:$A,'Investor Exit List'!$A466,Investors!$E:$E,'Investor Exit List'!$C466,Investors!$L:$L,'Investor Exit List'!$B466))+SUMIFS(Investors!$S:$S,Investors!$O:$O,FALSE,Investors!$P:$P,FALSE,Investors!$K:$K,"&gt;"&amp;'NSST Print'!$B$3,Investors!$I:$I,"&lt;="&amp;'NSST Print'!$B$3,Investors!$A:$A,'Investor Exit List'!$A466,Investors!$E:$E,'Investor Exit List'!$C466,Investors!$L:$L,'Investor Exit List'!$B466)-(SUMIFS(Investors!$S:$S,Investors!$I:$I,"&lt;="&amp;'NSST Print'!$B$3,Investors!$J:$J,"&gt;"&amp;'NSST Print'!$B$3,Investors!$A:$A,'Investor Exit List'!$A466,Investors!$E:$E,'Investor Exit List'!$C466,Investors!$L:$L,'Investor Exit List'!$B466)+SUMIFS(Investors!$S:$S,Investors!$I:$I,"&lt;="&amp;'NSST Print'!$B$3,Investors!$J:$J,"",Investors!$A:$A,'Investor Exit List'!$A466,Investors!$E:$E,'Investor Exit List'!$C466,Investors!$L:$L,'Investor Exit List'!$B466))</f>
        <v/>
      </c>
      <c r="R466" s="94">
        <f>IF(AND(H466=TRUE,I466=FALSE),Q466,0)</f>
        <v/>
      </c>
      <c r="S466" s="94">
        <f>SUMIFS(Investors!$M:$M,Investors!$O:$O,TRUE,Investors!$A:$A,'Investor Exit List'!$A466,Investors!$E:$E,'Investor Exit List'!$C466,Investors!$L:$L,'Investor Exit List'!$B466)+SUMIFS(Investors!$S:$S,Investors!$O:$O,TRUE,Investors!$A:$A,'Investor Exit List'!$A466,Investors!$E:$E,'Investor Exit List'!$C466,Investors!$L:$L,'Investor Exit List'!$B466)</f>
        <v/>
      </c>
      <c r="T466" s="95">
        <f>IF(U466=TRUE,$J466,"")</f>
        <v/>
      </c>
      <c r="U466" s="93" t="b">
        <v>0</v>
      </c>
      <c r="V466" s="94">
        <f>IF(AND(H466=TRUE,OR(K466="",K466&gt;M466)),S466,0)</f>
        <v/>
      </c>
      <c r="W466" s="93" t="n">
        <v>0</v>
      </c>
      <c r="X466" s="93" t="b">
        <v>0</v>
      </c>
    </row>
    <row r="467">
      <c r="A467" s="93" t="inlineStr">
        <is>
          <t>ZERF01</t>
        </is>
      </c>
      <c r="B467" s="93" t="n">
        <v>2</v>
      </c>
      <c r="C467" s="93" t="inlineStr">
        <is>
          <t>HVN303</t>
        </is>
      </c>
      <c r="D467" s="93" t="inlineStr">
        <is>
          <t>N</t>
        </is>
      </c>
      <c r="E467" s="93" t="inlineStr">
        <is>
          <t>Jansen van Vuuren Hermanus Gerhardus (Gerhard)</t>
        </is>
      </c>
      <c r="F467" s="94">
        <f>SUMIFS(Investors!$M:$M,Investors!$O:$O,FALSE,Investors!$P:$P,FALSE,Investors!$K:$K,"&gt;"&amp;'NSST Print'!$B$3,Investors!$I:$I,"&lt;="&amp;'NSST Print'!$B$3,Investors!$A:$A,'Investor Exit List'!$A467,Investors!$E:$E,'Investor Exit List'!$C467,Investors!$L:$L,'Investor Exit List'!$B467)-(SUMIFS(Investors!$M:$M,Investors!$I:$I,"&lt;="&amp;'NSST Print'!$B$3,Investors!$J:$J,"&gt;"&amp;'NSST Print'!$B$3,Investors!$A:$A,'Investor Exit List'!$A467,Investors!$E:$E,'Investor Exit List'!$C467,Investors!$L:$L,'Investor Exit List'!$B467)+SUMIFS(Investors!$M:$M,Investors!$I:$I,"&lt;="&amp;'NSST Print'!$B$3,Investors!$J:$J,"",Investors!$A:$A,'Investor Exit List'!$A467,Investors!$E:$E,'Investor Exit List'!$C467,Investors!$L:$L,'Investor Exit List'!$B467))</f>
        <v/>
      </c>
      <c r="G467" s="95" t="n">
        <v>44777</v>
      </c>
      <c r="H467" s="93" t="b">
        <v>0</v>
      </c>
      <c r="I467" s="93" t="b">
        <v>0</v>
      </c>
      <c r="J467" s="95" t="n">
        <v>45498</v>
      </c>
      <c r="K467" s="95">
        <f>IF(I467=TRUE,J467,"")</f>
        <v/>
      </c>
      <c r="L467" s="95">
        <f>G467+730</f>
        <v/>
      </c>
      <c r="M467" s="95" t="n">
        <v>45382</v>
      </c>
      <c r="N467" s="96">
        <f>IFERROR(IF(G467&lt;&gt;"",IF(I467=TRUE,0,IF(U467=TRUE,0,L467-M467)),0),0)</f>
        <v/>
      </c>
      <c r="O467" s="96">
        <f>IF(N467&gt;0,IF(N467&lt;=180,N467,0),0)</f>
        <v/>
      </c>
      <c r="P467" s="94">
        <f>IF(AND(N467&lt;90,N467&gt;0),Q467,0)</f>
        <v/>
      </c>
      <c r="Q467" s="94">
        <f>SUMIFS(Investors!$M:$M,Investors!$O:$O,FALSE,Investors!$P:$P,FALSE,Investors!$K:$K,"&gt;"&amp;'NSST Print'!$B$3,Investors!$I:$I,"&lt;="&amp;'NSST Print'!$B$3,Investors!$A:$A,'Investor Exit List'!$A467,Investors!$E:$E,'Investor Exit List'!$C467,Investors!$L:$L,'Investor Exit List'!$B467)-(SUMIFS(Investors!$M:$M,Investors!$I:$I,"&lt;="&amp;'NSST Print'!$B$3,Investors!$J:$J,"&gt;"&amp;'NSST Print'!$B$3,Investors!$A:$A,'Investor Exit List'!$A467,Investors!$E:$E,'Investor Exit List'!$C467,Investors!$L:$L,'Investor Exit List'!$B467)+SUMIFS(Investors!$M:$M,Investors!$I:$I,"&lt;="&amp;'NSST Print'!$B$3,Investors!$J:$J,"",Investors!$A:$A,'Investor Exit List'!$A467,Investors!$E:$E,'Investor Exit List'!$C467,Investors!$L:$L,'Investor Exit List'!$B467))+SUMIFS(Investors!$S:$S,Investors!$O:$O,FALSE,Investors!$P:$P,FALSE,Investors!$K:$K,"&gt;"&amp;'NSST Print'!$B$3,Investors!$I:$I,"&lt;="&amp;'NSST Print'!$B$3,Investors!$A:$A,'Investor Exit List'!$A467,Investors!$E:$E,'Investor Exit List'!$C467,Investors!$L:$L,'Investor Exit List'!$B467)-(SUMIFS(Investors!$S:$S,Investors!$I:$I,"&lt;="&amp;'NSST Print'!$B$3,Investors!$J:$J,"&gt;"&amp;'NSST Print'!$B$3,Investors!$A:$A,'Investor Exit List'!$A467,Investors!$E:$E,'Investor Exit List'!$C467,Investors!$L:$L,'Investor Exit List'!$B467)+SUMIFS(Investors!$S:$S,Investors!$I:$I,"&lt;="&amp;'NSST Print'!$B$3,Investors!$J:$J,"",Investors!$A:$A,'Investor Exit List'!$A467,Investors!$E:$E,'Investor Exit List'!$C467,Investors!$L:$L,'Investor Exit List'!$B467))</f>
        <v/>
      </c>
      <c r="R467" s="94">
        <f>IF(AND(H467=TRUE,I467=FALSE),Q467,0)</f>
        <v/>
      </c>
      <c r="S467" s="94">
        <f>SUMIFS(Investors!$M:$M,Investors!$O:$O,TRUE,Investors!$A:$A,'Investor Exit List'!$A467,Investors!$E:$E,'Investor Exit List'!$C467,Investors!$L:$L,'Investor Exit List'!$B467)+SUMIFS(Investors!$S:$S,Investors!$O:$O,TRUE,Investors!$A:$A,'Investor Exit List'!$A467,Investors!$E:$E,'Investor Exit List'!$C467,Investors!$L:$L,'Investor Exit List'!$B467)</f>
        <v/>
      </c>
      <c r="T467" s="95">
        <f>IF(U467=TRUE,$J467,"")</f>
        <v/>
      </c>
      <c r="U467" s="93" t="b">
        <v>0</v>
      </c>
      <c r="V467" s="94">
        <f>IF(AND(H467=TRUE,OR(K467="",K467&gt;M467)),S467,0)</f>
        <v/>
      </c>
      <c r="W467" s="93" t="n">
        <v>0</v>
      </c>
      <c r="X467" s="93" t="b">
        <v>0</v>
      </c>
    </row>
    <row r="468">
      <c r="A468" s="93" t="inlineStr">
        <is>
          <t>ZBLO01</t>
        </is>
      </c>
      <c r="B468" s="93" t="n">
        <v>4</v>
      </c>
      <c r="C468" s="93" t="inlineStr">
        <is>
          <t>HVN304</t>
        </is>
      </c>
      <c r="D468" s="93" t="inlineStr">
        <is>
          <t>N</t>
        </is>
      </c>
      <c r="E468" s="93" t="inlineStr">
        <is>
          <t>Blows Robert Errol</t>
        </is>
      </c>
      <c r="F468" s="94">
        <f>SUMIFS(Investors!$M:$M,Investors!$O:$O,FALSE,Investors!$P:$P,FALSE,Investors!$K:$K,"&gt;"&amp;'NSST Print'!$B$3,Investors!$I:$I,"&lt;="&amp;'NSST Print'!$B$3,Investors!$A:$A,'Investor Exit List'!$A468,Investors!$E:$E,'Investor Exit List'!$C468,Investors!$L:$L,'Investor Exit List'!$B468)-(SUMIFS(Investors!$M:$M,Investors!$I:$I,"&lt;="&amp;'NSST Print'!$B$3,Investors!$J:$J,"&gt;"&amp;'NSST Print'!$B$3,Investors!$A:$A,'Investor Exit List'!$A468,Investors!$E:$E,'Investor Exit List'!$C468,Investors!$L:$L,'Investor Exit List'!$B468)+SUMIFS(Investors!$M:$M,Investors!$I:$I,"&lt;="&amp;'NSST Print'!$B$3,Investors!$J:$J,"",Investors!$A:$A,'Investor Exit List'!$A468,Investors!$E:$E,'Investor Exit List'!$C468,Investors!$L:$L,'Investor Exit List'!$B468))</f>
        <v/>
      </c>
      <c r="G468" s="95" t="n">
        <v>45016</v>
      </c>
      <c r="H468" s="93" t="b">
        <v>0</v>
      </c>
      <c r="I468" s="93" t="b">
        <v>0</v>
      </c>
      <c r="J468" s="95" t="n">
        <v>45498</v>
      </c>
      <c r="K468" s="95">
        <f>IF(I468=TRUE,J468,"")</f>
        <v/>
      </c>
      <c r="L468" s="95">
        <f>G468+730</f>
        <v/>
      </c>
      <c r="M468" s="95" t="n">
        <v>45382</v>
      </c>
      <c r="N468" s="96">
        <f>IFERROR(IF(G468&lt;&gt;"",IF(I468=TRUE,0,IF(U468=TRUE,0,L468-M468)),0),0)</f>
        <v/>
      </c>
      <c r="O468" s="96">
        <f>IF(N468&gt;0,IF(N468&lt;=180,N468,0),0)</f>
        <v/>
      </c>
      <c r="P468" s="94">
        <f>IF(AND(N468&lt;90,N468&gt;0),Q468,0)</f>
        <v/>
      </c>
      <c r="Q468" s="94">
        <f>SUMIFS(Investors!$M:$M,Investors!$O:$O,FALSE,Investors!$P:$P,FALSE,Investors!$K:$K,"&gt;"&amp;'NSST Print'!$B$3,Investors!$I:$I,"&lt;="&amp;'NSST Print'!$B$3,Investors!$A:$A,'Investor Exit List'!$A468,Investors!$E:$E,'Investor Exit List'!$C468,Investors!$L:$L,'Investor Exit List'!$B468)-(SUMIFS(Investors!$M:$M,Investors!$I:$I,"&lt;="&amp;'NSST Print'!$B$3,Investors!$J:$J,"&gt;"&amp;'NSST Print'!$B$3,Investors!$A:$A,'Investor Exit List'!$A468,Investors!$E:$E,'Investor Exit List'!$C468,Investors!$L:$L,'Investor Exit List'!$B468)+SUMIFS(Investors!$M:$M,Investors!$I:$I,"&lt;="&amp;'NSST Print'!$B$3,Investors!$J:$J,"",Investors!$A:$A,'Investor Exit List'!$A468,Investors!$E:$E,'Investor Exit List'!$C468,Investors!$L:$L,'Investor Exit List'!$B468))+SUMIFS(Investors!$S:$S,Investors!$O:$O,FALSE,Investors!$P:$P,FALSE,Investors!$K:$K,"&gt;"&amp;'NSST Print'!$B$3,Investors!$I:$I,"&lt;="&amp;'NSST Print'!$B$3,Investors!$A:$A,'Investor Exit List'!$A468,Investors!$E:$E,'Investor Exit List'!$C468,Investors!$L:$L,'Investor Exit List'!$B468)-(SUMIFS(Investors!$S:$S,Investors!$I:$I,"&lt;="&amp;'NSST Print'!$B$3,Investors!$J:$J,"&gt;"&amp;'NSST Print'!$B$3,Investors!$A:$A,'Investor Exit List'!$A468,Investors!$E:$E,'Investor Exit List'!$C468,Investors!$L:$L,'Investor Exit List'!$B468)+SUMIFS(Investors!$S:$S,Investors!$I:$I,"&lt;="&amp;'NSST Print'!$B$3,Investors!$J:$J,"",Investors!$A:$A,'Investor Exit List'!$A468,Investors!$E:$E,'Investor Exit List'!$C468,Investors!$L:$L,'Investor Exit List'!$B468))</f>
        <v/>
      </c>
      <c r="R468" s="94">
        <f>IF(AND(H468=TRUE,I468=FALSE),Q468,0)</f>
        <v/>
      </c>
      <c r="S468" s="94">
        <f>SUMIFS(Investors!$M:$M,Investors!$O:$O,TRUE,Investors!$A:$A,'Investor Exit List'!$A468,Investors!$E:$E,'Investor Exit List'!$C468,Investors!$L:$L,'Investor Exit List'!$B468)+SUMIFS(Investors!$S:$S,Investors!$O:$O,TRUE,Investors!$A:$A,'Investor Exit List'!$A468,Investors!$E:$E,'Investor Exit List'!$C468,Investors!$L:$L,'Investor Exit List'!$B468)</f>
        <v/>
      </c>
      <c r="T468" s="95">
        <f>IF(U468=TRUE,$J468,"")</f>
        <v/>
      </c>
      <c r="U468" s="93" t="b">
        <v>0</v>
      </c>
      <c r="V468" s="94">
        <f>IF(AND(H468=TRUE,OR(K468="",K468&gt;M468)),S468,0)</f>
        <v/>
      </c>
      <c r="W468" s="93" t="n">
        <v>0</v>
      </c>
      <c r="X468" s="93" t="b">
        <v>0</v>
      </c>
    </row>
    <row r="469">
      <c r="A469" s="93" t="inlineStr">
        <is>
          <t>ZDEL01</t>
        </is>
      </c>
      <c r="B469" s="93" t="n">
        <v>8</v>
      </c>
      <c r="C469" s="93" t="inlineStr">
        <is>
          <t>HVN304</t>
        </is>
      </c>
      <c r="D469" s="93" t="inlineStr">
        <is>
          <t>N</t>
        </is>
      </c>
      <c r="E469" s="93" t="inlineStr">
        <is>
          <t>Jansen van Vuuren Pieter</t>
        </is>
      </c>
      <c r="F469" s="94">
        <f>SUMIFS(Investors!$M:$M,Investors!$O:$O,FALSE,Investors!$P:$P,FALSE,Investors!$K:$K,"&gt;"&amp;'NSST Print'!$B$3,Investors!$I:$I,"&lt;="&amp;'NSST Print'!$B$3,Investors!$A:$A,'Investor Exit List'!$A469,Investors!$E:$E,'Investor Exit List'!$C469,Investors!$L:$L,'Investor Exit List'!$B469)-(SUMIFS(Investors!$M:$M,Investors!$I:$I,"&lt;="&amp;'NSST Print'!$B$3,Investors!$J:$J,"&gt;"&amp;'NSST Print'!$B$3,Investors!$A:$A,'Investor Exit List'!$A469,Investors!$E:$E,'Investor Exit List'!$C469,Investors!$L:$L,'Investor Exit List'!$B469)+SUMIFS(Investors!$M:$M,Investors!$I:$I,"&lt;="&amp;'NSST Print'!$B$3,Investors!$J:$J,"",Investors!$A:$A,'Investor Exit List'!$A469,Investors!$E:$E,'Investor Exit List'!$C469,Investors!$L:$L,'Investor Exit List'!$B469))</f>
        <v/>
      </c>
      <c r="G469" s="95" t="n">
        <v>44743</v>
      </c>
      <c r="H469" s="93" t="b">
        <v>0</v>
      </c>
      <c r="I469" s="93" t="b">
        <v>0</v>
      </c>
      <c r="J469" s="95" t="n">
        <v>45498</v>
      </c>
      <c r="K469" s="95">
        <f>IF(I469=TRUE,J469,"")</f>
        <v/>
      </c>
      <c r="L469" s="95">
        <f>G469+730</f>
        <v/>
      </c>
      <c r="M469" s="95" t="n">
        <v>45382</v>
      </c>
      <c r="N469" s="96">
        <f>IFERROR(IF(G469&lt;&gt;"",IF(I469=TRUE,0,IF(U469=TRUE,0,L469-M469)),0),0)</f>
        <v/>
      </c>
      <c r="O469" s="96">
        <f>IF(N469&gt;0,IF(N469&lt;=180,N469,0),0)</f>
        <v/>
      </c>
      <c r="P469" s="94">
        <f>IF(AND(N469&lt;90,N469&gt;0),Q469,0)</f>
        <v/>
      </c>
      <c r="Q469" s="94">
        <f>SUMIFS(Investors!$M:$M,Investors!$O:$O,FALSE,Investors!$P:$P,FALSE,Investors!$K:$K,"&gt;"&amp;'NSST Print'!$B$3,Investors!$I:$I,"&lt;="&amp;'NSST Print'!$B$3,Investors!$A:$A,'Investor Exit List'!$A469,Investors!$E:$E,'Investor Exit List'!$C469,Investors!$L:$L,'Investor Exit List'!$B469)-(SUMIFS(Investors!$M:$M,Investors!$I:$I,"&lt;="&amp;'NSST Print'!$B$3,Investors!$J:$J,"&gt;"&amp;'NSST Print'!$B$3,Investors!$A:$A,'Investor Exit List'!$A469,Investors!$E:$E,'Investor Exit List'!$C469,Investors!$L:$L,'Investor Exit List'!$B469)+SUMIFS(Investors!$M:$M,Investors!$I:$I,"&lt;="&amp;'NSST Print'!$B$3,Investors!$J:$J,"",Investors!$A:$A,'Investor Exit List'!$A469,Investors!$E:$E,'Investor Exit List'!$C469,Investors!$L:$L,'Investor Exit List'!$B469))+SUMIFS(Investors!$S:$S,Investors!$O:$O,FALSE,Investors!$P:$P,FALSE,Investors!$K:$K,"&gt;"&amp;'NSST Print'!$B$3,Investors!$I:$I,"&lt;="&amp;'NSST Print'!$B$3,Investors!$A:$A,'Investor Exit List'!$A469,Investors!$E:$E,'Investor Exit List'!$C469,Investors!$L:$L,'Investor Exit List'!$B469)-(SUMIFS(Investors!$S:$S,Investors!$I:$I,"&lt;="&amp;'NSST Print'!$B$3,Investors!$J:$J,"&gt;"&amp;'NSST Print'!$B$3,Investors!$A:$A,'Investor Exit List'!$A469,Investors!$E:$E,'Investor Exit List'!$C469,Investors!$L:$L,'Investor Exit List'!$B469)+SUMIFS(Investors!$S:$S,Investors!$I:$I,"&lt;="&amp;'NSST Print'!$B$3,Investors!$J:$J,"",Investors!$A:$A,'Investor Exit List'!$A469,Investors!$E:$E,'Investor Exit List'!$C469,Investors!$L:$L,'Investor Exit List'!$B469))</f>
        <v/>
      </c>
      <c r="R469" s="94">
        <f>IF(AND(H469=TRUE,I469=FALSE),Q469,0)</f>
        <v/>
      </c>
      <c r="S469" s="94">
        <f>SUMIFS(Investors!$M:$M,Investors!$O:$O,TRUE,Investors!$A:$A,'Investor Exit List'!$A469,Investors!$E:$E,'Investor Exit List'!$C469,Investors!$L:$L,'Investor Exit List'!$B469)+SUMIFS(Investors!$S:$S,Investors!$O:$O,TRUE,Investors!$A:$A,'Investor Exit List'!$A469,Investors!$E:$E,'Investor Exit List'!$C469,Investors!$L:$L,'Investor Exit List'!$B469)</f>
        <v/>
      </c>
      <c r="T469" s="95">
        <f>IF(U469=TRUE,$J469,"")</f>
        <v/>
      </c>
      <c r="U469" s="93" t="b">
        <v>0</v>
      </c>
      <c r="V469" s="94">
        <f>IF(AND(H469=TRUE,OR(K469="",K469&gt;M469)),S469,0)</f>
        <v/>
      </c>
      <c r="W469" s="93" t="n">
        <v>0</v>
      </c>
      <c r="X469" s="93" t="b">
        <v>0</v>
      </c>
    </row>
    <row r="470">
      <c r="A470" s="93" t="inlineStr">
        <is>
          <t>ZMAD01</t>
        </is>
      </c>
      <c r="B470" s="93" t="n">
        <v>2</v>
      </c>
      <c r="C470" s="93" t="inlineStr">
        <is>
          <t>HVN304</t>
        </is>
      </c>
      <c r="D470" s="93" t="inlineStr">
        <is>
          <t>N</t>
        </is>
      </c>
      <c r="E470" s="93" t="inlineStr">
        <is>
          <t>Maduna Esther</t>
        </is>
      </c>
      <c r="F470" s="94">
        <f>SUMIFS(Investors!$M:$M,Investors!$O:$O,FALSE,Investors!$P:$P,FALSE,Investors!$K:$K,"&gt;"&amp;'NSST Print'!$B$3,Investors!$I:$I,"&lt;="&amp;'NSST Print'!$B$3,Investors!$A:$A,'Investor Exit List'!$A470,Investors!$E:$E,'Investor Exit List'!$C470,Investors!$L:$L,'Investor Exit List'!$B470)-(SUMIFS(Investors!$M:$M,Investors!$I:$I,"&lt;="&amp;'NSST Print'!$B$3,Investors!$J:$J,"&gt;"&amp;'NSST Print'!$B$3,Investors!$A:$A,'Investor Exit List'!$A470,Investors!$E:$E,'Investor Exit List'!$C470,Investors!$L:$L,'Investor Exit List'!$B470)+SUMIFS(Investors!$M:$M,Investors!$I:$I,"&lt;="&amp;'NSST Print'!$B$3,Investors!$J:$J,"",Investors!$A:$A,'Investor Exit List'!$A470,Investors!$E:$E,'Investor Exit List'!$C470,Investors!$L:$L,'Investor Exit List'!$B470))</f>
        <v/>
      </c>
      <c r="G470" s="95" t="n">
        <v>44743</v>
      </c>
      <c r="H470" s="93" t="b">
        <v>0</v>
      </c>
      <c r="I470" s="93" t="b">
        <v>0</v>
      </c>
      <c r="J470" s="95" t="n">
        <v>45498</v>
      </c>
      <c r="K470" s="95">
        <f>IF(I470=TRUE,J470,"")</f>
        <v/>
      </c>
      <c r="L470" s="95">
        <f>G470+730</f>
        <v/>
      </c>
      <c r="M470" s="95" t="n">
        <v>45382</v>
      </c>
      <c r="N470" s="96">
        <f>IFERROR(IF(G470&lt;&gt;"",IF(I470=TRUE,0,IF(U470=TRUE,0,L470-M470)),0),0)</f>
        <v/>
      </c>
      <c r="O470" s="96">
        <f>IF(N470&gt;0,IF(N470&lt;=180,N470,0),0)</f>
        <v/>
      </c>
      <c r="P470" s="94">
        <f>IF(AND(N470&lt;90,N470&gt;0),Q470,0)</f>
        <v/>
      </c>
      <c r="Q470" s="94">
        <f>SUMIFS(Investors!$M:$M,Investors!$O:$O,FALSE,Investors!$P:$P,FALSE,Investors!$K:$K,"&gt;"&amp;'NSST Print'!$B$3,Investors!$I:$I,"&lt;="&amp;'NSST Print'!$B$3,Investors!$A:$A,'Investor Exit List'!$A470,Investors!$E:$E,'Investor Exit List'!$C470,Investors!$L:$L,'Investor Exit List'!$B470)-(SUMIFS(Investors!$M:$M,Investors!$I:$I,"&lt;="&amp;'NSST Print'!$B$3,Investors!$J:$J,"&gt;"&amp;'NSST Print'!$B$3,Investors!$A:$A,'Investor Exit List'!$A470,Investors!$E:$E,'Investor Exit List'!$C470,Investors!$L:$L,'Investor Exit List'!$B470)+SUMIFS(Investors!$M:$M,Investors!$I:$I,"&lt;="&amp;'NSST Print'!$B$3,Investors!$J:$J,"",Investors!$A:$A,'Investor Exit List'!$A470,Investors!$E:$E,'Investor Exit List'!$C470,Investors!$L:$L,'Investor Exit List'!$B470))+SUMIFS(Investors!$S:$S,Investors!$O:$O,FALSE,Investors!$P:$P,FALSE,Investors!$K:$K,"&gt;"&amp;'NSST Print'!$B$3,Investors!$I:$I,"&lt;="&amp;'NSST Print'!$B$3,Investors!$A:$A,'Investor Exit List'!$A470,Investors!$E:$E,'Investor Exit List'!$C470,Investors!$L:$L,'Investor Exit List'!$B470)-(SUMIFS(Investors!$S:$S,Investors!$I:$I,"&lt;="&amp;'NSST Print'!$B$3,Investors!$J:$J,"&gt;"&amp;'NSST Print'!$B$3,Investors!$A:$A,'Investor Exit List'!$A470,Investors!$E:$E,'Investor Exit List'!$C470,Investors!$L:$L,'Investor Exit List'!$B470)+SUMIFS(Investors!$S:$S,Investors!$I:$I,"&lt;="&amp;'NSST Print'!$B$3,Investors!$J:$J,"",Investors!$A:$A,'Investor Exit List'!$A470,Investors!$E:$E,'Investor Exit List'!$C470,Investors!$L:$L,'Investor Exit List'!$B470))</f>
        <v/>
      </c>
      <c r="R470" s="94">
        <f>IF(AND(H470=TRUE,I470=FALSE),Q470,0)</f>
        <v/>
      </c>
      <c r="S470" s="94">
        <f>SUMIFS(Investors!$M:$M,Investors!$O:$O,TRUE,Investors!$A:$A,'Investor Exit List'!$A470,Investors!$E:$E,'Investor Exit List'!$C470,Investors!$L:$L,'Investor Exit List'!$B470)+SUMIFS(Investors!$S:$S,Investors!$O:$O,TRUE,Investors!$A:$A,'Investor Exit List'!$A470,Investors!$E:$E,'Investor Exit List'!$C470,Investors!$L:$L,'Investor Exit List'!$B470)</f>
        <v/>
      </c>
      <c r="T470" s="95">
        <f>IF(U470=TRUE,$J470,"")</f>
        <v/>
      </c>
      <c r="U470" s="93" t="b">
        <v>0</v>
      </c>
      <c r="V470" s="94">
        <f>IF(AND(H470=TRUE,OR(K470="",K470&gt;M470)),S470,0)</f>
        <v/>
      </c>
      <c r="W470" s="93" t="n">
        <v>0</v>
      </c>
      <c r="X470" s="93" t="b">
        <v>0</v>
      </c>
    </row>
    <row r="471">
      <c r="A471" s="93" t="inlineStr">
        <is>
          <t>ZSCH01</t>
        </is>
      </c>
      <c r="B471" s="93" t="n">
        <v>15</v>
      </c>
      <c r="C471" s="93" t="inlineStr">
        <is>
          <t>HVN304</t>
        </is>
      </c>
      <c r="D471" s="93" t="inlineStr">
        <is>
          <t>N</t>
        </is>
      </c>
      <c r="E471" s="93" t="inlineStr">
        <is>
          <t>Schubert Inge</t>
        </is>
      </c>
      <c r="F471" s="94">
        <f>SUMIFS(Investors!$M:$M,Investors!$O:$O,FALSE,Investors!$P:$P,FALSE,Investors!$K:$K,"&gt;"&amp;'NSST Print'!$B$3,Investors!$I:$I,"&lt;="&amp;'NSST Print'!$B$3,Investors!$A:$A,'Investor Exit List'!$A471,Investors!$E:$E,'Investor Exit List'!$C471,Investors!$L:$L,'Investor Exit List'!$B471)-(SUMIFS(Investors!$M:$M,Investors!$I:$I,"&lt;="&amp;'NSST Print'!$B$3,Investors!$J:$J,"&gt;"&amp;'NSST Print'!$B$3,Investors!$A:$A,'Investor Exit List'!$A471,Investors!$E:$E,'Investor Exit List'!$C471,Investors!$L:$L,'Investor Exit List'!$B471)+SUMIFS(Investors!$M:$M,Investors!$I:$I,"&lt;="&amp;'NSST Print'!$B$3,Investors!$J:$J,"",Investors!$A:$A,'Investor Exit List'!$A471,Investors!$E:$E,'Investor Exit List'!$C471,Investors!$L:$L,'Investor Exit List'!$B471))</f>
        <v/>
      </c>
      <c r="G471" s="95" t="n">
        <v>44763</v>
      </c>
      <c r="H471" s="93" t="b">
        <v>0</v>
      </c>
      <c r="I471" s="93" t="b">
        <v>0</v>
      </c>
      <c r="J471" s="95" t="n">
        <v>45498</v>
      </c>
      <c r="K471" s="95">
        <f>IF(I471=TRUE,J471,"")</f>
        <v/>
      </c>
      <c r="L471" s="95">
        <f>G471+730</f>
        <v/>
      </c>
      <c r="M471" s="95" t="n">
        <v>45382</v>
      </c>
      <c r="N471" s="96">
        <f>IFERROR(IF(G471&lt;&gt;"",IF(I471=TRUE,0,IF(U471=TRUE,0,L471-M471)),0),0)</f>
        <v/>
      </c>
      <c r="O471" s="96">
        <f>IF(N471&gt;0,IF(N471&lt;=180,N471,0),0)</f>
        <v/>
      </c>
      <c r="P471" s="94">
        <f>IF(AND(N471&lt;90,N471&gt;0),Q471,0)</f>
        <v/>
      </c>
      <c r="Q471" s="94">
        <f>SUMIFS(Investors!$M:$M,Investors!$O:$O,FALSE,Investors!$P:$P,FALSE,Investors!$K:$K,"&gt;"&amp;'NSST Print'!$B$3,Investors!$I:$I,"&lt;="&amp;'NSST Print'!$B$3,Investors!$A:$A,'Investor Exit List'!$A471,Investors!$E:$E,'Investor Exit List'!$C471,Investors!$L:$L,'Investor Exit List'!$B471)-(SUMIFS(Investors!$M:$M,Investors!$I:$I,"&lt;="&amp;'NSST Print'!$B$3,Investors!$J:$J,"&gt;"&amp;'NSST Print'!$B$3,Investors!$A:$A,'Investor Exit List'!$A471,Investors!$E:$E,'Investor Exit List'!$C471,Investors!$L:$L,'Investor Exit List'!$B471)+SUMIFS(Investors!$M:$M,Investors!$I:$I,"&lt;="&amp;'NSST Print'!$B$3,Investors!$J:$J,"",Investors!$A:$A,'Investor Exit List'!$A471,Investors!$E:$E,'Investor Exit List'!$C471,Investors!$L:$L,'Investor Exit List'!$B471))+SUMIFS(Investors!$S:$S,Investors!$O:$O,FALSE,Investors!$P:$P,FALSE,Investors!$K:$K,"&gt;"&amp;'NSST Print'!$B$3,Investors!$I:$I,"&lt;="&amp;'NSST Print'!$B$3,Investors!$A:$A,'Investor Exit List'!$A471,Investors!$E:$E,'Investor Exit List'!$C471,Investors!$L:$L,'Investor Exit List'!$B471)-(SUMIFS(Investors!$S:$S,Investors!$I:$I,"&lt;="&amp;'NSST Print'!$B$3,Investors!$J:$J,"&gt;"&amp;'NSST Print'!$B$3,Investors!$A:$A,'Investor Exit List'!$A471,Investors!$E:$E,'Investor Exit List'!$C471,Investors!$L:$L,'Investor Exit List'!$B471)+SUMIFS(Investors!$S:$S,Investors!$I:$I,"&lt;="&amp;'NSST Print'!$B$3,Investors!$J:$J,"",Investors!$A:$A,'Investor Exit List'!$A471,Investors!$E:$E,'Investor Exit List'!$C471,Investors!$L:$L,'Investor Exit List'!$B471))</f>
        <v/>
      </c>
      <c r="R471" s="94">
        <f>IF(AND(H471=TRUE,I471=FALSE),Q471,0)</f>
        <v/>
      </c>
      <c r="S471" s="94">
        <f>SUMIFS(Investors!$M:$M,Investors!$O:$O,TRUE,Investors!$A:$A,'Investor Exit List'!$A471,Investors!$E:$E,'Investor Exit List'!$C471,Investors!$L:$L,'Investor Exit List'!$B471)+SUMIFS(Investors!$S:$S,Investors!$O:$O,TRUE,Investors!$A:$A,'Investor Exit List'!$A471,Investors!$E:$E,'Investor Exit List'!$C471,Investors!$L:$L,'Investor Exit List'!$B471)</f>
        <v/>
      </c>
      <c r="T471" s="95">
        <f>IF(U471=TRUE,$J471,"")</f>
        <v/>
      </c>
      <c r="U471" s="93" t="b">
        <v>0</v>
      </c>
      <c r="V471" s="94">
        <f>IF(AND(H471=TRUE,OR(K471="",K471&gt;M471)),S471,0)</f>
        <v/>
      </c>
      <c r="W471" s="93" t="n">
        <v>0</v>
      </c>
      <c r="X471" s="93" t="b">
        <v>0</v>
      </c>
    </row>
    <row r="472">
      <c r="A472" s="93" t="inlineStr">
        <is>
          <t>ZVDM01</t>
        </is>
      </c>
      <c r="B472" s="93" t="n">
        <v>4</v>
      </c>
      <c r="C472" s="93" t="inlineStr">
        <is>
          <t>HVN304</t>
        </is>
      </c>
      <c r="D472" s="93" t="inlineStr">
        <is>
          <t>N</t>
        </is>
      </c>
      <c r="E472" s="93" t="inlineStr">
        <is>
          <t>van der Mescht Paula</t>
        </is>
      </c>
      <c r="F472" s="94">
        <f>SUMIFS(Investors!$M:$M,Investors!$O:$O,FALSE,Investors!$P:$P,FALSE,Investors!$K:$K,"&gt;"&amp;'NSST Print'!$B$3,Investors!$I:$I,"&lt;="&amp;'NSST Print'!$B$3,Investors!$A:$A,'Investor Exit List'!$A472,Investors!$E:$E,'Investor Exit List'!$C472,Investors!$L:$L,'Investor Exit List'!$B472)-(SUMIFS(Investors!$M:$M,Investors!$I:$I,"&lt;="&amp;'NSST Print'!$B$3,Investors!$J:$J,"&gt;"&amp;'NSST Print'!$B$3,Investors!$A:$A,'Investor Exit List'!$A472,Investors!$E:$E,'Investor Exit List'!$C472,Investors!$L:$L,'Investor Exit List'!$B472)+SUMIFS(Investors!$M:$M,Investors!$I:$I,"&lt;="&amp;'NSST Print'!$B$3,Investors!$J:$J,"",Investors!$A:$A,'Investor Exit List'!$A472,Investors!$E:$E,'Investor Exit List'!$C472,Investors!$L:$L,'Investor Exit List'!$B472))</f>
        <v/>
      </c>
      <c r="G472" s="95" t="n">
        <v>44743</v>
      </c>
      <c r="H472" s="93" t="b">
        <v>0</v>
      </c>
      <c r="I472" s="93" t="b">
        <v>0</v>
      </c>
      <c r="J472" s="95" t="n">
        <v>45498</v>
      </c>
      <c r="K472" s="95">
        <f>IF(I472=TRUE,J472,"")</f>
        <v/>
      </c>
      <c r="L472" s="95">
        <f>G472+730</f>
        <v/>
      </c>
      <c r="M472" s="95" t="n">
        <v>45382</v>
      </c>
      <c r="N472" s="96">
        <f>IFERROR(IF(G472&lt;&gt;"",IF(I472=TRUE,0,IF(U472=TRUE,0,L472-M472)),0),0)</f>
        <v/>
      </c>
      <c r="O472" s="96">
        <f>IF(N472&gt;0,IF(N472&lt;=180,N472,0),0)</f>
        <v/>
      </c>
      <c r="P472" s="94">
        <f>IF(AND(N472&lt;90,N472&gt;0),Q472,0)</f>
        <v/>
      </c>
      <c r="Q472" s="94">
        <f>SUMIFS(Investors!$M:$M,Investors!$O:$O,FALSE,Investors!$P:$P,FALSE,Investors!$K:$K,"&gt;"&amp;'NSST Print'!$B$3,Investors!$I:$I,"&lt;="&amp;'NSST Print'!$B$3,Investors!$A:$A,'Investor Exit List'!$A472,Investors!$E:$E,'Investor Exit List'!$C472,Investors!$L:$L,'Investor Exit List'!$B472)-(SUMIFS(Investors!$M:$M,Investors!$I:$I,"&lt;="&amp;'NSST Print'!$B$3,Investors!$J:$J,"&gt;"&amp;'NSST Print'!$B$3,Investors!$A:$A,'Investor Exit List'!$A472,Investors!$E:$E,'Investor Exit List'!$C472,Investors!$L:$L,'Investor Exit List'!$B472)+SUMIFS(Investors!$M:$M,Investors!$I:$I,"&lt;="&amp;'NSST Print'!$B$3,Investors!$J:$J,"",Investors!$A:$A,'Investor Exit List'!$A472,Investors!$E:$E,'Investor Exit List'!$C472,Investors!$L:$L,'Investor Exit List'!$B472))+SUMIFS(Investors!$S:$S,Investors!$O:$O,FALSE,Investors!$P:$P,FALSE,Investors!$K:$K,"&gt;"&amp;'NSST Print'!$B$3,Investors!$I:$I,"&lt;="&amp;'NSST Print'!$B$3,Investors!$A:$A,'Investor Exit List'!$A472,Investors!$E:$E,'Investor Exit List'!$C472,Investors!$L:$L,'Investor Exit List'!$B472)-(SUMIFS(Investors!$S:$S,Investors!$I:$I,"&lt;="&amp;'NSST Print'!$B$3,Investors!$J:$J,"&gt;"&amp;'NSST Print'!$B$3,Investors!$A:$A,'Investor Exit List'!$A472,Investors!$E:$E,'Investor Exit List'!$C472,Investors!$L:$L,'Investor Exit List'!$B472)+SUMIFS(Investors!$S:$S,Investors!$I:$I,"&lt;="&amp;'NSST Print'!$B$3,Investors!$J:$J,"",Investors!$A:$A,'Investor Exit List'!$A472,Investors!$E:$E,'Investor Exit List'!$C472,Investors!$L:$L,'Investor Exit List'!$B472))</f>
        <v/>
      </c>
      <c r="R472" s="94">
        <f>IF(AND(H472=TRUE,I472=FALSE),Q472,0)</f>
        <v/>
      </c>
      <c r="S472" s="94">
        <f>SUMIFS(Investors!$M:$M,Investors!$O:$O,TRUE,Investors!$A:$A,'Investor Exit List'!$A472,Investors!$E:$E,'Investor Exit List'!$C472,Investors!$L:$L,'Investor Exit List'!$B472)+SUMIFS(Investors!$S:$S,Investors!$O:$O,TRUE,Investors!$A:$A,'Investor Exit List'!$A472,Investors!$E:$E,'Investor Exit List'!$C472,Investors!$L:$L,'Investor Exit List'!$B472)</f>
        <v/>
      </c>
      <c r="T472" s="95">
        <f>IF(U472=TRUE,$J472,"")</f>
        <v/>
      </c>
      <c r="U472" s="93" t="b">
        <v>0</v>
      </c>
      <c r="V472" s="94">
        <f>IF(AND(H472=TRUE,OR(K472="",K472&gt;M472)),S472,0)</f>
        <v/>
      </c>
      <c r="W472" s="93" t="n">
        <v>0</v>
      </c>
      <c r="X472" s="93" t="b">
        <v>0</v>
      </c>
    </row>
    <row r="473">
      <c r="A473" s="97" t="inlineStr">
        <is>
          <t>ZALM01</t>
        </is>
      </c>
      <c r="B473" s="97" t="n">
        <v>7</v>
      </c>
      <c r="C473" s="97" t="inlineStr">
        <is>
          <t>HVO101</t>
        </is>
      </c>
      <c r="D473" s="97" t="inlineStr">
        <is>
          <t>O</t>
        </is>
      </c>
      <c r="E473" s="97" t="inlineStr">
        <is>
          <t>Lunau Marc</t>
        </is>
      </c>
      <c r="F473" s="98">
        <f>SUMIFS(Investors!$M:$M,Investors!$O:$O,FALSE,Investors!$P:$P,FALSE,Investors!$K:$K,"&gt;"&amp;'NSST Print'!$B$3,Investors!$I:$I,"&lt;="&amp;'NSST Print'!$B$3,Investors!$A:$A,'Investor Exit List'!$A473,Investors!$E:$E,'Investor Exit List'!$C473,Investors!$L:$L,'Investor Exit List'!$B473)-(SUMIFS(Investors!$M:$M,Investors!$I:$I,"&lt;="&amp;'NSST Print'!$B$3,Investors!$J:$J,"&gt;"&amp;'NSST Print'!$B$3,Investors!$A:$A,'Investor Exit List'!$A473,Investors!$E:$E,'Investor Exit List'!$C473,Investors!$L:$L,'Investor Exit List'!$B473)+SUMIFS(Investors!$M:$M,Investors!$I:$I,"&lt;="&amp;'NSST Print'!$B$3,Investors!$J:$J,"",Investors!$A:$A,'Investor Exit List'!$A473,Investors!$E:$E,'Investor Exit List'!$C473,Investors!$L:$L,'Investor Exit List'!$B473))</f>
        <v/>
      </c>
      <c r="G473" s="99" t="n">
        <v>44980</v>
      </c>
      <c r="H473" s="97" t="b">
        <v>1</v>
      </c>
      <c r="I473" s="97" t="b">
        <v>0</v>
      </c>
      <c r="J473" s="99" t="n">
        <v>45518</v>
      </c>
      <c r="K473" s="99">
        <f>IF(I473=TRUE,J473,"")</f>
        <v/>
      </c>
      <c r="L473" s="99">
        <f>G473+730</f>
        <v/>
      </c>
      <c r="M473" s="99" t="n">
        <v>45382</v>
      </c>
      <c r="N473" s="100">
        <f>IFERROR(IF(G473&lt;&gt;"",IF(I473=TRUE,0,IF(U473=TRUE,0,L473-M473)),0),0)</f>
        <v/>
      </c>
      <c r="O473" s="100">
        <f>IF(N473&gt;0,IF(N473&lt;=180,N473,0),0)</f>
        <v/>
      </c>
      <c r="P473" s="98">
        <f>IF(AND(N473&lt;90,N473&gt;0),Q473,0)</f>
        <v/>
      </c>
      <c r="Q473" s="98">
        <f>SUMIFS(Investors!$M:$M,Investors!$O:$O,FALSE,Investors!$P:$P,FALSE,Investors!$K:$K,"&gt;"&amp;'NSST Print'!$B$3,Investors!$I:$I,"&lt;="&amp;'NSST Print'!$B$3,Investors!$A:$A,'Investor Exit List'!$A473,Investors!$E:$E,'Investor Exit List'!$C473,Investors!$L:$L,'Investor Exit List'!$B473)-(SUMIFS(Investors!$M:$M,Investors!$I:$I,"&lt;="&amp;'NSST Print'!$B$3,Investors!$J:$J,"&gt;"&amp;'NSST Print'!$B$3,Investors!$A:$A,'Investor Exit List'!$A473,Investors!$E:$E,'Investor Exit List'!$C473,Investors!$L:$L,'Investor Exit List'!$B473)+SUMIFS(Investors!$M:$M,Investors!$I:$I,"&lt;="&amp;'NSST Print'!$B$3,Investors!$J:$J,"",Investors!$A:$A,'Investor Exit List'!$A473,Investors!$E:$E,'Investor Exit List'!$C473,Investors!$L:$L,'Investor Exit List'!$B473))+SUMIFS(Investors!$S:$S,Investors!$O:$O,FALSE,Investors!$P:$P,FALSE,Investors!$K:$K,"&gt;"&amp;'NSST Print'!$B$3,Investors!$I:$I,"&lt;="&amp;'NSST Print'!$B$3,Investors!$A:$A,'Investor Exit List'!$A473,Investors!$E:$E,'Investor Exit List'!$C473,Investors!$L:$L,'Investor Exit List'!$B473)-(SUMIFS(Investors!$S:$S,Investors!$I:$I,"&lt;="&amp;'NSST Print'!$B$3,Investors!$J:$J,"&gt;"&amp;'NSST Print'!$B$3,Investors!$A:$A,'Investor Exit List'!$A473,Investors!$E:$E,'Investor Exit List'!$C473,Investors!$L:$L,'Investor Exit List'!$B473)+SUMIFS(Investors!$S:$S,Investors!$I:$I,"&lt;="&amp;'NSST Print'!$B$3,Investors!$J:$J,"",Investors!$A:$A,'Investor Exit List'!$A473,Investors!$E:$E,'Investor Exit List'!$C473,Investors!$L:$L,'Investor Exit List'!$B473))</f>
        <v/>
      </c>
      <c r="R473" s="98">
        <f>IF(AND(H473=TRUE,I473=FALSE),Q473,0)</f>
        <v/>
      </c>
      <c r="S473" s="98">
        <f>SUMIFS(Investors!$M:$M,Investors!$O:$O,TRUE,Investors!$A:$A,'Investor Exit List'!$A473,Investors!$E:$E,'Investor Exit List'!$C473,Investors!$L:$L,'Investor Exit List'!$B473)+SUMIFS(Investors!$S:$S,Investors!$O:$O,TRUE,Investors!$A:$A,'Investor Exit List'!$A473,Investors!$E:$E,'Investor Exit List'!$C473,Investors!$L:$L,'Investor Exit List'!$B473)</f>
        <v/>
      </c>
      <c r="T473" s="99">
        <f>IF(U473=TRUE,$J473,"")</f>
        <v/>
      </c>
      <c r="U473" s="97" t="b">
        <v>0</v>
      </c>
      <c r="V473" s="98">
        <f>IF(AND(H473=TRUE,OR(K473="",K473&gt;M473)),S473,0)</f>
        <v/>
      </c>
      <c r="W473" s="97" t="n">
        <v>0</v>
      </c>
      <c r="X473" s="97" t="b">
        <v>0</v>
      </c>
    </row>
    <row r="474">
      <c r="A474" s="97" t="inlineStr">
        <is>
          <t>ZCRO01</t>
        </is>
      </c>
      <c r="B474" s="97" t="n">
        <v>12</v>
      </c>
      <c r="C474" s="97" t="inlineStr">
        <is>
          <t>HVO101</t>
        </is>
      </c>
      <c r="D474" s="97" t="inlineStr">
        <is>
          <t>O</t>
        </is>
      </c>
      <c r="E474" s="97" t="inlineStr">
        <is>
          <t>Lunau Marc</t>
        </is>
      </c>
      <c r="F474" s="98">
        <f>SUMIFS(Investors!$M:$M,Investors!$O:$O,FALSE,Investors!$P:$P,FALSE,Investors!$K:$K,"&gt;"&amp;'NSST Print'!$B$3,Investors!$I:$I,"&lt;="&amp;'NSST Print'!$B$3,Investors!$A:$A,'Investor Exit List'!$A474,Investors!$E:$E,'Investor Exit List'!$C474,Investors!$L:$L,'Investor Exit List'!$B474)-(SUMIFS(Investors!$M:$M,Investors!$I:$I,"&lt;="&amp;'NSST Print'!$B$3,Investors!$J:$J,"&gt;"&amp;'NSST Print'!$B$3,Investors!$A:$A,'Investor Exit List'!$A474,Investors!$E:$E,'Investor Exit List'!$C474,Investors!$L:$L,'Investor Exit List'!$B474)+SUMIFS(Investors!$M:$M,Investors!$I:$I,"&lt;="&amp;'NSST Print'!$B$3,Investors!$J:$J,"",Investors!$A:$A,'Investor Exit List'!$A474,Investors!$E:$E,'Investor Exit List'!$C474,Investors!$L:$L,'Investor Exit List'!$B474))</f>
        <v/>
      </c>
      <c r="G474" s="99" t="n">
        <v>45072</v>
      </c>
      <c r="H474" s="97" t="b">
        <v>1</v>
      </c>
      <c r="I474" s="97" t="b">
        <v>0</v>
      </c>
      <c r="J474" s="99" t="n">
        <v>45518</v>
      </c>
      <c r="K474" s="99">
        <f>IF(I474=TRUE,J474,"")</f>
        <v/>
      </c>
      <c r="L474" s="99">
        <f>G474+730</f>
        <v/>
      </c>
      <c r="M474" s="99" t="n">
        <v>45382</v>
      </c>
      <c r="N474" s="100">
        <f>IFERROR(IF(G474&lt;&gt;"",IF(I474=TRUE,0,IF(U474=TRUE,0,L474-M474)),0),0)</f>
        <v/>
      </c>
      <c r="O474" s="100">
        <f>IF(N474&gt;0,IF(N474&lt;=180,N474,0),0)</f>
        <v/>
      </c>
      <c r="P474" s="98">
        <f>IF(AND(N474&lt;90,N474&gt;0),Q474,0)</f>
        <v/>
      </c>
      <c r="Q474" s="98">
        <f>SUMIFS(Investors!$M:$M,Investors!$O:$O,FALSE,Investors!$P:$P,FALSE,Investors!$K:$K,"&gt;"&amp;'NSST Print'!$B$3,Investors!$I:$I,"&lt;="&amp;'NSST Print'!$B$3,Investors!$A:$A,'Investor Exit List'!$A474,Investors!$E:$E,'Investor Exit List'!$C474,Investors!$L:$L,'Investor Exit List'!$B474)-(SUMIFS(Investors!$M:$M,Investors!$I:$I,"&lt;="&amp;'NSST Print'!$B$3,Investors!$J:$J,"&gt;"&amp;'NSST Print'!$B$3,Investors!$A:$A,'Investor Exit List'!$A474,Investors!$E:$E,'Investor Exit List'!$C474,Investors!$L:$L,'Investor Exit List'!$B474)+SUMIFS(Investors!$M:$M,Investors!$I:$I,"&lt;="&amp;'NSST Print'!$B$3,Investors!$J:$J,"",Investors!$A:$A,'Investor Exit List'!$A474,Investors!$E:$E,'Investor Exit List'!$C474,Investors!$L:$L,'Investor Exit List'!$B474))+SUMIFS(Investors!$S:$S,Investors!$O:$O,FALSE,Investors!$P:$P,FALSE,Investors!$K:$K,"&gt;"&amp;'NSST Print'!$B$3,Investors!$I:$I,"&lt;="&amp;'NSST Print'!$B$3,Investors!$A:$A,'Investor Exit List'!$A474,Investors!$E:$E,'Investor Exit List'!$C474,Investors!$L:$L,'Investor Exit List'!$B474)-(SUMIFS(Investors!$S:$S,Investors!$I:$I,"&lt;="&amp;'NSST Print'!$B$3,Investors!$J:$J,"&gt;"&amp;'NSST Print'!$B$3,Investors!$A:$A,'Investor Exit List'!$A474,Investors!$E:$E,'Investor Exit List'!$C474,Investors!$L:$L,'Investor Exit List'!$B474)+SUMIFS(Investors!$S:$S,Investors!$I:$I,"&lt;="&amp;'NSST Print'!$B$3,Investors!$J:$J,"",Investors!$A:$A,'Investor Exit List'!$A474,Investors!$E:$E,'Investor Exit List'!$C474,Investors!$L:$L,'Investor Exit List'!$B474))</f>
        <v/>
      </c>
      <c r="R474" s="98">
        <f>IF(AND(H474=TRUE,I474=FALSE),Q474,0)</f>
        <v/>
      </c>
      <c r="S474" s="98">
        <f>SUMIFS(Investors!$M:$M,Investors!$O:$O,TRUE,Investors!$A:$A,'Investor Exit List'!$A474,Investors!$E:$E,'Investor Exit List'!$C474,Investors!$L:$L,'Investor Exit List'!$B474)+SUMIFS(Investors!$S:$S,Investors!$O:$O,TRUE,Investors!$A:$A,'Investor Exit List'!$A474,Investors!$E:$E,'Investor Exit List'!$C474,Investors!$L:$L,'Investor Exit List'!$B474)</f>
        <v/>
      </c>
      <c r="T474" s="99">
        <f>IF(U474=TRUE,$J474,"")</f>
        <v/>
      </c>
      <c r="U474" s="97" t="b">
        <v>0</v>
      </c>
      <c r="V474" s="98">
        <f>IF(AND(H474=TRUE,OR(K474="",K474&gt;M474)),S474,0)</f>
        <v/>
      </c>
      <c r="W474" s="97" t="n">
        <v>0</v>
      </c>
      <c r="X474" s="97" t="b">
        <v>0</v>
      </c>
    </row>
    <row r="475">
      <c r="A475" s="97" t="inlineStr">
        <is>
          <t>ZINT01</t>
        </is>
      </c>
      <c r="B475" s="97" t="n">
        <v>13</v>
      </c>
      <c r="C475" s="97" t="inlineStr">
        <is>
          <t>HVO101</t>
        </is>
      </c>
      <c r="D475" s="97" t="inlineStr">
        <is>
          <t>O</t>
        </is>
      </c>
      <c r="E475" s="97" t="inlineStr">
        <is>
          <t>Lunau Marc</t>
        </is>
      </c>
      <c r="F475" s="98">
        <f>SUMIFS(Investors!$M:$M,Investors!$O:$O,FALSE,Investors!$P:$P,FALSE,Investors!$K:$K,"&gt;"&amp;'NSST Print'!$B$3,Investors!$I:$I,"&lt;="&amp;'NSST Print'!$B$3,Investors!$A:$A,'Investor Exit List'!$A475,Investors!$E:$E,'Investor Exit List'!$C475,Investors!$L:$L,'Investor Exit List'!$B475)-(SUMIFS(Investors!$M:$M,Investors!$I:$I,"&lt;="&amp;'NSST Print'!$B$3,Investors!$J:$J,"&gt;"&amp;'NSST Print'!$B$3,Investors!$A:$A,'Investor Exit List'!$A475,Investors!$E:$E,'Investor Exit List'!$C475,Investors!$L:$L,'Investor Exit List'!$B475)+SUMIFS(Investors!$M:$M,Investors!$I:$I,"&lt;="&amp;'NSST Print'!$B$3,Investors!$J:$J,"",Investors!$A:$A,'Investor Exit List'!$A475,Investors!$E:$E,'Investor Exit List'!$C475,Investors!$L:$L,'Investor Exit List'!$B475))</f>
        <v/>
      </c>
      <c r="G475" s="99" t="n">
        <v>45072</v>
      </c>
      <c r="H475" s="97" t="b">
        <v>1</v>
      </c>
      <c r="I475" s="97" t="b">
        <v>0</v>
      </c>
      <c r="J475" s="99" t="n">
        <v>45518</v>
      </c>
      <c r="K475" s="99">
        <f>IF(I475=TRUE,J475,"")</f>
        <v/>
      </c>
      <c r="L475" s="99">
        <f>G475+730</f>
        <v/>
      </c>
      <c r="M475" s="99" t="n">
        <v>45382</v>
      </c>
      <c r="N475" s="100">
        <f>IFERROR(IF(G475&lt;&gt;"",IF(I475=TRUE,0,IF(U475=TRUE,0,L475-M475)),0),0)</f>
        <v/>
      </c>
      <c r="O475" s="100">
        <f>IF(N475&gt;0,IF(N475&lt;=180,N475,0),0)</f>
        <v/>
      </c>
      <c r="P475" s="98">
        <f>IF(AND(N475&lt;90,N475&gt;0),Q475,0)</f>
        <v/>
      </c>
      <c r="Q475" s="98">
        <f>SUMIFS(Investors!$M:$M,Investors!$O:$O,FALSE,Investors!$P:$P,FALSE,Investors!$K:$K,"&gt;"&amp;'NSST Print'!$B$3,Investors!$I:$I,"&lt;="&amp;'NSST Print'!$B$3,Investors!$A:$A,'Investor Exit List'!$A475,Investors!$E:$E,'Investor Exit List'!$C475,Investors!$L:$L,'Investor Exit List'!$B475)-(SUMIFS(Investors!$M:$M,Investors!$I:$I,"&lt;="&amp;'NSST Print'!$B$3,Investors!$J:$J,"&gt;"&amp;'NSST Print'!$B$3,Investors!$A:$A,'Investor Exit List'!$A475,Investors!$E:$E,'Investor Exit List'!$C475,Investors!$L:$L,'Investor Exit List'!$B475)+SUMIFS(Investors!$M:$M,Investors!$I:$I,"&lt;="&amp;'NSST Print'!$B$3,Investors!$J:$J,"",Investors!$A:$A,'Investor Exit List'!$A475,Investors!$E:$E,'Investor Exit List'!$C475,Investors!$L:$L,'Investor Exit List'!$B475))+SUMIFS(Investors!$S:$S,Investors!$O:$O,FALSE,Investors!$P:$P,FALSE,Investors!$K:$K,"&gt;"&amp;'NSST Print'!$B$3,Investors!$I:$I,"&lt;="&amp;'NSST Print'!$B$3,Investors!$A:$A,'Investor Exit List'!$A475,Investors!$E:$E,'Investor Exit List'!$C475,Investors!$L:$L,'Investor Exit List'!$B475)-(SUMIFS(Investors!$S:$S,Investors!$I:$I,"&lt;="&amp;'NSST Print'!$B$3,Investors!$J:$J,"&gt;"&amp;'NSST Print'!$B$3,Investors!$A:$A,'Investor Exit List'!$A475,Investors!$E:$E,'Investor Exit List'!$C475,Investors!$L:$L,'Investor Exit List'!$B475)+SUMIFS(Investors!$S:$S,Investors!$I:$I,"&lt;="&amp;'NSST Print'!$B$3,Investors!$J:$J,"",Investors!$A:$A,'Investor Exit List'!$A475,Investors!$E:$E,'Investor Exit List'!$C475,Investors!$L:$L,'Investor Exit List'!$B475))</f>
        <v/>
      </c>
      <c r="R475" s="98">
        <f>IF(AND(H475=TRUE,I475=FALSE),Q475,0)</f>
        <v/>
      </c>
      <c r="S475" s="98">
        <f>SUMIFS(Investors!$M:$M,Investors!$O:$O,TRUE,Investors!$A:$A,'Investor Exit List'!$A475,Investors!$E:$E,'Investor Exit List'!$C475,Investors!$L:$L,'Investor Exit List'!$B475)+SUMIFS(Investors!$S:$S,Investors!$O:$O,TRUE,Investors!$A:$A,'Investor Exit List'!$A475,Investors!$E:$E,'Investor Exit List'!$C475,Investors!$L:$L,'Investor Exit List'!$B475)</f>
        <v/>
      </c>
      <c r="T475" s="99">
        <f>IF(U475=TRUE,$J475,"")</f>
        <v/>
      </c>
      <c r="U475" s="97" t="b">
        <v>0</v>
      </c>
      <c r="V475" s="98">
        <f>IF(AND(H475=TRUE,OR(K475="",K475&gt;M475)),S475,0)</f>
        <v/>
      </c>
      <c r="W475" s="97" t="n">
        <v>0</v>
      </c>
      <c r="X475" s="97" t="b">
        <v>0</v>
      </c>
    </row>
    <row r="476">
      <c r="A476" s="97" t="inlineStr">
        <is>
          <t>ZJOH01</t>
        </is>
      </c>
      <c r="B476" s="97" t="n">
        <v>7</v>
      </c>
      <c r="C476" s="97" t="inlineStr">
        <is>
          <t>HVO101</t>
        </is>
      </c>
      <c r="D476" s="97" t="inlineStr">
        <is>
          <t>O</t>
        </is>
      </c>
      <c r="E476" s="97" t="inlineStr">
        <is>
          <t>Johns Lisa-Marie Natalie</t>
        </is>
      </c>
      <c r="F476" s="98">
        <f>SUMIFS(Investors!$M:$M,Investors!$O:$O,FALSE,Investors!$P:$P,FALSE,Investors!$K:$K,"&gt;"&amp;'NSST Print'!$B$3,Investors!$I:$I,"&lt;="&amp;'NSST Print'!$B$3,Investors!$A:$A,'Investor Exit List'!$A476,Investors!$E:$E,'Investor Exit List'!$C476,Investors!$L:$L,'Investor Exit List'!$B476)-(SUMIFS(Investors!$M:$M,Investors!$I:$I,"&lt;="&amp;'NSST Print'!$B$3,Investors!$J:$J,"&gt;"&amp;'NSST Print'!$B$3,Investors!$A:$A,'Investor Exit List'!$A476,Investors!$E:$E,'Investor Exit List'!$C476,Investors!$L:$L,'Investor Exit List'!$B476)+SUMIFS(Investors!$M:$M,Investors!$I:$I,"&lt;="&amp;'NSST Print'!$B$3,Investors!$J:$J,"",Investors!$A:$A,'Investor Exit List'!$A476,Investors!$E:$E,'Investor Exit List'!$C476,Investors!$L:$L,'Investor Exit List'!$B476))</f>
        <v/>
      </c>
      <c r="G476" s="99" t="n">
        <v>45072</v>
      </c>
      <c r="H476" s="97" t="b">
        <v>1</v>
      </c>
      <c r="I476" s="97" t="b">
        <v>0</v>
      </c>
      <c r="J476" s="99" t="n">
        <v>45518</v>
      </c>
      <c r="K476" s="99">
        <f>IF(I476=TRUE,J476,"")</f>
        <v/>
      </c>
      <c r="L476" s="99">
        <f>G476+730</f>
        <v/>
      </c>
      <c r="M476" s="99" t="n">
        <v>45382</v>
      </c>
      <c r="N476" s="100">
        <f>IFERROR(IF(G476&lt;&gt;"",IF(I476=TRUE,0,IF(U476=TRUE,0,L476-M476)),0),0)</f>
        <v/>
      </c>
      <c r="O476" s="100">
        <f>IF(N476&gt;0,IF(N476&lt;=180,N476,0),0)</f>
        <v/>
      </c>
      <c r="P476" s="98">
        <f>IF(AND(N476&lt;90,N476&gt;0),Q476,0)</f>
        <v/>
      </c>
      <c r="Q476" s="98">
        <f>SUMIFS(Investors!$M:$M,Investors!$O:$O,FALSE,Investors!$P:$P,FALSE,Investors!$K:$K,"&gt;"&amp;'NSST Print'!$B$3,Investors!$I:$I,"&lt;="&amp;'NSST Print'!$B$3,Investors!$A:$A,'Investor Exit List'!$A476,Investors!$E:$E,'Investor Exit List'!$C476,Investors!$L:$L,'Investor Exit List'!$B476)-(SUMIFS(Investors!$M:$M,Investors!$I:$I,"&lt;="&amp;'NSST Print'!$B$3,Investors!$J:$J,"&gt;"&amp;'NSST Print'!$B$3,Investors!$A:$A,'Investor Exit List'!$A476,Investors!$E:$E,'Investor Exit List'!$C476,Investors!$L:$L,'Investor Exit List'!$B476)+SUMIFS(Investors!$M:$M,Investors!$I:$I,"&lt;="&amp;'NSST Print'!$B$3,Investors!$J:$J,"",Investors!$A:$A,'Investor Exit List'!$A476,Investors!$E:$E,'Investor Exit List'!$C476,Investors!$L:$L,'Investor Exit List'!$B476))+SUMIFS(Investors!$S:$S,Investors!$O:$O,FALSE,Investors!$P:$P,FALSE,Investors!$K:$K,"&gt;"&amp;'NSST Print'!$B$3,Investors!$I:$I,"&lt;="&amp;'NSST Print'!$B$3,Investors!$A:$A,'Investor Exit List'!$A476,Investors!$E:$E,'Investor Exit List'!$C476,Investors!$L:$L,'Investor Exit List'!$B476)-(SUMIFS(Investors!$S:$S,Investors!$I:$I,"&lt;="&amp;'NSST Print'!$B$3,Investors!$J:$J,"&gt;"&amp;'NSST Print'!$B$3,Investors!$A:$A,'Investor Exit List'!$A476,Investors!$E:$E,'Investor Exit List'!$C476,Investors!$L:$L,'Investor Exit List'!$B476)+SUMIFS(Investors!$S:$S,Investors!$I:$I,"&lt;="&amp;'NSST Print'!$B$3,Investors!$J:$J,"",Investors!$A:$A,'Investor Exit List'!$A476,Investors!$E:$E,'Investor Exit List'!$C476,Investors!$L:$L,'Investor Exit List'!$B476))</f>
        <v/>
      </c>
      <c r="R476" s="98">
        <f>IF(AND(H476=TRUE,I476=FALSE),Q476,0)</f>
        <v/>
      </c>
      <c r="S476" s="98">
        <f>SUMIFS(Investors!$M:$M,Investors!$O:$O,TRUE,Investors!$A:$A,'Investor Exit List'!$A476,Investors!$E:$E,'Investor Exit List'!$C476,Investors!$L:$L,'Investor Exit List'!$B476)+SUMIFS(Investors!$S:$S,Investors!$O:$O,TRUE,Investors!$A:$A,'Investor Exit List'!$A476,Investors!$E:$E,'Investor Exit List'!$C476,Investors!$L:$L,'Investor Exit List'!$B476)</f>
        <v/>
      </c>
      <c r="T476" s="99">
        <f>IF(U476=TRUE,$J476,"")</f>
        <v/>
      </c>
      <c r="U476" s="97" t="b">
        <v>0</v>
      </c>
      <c r="V476" s="98">
        <f>IF(AND(H476=TRUE,OR(K476="",K476&gt;M476)),S476,0)</f>
        <v/>
      </c>
      <c r="W476" s="97" t="n">
        <v>0</v>
      </c>
      <c r="X476" s="97" t="b">
        <v>0</v>
      </c>
    </row>
    <row r="477">
      <c r="A477" s="97" t="inlineStr">
        <is>
          <t>ZVOR01</t>
        </is>
      </c>
      <c r="B477" s="97" t="n">
        <v>5</v>
      </c>
      <c r="C477" s="97" t="inlineStr">
        <is>
          <t>HVO101</t>
        </is>
      </c>
      <c r="D477" s="97" t="inlineStr">
        <is>
          <t>O</t>
        </is>
      </c>
      <c r="E477" s="97" t="inlineStr">
        <is>
          <t xml:space="preserve">Vorster Sophia Maria Catharina </t>
        </is>
      </c>
      <c r="F477" s="98">
        <f>SUMIFS(Investors!$M:$M,Investors!$O:$O,FALSE,Investors!$P:$P,FALSE,Investors!$K:$K,"&gt;"&amp;'NSST Print'!$B$3,Investors!$I:$I,"&lt;="&amp;'NSST Print'!$B$3,Investors!$A:$A,'Investor Exit List'!$A477,Investors!$E:$E,'Investor Exit List'!$C477,Investors!$L:$L,'Investor Exit List'!$B477)-(SUMIFS(Investors!$M:$M,Investors!$I:$I,"&lt;="&amp;'NSST Print'!$B$3,Investors!$J:$J,"&gt;"&amp;'NSST Print'!$B$3,Investors!$A:$A,'Investor Exit List'!$A477,Investors!$E:$E,'Investor Exit List'!$C477,Investors!$L:$L,'Investor Exit List'!$B477)+SUMIFS(Investors!$M:$M,Investors!$I:$I,"&lt;="&amp;'NSST Print'!$B$3,Investors!$J:$J,"",Investors!$A:$A,'Investor Exit List'!$A477,Investors!$E:$E,'Investor Exit List'!$C477,Investors!$L:$L,'Investor Exit List'!$B477))</f>
        <v/>
      </c>
      <c r="G477" s="99" t="n">
        <v>45129</v>
      </c>
      <c r="H477" s="97" t="b">
        <v>1</v>
      </c>
      <c r="I477" s="97" t="b">
        <v>0</v>
      </c>
      <c r="J477" s="99" t="n">
        <v>45518</v>
      </c>
      <c r="K477" s="99">
        <f>IF(I477=TRUE,J477,"")</f>
        <v/>
      </c>
      <c r="L477" s="99">
        <f>G477+730</f>
        <v/>
      </c>
      <c r="M477" s="99" t="n">
        <v>45382</v>
      </c>
      <c r="N477" s="100">
        <f>IFERROR(IF(G477&lt;&gt;"",IF(I477=TRUE,0,IF(U477=TRUE,0,L477-M477)),0),0)</f>
        <v/>
      </c>
      <c r="O477" s="100">
        <f>IF(N477&gt;0,IF(N477&lt;=180,N477,0),0)</f>
        <v/>
      </c>
      <c r="P477" s="98">
        <f>IF(AND(N477&lt;90,N477&gt;0),Q477,0)</f>
        <v/>
      </c>
      <c r="Q477" s="98">
        <f>SUMIFS(Investors!$M:$M,Investors!$O:$O,FALSE,Investors!$P:$P,FALSE,Investors!$K:$K,"&gt;"&amp;'NSST Print'!$B$3,Investors!$I:$I,"&lt;="&amp;'NSST Print'!$B$3,Investors!$A:$A,'Investor Exit List'!$A477,Investors!$E:$E,'Investor Exit List'!$C477,Investors!$L:$L,'Investor Exit List'!$B477)-(SUMIFS(Investors!$M:$M,Investors!$I:$I,"&lt;="&amp;'NSST Print'!$B$3,Investors!$J:$J,"&gt;"&amp;'NSST Print'!$B$3,Investors!$A:$A,'Investor Exit List'!$A477,Investors!$E:$E,'Investor Exit List'!$C477,Investors!$L:$L,'Investor Exit List'!$B477)+SUMIFS(Investors!$M:$M,Investors!$I:$I,"&lt;="&amp;'NSST Print'!$B$3,Investors!$J:$J,"",Investors!$A:$A,'Investor Exit List'!$A477,Investors!$E:$E,'Investor Exit List'!$C477,Investors!$L:$L,'Investor Exit List'!$B477))+SUMIFS(Investors!$S:$S,Investors!$O:$O,FALSE,Investors!$P:$P,FALSE,Investors!$K:$K,"&gt;"&amp;'NSST Print'!$B$3,Investors!$I:$I,"&lt;="&amp;'NSST Print'!$B$3,Investors!$A:$A,'Investor Exit List'!$A477,Investors!$E:$E,'Investor Exit List'!$C477,Investors!$L:$L,'Investor Exit List'!$B477)-(SUMIFS(Investors!$S:$S,Investors!$I:$I,"&lt;="&amp;'NSST Print'!$B$3,Investors!$J:$J,"&gt;"&amp;'NSST Print'!$B$3,Investors!$A:$A,'Investor Exit List'!$A477,Investors!$E:$E,'Investor Exit List'!$C477,Investors!$L:$L,'Investor Exit List'!$B477)+SUMIFS(Investors!$S:$S,Investors!$I:$I,"&lt;="&amp;'NSST Print'!$B$3,Investors!$J:$J,"",Investors!$A:$A,'Investor Exit List'!$A477,Investors!$E:$E,'Investor Exit List'!$C477,Investors!$L:$L,'Investor Exit List'!$B477))</f>
        <v/>
      </c>
      <c r="R477" s="98">
        <f>IF(AND(H477=TRUE,I477=FALSE),Q477,0)</f>
        <v/>
      </c>
      <c r="S477" s="98">
        <f>SUMIFS(Investors!$M:$M,Investors!$O:$O,TRUE,Investors!$A:$A,'Investor Exit List'!$A477,Investors!$E:$E,'Investor Exit List'!$C477,Investors!$L:$L,'Investor Exit List'!$B477)+SUMIFS(Investors!$S:$S,Investors!$O:$O,TRUE,Investors!$A:$A,'Investor Exit List'!$A477,Investors!$E:$E,'Investor Exit List'!$C477,Investors!$L:$L,'Investor Exit List'!$B477)</f>
        <v/>
      </c>
      <c r="T477" s="99">
        <f>IF(U477=TRUE,$J477,"")</f>
        <v/>
      </c>
      <c r="U477" s="97" t="b">
        <v>0</v>
      </c>
      <c r="V477" s="98">
        <f>IF(AND(H477=TRUE,OR(K477="",K477&gt;M477)),S477,0)</f>
        <v/>
      </c>
      <c r="W477" s="97" t="n">
        <v>0</v>
      </c>
      <c r="X477" s="97" t="b">
        <v>0</v>
      </c>
    </row>
    <row r="478">
      <c r="A478" s="97" t="inlineStr">
        <is>
          <t>ZWAT01</t>
        </is>
      </c>
      <c r="B478" s="97" t="n">
        <v>13</v>
      </c>
      <c r="C478" s="97" t="inlineStr">
        <is>
          <t>HVO101</t>
        </is>
      </c>
      <c r="D478" s="97" t="inlineStr">
        <is>
          <t>O</t>
        </is>
      </c>
      <c r="E478" s="97" t="inlineStr">
        <is>
          <t>Watts Peter Gregory</t>
        </is>
      </c>
      <c r="F478" s="98">
        <f>SUMIFS(Investors!$M:$M,Investors!$O:$O,FALSE,Investors!$P:$P,FALSE,Investors!$K:$K,"&gt;"&amp;'NSST Print'!$B$3,Investors!$I:$I,"&lt;="&amp;'NSST Print'!$B$3,Investors!$A:$A,'Investor Exit List'!$A478,Investors!$E:$E,'Investor Exit List'!$C478,Investors!$L:$L,'Investor Exit List'!$B478)-(SUMIFS(Investors!$M:$M,Investors!$I:$I,"&lt;="&amp;'NSST Print'!$B$3,Investors!$J:$J,"&gt;"&amp;'NSST Print'!$B$3,Investors!$A:$A,'Investor Exit List'!$A478,Investors!$E:$E,'Investor Exit List'!$C478,Investors!$L:$L,'Investor Exit List'!$B478)+SUMIFS(Investors!$M:$M,Investors!$I:$I,"&lt;="&amp;'NSST Print'!$B$3,Investors!$J:$J,"",Investors!$A:$A,'Investor Exit List'!$A478,Investors!$E:$E,'Investor Exit List'!$C478,Investors!$L:$L,'Investor Exit List'!$B478))</f>
        <v/>
      </c>
      <c r="G478" s="99" t="n">
        <v>45044</v>
      </c>
      <c r="H478" s="97" t="b">
        <v>1</v>
      </c>
      <c r="I478" s="97" t="b">
        <v>0</v>
      </c>
      <c r="J478" s="99" t="n">
        <v>45518</v>
      </c>
      <c r="K478" s="99">
        <f>IF(I478=TRUE,J478,"")</f>
        <v/>
      </c>
      <c r="L478" s="99">
        <f>G478+730</f>
        <v/>
      </c>
      <c r="M478" s="99" t="n">
        <v>45382</v>
      </c>
      <c r="N478" s="100">
        <f>IFERROR(IF(G478&lt;&gt;"",IF(I478=TRUE,0,IF(U478=TRUE,0,L478-M478)),0),0)</f>
        <v/>
      </c>
      <c r="O478" s="100">
        <f>IF(N478&gt;0,IF(N478&lt;=180,N478,0),0)</f>
        <v/>
      </c>
      <c r="P478" s="98">
        <f>IF(AND(N478&lt;90,N478&gt;0),Q478,0)</f>
        <v/>
      </c>
      <c r="Q478" s="98">
        <f>SUMIFS(Investors!$M:$M,Investors!$O:$O,FALSE,Investors!$P:$P,FALSE,Investors!$K:$K,"&gt;"&amp;'NSST Print'!$B$3,Investors!$I:$I,"&lt;="&amp;'NSST Print'!$B$3,Investors!$A:$A,'Investor Exit List'!$A478,Investors!$E:$E,'Investor Exit List'!$C478,Investors!$L:$L,'Investor Exit List'!$B478)-(SUMIFS(Investors!$M:$M,Investors!$I:$I,"&lt;="&amp;'NSST Print'!$B$3,Investors!$J:$J,"&gt;"&amp;'NSST Print'!$B$3,Investors!$A:$A,'Investor Exit List'!$A478,Investors!$E:$E,'Investor Exit List'!$C478,Investors!$L:$L,'Investor Exit List'!$B478)+SUMIFS(Investors!$M:$M,Investors!$I:$I,"&lt;="&amp;'NSST Print'!$B$3,Investors!$J:$J,"",Investors!$A:$A,'Investor Exit List'!$A478,Investors!$E:$E,'Investor Exit List'!$C478,Investors!$L:$L,'Investor Exit List'!$B478))+SUMIFS(Investors!$S:$S,Investors!$O:$O,FALSE,Investors!$P:$P,FALSE,Investors!$K:$K,"&gt;"&amp;'NSST Print'!$B$3,Investors!$I:$I,"&lt;="&amp;'NSST Print'!$B$3,Investors!$A:$A,'Investor Exit List'!$A478,Investors!$E:$E,'Investor Exit List'!$C478,Investors!$L:$L,'Investor Exit List'!$B478)-(SUMIFS(Investors!$S:$S,Investors!$I:$I,"&lt;="&amp;'NSST Print'!$B$3,Investors!$J:$J,"&gt;"&amp;'NSST Print'!$B$3,Investors!$A:$A,'Investor Exit List'!$A478,Investors!$E:$E,'Investor Exit List'!$C478,Investors!$L:$L,'Investor Exit List'!$B478)+SUMIFS(Investors!$S:$S,Investors!$I:$I,"&lt;="&amp;'NSST Print'!$B$3,Investors!$J:$J,"",Investors!$A:$A,'Investor Exit List'!$A478,Investors!$E:$E,'Investor Exit List'!$C478,Investors!$L:$L,'Investor Exit List'!$B478))</f>
        <v/>
      </c>
      <c r="R478" s="98">
        <f>IF(AND(H478=TRUE,I478=FALSE),Q478,0)</f>
        <v/>
      </c>
      <c r="S478" s="98">
        <f>SUMIFS(Investors!$M:$M,Investors!$O:$O,TRUE,Investors!$A:$A,'Investor Exit List'!$A478,Investors!$E:$E,'Investor Exit List'!$C478,Investors!$L:$L,'Investor Exit List'!$B478)+SUMIFS(Investors!$S:$S,Investors!$O:$O,TRUE,Investors!$A:$A,'Investor Exit List'!$A478,Investors!$E:$E,'Investor Exit List'!$C478,Investors!$L:$L,'Investor Exit List'!$B478)</f>
        <v/>
      </c>
      <c r="T478" s="99">
        <f>IF(U478=TRUE,$J478,"")</f>
        <v/>
      </c>
      <c r="U478" s="97" t="b">
        <v>0</v>
      </c>
      <c r="V478" s="98">
        <f>IF(AND(H478=TRUE,OR(K478="",K478&gt;M478)),S478,0)</f>
        <v/>
      </c>
      <c r="W478" s="97" t="n">
        <v>0</v>
      </c>
      <c r="X478" s="97" t="b">
        <v>0</v>
      </c>
    </row>
    <row r="479">
      <c r="A479" s="97" t="inlineStr">
        <is>
          <t>ZALM01</t>
        </is>
      </c>
      <c r="B479" s="97" t="n">
        <v>8</v>
      </c>
      <c r="C479" s="97" t="inlineStr">
        <is>
          <t>HVO102</t>
        </is>
      </c>
      <c r="D479" s="97" t="inlineStr">
        <is>
          <t>O</t>
        </is>
      </c>
      <c r="E479" s="97" t="inlineStr">
        <is>
          <t>Lunau Marc</t>
        </is>
      </c>
      <c r="F479" s="98">
        <f>SUMIFS(Investors!$M:$M,Investors!$O:$O,FALSE,Investors!$P:$P,FALSE,Investors!$K:$K,"&gt;"&amp;'NSST Print'!$B$3,Investors!$I:$I,"&lt;="&amp;'NSST Print'!$B$3,Investors!$A:$A,'Investor Exit List'!$A479,Investors!$E:$E,'Investor Exit List'!$C479,Investors!$L:$L,'Investor Exit List'!$B479)-(SUMIFS(Investors!$M:$M,Investors!$I:$I,"&lt;="&amp;'NSST Print'!$B$3,Investors!$J:$J,"&gt;"&amp;'NSST Print'!$B$3,Investors!$A:$A,'Investor Exit List'!$A479,Investors!$E:$E,'Investor Exit List'!$C479,Investors!$L:$L,'Investor Exit List'!$B479)+SUMIFS(Investors!$M:$M,Investors!$I:$I,"&lt;="&amp;'NSST Print'!$B$3,Investors!$J:$J,"",Investors!$A:$A,'Investor Exit List'!$A479,Investors!$E:$E,'Investor Exit List'!$C479,Investors!$L:$L,'Investor Exit List'!$B479))</f>
        <v/>
      </c>
      <c r="G479" s="99" t="n">
        <v>44980</v>
      </c>
      <c r="H479" s="97" t="b">
        <v>1</v>
      </c>
      <c r="I479" s="97" t="b">
        <v>0</v>
      </c>
      <c r="J479" s="99" t="n">
        <v>45518</v>
      </c>
      <c r="K479" s="99">
        <f>IF(I479=TRUE,J479,"")</f>
        <v/>
      </c>
      <c r="L479" s="99">
        <f>G479+730</f>
        <v/>
      </c>
      <c r="M479" s="99" t="n">
        <v>45382</v>
      </c>
      <c r="N479" s="100">
        <f>IFERROR(IF(G479&lt;&gt;"",IF(I479=TRUE,0,IF(U479=TRUE,0,L479-M479)),0),0)</f>
        <v/>
      </c>
      <c r="O479" s="100">
        <f>IF(N479&gt;0,IF(N479&lt;=180,N479,0),0)</f>
        <v/>
      </c>
      <c r="P479" s="98">
        <f>IF(AND(N479&lt;90,N479&gt;0),Q479,0)</f>
        <v/>
      </c>
      <c r="Q479" s="98">
        <f>SUMIFS(Investors!$M:$M,Investors!$O:$O,FALSE,Investors!$P:$P,FALSE,Investors!$K:$K,"&gt;"&amp;'NSST Print'!$B$3,Investors!$I:$I,"&lt;="&amp;'NSST Print'!$B$3,Investors!$A:$A,'Investor Exit List'!$A479,Investors!$E:$E,'Investor Exit List'!$C479,Investors!$L:$L,'Investor Exit List'!$B479)-(SUMIFS(Investors!$M:$M,Investors!$I:$I,"&lt;="&amp;'NSST Print'!$B$3,Investors!$J:$J,"&gt;"&amp;'NSST Print'!$B$3,Investors!$A:$A,'Investor Exit List'!$A479,Investors!$E:$E,'Investor Exit List'!$C479,Investors!$L:$L,'Investor Exit List'!$B479)+SUMIFS(Investors!$M:$M,Investors!$I:$I,"&lt;="&amp;'NSST Print'!$B$3,Investors!$J:$J,"",Investors!$A:$A,'Investor Exit List'!$A479,Investors!$E:$E,'Investor Exit List'!$C479,Investors!$L:$L,'Investor Exit List'!$B479))+SUMIFS(Investors!$S:$S,Investors!$O:$O,FALSE,Investors!$P:$P,FALSE,Investors!$K:$K,"&gt;"&amp;'NSST Print'!$B$3,Investors!$I:$I,"&lt;="&amp;'NSST Print'!$B$3,Investors!$A:$A,'Investor Exit List'!$A479,Investors!$E:$E,'Investor Exit List'!$C479,Investors!$L:$L,'Investor Exit List'!$B479)-(SUMIFS(Investors!$S:$S,Investors!$I:$I,"&lt;="&amp;'NSST Print'!$B$3,Investors!$J:$J,"&gt;"&amp;'NSST Print'!$B$3,Investors!$A:$A,'Investor Exit List'!$A479,Investors!$E:$E,'Investor Exit List'!$C479,Investors!$L:$L,'Investor Exit List'!$B479)+SUMIFS(Investors!$S:$S,Investors!$I:$I,"&lt;="&amp;'NSST Print'!$B$3,Investors!$J:$J,"",Investors!$A:$A,'Investor Exit List'!$A479,Investors!$E:$E,'Investor Exit List'!$C479,Investors!$L:$L,'Investor Exit List'!$B479))</f>
        <v/>
      </c>
      <c r="R479" s="98">
        <f>IF(AND(H479=TRUE,I479=FALSE),Q479,0)</f>
        <v/>
      </c>
      <c r="S479" s="98">
        <f>SUMIFS(Investors!$M:$M,Investors!$O:$O,TRUE,Investors!$A:$A,'Investor Exit List'!$A479,Investors!$E:$E,'Investor Exit List'!$C479,Investors!$L:$L,'Investor Exit List'!$B479)+SUMIFS(Investors!$S:$S,Investors!$O:$O,TRUE,Investors!$A:$A,'Investor Exit List'!$A479,Investors!$E:$E,'Investor Exit List'!$C479,Investors!$L:$L,'Investor Exit List'!$B479)</f>
        <v/>
      </c>
      <c r="T479" s="99">
        <f>IF(U479=TRUE,$J479,"")</f>
        <v/>
      </c>
      <c r="U479" s="97" t="b">
        <v>0</v>
      </c>
      <c r="V479" s="98">
        <f>IF(AND(H479=TRUE,OR(K479="",K479&gt;M479)),S479,0)</f>
        <v/>
      </c>
      <c r="W479" s="97" t="n">
        <v>0</v>
      </c>
      <c r="X479" s="97" t="b">
        <v>0</v>
      </c>
    </row>
    <row r="480">
      <c r="A480" s="97" t="inlineStr">
        <is>
          <t>ZKFT01</t>
        </is>
      </c>
      <c r="B480" s="97" t="n">
        <v>2</v>
      </c>
      <c r="C480" s="97" t="inlineStr">
        <is>
          <t>HVO102</t>
        </is>
      </c>
      <c r="D480" s="97" t="inlineStr">
        <is>
          <t>O</t>
        </is>
      </c>
      <c r="E480" s="97" t="inlineStr">
        <is>
          <t>Koovarjee Koovarjee Family Trust</t>
        </is>
      </c>
      <c r="F480" s="98">
        <f>SUMIFS(Investors!$M:$M,Investors!$O:$O,FALSE,Investors!$P:$P,FALSE,Investors!$K:$K,"&gt;"&amp;'NSST Print'!$B$3,Investors!$I:$I,"&lt;="&amp;'NSST Print'!$B$3,Investors!$A:$A,'Investor Exit List'!$A480,Investors!$E:$E,'Investor Exit List'!$C480,Investors!$L:$L,'Investor Exit List'!$B480)-(SUMIFS(Investors!$M:$M,Investors!$I:$I,"&lt;="&amp;'NSST Print'!$B$3,Investors!$J:$J,"&gt;"&amp;'NSST Print'!$B$3,Investors!$A:$A,'Investor Exit List'!$A480,Investors!$E:$E,'Investor Exit List'!$C480,Investors!$L:$L,'Investor Exit List'!$B480)+SUMIFS(Investors!$M:$M,Investors!$I:$I,"&lt;="&amp;'NSST Print'!$B$3,Investors!$J:$J,"",Investors!$A:$A,'Investor Exit List'!$A480,Investors!$E:$E,'Investor Exit List'!$C480,Investors!$L:$L,'Investor Exit List'!$B480))</f>
        <v/>
      </c>
      <c r="G480" s="99" t="n">
        <v>45016</v>
      </c>
      <c r="H480" s="97" t="b">
        <v>1</v>
      </c>
      <c r="I480" s="97" t="b">
        <v>0</v>
      </c>
      <c r="J480" s="99" t="n">
        <v>45518</v>
      </c>
      <c r="K480" s="99">
        <f>IF(I480=TRUE,J480,"")</f>
        <v/>
      </c>
      <c r="L480" s="99">
        <f>G480+730</f>
        <v/>
      </c>
      <c r="M480" s="99" t="n">
        <v>45382</v>
      </c>
      <c r="N480" s="100">
        <f>IFERROR(IF(G480&lt;&gt;"",IF(I480=TRUE,0,IF(U480=TRUE,0,L480-M480)),0),0)</f>
        <v/>
      </c>
      <c r="O480" s="100">
        <f>IF(N480&gt;0,IF(N480&lt;=180,N480,0),0)</f>
        <v/>
      </c>
      <c r="P480" s="98">
        <f>IF(AND(N480&lt;90,N480&gt;0),Q480,0)</f>
        <v/>
      </c>
      <c r="Q480" s="98">
        <f>SUMIFS(Investors!$M:$M,Investors!$O:$O,FALSE,Investors!$P:$P,FALSE,Investors!$K:$K,"&gt;"&amp;'NSST Print'!$B$3,Investors!$I:$I,"&lt;="&amp;'NSST Print'!$B$3,Investors!$A:$A,'Investor Exit List'!$A480,Investors!$E:$E,'Investor Exit List'!$C480,Investors!$L:$L,'Investor Exit List'!$B480)-(SUMIFS(Investors!$M:$M,Investors!$I:$I,"&lt;="&amp;'NSST Print'!$B$3,Investors!$J:$J,"&gt;"&amp;'NSST Print'!$B$3,Investors!$A:$A,'Investor Exit List'!$A480,Investors!$E:$E,'Investor Exit List'!$C480,Investors!$L:$L,'Investor Exit List'!$B480)+SUMIFS(Investors!$M:$M,Investors!$I:$I,"&lt;="&amp;'NSST Print'!$B$3,Investors!$J:$J,"",Investors!$A:$A,'Investor Exit List'!$A480,Investors!$E:$E,'Investor Exit List'!$C480,Investors!$L:$L,'Investor Exit List'!$B480))+SUMIFS(Investors!$S:$S,Investors!$O:$O,FALSE,Investors!$P:$P,FALSE,Investors!$K:$K,"&gt;"&amp;'NSST Print'!$B$3,Investors!$I:$I,"&lt;="&amp;'NSST Print'!$B$3,Investors!$A:$A,'Investor Exit List'!$A480,Investors!$E:$E,'Investor Exit List'!$C480,Investors!$L:$L,'Investor Exit List'!$B480)-(SUMIFS(Investors!$S:$S,Investors!$I:$I,"&lt;="&amp;'NSST Print'!$B$3,Investors!$J:$J,"&gt;"&amp;'NSST Print'!$B$3,Investors!$A:$A,'Investor Exit List'!$A480,Investors!$E:$E,'Investor Exit List'!$C480,Investors!$L:$L,'Investor Exit List'!$B480)+SUMIFS(Investors!$S:$S,Investors!$I:$I,"&lt;="&amp;'NSST Print'!$B$3,Investors!$J:$J,"",Investors!$A:$A,'Investor Exit List'!$A480,Investors!$E:$E,'Investor Exit List'!$C480,Investors!$L:$L,'Investor Exit List'!$B480))</f>
        <v/>
      </c>
      <c r="R480" s="98">
        <f>IF(AND(H480=TRUE,I480=FALSE),Q480,0)</f>
        <v/>
      </c>
      <c r="S480" s="98">
        <f>SUMIFS(Investors!$M:$M,Investors!$O:$O,TRUE,Investors!$A:$A,'Investor Exit List'!$A480,Investors!$E:$E,'Investor Exit List'!$C480,Investors!$L:$L,'Investor Exit List'!$B480)+SUMIFS(Investors!$S:$S,Investors!$O:$O,TRUE,Investors!$A:$A,'Investor Exit List'!$A480,Investors!$E:$E,'Investor Exit List'!$C480,Investors!$L:$L,'Investor Exit List'!$B480)</f>
        <v/>
      </c>
      <c r="T480" s="99">
        <f>IF(U480=TRUE,$J480,"")</f>
        <v/>
      </c>
      <c r="U480" s="97" t="b">
        <v>0</v>
      </c>
      <c r="V480" s="98">
        <f>IF(AND(H480=TRUE,OR(K480="",K480&gt;M480)),S480,0)</f>
        <v/>
      </c>
      <c r="W480" s="97" t="n">
        <v>0</v>
      </c>
      <c r="X480" s="97" t="b">
        <v>0</v>
      </c>
    </row>
    <row r="481">
      <c r="A481" s="97" t="inlineStr">
        <is>
          <t>ZPED01</t>
        </is>
      </c>
      <c r="B481" s="97" t="n">
        <v>3</v>
      </c>
      <c r="C481" s="97" t="inlineStr">
        <is>
          <t>HVO102</t>
        </is>
      </c>
      <c r="D481" s="97" t="inlineStr">
        <is>
          <t>O</t>
        </is>
      </c>
      <c r="E481" s="97" t="inlineStr">
        <is>
          <t>Pedersen Wendy</t>
        </is>
      </c>
      <c r="F481" s="98">
        <f>SUMIFS(Investors!$M:$M,Investors!$O:$O,FALSE,Investors!$P:$P,FALSE,Investors!$K:$K,"&gt;"&amp;'NSST Print'!$B$3,Investors!$I:$I,"&lt;="&amp;'NSST Print'!$B$3,Investors!$A:$A,'Investor Exit List'!$A481,Investors!$E:$E,'Investor Exit List'!$C481,Investors!$L:$L,'Investor Exit List'!$B481)-(SUMIFS(Investors!$M:$M,Investors!$I:$I,"&lt;="&amp;'NSST Print'!$B$3,Investors!$J:$J,"&gt;"&amp;'NSST Print'!$B$3,Investors!$A:$A,'Investor Exit List'!$A481,Investors!$E:$E,'Investor Exit List'!$C481,Investors!$L:$L,'Investor Exit List'!$B481)+SUMIFS(Investors!$M:$M,Investors!$I:$I,"&lt;="&amp;'NSST Print'!$B$3,Investors!$J:$J,"",Investors!$A:$A,'Investor Exit List'!$A481,Investors!$E:$E,'Investor Exit List'!$C481,Investors!$L:$L,'Investor Exit List'!$B481))</f>
        <v/>
      </c>
      <c r="G481" s="99" t="n">
        <v>45072</v>
      </c>
      <c r="H481" s="97" t="b">
        <v>1</v>
      </c>
      <c r="I481" s="97" t="b">
        <v>0</v>
      </c>
      <c r="J481" s="99" t="n">
        <v>45518</v>
      </c>
      <c r="K481" s="99">
        <f>IF(I481=TRUE,J481,"")</f>
        <v/>
      </c>
      <c r="L481" s="99">
        <f>G481+730</f>
        <v/>
      </c>
      <c r="M481" s="99" t="n">
        <v>45382</v>
      </c>
      <c r="N481" s="100">
        <f>IFERROR(IF(G481&lt;&gt;"",IF(I481=TRUE,0,IF(U481=TRUE,0,L481-M481)),0),0)</f>
        <v/>
      </c>
      <c r="O481" s="100">
        <f>IF(N481&gt;0,IF(N481&lt;=180,N481,0),0)</f>
        <v/>
      </c>
      <c r="P481" s="98">
        <f>IF(AND(N481&lt;90,N481&gt;0),Q481,0)</f>
        <v/>
      </c>
      <c r="Q481" s="98">
        <f>SUMIFS(Investors!$M:$M,Investors!$O:$O,FALSE,Investors!$P:$P,FALSE,Investors!$K:$K,"&gt;"&amp;'NSST Print'!$B$3,Investors!$I:$I,"&lt;="&amp;'NSST Print'!$B$3,Investors!$A:$A,'Investor Exit List'!$A481,Investors!$E:$E,'Investor Exit List'!$C481,Investors!$L:$L,'Investor Exit List'!$B481)-(SUMIFS(Investors!$M:$M,Investors!$I:$I,"&lt;="&amp;'NSST Print'!$B$3,Investors!$J:$J,"&gt;"&amp;'NSST Print'!$B$3,Investors!$A:$A,'Investor Exit List'!$A481,Investors!$E:$E,'Investor Exit List'!$C481,Investors!$L:$L,'Investor Exit List'!$B481)+SUMIFS(Investors!$M:$M,Investors!$I:$I,"&lt;="&amp;'NSST Print'!$B$3,Investors!$J:$J,"",Investors!$A:$A,'Investor Exit List'!$A481,Investors!$E:$E,'Investor Exit List'!$C481,Investors!$L:$L,'Investor Exit List'!$B481))+SUMIFS(Investors!$S:$S,Investors!$O:$O,FALSE,Investors!$P:$P,FALSE,Investors!$K:$K,"&gt;"&amp;'NSST Print'!$B$3,Investors!$I:$I,"&lt;="&amp;'NSST Print'!$B$3,Investors!$A:$A,'Investor Exit List'!$A481,Investors!$E:$E,'Investor Exit List'!$C481,Investors!$L:$L,'Investor Exit List'!$B481)-(SUMIFS(Investors!$S:$S,Investors!$I:$I,"&lt;="&amp;'NSST Print'!$B$3,Investors!$J:$J,"&gt;"&amp;'NSST Print'!$B$3,Investors!$A:$A,'Investor Exit List'!$A481,Investors!$E:$E,'Investor Exit List'!$C481,Investors!$L:$L,'Investor Exit List'!$B481)+SUMIFS(Investors!$S:$S,Investors!$I:$I,"&lt;="&amp;'NSST Print'!$B$3,Investors!$J:$J,"",Investors!$A:$A,'Investor Exit List'!$A481,Investors!$E:$E,'Investor Exit List'!$C481,Investors!$L:$L,'Investor Exit List'!$B481))</f>
        <v/>
      </c>
      <c r="R481" s="98">
        <f>IF(AND(H481=TRUE,I481=FALSE),Q481,0)</f>
        <v/>
      </c>
      <c r="S481" s="98">
        <f>SUMIFS(Investors!$M:$M,Investors!$O:$O,TRUE,Investors!$A:$A,'Investor Exit List'!$A481,Investors!$E:$E,'Investor Exit List'!$C481,Investors!$L:$L,'Investor Exit List'!$B481)+SUMIFS(Investors!$S:$S,Investors!$O:$O,TRUE,Investors!$A:$A,'Investor Exit List'!$A481,Investors!$E:$E,'Investor Exit List'!$C481,Investors!$L:$L,'Investor Exit List'!$B481)</f>
        <v/>
      </c>
      <c r="T481" s="99">
        <f>IF(U481=TRUE,$J481,"")</f>
        <v/>
      </c>
      <c r="U481" s="97" t="b">
        <v>0</v>
      </c>
      <c r="V481" s="98">
        <f>IF(AND(H481=TRUE,OR(K481="",K481&gt;M481)),S481,0)</f>
        <v/>
      </c>
      <c r="W481" s="97" t="n">
        <v>0</v>
      </c>
      <c r="X481" s="97" t="b">
        <v>0</v>
      </c>
    </row>
    <row r="482">
      <c r="A482" s="97" t="inlineStr">
        <is>
          <t>ZRIB01</t>
        </is>
      </c>
      <c r="B482" s="97" t="n">
        <v>2</v>
      </c>
      <c r="C482" s="97" t="inlineStr">
        <is>
          <t>HVO102</t>
        </is>
      </c>
      <c r="D482" s="97" t="inlineStr">
        <is>
          <t>O</t>
        </is>
      </c>
      <c r="E482" s="97" t="inlineStr">
        <is>
          <t>Ribeiro Paulo Sergio Da Silva</t>
        </is>
      </c>
      <c r="F482" s="98">
        <f>SUMIFS(Investors!$M:$M,Investors!$O:$O,FALSE,Investors!$P:$P,FALSE,Investors!$K:$K,"&gt;"&amp;'NSST Print'!$B$3,Investors!$I:$I,"&lt;="&amp;'NSST Print'!$B$3,Investors!$A:$A,'Investor Exit List'!$A482,Investors!$E:$E,'Investor Exit List'!$C482,Investors!$L:$L,'Investor Exit List'!$B482)-(SUMIFS(Investors!$M:$M,Investors!$I:$I,"&lt;="&amp;'NSST Print'!$B$3,Investors!$J:$J,"&gt;"&amp;'NSST Print'!$B$3,Investors!$A:$A,'Investor Exit List'!$A482,Investors!$E:$E,'Investor Exit List'!$C482,Investors!$L:$L,'Investor Exit List'!$B482)+SUMIFS(Investors!$M:$M,Investors!$I:$I,"&lt;="&amp;'NSST Print'!$B$3,Investors!$J:$J,"",Investors!$A:$A,'Investor Exit List'!$A482,Investors!$E:$E,'Investor Exit List'!$C482,Investors!$L:$L,'Investor Exit List'!$B482))</f>
        <v/>
      </c>
      <c r="G482" s="99" t="n">
        <v>45008</v>
      </c>
      <c r="H482" s="97" t="b">
        <v>1</v>
      </c>
      <c r="I482" s="97" t="b">
        <v>0</v>
      </c>
      <c r="J482" s="99" t="n">
        <v>45518</v>
      </c>
      <c r="K482" s="99">
        <f>IF(I482=TRUE,J482,"")</f>
        <v/>
      </c>
      <c r="L482" s="99">
        <f>G482+730</f>
        <v/>
      </c>
      <c r="M482" s="99" t="n">
        <v>45382</v>
      </c>
      <c r="N482" s="100">
        <f>IFERROR(IF(G482&lt;&gt;"",IF(I482=TRUE,0,IF(U482=TRUE,0,L482-M482)),0),0)</f>
        <v/>
      </c>
      <c r="O482" s="100">
        <f>IF(N482&gt;0,IF(N482&lt;=180,N482,0),0)</f>
        <v/>
      </c>
      <c r="P482" s="98">
        <f>IF(AND(N482&lt;90,N482&gt;0),Q482,0)</f>
        <v/>
      </c>
      <c r="Q482" s="98">
        <f>SUMIFS(Investors!$M:$M,Investors!$O:$O,FALSE,Investors!$P:$P,FALSE,Investors!$K:$K,"&gt;"&amp;'NSST Print'!$B$3,Investors!$I:$I,"&lt;="&amp;'NSST Print'!$B$3,Investors!$A:$A,'Investor Exit List'!$A482,Investors!$E:$E,'Investor Exit List'!$C482,Investors!$L:$L,'Investor Exit List'!$B482)-(SUMIFS(Investors!$M:$M,Investors!$I:$I,"&lt;="&amp;'NSST Print'!$B$3,Investors!$J:$J,"&gt;"&amp;'NSST Print'!$B$3,Investors!$A:$A,'Investor Exit List'!$A482,Investors!$E:$E,'Investor Exit List'!$C482,Investors!$L:$L,'Investor Exit List'!$B482)+SUMIFS(Investors!$M:$M,Investors!$I:$I,"&lt;="&amp;'NSST Print'!$B$3,Investors!$J:$J,"",Investors!$A:$A,'Investor Exit List'!$A482,Investors!$E:$E,'Investor Exit List'!$C482,Investors!$L:$L,'Investor Exit List'!$B482))+SUMIFS(Investors!$S:$S,Investors!$O:$O,FALSE,Investors!$P:$P,FALSE,Investors!$K:$K,"&gt;"&amp;'NSST Print'!$B$3,Investors!$I:$I,"&lt;="&amp;'NSST Print'!$B$3,Investors!$A:$A,'Investor Exit List'!$A482,Investors!$E:$E,'Investor Exit List'!$C482,Investors!$L:$L,'Investor Exit List'!$B482)-(SUMIFS(Investors!$S:$S,Investors!$I:$I,"&lt;="&amp;'NSST Print'!$B$3,Investors!$J:$J,"&gt;"&amp;'NSST Print'!$B$3,Investors!$A:$A,'Investor Exit List'!$A482,Investors!$E:$E,'Investor Exit List'!$C482,Investors!$L:$L,'Investor Exit List'!$B482)+SUMIFS(Investors!$S:$S,Investors!$I:$I,"&lt;="&amp;'NSST Print'!$B$3,Investors!$J:$J,"",Investors!$A:$A,'Investor Exit List'!$A482,Investors!$E:$E,'Investor Exit List'!$C482,Investors!$L:$L,'Investor Exit List'!$B482))</f>
        <v/>
      </c>
      <c r="R482" s="98">
        <f>IF(AND(H482=TRUE,I482=FALSE),Q482,0)</f>
        <v/>
      </c>
      <c r="S482" s="98">
        <f>SUMIFS(Investors!$M:$M,Investors!$O:$O,TRUE,Investors!$A:$A,'Investor Exit List'!$A482,Investors!$E:$E,'Investor Exit List'!$C482,Investors!$L:$L,'Investor Exit List'!$B482)+SUMIFS(Investors!$S:$S,Investors!$O:$O,TRUE,Investors!$A:$A,'Investor Exit List'!$A482,Investors!$E:$E,'Investor Exit List'!$C482,Investors!$L:$L,'Investor Exit List'!$B482)</f>
        <v/>
      </c>
      <c r="T482" s="99">
        <f>IF(U482=TRUE,$J482,"")</f>
        <v/>
      </c>
      <c r="U482" s="97" t="b">
        <v>0</v>
      </c>
      <c r="V482" s="98">
        <f>IF(AND(H482=TRUE,OR(K482="",K482&gt;M482)),S482,0)</f>
        <v/>
      </c>
      <c r="W482" s="97" t="n">
        <v>0</v>
      </c>
      <c r="X482" s="97" t="b">
        <v>0</v>
      </c>
    </row>
    <row r="483">
      <c r="A483" s="97" t="inlineStr">
        <is>
          <t>ZRIT01</t>
        </is>
      </c>
      <c r="B483" s="97" t="n">
        <v>9</v>
      </c>
      <c r="C483" s="97" t="inlineStr">
        <is>
          <t>HVO102</t>
        </is>
      </c>
      <c r="D483" s="97" t="inlineStr">
        <is>
          <t>O</t>
        </is>
      </c>
      <c r="E483" s="97" t="inlineStr">
        <is>
          <t>Ritter Dennis</t>
        </is>
      </c>
      <c r="F483" s="98">
        <f>SUMIFS(Investors!$M:$M,Investors!$O:$O,FALSE,Investors!$P:$P,FALSE,Investors!$K:$K,"&gt;"&amp;'NSST Print'!$B$3,Investors!$I:$I,"&lt;="&amp;'NSST Print'!$B$3,Investors!$A:$A,'Investor Exit List'!$A483,Investors!$E:$E,'Investor Exit List'!$C483,Investors!$L:$L,'Investor Exit List'!$B483)-(SUMIFS(Investors!$M:$M,Investors!$I:$I,"&lt;="&amp;'NSST Print'!$B$3,Investors!$J:$J,"&gt;"&amp;'NSST Print'!$B$3,Investors!$A:$A,'Investor Exit List'!$A483,Investors!$E:$E,'Investor Exit List'!$C483,Investors!$L:$L,'Investor Exit List'!$B483)+SUMIFS(Investors!$M:$M,Investors!$I:$I,"&lt;="&amp;'NSST Print'!$B$3,Investors!$J:$J,"",Investors!$A:$A,'Investor Exit List'!$A483,Investors!$E:$E,'Investor Exit List'!$C483,Investors!$L:$L,'Investor Exit List'!$B483))</f>
        <v/>
      </c>
      <c r="G483" s="99" t="n">
        <v>45016</v>
      </c>
      <c r="H483" s="97" t="b">
        <v>1</v>
      </c>
      <c r="I483" s="97" t="b">
        <v>0</v>
      </c>
      <c r="J483" s="99" t="n">
        <v>45518</v>
      </c>
      <c r="K483" s="99">
        <f>IF(I483=TRUE,J483,"")</f>
        <v/>
      </c>
      <c r="L483" s="99">
        <f>G483+730</f>
        <v/>
      </c>
      <c r="M483" s="99" t="n">
        <v>45382</v>
      </c>
      <c r="N483" s="100">
        <f>IFERROR(IF(G483&lt;&gt;"",IF(I483=TRUE,0,IF(U483=TRUE,0,L483-M483)),0),0)</f>
        <v/>
      </c>
      <c r="O483" s="100">
        <f>IF(N483&gt;0,IF(N483&lt;=180,N483,0),0)</f>
        <v/>
      </c>
      <c r="P483" s="98">
        <f>IF(AND(N483&lt;90,N483&gt;0),Q483,0)</f>
        <v/>
      </c>
      <c r="Q483" s="98">
        <f>SUMIFS(Investors!$M:$M,Investors!$O:$O,FALSE,Investors!$P:$P,FALSE,Investors!$K:$K,"&gt;"&amp;'NSST Print'!$B$3,Investors!$I:$I,"&lt;="&amp;'NSST Print'!$B$3,Investors!$A:$A,'Investor Exit List'!$A483,Investors!$E:$E,'Investor Exit List'!$C483,Investors!$L:$L,'Investor Exit List'!$B483)-(SUMIFS(Investors!$M:$M,Investors!$I:$I,"&lt;="&amp;'NSST Print'!$B$3,Investors!$J:$J,"&gt;"&amp;'NSST Print'!$B$3,Investors!$A:$A,'Investor Exit List'!$A483,Investors!$E:$E,'Investor Exit List'!$C483,Investors!$L:$L,'Investor Exit List'!$B483)+SUMIFS(Investors!$M:$M,Investors!$I:$I,"&lt;="&amp;'NSST Print'!$B$3,Investors!$J:$J,"",Investors!$A:$A,'Investor Exit List'!$A483,Investors!$E:$E,'Investor Exit List'!$C483,Investors!$L:$L,'Investor Exit List'!$B483))+SUMIFS(Investors!$S:$S,Investors!$O:$O,FALSE,Investors!$P:$P,FALSE,Investors!$K:$K,"&gt;"&amp;'NSST Print'!$B$3,Investors!$I:$I,"&lt;="&amp;'NSST Print'!$B$3,Investors!$A:$A,'Investor Exit List'!$A483,Investors!$E:$E,'Investor Exit List'!$C483,Investors!$L:$L,'Investor Exit List'!$B483)-(SUMIFS(Investors!$S:$S,Investors!$I:$I,"&lt;="&amp;'NSST Print'!$B$3,Investors!$J:$J,"&gt;"&amp;'NSST Print'!$B$3,Investors!$A:$A,'Investor Exit List'!$A483,Investors!$E:$E,'Investor Exit List'!$C483,Investors!$L:$L,'Investor Exit List'!$B483)+SUMIFS(Investors!$S:$S,Investors!$I:$I,"&lt;="&amp;'NSST Print'!$B$3,Investors!$J:$J,"",Investors!$A:$A,'Investor Exit List'!$A483,Investors!$E:$E,'Investor Exit List'!$C483,Investors!$L:$L,'Investor Exit List'!$B483))</f>
        <v/>
      </c>
      <c r="R483" s="98">
        <f>IF(AND(H483=TRUE,I483=FALSE),Q483,0)</f>
        <v/>
      </c>
      <c r="S483" s="98">
        <f>SUMIFS(Investors!$M:$M,Investors!$O:$O,TRUE,Investors!$A:$A,'Investor Exit List'!$A483,Investors!$E:$E,'Investor Exit List'!$C483,Investors!$L:$L,'Investor Exit List'!$B483)+SUMIFS(Investors!$S:$S,Investors!$O:$O,TRUE,Investors!$A:$A,'Investor Exit List'!$A483,Investors!$E:$E,'Investor Exit List'!$C483,Investors!$L:$L,'Investor Exit List'!$B483)</f>
        <v/>
      </c>
      <c r="T483" s="99">
        <f>IF(U483=TRUE,$J483,"")</f>
        <v/>
      </c>
      <c r="U483" s="97" t="b">
        <v>0</v>
      </c>
      <c r="V483" s="98">
        <f>IF(AND(H483=TRUE,OR(K483="",K483&gt;M483)),S483,0)</f>
        <v/>
      </c>
      <c r="W483" s="97" t="n">
        <v>0</v>
      </c>
      <c r="X483" s="97" t="b">
        <v>0</v>
      </c>
    </row>
    <row r="484">
      <c r="A484" s="93" t="inlineStr">
        <is>
          <t>ZMOO02</t>
        </is>
      </c>
      <c r="B484" s="93" t="n">
        <v>3</v>
      </c>
      <c r="C484" s="93" t="inlineStr">
        <is>
          <t>HVO103</t>
        </is>
      </c>
      <c r="D484" s="93" t="inlineStr">
        <is>
          <t>O</t>
        </is>
      </c>
      <c r="E484" s="93" t="inlineStr">
        <is>
          <t>Moodley Chreeson Loganathan</t>
        </is>
      </c>
      <c r="F484" s="94">
        <f>SUMIFS(Investors!$M:$M,Investors!$O:$O,FALSE,Investors!$P:$P,FALSE,Investors!$K:$K,"&gt;"&amp;'NSST Print'!$B$3,Investors!$I:$I,"&lt;="&amp;'NSST Print'!$B$3,Investors!$A:$A,'Investor Exit List'!$A484,Investors!$E:$E,'Investor Exit List'!$C484,Investors!$L:$L,'Investor Exit List'!$B484)-(SUMIFS(Investors!$M:$M,Investors!$I:$I,"&lt;="&amp;'NSST Print'!$B$3,Investors!$J:$J,"&gt;"&amp;'NSST Print'!$B$3,Investors!$A:$A,'Investor Exit List'!$A484,Investors!$E:$E,'Investor Exit List'!$C484,Investors!$L:$L,'Investor Exit List'!$B484)+SUMIFS(Investors!$M:$M,Investors!$I:$I,"&lt;="&amp;'NSST Print'!$B$3,Investors!$J:$J,"",Investors!$A:$A,'Investor Exit List'!$A484,Investors!$E:$E,'Investor Exit List'!$C484,Investors!$L:$L,'Investor Exit List'!$B484))</f>
        <v/>
      </c>
      <c r="G484" s="95" t="n">
        <v>45016</v>
      </c>
      <c r="H484" s="93" t="b">
        <v>0</v>
      </c>
      <c r="I484" s="93" t="b">
        <v>0</v>
      </c>
      <c r="J484" s="95" t="n">
        <v>45518</v>
      </c>
      <c r="K484" s="95">
        <f>IF(I484=TRUE,J484,"")</f>
        <v/>
      </c>
      <c r="L484" s="95">
        <f>G484+730</f>
        <v/>
      </c>
      <c r="M484" s="95" t="n">
        <v>45382</v>
      </c>
      <c r="N484" s="96">
        <f>IFERROR(IF(G484&lt;&gt;"",IF(I484=TRUE,0,IF(U484=TRUE,0,L484-M484)),0),0)</f>
        <v/>
      </c>
      <c r="O484" s="96">
        <f>IF(N484&gt;0,IF(N484&lt;=180,N484,0),0)</f>
        <v/>
      </c>
      <c r="P484" s="94">
        <f>IF(AND(N484&lt;90,N484&gt;0),Q484,0)</f>
        <v/>
      </c>
      <c r="Q484" s="94">
        <f>SUMIFS(Investors!$M:$M,Investors!$O:$O,FALSE,Investors!$P:$P,FALSE,Investors!$K:$K,"&gt;"&amp;'NSST Print'!$B$3,Investors!$I:$I,"&lt;="&amp;'NSST Print'!$B$3,Investors!$A:$A,'Investor Exit List'!$A484,Investors!$E:$E,'Investor Exit List'!$C484,Investors!$L:$L,'Investor Exit List'!$B484)-(SUMIFS(Investors!$M:$M,Investors!$I:$I,"&lt;="&amp;'NSST Print'!$B$3,Investors!$J:$J,"&gt;"&amp;'NSST Print'!$B$3,Investors!$A:$A,'Investor Exit List'!$A484,Investors!$E:$E,'Investor Exit List'!$C484,Investors!$L:$L,'Investor Exit List'!$B484)+SUMIFS(Investors!$M:$M,Investors!$I:$I,"&lt;="&amp;'NSST Print'!$B$3,Investors!$J:$J,"",Investors!$A:$A,'Investor Exit List'!$A484,Investors!$E:$E,'Investor Exit List'!$C484,Investors!$L:$L,'Investor Exit List'!$B484))+SUMIFS(Investors!$S:$S,Investors!$O:$O,FALSE,Investors!$P:$P,FALSE,Investors!$K:$K,"&gt;"&amp;'NSST Print'!$B$3,Investors!$I:$I,"&lt;="&amp;'NSST Print'!$B$3,Investors!$A:$A,'Investor Exit List'!$A484,Investors!$E:$E,'Investor Exit List'!$C484,Investors!$L:$L,'Investor Exit List'!$B484)-(SUMIFS(Investors!$S:$S,Investors!$I:$I,"&lt;="&amp;'NSST Print'!$B$3,Investors!$J:$J,"&gt;"&amp;'NSST Print'!$B$3,Investors!$A:$A,'Investor Exit List'!$A484,Investors!$E:$E,'Investor Exit List'!$C484,Investors!$L:$L,'Investor Exit List'!$B484)+SUMIFS(Investors!$S:$S,Investors!$I:$I,"&lt;="&amp;'NSST Print'!$B$3,Investors!$J:$J,"",Investors!$A:$A,'Investor Exit List'!$A484,Investors!$E:$E,'Investor Exit List'!$C484,Investors!$L:$L,'Investor Exit List'!$B484))</f>
        <v/>
      </c>
      <c r="R484" s="94">
        <f>IF(AND(H484=TRUE,I484=FALSE),Q484,0)</f>
        <v/>
      </c>
      <c r="S484" s="94">
        <f>SUMIFS(Investors!$M:$M,Investors!$O:$O,TRUE,Investors!$A:$A,'Investor Exit List'!$A484,Investors!$E:$E,'Investor Exit List'!$C484,Investors!$L:$L,'Investor Exit List'!$B484)+SUMIFS(Investors!$S:$S,Investors!$O:$O,TRUE,Investors!$A:$A,'Investor Exit List'!$A484,Investors!$E:$E,'Investor Exit List'!$C484,Investors!$L:$L,'Investor Exit List'!$B484)</f>
        <v/>
      </c>
      <c r="T484" s="95">
        <f>IF(U484=TRUE,$J484,"")</f>
        <v/>
      </c>
      <c r="U484" s="93" t="b">
        <v>0</v>
      </c>
      <c r="V484" s="94">
        <f>IF(AND(H484=TRUE,OR(K484="",K484&gt;M484)),S484,0)</f>
        <v/>
      </c>
      <c r="W484" s="93" t="n">
        <v>0</v>
      </c>
      <c r="X484" s="93" t="b">
        <v>0</v>
      </c>
    </row>
    <row r="485">
      <c r="A485" s="93" t="inlineStr">
        <is>
          <t>ZNUN01</t>
        </is>
      </c>
      <c r="B485" s="93" t="n">
        <v>8</v>
      </c>
      <c r="C485" s="93" t="inlineStr">
        <is>
          <t>HVO103</t>
        </is>
      </c>
      <c r="D485" s="93" t="inlineStr">
        <is>
          <t>O</t>
        </is>
      </c>
      <c r="E485" s="93" t="inlineStr">
        <is>
          <t>Nunes Francisco Antonio</t>
        </is>
      </c>
      <c r="F485" s="94">
        <f>SUMIFS(Investors!$M:$M,Investors!$O:$O,FALSE,Investors!$P:$P,FALSE,Investors!$K:$K,"&gt;"&amp;'NSST Print'!$B$3,Investors!$I:$I,"&lt;="&amp;'NSST Print'!$B$3,Investors!$A:$A,'Investor Exit List'!$A485,Investors!$E:$E,'Investor Exit List'!$C485,Investors!$L:$L,'Investor Exit List'!$B485)-(SUMIFS(Investors!$M:$M,Investors!$I:$I,"&lt;="&amp;'NSST Print'!$B$3,Investors!$J:$J,"&gt;"&amp;'NSST Print'!$B$3,Investors!$A:$A,'Investor Exit List'!$A485,Investors!$E:$E,'Investor Exit List'!$C485,Investors!$L:$L,'Investor Exit List'!$B485)+SUMIFS(Investors!$M:$M,Investors!$I:$I,"&lt;="&amp;'NSST Print'!$B$3,Investors!$J:$J,"",Investors!$A:$A,'Investor Exit List'!$A485,Investors!$E:$E,'Investor Exit List'!$C485,Investors!$L:$L,'Investor Exit List'!$B485))</f>
        <v/>
      </c>
      <c r="G485" s="95" t="n">
        <v>45044</v>
      </c>
      <c r="H485" s="93" t="b">
        <v>0</v>
      </c>
      <c r="I485" s="93" t="b">
        <v>0</v>
      </c>
      <c r="J485" s="95" t="n">
        <v>45518</v>
      </c>
      <c r="K485" s="95">
        <f>IF(I485=TRUE,J485,"")</f>
        <v/>
      </c>
      <c r="L485" s="95">
        <f>G485+730</f>
        <v/>
      </c>
      <c r="M485" s="95" t="n">
        <v>45382</v>
      </c>
      <c r="N485" s="96">
        <f>IFERROR(IF(G485&lt;&gt;"",IF(I485=TRUE,0,IF(U485=TRUE,0,L485-M485)),0),0)</f>
        <v/>
      </c>
      <c r="O485" s="96">
        <f>IF(N485&gt;0,IF(N485&lt;=180,N485,0),0)</f>
        <v/>
      </c>
      <c r="P485" s="94">
        <f>IF(AND(N485&lt;90,N485&gt;0),Q485,0)</f>
        <v/>
      </c>
      <c r="Q485" s="94">
        <f>SUMIFS(Investors!$M:$M,Investors!$O:$O,FALSE,Investors!$P:$P,FALSE,Investors!$K:$K,"&gt;"&amp;'NSST Print'!$B$3,Investors!$I:$I,"&lt;="&amp;'NSST Print'!$B$3,Investors!$A:$A,'Investor Exit List'!$A485,Investors!$E:$E,'Investor Exit List'!$C485,Investors!$L:$L,'Investor Exit List'!$B485)-(SUMIFS(Investors!$M:$M,Investors!$I:$I,"&lt;="&amp;'NSST Print'!$B$3,Investors!$J:$J,"&gt;"&amp;'NSST Print'!$B$3,Investors!$A:$A,'Investor Exit List'!$A485,Investors!$E:$E,'Investor Exit List'!$C485,Investors!$L:$L,'Investor Exit List'!$B485)+SUMIFS(Investors!$M:$M,Investors!$I:$I,"&lt;="&amp;'NSST Print'!$B$3,Investors!$J:$J,"",Investors!$A:$A,'Investor Exit List'!$A485,Investors!$E:$E,'Investor Exit List'!$C485,Investors!$L:$L,'Investor Exit List'!$B485))+SUMIFS(Investors!$S:$S,Investors!$O:$O,FALSE,Investors!$P:$P,FALSE,Investors!$K:$K,"&gt;"&amp;'NSST Print'!$B$3,Investors!$I:$I,"&lt;="&amp;'NSST Print'!$B$3,Investors!$A:$A,'Investor Exit List'!$A485,Investors!$E:$E,'Investor Exit List'!$C485,Investors!$L:$L,'Investor Exit List'!$B485)-(SUMIFS(Investors!$S:$S,Investors!$I:$I,"&lt;="&amp;'NSST Print'!$B$3,Investors!$J:$J,"&gt;"&amp;'NSST Print'!$B$3,Investors!$A:$A,'Investor Exit List'!$A485,Investors!$E:$E,'Investor Exit List'!$C485,Investors!$L:$L,'Investor Exit List'!$B485)+SUMIFS(Investors!$S:$S,Investors!$I:$I,"&lt;="&amp;'NSST Print'!$B$3,Investors!$J:$J,"",Investors!$A:$A,'Investor Exit List'!$A485,Investors!$E:$E,'Investor Exit List'!$C485,Investors!$L:$L,'Investor Exit List'!$B485))</f>
        <v/>
      </c>
      <c r="R485" s="94">
        <f>IF(AND(H485=TRUE,I485=FALSE),Q485,0)</f>
        <v/>
      </c>
      <c r="S485" s="94">
        <f>SUMIFS(Investors!$M:$M,Investors!$O:$O,TRUE,Investors!$A:$A,'Investor Exit List'!$A485,Investors!$E:$E,'Investor Exit List'!$C485,Investors!$L:$L,'Investor Exit List'!$B485)+SUMIFS(Investors!$S:$S,Investors!$O:$O,TRUE,Investors!$A:$A,'Investor Exit List'!$A485,Investors!$E:$E,'Investor Exit List'!$C485,Investors!$L:$L,'Investor Exit List'!$B485)</f>
        <v/>
      </c>
      <c r="T485" s="95">
        <f>IF(U485=TRUE,$J485,"")</f>
        <v/>
      </c>
      <c r="U485" s="93" t="b">
        <v>0</v>
      </c>
      <c r="V485" s="94">
        <f>IF(AND(H485=TRUE,OR(K485="",K485&gt;M485)),S485,0)</f>
        <v/>
      </c>
      <c r="W485" s="93" t="n">
        <v>0</v>
      </c>
      <c r="X485" s="93" t="b">
        <v>0</v>
      </c>
    </row>
    <row r="486">
      <c r="A486" s="93" t="inlineStr">
        <is>
          <t>ZRIT01</t>
        </is>
      </c>
      <c r="B486" s="93" t="n">
        <v>10</v>
      </c>
      <c r="C486" s="93" t="inlineStr">
        <is>
          <t>HVO103</t>
        </is>
      </c>
      <c r="D486" s="93" t="inlineStr">
        <is>
          <t>O</t>
        </is>
      </c>
      <c r="E486" s="93" t="inlineStr">
        <is>
          <t>Ritter Dennis</t>
        </is>
      </c>
      <c r="F486" s="94">
        <f>SUMIFS(Investors!$M:$M,Investors!$O:$O,FALSE,Investors!$P:$P,FALSE,Investors!$K:$K,"&gt;"&amp;'NSST Print'!$B$3,Investors!$I:$I,"&lt;="&amp;'NSST Print'!$B$3,Investors!$A:$A,'Investor Exit List'!$A486,Investors!$E:$E,'Investor Exit List'!$C486,Investors!$L:$L,'Investor Exit List'!$B486)-(SUMIFS(Investors!$M:$M,Investors!$I:$I,"&lt;="&amp;'NSST Print'!$B$3,Investors!$J:$J,"&gt;"&amp;'NSST Print'!$B$3,Investors!$A:$A,'Investor Exit List'!$A486,Investors!$E:$E,'Investor Exit List'!$C486,Investors!$L:$L,'Investor Exit List'!$B486)+SUMIFS(Investors!$M:$M,Investors!$I:$I,"&lt;="&amp;'NSST Print'!$B$3,Investors!$J:$J,"",Investors!$A:$A,'Investor Exit List'!$A486,Investors!$E:$E,'Investor Exit List'!$C486,Investors!$L:$L,'Investor Exit List'!$B486))</f>
        <v/>
      </c>
      <c r="G486" s="95" t="n">
        <v>45016</v>
      </c>
      <c r="H486" s="93" t="b">
        <v>0</v>
      </c>
      <c r="I486" s="93" t="b">
        <v>0</v>
      </c>
      <c r="J486" s="95" t="n">
        <v>45518</v>
      </c>
      <c r="K486" s="95">
        <f>IF(I486=TRUE,J486,"")</f>
        <v/>
      </c>
      <c r="L486" s="95">
        <f>G486+730</f>
        <v/>
      </c>
      <c r="M486" s="95" t="n">
        <v>45382</v>
      </c>
      <c r="N486" s="96">
        <f>IFERROR(IF(G486&lt;&gt;"",IF(I486=TRUE,0,IF(U486=TRUE,0,L486-M486)),0),0)</f>
        <v/>
      </c>
      <c r="O486" s="96">
        <f>IF(N486&gt;0,IF(N486&lt;=180,N486,0),0)</f>
        <v/>
      </c>
      <c r="P486" s="94">
        <f>IF(AND(N486&lt;90,N486&gt;0),Q486,0)</f>
        <v/>
      </c>
      <c r="Q486" s="94">
        <f>SUMIFS(Investors!$M:$M,Investors!$O:$O,FALSE,Investors!$P:$P,FALSE,Investors!$K:$K,"&gt;"&amp;'NSST Print'!$B$3,Investors!$I:$I,"&lt;="&amp;'NSST Print'!$B$3,Investors!$A:$A,'Investor Exit List'!$A486,Investors!$E:$E,'Investor Exit List'!$C486,Investors!$L:$L,'Investor Exit List'!$B486)-(SUMIFS(Investors!$M:$M,Investors!$I:$I,"&lt;="&amp;'NSST Print'!$B$3,Investors!$J:$J,"&gt;"&amp;'NSST Print'!$B$3,Investors!$A:$A,'Investor Exit List'!$A486,Investors!$E:$E,'Investor Exit List'!$C486,Investors!$L:$L,'Investor Exit List'!$B486)+SUMIFS(Investors!$M:$M,Investors!$I:$I,"&lt;="&amp;'NSST Print'!$B$3,Investors!$J:$J,"",Investors!$A:$A,'Investor Exit List'!$A486,Investors!$E:$E,'Investor Exit List'!$C486,Investors!$L:$L,'Investor Exit List'!$B486))+SUMIFS(Investors!$S:$S,Investors!$O:$O,FALSE,Investors!$P:$P,FALSE,Investors!$K:$K,"&gt;"&amp;'NSST Print'!$B$3,Investors!$I:$I,"&lt;="&amp;'NSST Print'!$B$3,Investors!$A:$A,'Investor Exit List'!$A486,Investors!$E:$E,'Investor Exit List'!$C486,Investors!$L:$L,'Investor Exit List'!$B486)-(SUMIFS(Investors!$S:$S,Investors!$I:$I,"&lt;="&amp;'NSST Print'!$B$3,Investors!$J:$J,"&gt;"&amp;'NSST Print'!$B$3,Investors!$A:$A,'Investor Exit List'!$A486,Investors!$E:$E,'Investor Exit List'!$C486,Investors!$L:$L,'Investor Exit List'!$B486)+SUMIFS(Investors!$S:$S,Investors!$I:$I,"&lt;="&amp;'NSST Print'!$B$3,Investors!$J:$J,"",Investors!$A:$A,'Investor Exit List'!$A486,Investors!$E:$E,'Investor Exit List'!$C486,Investors!$L:$L,'Investor Exit List'!$B486))</f>
        <v/>
      </c>
      <c r="R486" s="94">
        <f>IF(AND(H486=TRUE,I486=FALSE),Q486,0)</f>
        <v/>
      </c>
      <c r="S486" s="94">
        <f>SUMIFS(Investors!$M:$M,Investors!$O:$O,TRUE,Investors!$A:$A,'Investor Exit List'!$A486,Investors!$E:$E,'Investor Exit List'!$C486,Investors!$L:$L,'Investor Exit List'!$B486)+SUMIFS(Investors!$S:$S,Investors!$O:$O,TRUE,Investors!$A:$A,'Investor Exit List'!$A486,Investors!$E:$E,'Investor Exit List'!$C486,Investors!$L:$L,'Investor Exit List'!$B486)</f>
        <v/>
      </c>
      <c r="T486" s="95">
        <f>IF(U486=TRUE,$J486,"")</f>
        <v/>
      </c>
      <c r="U486" s="93" t="b">
        <v>0</v>
      </c>
      <c r="V486" s="94">
        <f>IF(AND(H486=TRUE,OR(K486="",K486&gt;M486)),S486,0)</f>
        <v/>
      </c>
      <c r="W486" s="93" t="n">
        <v>0</v>
      </c>
      <c r="X486" s="93" t="b">
        <v>0</v>
      </c>
    </row>
    <row r="487">
      <c r="A487" s="97" t="inlineStr">
        <is>
          <t>ZLEW01</t>
        </is>
      </c>
      <c r="B487" s="97" t="n">
        <v>10</v>
      </c>
      <c r="C487" s="97" t="inlineStr">
        <is>
          <t>HVO104</t>
        </is>
      </c>
      <c r="D487" s="97" t="inlineStr">
        <is>
          <t>O</t>
        </is>
      </c>
      <c r="E487" s="97" t="inlineStr">
        <is>
          <t>Lewis Martina Christina</t>
        </is>
      </c>
      <c r="F487" s="98">
        <f>SUMIFS(Investors!$M:$M,Investors!$O:$O,FALSE,Investors!$P:$P,FALSE,Investors!$K:$K,"&gt;"&amp;'NSST Print'!$B$3,Investors!$I:$I,"&lt;="&amp;'NSST Print'!$B$3,Investors!$A:$A,'Investor Exit List'!$A487,Investors!$E:$E,'Investor Exit List'!$C487,Investors!$L:$L,'Investor Exit List'!$B487)-(SUMIFS(Investors!$M:$M,Investors!$I:$I,"&lt;="&amp;'NSST Print'!$B$3,Investors!$J:$J,"&gt;"&amp;'NSST Print'!$B$3,Investors!$A:$A,'Investor Exit List'!$A487,Investors!$E:$E,'Investor Exit List'!$C487,Investors!$L:$L,'Investor Exit List'!$B487)+SUMIFS(Investors!$M:$M,Investors!$I:$I,"&lt;="&amp;'NSST Print'!$B$3,Investors!$J:$J,"",Investors!$A:$A,'Investor Exit List'!$A487,Investors!$E:$E,'Investor Exit List'!$C487,Investors!$L:$L,'Investor Exit List'!$B487))</f>
        <v/>
      </c>
      <c r="G487" s="99" t="n">
        <v>45016</v>
      </c>
      <c r="H487" s="97" t="b">
        <v>1</v>
      </c>
      <c r="I487" s="97" t="b">
        <v>0</v>
      </c>
      <c r="J487" s="99" t="n">
        <v>45518</v>
      </c>
      <c r="K487" s="99">
        <f>IF(I487=TRUE,J487,"")</f>
        <v/>
      </c>
      <c r="L487" s="99">
        <f>G487+730</f>
        <v/>
      </c>
      <c r="M487" s="99" t="n">
        <v>45382</v>
      </c>
      <c r="N487" s="100">
        <f>IFERROR(IF(G487&lt;&gt;"",IF(I487=TRUE,0,IF(U487=TRUE,0,L487-M487)),0),0)</f>
        <v/>
      </c>
      <c r="O487" s="100">
        <f>IF(N487&gt;0,IF(N487&lt;=180,N487,0),0)</f>
        <v/>
      </c>
      <c r="P487" s="98">
        <f>IF(AND(N487&lt;90,N487&gt;0),Q487,0)</f>
        <v/>
      </c>
      <c r="Q487" s="98">
        <f>SUMIFS(Investors!$M:$M,Investors!$O:$O,FALSE,Investors!$P:$P,FALSE,Investors!$K:$K,"&gt;"&amp;'NSST Print'!$B$3,Investors!$I:$I,"&lt;="&amp;'NSST Print'!$B$3,Investors!$A:$A,'Investor Exit List'!$A487,Investors!$E:$E,'Investor Exit List'!$C487,Investors!$L:$L,'Investor Exit List'!$B487)-(SUMIFS(Investors!$M:$M,Investors!$I:$I,"&lt;="&amp;'NSST Print'!$B$3,Investors!$J:$J,"&gt;"&amp;'NSST Print'!$B$3,Investors!$A:$A,'Investor Exit List'!$A487,Investors!$E:$E,'Investor Exit List'!$C487,Investors!$L:$L,'Investor Exit List'!$B487)+SUMIFS(Investors!$M:$M,Investors!$I:$I,"&lt;="&amp;'NSST Print'!$B$3,Investors!$J:$J,"",Investors!$A:$A,'Investor Exit List'!$A487,Investors!$E:$E,'Investor Exit List'!$C487,Investors!$L:$L,'Investor Exit List'!$B487))+SUMIFS(Investors!$S:$S,Investors!$O:$O,FALSE,Investors!$P:$P,FALSE,Investors!$K:$K,"&gt;"&amp;'NSST Print'!$B$3,Investors!$I:$I,"&lt;="&amp;'NSST Print'!$B$3,Investors!$A:$A,'Investor Exit List'!$A487,Investors!$E:$E,'Investor Exit List'!$C487,Investors!$L:$L,'Investor Exit List'!$B487)-(SUMIFS(Investors!$S:$S,Investors!$I:$I,"&lt;="&amp;'NSST Print'!$B$3,Investors!$J:$J,"&gt;"&amp;'NSST Print'!$B$3,Investors!$A:$A,'Investor Exit List'!$A487,Investors!$E:$E,'Investor Exit List'!$C487,Investors!$L:$L,'Investor Exit List'!$B487)+SUMIFS(Investors!$S:$S,Investors!$I:$I,"&lt;="&amp;'NSST Print'!$B$3,Investors!$J:$J,"",Investors!$A:$A,'Investor Exit List'!$A487,Investors!$E:$E,'Investor Exit List'!$C487,Investors!$L:$L,'Investor Exit List'!$B487))</f>
        <v/>
      </c>
      <c r="R487" s="98">
        <f>IF(AND(H487=TRUE,I487=FALSE),Q487,0)</f>
        <v/>
      </c>
      <c r="S487" s="98">
        <f>SUMIFS(Investors!$M:$M,Investors!$O:$O,TRUE,Investors!$A:$A,'Investor Exit List'!$A487,Investors!$E:$E,'Investor Exit List'!$C487,Investors!$L:$L,'Investor Exit List'!$B487)+SUMIFS(Investors!$S:$S,Investors!$O:$O,TRUE,Investors!$A:$A,'Investor Exit List'!$A487,Investors!$E:$E,'Investor Exit List'!$C487,Investors!$L:$L,'Investor Exit List'!$B487)</f>
        <v/>
      </c>
      <c r="T487" s="99">
        <f>IF(U487=TRUE,$J487,"")</f>
        <v/>
      </c>
      <c r="U487" s="97" t="b">
        <v>0</v>
      </c>
      <c r="V487" s="98">
        <f>IF(AND(H487=TRUE,OR(K487="",K487&gt;M487)),S487,0)</f>
        <v/>
      </c>
      <c r="W487" s="97" t="n">
        <v>0</v>
      </c>
      <c r="X487" s="97" t="b">
        <v>0</v>
      </c>
    </row>
    <row r="488">
      <c r="A488" s="97" t="inlineStr">
        <is>
          <t>ZDEL01</t>
        </is>
      </c>
      <c r="B488" s="97" t="n">
        <v>9</v>
      </c>
      <c r="C488" s="97" t="inlineStr">
        <is>
          <t>HVO105</t>
        </is>
      </c>
      <c r="D488" s="97" t="inlineStr">
        <is>
          <t>O</t>
        </is>
      </c>
      <c r="E488" s="97" t="inlineStr">
        <is>
          <t>Jansen van Vuuren Pieter</t>
        </is>
      </c>
      <c r="F488" s="98">
        <f>SUMIFS(Investors!$M:$M,Investors!$O:$O,FALSE,Investors!$P:$P,FALSE,Investors!$K:$K,"&gt;"&amp;'NSST Print'!$B$3,Investors!$I:$I,"&lt;="&amp;'NSST Print'!$B$3,Investors!$A:$A,'Investor Exit List'!$A488,Investors!$E:$E,'Investor Exit List'!$C488,Investors!$L:$L,'Investor Exit List'!$B488)-(SUMIFS(Investors!$M:$M,Investors!$I:$I,"&lt;="&amp;'NSST Print'!$B$3,Investors!$J:$J,"&gt;"&amp;'NSST Print'!$B$3,Investors!$A:$A,'Investor Exit List'!$A488,Investors!$E:$E,'Investor Exit List'!$C488,Investors!$L:$L,'Investor Exit List'!$B488)+SUMIFS(Investors!$M:$M,Investors!$I:$I,"&lt;="&amp;'NSST Print'!$B$3,Investors!$J:$J,"",Investors!$A:$A,'Investor Exit List'!$A488,Investors!$E:$E,'Investor Exit List'!$C488,Investors!$L:$L,'Investor Exit List'!$B488))</f>
        <v/>
      </c>
      <c r="G488" s="99" t="n">
        <v>45016</v>
      </c>
      <c r="H488" s="97" t="b">
        <v>1</v>
      </c>
      <c r="I488" s="97" t="b">
        <v>0</v>
      </c>
      <c r="J488" s="99" t="n">
        <v>45518</v>
      </c>
      <c r="K488" s="99">
        <f>IF(I488=TRUE,J488,"")</f>
        <v/>
      </c>
      <c r="L488" s="99">
        <f>G488+730</f>
        <v/>
      </c>
      <c r="M488" s="99" t="n">
        <v>45382</v>
      </c>
      <c r="N488" s="100">
        <f>IFERROR(IF(G488&lt;&gt;"",IF(I488=TRUE,0,IF(U488=TRUE,0,L488-M488)),0),0)</f>
        <v/>
      </c>
      <c r="O488" s="100">
        <f>IF(N488&gt;0,IF(N488&lt;=180,N488,0),0)</f>
        <v/>
      </c>
      <c r="P488" s="98">
        <f>IF(AND(N488&lt;90,N488&gt;0),Q488,0)</f>
        <v/>
      </c>
      <c r="Q488" s="98">
        <f>SUMIFS(Investors!$M:$M,Investors!$O:$O,FALSE,Investors!$P:$P,FALSE,Investors!$K:$K,"&gt;"&amp;'NSST Print'!$B$3,Investors!$I:$I,"&lt;="&amp;'NSST Print'!$B$3,Investors!$A:$A,'Investor Exit List'!$A488,Investors!$E:$E,'Investor Exit List'!$C488,Investors!$L:$L,'Investor Exit List'!$B488)-(SUMIFS(Investors!$M:$M,Investors!$I:$I,"&lt;="&amp;'NSST Print'!$B$3,Investors!$J:$J,"&gt;"&amp;'NSST Print'!$B$3,Investors!$A:$A,'Investor Exit List'!$A488,Investors!$E:$E,'Investor Exit List'!$C488,Investors!$L:$L,'Investor Exit List'!$B488)+SUMIFS(Investors!$M:$M,Investors!$I:$I,"&lt;="&amp;'NSST Print'!$B$3,Investors!$J:$J,"",Investors!$A:$A,'Investor Exit List'!$A488,Investors!$E:$E,'Investor Exit List'!$C488,Investors!$L:$L,'Investor Exit List'!$B488))+SUMIFS(Investors!$S:$S,Investors!$O:$O,FALSE,Investors!$P:$P,FALSE,Investors!$K:$K,"&gt;"&amp;'NSST Print'!$B$3,Investors!$I:$I,"&lt;="&amp;'NSST Print'!$B$3,Investors!$A:$A,'Investor Exit List'!$A488,Investors!$E:$E,'Investor Exit List'!$C488,Investors!$L:$L,'Investor Exit List'!$B488)-(SUMIFS(Investors!$S:$S,Investors!$I:$I,"&lt;="&amp;'NSST Print'!$B$3,Investors!$J:$J,"&gt;"&amp;'NSST Print'!$B$3,Investors!$A:$A,'Investor Exit List'!$A488,Investors!$E:$E,'Investor Exit List'!$C488,Investors!$L:$L,'Investor Exit List'!$B488)+SUMIFS(Investors!$S:$S,Investors!$I:$I,"&lt;="&amp;'NSST Print'!$B$3,Investors!$J:$J,"",Investors!$A:$A,'Investor Exit List'!$A488,Investors!$E:$E,'Investor Exit List'!$C488,Investors!$L:$L,'Investor Exit List'!$B488))</f>
        <v/>
      </c>
      <c r="R488" s="98">
        <f>IF(AND(H488=TRUE,I488=FALSE),Q488,0)</f>
        <v/>
      </c>
      <c r="S488" s="98">
        <f>SUMIFS(Investors!$M:$M,Investors!$O:$O,TRUE,Investors!$A:$A,'Investor Exit List'!$A488,Investors!$E:$E,'Investor Exit List'!$C488,Investors!$L:$L,'Investor Exit List'!$B488)+SUMIFS(Investors!$S:$S,Investors!$O:$O,TRUE,Investors!$A:$A,'Investor Exit List'!$A488,Investors!$E:$E,'Investor Exit List'!$C488,Investors!$L:$L,'Investor Exit List'!$B488)</f>
        <v/>
      </c>
      <c r="T488" s="99">
        <f>IF(U488=TRUE,$J488,"")</f>
        <v/>
      </c>
      <c r="U488" s="97" t="b">
        <v>0</v>
      </c>
      <c r="V488" s="98">
        <f>IF(AND(H488=TRUE,OR(K488="",K488&gt;M488)),S488,0)</f>
        <v/>
      </c>
      <c r="W488" s="97" t="n">
        <v>0</v>
      </c>
      <c r="X488" s="97" t="b">
        <v>0</v>
      </c>
    </row>
    <row r="489">
      <c r="A489" s="97" t="inlineStr">
        <is>
          <t>ZDIC01</t>
        </is>
      </c>
      <c r="B489" s="97" t="n">
        <v>12</v>
      </c>
      <c r="C489" s="97" t="inlineStr">
        <is>
          <t>HVO105</t>
        </is>
      </c>
      <c r="D489" s="97" t="inlineStr">
        <is>
          <t>O</t>
        </is>
      </c>
      <c r="E489" s="97" t="inlineStr">
        <is>
          <t>Dickinson Grant Allan</t>
        </is>
      </c>
      <c r="F489" s="98">
        <f>SUMIFS(Investors!$M:$M,Investors!$O:$O,FALSE,Investors!$P:$P,FALSE,Investors!$K:$K,"&gt;"&amp;'NSST Print'!$B$3,Investors!$I:$I,"&lt;="&amp;'NSST Print'!$B$3,Investors!$A:$A,'Investor Exit List'!$A489,Investors!$E:$E,'Investor Exit List'!$C489,Investors!$L:$L,'Investor Exit List'!$B489)-(SUMIFS(Investors!$M:$M,Investors!$I:$I,"&lt;="&amp;'NSST Print'!$B$3,Investors!$J:$J,"&gt;"&amp;'NSST Print'!$B$3,Investors!$A:$A,'Investor Exit List'!$A489,Investors!$E:$E,'Investor Exit List'!$C489,Investors!$L:$L,'Investor Exit List'!$B489)+SUMIFS(Investors!$M:$M,Investors!$I:$I,"&lt;="&amp;'NSST Print'!$B$3,Investors!$J:$J,"",Investors!$A:$A,'Investor Exit List'!$A489,Investors!$E:$E,'Investor Exit List'!$C489,Investors!$L:$L,'Investor Exit List'!$B489))</f>
        <v/>
      </c>
      <c r="G489" s="99" t="n">
        <v>45044</v>
      </c>
      <c r="H489" s="97" t="b">
        <v>1</v>
      </c>
      <c r="I489" s="97" t="b">
        <v>0</v>
      </c>
      <c r="J489" s="99" t="n">
        <v>45518</v>
      </c>
      <c r="K489" s="99">
        <f>IF(I489=TRUE,J489,"")</f>
        <v/>
      </c>
      <c r="L489" s="99">
        <f>G489+730</f>
        <v/>
      </c>
      <c r="M489" s="99" t="n">
        <v>45382</v>
      </c>
      <c r="N489" s="100">
        <f>IFERROR(IF(G489&lt;&gt;"",IF(I489=TRUE,0,IF(U489=TRUE,0,L489-M489)),0),0)</f>
        <v/>
      </c>
      <c r="O489" s="100">
        <f>IF(N489&gt;0,IF(N489&lt;=180,N489,0),0)</f>
        <v/>
      </c>
      <c r="P489" s="98">
        <f>IF(AND(N489&lt;90,N489&gt;0),Q489,0)</f>
        <v/>
      </c>
      <c r="Q489" s="98">
        <f>SUMIFS(Investors!$M:$M,Investors!$O:$O,FALSE,Investors!$P:$P,FALSE,Investors!$K:$K,"&gt;"&amp;'NSST Print'!$B$3,Investors!$I:$I,"&lt;="&amp;'NSST Print'!$B$3,Investors!$A:$A,'Investor Exit List'!$A489,Investors!$E:$E,'Investor Exit List'!$C489,Investors!$L:$L,'Investor Exit List'!$B489)-(SUMIFS(Investors!$M:$M,Investors!$I:$I,"&lt;="&amp;'NSST Print'!$B$3,Investors!$J:$J,"&gt;"&amp;'NSST Print'!$B$3,Investors!$A:$A,'Investor Exit List'!$A489,Investors!$E:$E,'Investor Exit List'!$C489,Investors!$L:$L,'Investor Exit List'!$B489)+SUMIFS(Investors!$M:$M,Investors!$I:$I,"&lt;="&amp;'NSST Print'!$B$3,Investors!$J:$J,"",Investors!$A:$A,'Investor Exit List'!$A489,Investors!$E:$E,'Investor Exit List'!$C489,Investors!$L:$L,'Investor Exit List'!$B489))+SUMIFS(Investors!$S:$S,Investors!$O:$O,FALSE,Investors!$P:$P,FALSE,Investors!$K:$K,"&gt;"&amp;'NSST Print'!$B$3,Investors!$I:$I,"&lt;="&amp;'NSST Print'!$B$3,Investors!$A:$A,'Investor Exit List'!$A489,Investors!$E:$E,'Investor Exit List'!$C489,Investors!$L:$L,'Investor Exit List'!$B489)-(SUMIFS(Investors!$S:$S,Investors!$I:$I,"&lt;="&amp;'NSST Print'!$B$3,Investors!$J:$J,"&gt;"&amp;'NSST Print'!$B$3,Investors!$A:$A,'Investor Exit List'!$A489,Investors!$E:$E,'Investor Exit List'!$C489,Investors!$L:$L,'Investor Exit List'!$B489)+SUMIFS(Investors!$S:$S,Investors!$I:$I,"&lt;="&amp;'NSST Print'!$B$3,Investors!$J:$J,"",Investors!$A:$A,'Investor Exit List'!$A489,Investors!$E:$E,'Investor Exit List'!$C489,Investors!$L:$L,'Investor Exit List'!$B489))</f>
        <v/>
      </c>
      <c r="R489" s="98">
        <f>IF(AND(H489=TRUE,I489=FALSE),Q489,0)</f>
        <v/>
      </c>
      <c r="S489" s="98">
        <f>SUMIFS(Investors!$M:$M,Investors!$O:$O,TRUE,Investors!$A:$A,'Investor Exit List'!$A489,Investors!$E:$E,'Investor Exit List'!$C489,Investors!$L:$L,'Investor Exit List'!$B489)+SUMIFS(Investors!$S:$S,Investors!$O:$O,TRUE,Investors!$A:$A,'Investor Exit List'!$A489,Investors!$E:$E,'Investor Exit List'!$C489,Investors!$L:$L,'Investor Exit List'!$B489)</f>
        <v/>
      </c>
      <c r="T489" s="99">
        <f>IF(U489=TRUE,$J489,"")</f>
        <v/>
      </c>
      <c r="U489" s="97" t="b">
        <v>0</v>
      </c>
      <c r="V489" s="98">
        <f>IF(AND(H489=TRUE,OR(K489="",K489&gt;M489)),S489,0)</f>
        <v/>
      </c>
      <c r="W489" s="97" t="n">
        <v>0</v>
      </c>
      <c r="X489" s="97" t="b">
        <v>0</v>
      </c>
    </row>
    <row r="490">
      <c r="A490" s="97" t="inlineStr">
        <is>
          <t>ZHUT01</t>
        </is>
      </c>
      <c r="B490" s="97" t="n">
        <v>8</v>
      </c>
      <c r="C490" s="97" t="inlineStr">
        <is>
          <t>HVO105</t>
        </is>
      </c>
      <c r="D490" s="97" t="inlineStr">
        <is>
          <t>O</t>
        </is>
      </c>
      <c r="E490" s="97" t="inlineStr">
        <is>
          <t>Hutchings Tracy Jane</t>
        </is>
      </c>
      <c r="F490" s="98">
        <f>SUMIFS(Investors!$M:$M,Investors!$O:$O,FALSE,Investors!$P:$P,FALSE,Investors!$K:$K,"&gt;"&amp;'NSST Print'!$B$3,Investors!$I:$I,"&lt;="&amp;'NSST Print'!$B$3,Investors!$A:$A,'Investor Exit List'!$A490,Investors!$E:$E,'Investor Exit List'!$C490,Investors!$L:$L,'Investor Exit List'!$B490)-(SUMIFS(Investors!$M:$M,Investors!$I:$I,"&lt;="&amp;'NSST Print'!$B$3,Investors!$J:$J,"&gt;"&amp;'NSST Print'!$B$3,Investors!$A:$A,'Investor Exit List'!$A490,Investors!$E:$E,'Investor Exit List'!$C490,Investors!$L:$L,'Investor Exit List'!$B490)+SUMIFS(Investors!$M:$M,Investors!$I:$I,"&lt;="&amp;'NSST Print'!$B$3,Investors!$J:$J,"",Investors!$A:$A,'Investor Exit List'!$A490,Investors!$E:$E,'Investor Exit List'!$C490,Investors!$L:$L,'Investor Exit List'!$B490))</f>
        <v/>
      </c>
      <c r="G490" s="99" t="n">
        <v>45008</v>
      </c>
      <c r="H490" s="97" t="b">
        <v>1</v>
      </c>
      <c r="I490" s="97" t="b">
        <v>0</v>
      </c>
      <c r="J490" s="99" t="n">
        <v>45518</v>
      </c>
      <c r="K490" s="99">
        <f>IF(I490=TRUE,J490,"")</f>
        <v/>
      </c>
      <c r="L490" s="99">
        <f>G490+730</f>
        <v/>
      </c>
      <c r="M490" s="99" t="n">
        <v>45382</v>
      </c>
      <c r="N490" s="100">
        <f>IFERROR(IF(G490&lt;&gt;"",IF(I490=TRUE,0,IF(U490=TRUE,0,L490-M490)),0),0)</f>
        <v/>
      </c>
      <c r="O490" s="100">
        <f>IF(N490&gt;0,IF(N490&lt;=180,N490,0),0)</f>
        <v/>
      </c>
      <c r="P490" s="98">
        <f>IF(AND(N490&lt;90,N490&gt;0),Q490,0)</f>
        <v/>
      </c>
      <c r="Q490" s="98">
        <f>SUMIFS(Investors!$M:$M,Investors!$O:$O,FALSE,Investors!$P:$P,FALSE,Investors!$K:$K,"&gt;"&amp;'NSST Print'!$B$3,Investors!$I:$I,"&lt;="&amp;'NSST Print'!$B$3,Investors!$A:$A,'Investor Exit List'!$A490,Investors!$E:$E,'Investor Exit List'!$C490,Investors!$L:$L,'Investor Exit List'!$B490)-(SUMIFS(Investors!$M:$M,Investors!$I:$I,"&lt;="&amp;'NSST Print'!$B$3,Investors!$J:$J,"&gt;"&amp;'NSST Print'!$B$3,Investors!$A:$A,'Investor Exit List'!$A490,Investors!$E:$E,'Investor Exit List'!$C490,Investors!$L:$L,'Investor Exit List'!$B490)+SUMIFS(Investors!$M:$M,Investors!$I:$I,"&lt;="&amp;'NSST Print'!$B$3,Investors!$J:$J,"",Investors!$A:$A,'Investor Exit List'!$A490,Investors!$E:$E,'Investor Exit List'!$C490,Investors!$L:$L,'Investor Exit List'!$B490))+SUMIFS(Investors!$S:$S,Investors!$O:$O,FALSE,Investors!$P:$P,FALSE,Investors!$K:$K,"&gt;"&amp;'NSST Print'!$B$3,Investors!$I:$I,"&lt;="&amp;'NSST Print'!$B$3,Investors!$A:$A,'Investor Exit List'!$A490,Investors!$E:$E,'Investor Exit List'!$C490,Investors!$L:$L,'Investor Exit List'!$B490)-(SUMIFS(Investors!$S:$S,Investors!$I:$I,"&lt;="&amp;'NSST Print'!$B$3,Investors!$J:$J,"&gt;"&amp;'NSST Print'!$B$3,Investors!$A:$A,'Investor Exit List'!$A490,Investors!$E:$E,'Investor Exit List'!$C490,Investors!$L:$L,'Investor Exit List'!$B490)+SUMIFS(Investors!$S:$S,Investors!$I:$I,"&lt;="&amp;'NSST Print'!$B$3,Investors!$J:$J,"",Investors!$A:$A,'Investor Exit List'!$A490,Investors!$E:$E,'Investor Exit List'!$C490,Investors!$L:$L,'Investor Exit List'!$B490))</f>
        <v/>
      </c>
      <c r="R490" s="98">
        <f>IF(AND(H490=TRUE,I490=FALSE),Q490,0)</f>
        <v/>
      </c>
      <c r="S490" s="98">
        <f>SUMIFS(Investors!$M:$M,Investors!$O:$O,TRUE,Investors!$A:$A,'Investor Exit List'!$A490,Investors!$E:$E,'Investor Exit List'!$C490,Investors!$L:$L,'Investor Exit List'!$B490)+SUMIFS(Investors!$S:$S,Investors!$O:$O,TRUE,Investors!$A:$A,'Investor Exit List'!$A490,Investors!$E:$E,'Investor Exit List'!$C490,Investors!$L:$L,'Investor Exit List'!$B490)</f>
        <v/>
      </c>
      <c r="T490" s="99">
        <f>IF(U490=TRUE,$J490,"")</f>
        <v/>
      </c>
      <c r="U490" s="97" t="b">
        <v>0</v>
      </c>
      <c r="V490" s="98">
        <f>IF(AND(H490=TRUE,OR(K490="",K490&gt;M490)),S490,0)</f>
        <v/>
      </c>
      <c r="W490" s="97" t="n">
        <v>0</v>
      </c>
      <c r="X490" s="97" t="b">
        <v>0</v>
      </c>
    </row>
    <row r="491">
      <c r="A491" s="97" t="inlineStr">
        <is>
          <t>ZCRO01</t>
        </is>
      </c>
      <c r="B491" s="97" t="n">
        <v>10</v>
      </c>
      <c r="C491" s="97" t="inlineStr">
        <is>
          <t>HVO201</t>
        </is>
      </c>
      <c r="D491" s="97" t="inlineStr">
        <is>
          <t>O</t>
        </is>
      </c>
      <c r="E491" s="97" t="inlineStr">
        <is>
          <t>Lunau Marc</t>
        </is>
      </c>
      <c r="F491" s="98">
        <f>SUMIFS(Investors!$M:$M,Investors!$O:$O,FALSE,Investors!$P:$P,FALSE,Investors!$K:$K,"&gt;"&amp;'NSST Print'!$B$3,Investors!$I:$I,"&lt;="&amp;'NSST Print'!$B$3,Investors!$A:$A,'Investor Exit List'!$A491,Investors!$E:$E,'Investor Exit List'!$C491,Investors!$L:$L,'Investor Exit List'!$B491)-(SUMIFS(Investors!$M:$M,Investors!$I:$I,"&lt;="&amp;'NSST Print'!$B$3,Investors!$J:$J,"&gt;"&amp;'NSST Print'!$B$3,Investors!$A:$A,'Investor Exit List'!$A491,Investors!$E:$E,'Investor Exit List'!$C491,Investors!$L:$L,'Investor Exit List'!$B491)+SUMIFS(Investors!$M:$M,Investors!$I:$I,"&lt;="&amp;'NSST Print'!$B$3,Investors!$J:$J,"",Investors!$A:$A,'Investor Exit List'!$A491,Investors!$E:$E,'Investor Exit List'!$C491,Investors!$L:$L,'Investor Exit List'!$B491))</f>
        <v/>
      </c>
      <c r="G491" s="99" t="n">
        <v>45044</v>
      </c>
      <c r="H491" s="97" t="b">
        <v>1</v>
      </c>
      <c r="I491" s="97" t="b">
        <v>0</v>
      </c>
      <c r="J491" s="99" t="n">
        <v>45518</v>
      </c>
      <c r="K491" s="99">
        <f>IF(I491=TRUE,J491,"")</f>
        <v/>
      </c>
      <c r="L491" s="99">
        <f>G491+730</f>
        <v/>
      </c>
      <c r="M491" s="99" t="n">
        <v>45382</v>
      </c>
      <c r="N491" s="100">
        <f>IFERROR(IF(G491&lt;&gt;"",IF(I491=TRUE,0,IF(U491=TRUE,0,L491-M491)),0),0)</f>
        <v/>
      </c>
      <c r="O491" s="100">
        <f>IF(N491&gt;0,IF(N491&lt;=180,N491,0),0)</f>
        <v/>
      </c>
      <c r="P491" s="98">
        <f>IF(AND(N491&lt;90,N491&gt;0),Q491,0)</f>
        <v/>
      </c>
      <c r="Q491" s="98">
        <f>SUMIFS(Investors!$M:$M,Investors!$O:$O,FALSE,Investors!$P:$P,FALSE,Investors!$K:$K,"&gt;"&amp;'NSST Print'!$B$3,Investors!$I:$I,"&lt;="&amp;'NSST Print'!$B$3,Investors!$A:$A,'Investor Exit List'!$A491,Investors!$E:$E,'Investor Exit List'!$C491,Investors!$L:$L,'Investor Exit List'!$B491)-(SUMIFS(Investors!$M:$M,Investors!$I:$I,"&lt;="&amp;'NSST Print'!$B$3,Investors!$J:$J,"&gt;"&amp;'NSST Print'!$B$3,Investors!$A:$A,'Investor Exit List'!$A491,Investors!$E:$E,'Investor Exit List'!$C491,Investors!$L:$L,'Investor Exit List'!$B491)+SUMIFS(Investors!$M:$M,Investors!$I:$I,"&lt;="&amp;'NSST Print'!$B$3,Investors!$J:$J,"",Investors!$A:$A,'Investor Exit List'!$A491,Investors!$E:$E,'Investor Exit List'!$C491,Investors!$L:$L,'Investor Exit List'!$B491))+SUMIFS(Investors!$S:$S,Investors!$O:$O,FALSE,Investors!$P:$P,FALSE,Investors!$K:$K,"&gt;"&amp;'NSST Print'!$B$3,Investors!$I:$I,"&lt;="&amp;'NSST Print'!$B$3,Investors!$A:$A,'Investor Exit List'!$A491,Investors!$E:$E,'Investor Exit List'!$C491,Investors!$L:$L,'Investor Exit List'!$B491)-(SUMIFS(Investors!$S:$S,Investors!$I:$I,"&lt;="&amp;'NSST Print'!$B$3,Investors!$J:$J,"&gt;"&amp;'NSST Print'!$B$3,Investors!$A:$A,'Investor Exit List'!$A491,Investors!$E:$E,'Investor Exit List'!$C491,Investors!$L:$L,'Investor Exit List'!$B491)+SUMIFS(Investors!$S:$S,Investors!$I:$I,"&lt;="&amp;'NSST Print'!$B$3,Investors!$J:$J,"",Investors!$A:$A,'Investor Exit List'!$A491,Investors!$E:$E,'Investor Exit List'!$C491,Investors!$L:$L,'Investor Exit List'!$B491))</f>
        <v/>
      </c>
      <c r="R491" s="98">
        <f>IF(AND(H491=TRUE,I491=FALSE),Q491,0)</f>
        <v/>
      </c>
      <c r="S491" s="98">
        <f>SUMIFS(Investors!$M:$M,Investors!$O:$O,TRUE,Investors!$A:$A,'Investor Exit List'!$A491,Investors!$E:$E,'Investor Exit List'!$C491,Investors!$L:$L,'Investor Exit List'!$B491)+SUMIFS(Investors!$S:$S,Investors!$O:$O,TRUE,Investors!$A:$A,'Investor Exit List'!$A491,Investors!$E:$E,'Investor Exit List'!$C491,Investors!$L:$L,'Investor Exit List'!$B491)</f>
        <v/>
      </c>
      <c r="T491" s="99">
        <f>IF(U491=TRUE,$J491,"")</f>
        <v/>
      </c>
      <c r="U491" s="97" t="b">
        <v>0</v>
      </c>
      <c r="V491" s="98">
        <f>IF(AND(H491=TRUE,OR(K491="",K491&gt;M491)),S491,0)</f>
        <v/>
      </c>
      <c r="W491" s="97" t="n">
        <v>0</v>
      </c>
      <c r="X491" s="97" t="b">
        <v>0</v>
      </c>
    </row>
    <row r="492">
      <c r="A492" s="97" t="inlineStr">
        <is>
          <t>ZJOH01</t>
        </is>
      </c>
      <c r="B492" s="97" t="n">
        <v>8</v>
      </c>
      <c r="C492" s="97" t="inlineStr">
        <is>
          <t>HVO201</t>
        </is>
      </c>
      <c r="D492" s="97" t="inlineStr">
        <is>
          <t>O</t>
        </is>
      </c>
      <c r="E492" s="97" t="inlineStr">
        <is>
          <t>Johns Lisa-Marie Natalie</t>
        </is>
      </c>
      <c r="F492" s="98">
        <f>SUMIFS(Investors!$M:$M,Investors!$O:$O,FALSE,Investors!$P:$P,FALSE,Investors!$K:$K,"&gt;"&amp;'NSST Print'!$B$3,Investors!$I:$I,"&lt;="&amp;'NSST Print'!$B$3,Investors!$A:$A,'Investor Exit List'!$A492,Investors!$E:$E,'Investor Exit List'!$C492,Investors!$L:$L,'Investor Exit List'!$B492)-(SUMIFS(Investors!$M:$M,Investors!$I:$I,"&lt;="&amp;'NSST Print'!$B$3,Investors!$J:$J,"&gt;"&amp;'NSST Print'!$B$3,Investors!$A:$A,'Investor Exit List'!$A492,Investors!$E:$E,'Investor Exit List'!$C492,Investors!$L:$L,'Investor Exit List'!$B492)+SUMIFS(Investors!$M:$M,Investors!$I:$I,"&lt;="&amp;'NSST Print'!$B$3,Investors!$J:$J,"",Investors!$A:$A,'Investor Exit List'!$A492,Investors!$E:$E,'Investor Exit List'!$C492,Investors!$L:$L,'Investor Exit List'!$B492))</f>
        <v/>
      </c>
      <c r="G492" s="99" t="n">
        <v>45072</v>
      </c>
      <c r="H492" s="97" t="b">
        <v>1</v>
      </c>
      <c r="I492" s="97" t="b">
        <v>0</v>
      </c>
      <c r="J492" s="99" t="n">
        <v>45518</v>
      </c>
      <c r="K492" s="99">
        <f>IF(I492=TRUE,J492,"")</f>
        <v/>
      </c>
      <c r="L492" s="99">
        <f>G492+730</f>
        <v/>
      </c>
      <c r="M492" s="99" t="n">
        <v>45382</v>
      </c>
      <c r="N492" s="100">
        <f>IFERROR(IF(G492&lt;&gt;"",IF(I492=TRUE,0,IF(U492=TRUE,0,L492-M492)),0),0)</f>
        <v/>
      </c>
      <c r="O492" s="100">
        <f>IF(N492&gt;0,IF(N492&lt;=180,N492,0),0)</f>
        <v/>
      </c>
      <c r="P492" s="98">
        <f>IF(AND(N492&lt;90,N492&gt;0),Q492,0)</f>
        <v/>
      </c>
      <c r="Q492" s="98">
        <f>SUMIFS(Investors!$M:$M,Investors!$O:$O,FALSE,Investors!$P:$P,FALSE,Investors!$K:$K,"&gt;"&amp;'NSST Print'!$B$3,Investors!$I:$I,"&lt;="&amp;'NSST Print'!$B$3,Investors!$A:$A,'Investor Exit List'!$A492,Investors!$E:$E,'Investor Exit List'!$C492,Investors!$L:$L,'Investor Exit List'!$B492)-(SUMIFS(Investors!$M:$M,Investors!$I:$I,"&lt;="&amp;'NSST Print'!$B$3,Investors!$J:$J,"&gt;"&amp;'NSST Print'!$B$3,Investors!$A:$A,'Investor Exit List'!$A492,Investors!$E:$E,'Investor Exit List'!$C492,Investors!$L:$L,'Investor Exit List'!$B492)+SUMIFS(Investors!$M:$M,Investors!$I:$I,"&lt;="&amp;'NSST Print'!$B$3,Investors!$J:$J,"",Investors!$A:$A,'Investor Exit List'!$A492,Investors!$E:$E,'Investor Exit List'!$C492,Investors!$L:$L,'Investor Exit List'!$B492))+SUMIFS(Investors!$S:$S,Investors!$O:$O,FALSE,Investors!$P:$P,FALSE,Investors!$K:$K,"&gt;"&amp;'NSST Print'!$B$3,Investors!$I:$I,"&lt;="&amp;'NSST Print'!$B$3,Investors!$A:$A,'Investor Exit List'!$A492,Investors!$E:$E,'Investor Exit List'!$C492,Investors!$L:$L,'Investor Exit List'!$B492)-(SUMIFS(Investors!$S:$S,Investors!$I:$I,"&lt;="&amp;'NSST Print'!$B$3,Investors!$J:$J,"&gt;"&amp;'NSST Print'!$B$3,Investors!$A:$A,'Investor Exit List'!$A492,Investors!$E:$E,'Investor Exit List'!$C492,Investors!$L:$L,'Investor Exit List'!$B492)+SUMIFS(Investors!$S:$S,Investors!$I:$I,"&lt;="&amp;'NSST Print'!$B$3,Investors!$J:$J,"",Investors!$A:$A,'Investor Exit List'!$A492,Investors!$E:$E,'Investor Exit List'!$C492,Investors!$L:$L,'Investor Exit List'!$B492))</f>
        <v/>
      </c>
      <c r="R492" s="98">
        <f>IF(AND(H492=TRUE,I492=FALSE),Q492,0)</f>
        <v/>
      </c>
      <c r="S492" s="98">
        <f>SUMIFS(Investors!$M:$M,Investors!$O:$O,TRUE,Investors!$A:$A,'Investor Exit List'!$A492,Investors!$E:$E,'Investor Exit List'!$C492,Investors!$L:$L,'Investor Exit List'!$B492)+SUMIFS(Investors!$S:$S,Investors!$O:$O,TRUE,Investors!$A:$A,'Investor Exit List'!$A492,Investors!$E:$E,'Investor Exit List'!$C492,Investors!$L:$L,'Investor Exit List'!$B492)</f>
        <v/>
      </c>
      <c r="T492" s="99">
        <f>IF(U492=TRUE,$J492,"")</f>
        <v/>
      </c>
      <c r="U492" s="97" t="b">
        <v>0</v>
      </c>
      <c r="V492" s="98">
        <f>IF(AND(H492=TRUE,OR(K492="",K492&gt;M492)),S492,0)</f>
        <v/>
      </c>
      <c r="W492" s="97" t="n">
        <v>0</v>
      </c>
      <c r="X492" s="97" t="b">
        <v>0</v>
      </c>
    </row>
    <row r="493">
      <c r="A493" s="97" t="inlineStr">
        <is>
          <t>ZMAT01</t>
        </is>
      </c>
      <c r="B493" s="97" t="n">
        <v>6</v>
      </c>
      <c r="C493" s="97" t="inlineStr">
        <is>
          <t>HVO201</t>
        </is>
      </c>
      <c r="D493" s="97" t="inlineStr">
        <is>
          <t>O</t>
        </is>
      </c>
      <c r="E493" s="97" t="inlineStr">
        <is>
          <t>Matthews Natalie</t>
        </is>
      </c>
      <c r="F493" s="98">
        <f>SUMIFS(Investors!$M:$M,Investors!$O:$O,FALSE,Investors!$P:$P,FALSE,Investors!$K:$K,"&gt;"&amp;'NSST Print'!$B$3,Investors!$I:$I,"&lt;="&amp;'NSST Print'!$B$3,Investors!$A:$A,'Investor Exit List'!$A493,Investors!$E:$E,'Investor Exit List'!$C493,Investors!$L:$L,'Investor Exit List'!$B493)-(SUMIFS(Investors!$M:$M,Investors!$I:$I,"&lt;="&amp;'NSST Print'!$B$3,Investors!$J:$J,"&gt;"&amp;'NSST Print'!$B$3,Investors!$A:$A,'Investor Exit List'!$A493,Investors!$E:$E,'Investor Exit List'!$C493,Investors!$L:$L,'Investor Exit List'!$B493)+SUMIFS(Investors!$M:$M,Investors!$I:$I,"&lt;="&amp;'NSST Print'!$B$3,Investors!$J:$J,"",Investors!$A:$A,'Investor Exit List'!$A493,Investors!$E:$E,'Investor Exit List'!$C493,Investors!$L:$L,'Investor Exit List'!$B493))</f>
        <v/>
      </c>
      <c r="G493" s="99" t="n">
        <v>45072</v>
      </c>
      <c r="H493" s="97" t="b">
        <v>1</v>
      </c>
      <c r="I493" s="97" t="b">
        <v>0</v>
      </c>
      <c r="J493" s="99" t="n">
        <v>45518</v>
      </c>
      <c r="K493" s="99">
        <f>IF(I493=TRUE,J493,"")</f>
        <v/>
      </c>
      <c r="L493" s="99">
        <f>G493+730</f>
        <v/>
      </c>
      <c r="M493" s="99" t="n">
        <v>45382</v>
      </c>
      <c r="N493" s="100">
        <f>IFERROR(IF(G493&lt;&gt;"",IF(I493=TRUE,0,IF(U493=TRUE,0,L493-M493)),0),0)</f>
        <v/>
      </c>
      <c r="O493" s="100">
        <f>IF(N493&gt;0,IF(N493&lt;=180,N493,0),0)</f>
        <v/>
      </c>
      <c r="P493" s="98">
        <f>IF(AND(N493&lt;90,N493&gt;0),Q493,0)</f>
        <v/>
      </c>
      <c r="Q493" s="98">
        <f>SUMIFS(Investors!$M:$M,Investors!$O:$O,FALSE,Investors!$P:$P,FALSE,Investors!$K:$K,"&gt;"&amp;'NSST Print'!$B$3,Investors!$I:$I,"&lt;="&amp;'NSST Print'!$B$3,Investors!$A:$A,'Investor Exit List'!$A493,Investors!$E:$E,'Investor Exit List'!$C493,Investors!$L:$L,'Investor Exit List'!$B493)-(SUMIFS(Investors!$M:$M,Investors!$I:$I,"&lt;="&amp;'NSST Print'!$B$3,Investors!$J:$J,"&gt;"&amp;'NSST Print'!$B$3,Investors!$A:$A,'Investor Exit List'!$A493,Investors!$E:$E,'Investor Exit List'!$C493,Investors!$L:$L,'Investor Exit List'!$B493)+SUMIFS(Investors!$M:$M,Investors!$I:$I,"&lt;="&amp;'NSST Print'!$B$3,Investors!$J:$J,"",Investors!$A:$A,'Investor Exit List'!$A493,Investors!$E:$E,'Investor Exit List'!$C493,Investors!$L:$L,'Investor Exit List'!$B493))+SUMIFS(Investors!$S:$S,Investors!$O:$O,FALSE,Investors!$P:$P,FALSE,Investors!$K:$K,"&gt;"&amp;'NSST Print'!$B$3,Investors!$I:$I,"&lt;="&amp;'NSST Print'!$B$3,Investors!$A:$A,'Investor Exit List'!$A493,Investors!$E:$E,'Investor Exit List'!$C493,Investors!$L:$L,'Investor Exit List'!$B493)-(SUMIFS(Investors!$S:$S,Investors!$I:$I,"&lt;="&amp;'NSST Print'!$B$3,Investors!$J:$J,"&gt;"&amp;'NSST Print'!$B$3,Investors!$A:$A,'Investor Exit List'!$A493,Investors!$E:$E,'Investor Exit List'!$C493,Investors!$L:$L,'Investor Exit List'!$B493)+SUMIFS(Investors!$S:$S,Investors!$I:$I,"&lt;="&amp;'NSST Print'!$B$3,Investors!$J:$J,"",Investors!$A:$A,'Investor Exit List'!$A493,Investors!$E:$E,'Investor Exit List'!$C493,Investors!$L:$L,'Investor Exit List'!$B493))</f>
        <v/>
      </c>
      <c r="R493" s="98">
        <f>IF(AND(H493=TRUE,I493=FALSE),Q493,0)</f>
        <v/>
      </c>
      <c r="S493" s="98">
        <f>SUMIFS(Investors!$M:$M,Investors!$O:$O,TRUE,Investors!$A:$A,'Investor Exit List'!$A493,Investors!$E:$E,'Investor Exit List'!$C493,Investors!$L:$L,'Investor Exit List'!$B493)+SUMIFS(Investors!$S:$S,Investors!$O:$O,TRUE,Investors!$A:$A,'Investor Exit List'!$A493,Investors!$E:$E,'Investor Exit List'!$C493,Investors!$L:$L,'Investor Exit List'!$B493)</f>
        <v/>
      </c>
      <c r="T493" s="99">
        <f>IF(U493=TRUE,$J493,"")</f>
        <v/>
      </c>
      <c r="U493" s="97" t="b">
        <v>0</v>
      </c>
      <c r="V493" s="98">
        <f>IF(AND(H493=TRUE,OR(K493="",K493&gt;M493)),S493,0)</f>
        <v/>
      </c>
      <c r="W493" s="97" t="n">
        <v>0</v>
      </c>
      <c r="X493" s="97" t="b">
        <v>0</v>
      </c>
    </row>
    <row r="494">
      <c r="A494" s="97" t="inlineStr">
        <is>
          <t>ZTHA01</t>
        </is>
      </c>
      <c r="B494" s="97" t="n">
        <v>4</v>
      </c>
      <c r="C494" s="97" t="inlineStr">
        <is>
          <t>HVO201</t>
        </is>
      </c>
      <c r="D494" s="97" t="inlineStr">
        <is>
          <t>O</t>
        </is>
      </c>
      <c r="E494" s="97" t="inlineStr">
        <is>
          <t>Matthee Gerald Adriaan Odendal</t>
        </is>
      </c>
      <c r="F494" s="98">
        <f>SUMIFS(Investors!$M:$M,Investors!$O:$O,FALSE,Investors!$P:$P,FALSE,Investors!$K:$K,"&gt;"&amp;'NSST Print'!$B$3,Investors!$I:$I,"&lt;="&amp;'NSST Print'!$B$3,Investors!$A:$A,'Investor Exit List'!$A494,Investors!$E:$E,'Investor Exit List'!$C494,Investors!$L:$L,'Investor Exit List'!$B494)-(SUMIFS(Investors!$M:$M,Investors!$I:$I,"&lt;="&amp;'NSST Print'!$B$3,Investors!$J:$J,"&gt;"&amp;'NSST Print'!$B$3,Investors!$A:$A,'Investor Exit List'!$A494,Investors!$E:$E,'Investor Exit List'!$C494,Investors!$L:$L,'Investor Exit List'!$B494)+SUMIFS(Investors!$M:$M,Investors!$I:$I,"&lt;="&amp;'NSST Print'!$B$3,Investors!$J:$J,"",Investors!$A:$A,'Investor Exit List'!$A494,Investors!$E:$E,'Investor Exit List'!$C494,Investors!$L:$L,'Investor Exit List'!$B494))</f>
        <v/>
      </c>
      <c r="G494" s="99" t="n">
        <v>45016</v>
      </c>
      <c r="H494" s="97" t="b">
        <v>1</v>
      </c>
      <c r="I494" s="97" t="b">
        <v>0</v>
      </c>
      <c r="J494" s="99" t="n">
        <v>45518</v>
      </c>
      <c r="K494" s="99">
        <f>IF(I494=TRUE,J494,"")</f>
        <v/>
      </c>
      <c r="L494" s="99">
        <f>G494+730</f>
        <v/>
      </c>
      <c r="M494" s="99" t="n">
        <v>45382</v>
      </c>
      <c r="N494" s="100">
        <f>IFERROR(IF(G494&lt;&gt;"",IF(I494=TRUE,0,IF(U494=TRUE,0,L494-M494)),0),0)</f>
        <v/>
      </c>
      <c r="O494" s="100">
        <f>IF(N494&gt;0,IF(N494&lt;=180,N494,0),0)</f>
        <v/>
      </c>
      <c r="P494" s="98">
        <f>IF(AND(N494&lt;90,N494&gt;0),Q494,0)</f>
        <v/>
      </c>
      <c r="Q494" s="98">
        <f>SUMIFS(Investors!$M:$M,Investors!$O:$O,FALSE,Investors!$P:$P,FALSE,Investors!$K:$K,"&gt;"&amp;'NSST Print'!$B$3,Investors!$I:$I,"&lt;="&amp;'NSST Print'!$B$3,Investors!$A:$A,'Investor Exit List'!$A494,Investors!$E:$E,'Investor Exit List'!$C494,Investors!$L:$L,'Investor Exit List'!$B494)-(SUMIFS(Investors!$M:$M,Investors!$I:$I,"&lt;="&amp;'NSST Print'!$B$3,Investors!$J:$J,"&gt;"&amp;'NSST Print'!$B$3,Investors!$A:$A,'Investor Exit List'!$A494,Investors!$E:$E,'Investor Exit List'!$C494,Investors!$L:$L,'Investor Exit List'!$B494)+SUMIFS(Investors!$M:$M,Investors!$I:$I,"&lt;="&amp;'NSST Print'!$B$3,Investors!$J:$J,"",Investors!$A:$A,'Investor Exit List'!$A494,Investors!$E:$E,'Investor Exit List'!$C494,Investors!$L:$L,'Investor Exit List'!$B494))+SUMIFS(Investors!$S:$S,Investors!$O:$O,FALSE,Investors!$P:$P,FALSE,Investors!$K:$K,"&gt;"&amp;'NSST Print'!$B$3,Investors!$I:$I,"&lt;="&amp;'NSST Print'!$B$3,Investors!$A:$A,'Investor Exit List'!$A494,Investors!$E:$E,'Investor Exit List'!$C494,Investors!$L:$L,'Investor Exit List'!$B494)-(SUMIFS(Investors!$S:$S,Investors!$I:$I,"&lt;="&amp;'NSST Print'!$B$3,Investors!$J:$J,"&gt;"&amp;'NSST Print'!$B$3,Investors!$A:$A,'Investor Exit List'!$A494,Investors!$E:$E,'Investor Exit List'!$C494,Investors!$L:$L,'Investor Exit List'!$B494)+SUMIFS(Investors!$S:$S,Investors!$I:$I,"&lt;="&amp;'NSST Print'!$B$3,Investors!$J:$J,"",Investors!$A:$A,'Investor Exit List'!$A494,Investors!$E:$E,'Investor Exit List'!$C494,Investors!$L:$L,'Investor Exit List'!$B494))</f>
        <v/>
      </c>
      <c r="R494" s="98">
        <f>IF(AND(H494=TRUE,I494=FALSE),Q494,0)</f>
        <v/>
      </c>
      <c r="S494" s="98">
        <f>SUMIFS(Investors!$M:$M,Investors!$O:$O,TRUE,Investors!$A:$A,'Investor Exit List'!$A494,Investors!$E:$E,'Investor Exit List'!$C494,Investors!$L:$L,'Investor Exit List'!$B494)+SUMIFS(Investors!$S:$S,Investors!$O:$O,TRUE,Investors!$A:$A,'Investor Exit List'!$A494,Investors!$E:$E,'Investor Exit List'!$C494,Investors!$L:$L,'Investor Exit List'!$B494)</f>
        <v/>
      </c>
      <c r="T494" s="99">
        <f>IF(U494=TRUE,$J494,"")</f>
        <v/>
      </c>
      <c r="U494" s="97" t="b">
        <v>0</v>
      </c>
      <c r="V494" s="98">
        <f>IF(AND(H494=TRUE,OR(K494="",K494&gt;M494)),S494,0)</f>
        <v/>
      </c>
      <c r="W494" s="97" t="n">
        <v>0</v>
      </c>
      <c r="X494" s="97" t="b">
        <v>0</v>
      </c>
    </row>
    <row r="495">
      <c r="A495" s="97" t="inlineStr">
        <is>
          <t>ZVAN05</t>
        </is>
      </c>
      <c r="B495" s="97" t="n">
        <v>8</v>
      </c>
      <c r="C495" s="97" t="inlineStr">
        <is>
          <t>HVO201</t>
        </is>
      </c>
      <c r="D495" s="97" t="inlineStr">
        <is>
          <t>O</t>
        </is>
      </c>
      <c r="E495" s="97" t="inlineStr">
        <is>
          <t>van der Sandt Hermanus</t>
        </is>
      </c>
      <c r="F495" s="98">
        <f>SUMIFS(Investors!$M:$M,Investors!$O:$O,FALSE,Investors!$P:$P,FALSE,Investors!$K:$K,"&gt;"&amp;'NSST Print'!$B$3,Investors!$I:$I,"&lt;="&amp;'NSST Print'!$B$3,Investors!$A:$A,'Investor Exit List'!$A495,Investors!$E:$E,'Investor Exit List'!$C495,Investors!$L:$L,'Investor Exit List'!$B495)-(SUMIFS(Investors!$M:$M,Investors!$I:$I,"&lt;="&amp;'NSST Print'!$B$3,Investors!$J:$J,"&gt;"&amp;'NSST Print'!$B$3,Investors!$A:$A,'Investor Exit List'!$A495,Investors!$E:$E,'Investor Exit List'!$C495,Investors!$L:$L,'Investor Exit List'!$B495)+SUMIFS(Investors!$M:$M,Investors!$I:$I,"&lt;="&amp;'NSST Print'!$B$3,Investors!$J:$J,"",Investors!$A:$A,'Investor Exit List'!$A495,Investors!$E:$E,'Investor Exit List'!$C495,Investors!$L:$L,'Investor Exit List'!$B495))</f>
        <v/>
      </c>
      <c r="G495" s="99" t="n">
        <v>45107</v>
      </c>
      <c r="H495" s="97" t="b">
        <v>1</v>
      </c>
      <c r="I495" s="97" t="b">
        <v>0</v>
      </c>
      <c r="J495" s="99" t="n">
        <v>45518</v>
      </c>
      <c r="K495" s="99">
        <f>IF(I495=TRUE,J495,"")</f>
        <v/>
      </c>
      <c r="L495" s="99">
        <f>G495+730</f>
        <v/>
      </c>
      <c r="M495" s="99" t="n">
        <v>45382</v>
      </c>
      <c r="N495" s="100">
        <f>IFERROR(IF(G495&lt;&gt;"",IF(I495=TRUE,0,IF(U495=TRUE,0,L495-M495)),0),0)</f>
        <v/>
      </c>
      <c r="O495" s="100">
        <f>IF(N495&gt;0,IF(N495&lt;=180,N495,0),0)</f>
        <v/>
      </c>
      <c r="P495" s="98">
        <f>IF(AND(N495&lt;90,N495&gt;0),Q495,0)</f>
        <v/>
      </c>
      <c r="Q495" s="98">
        <f>SUMIFS(Investors!$M:$M,Investors!$O:$O,FALSE,Investors!$P:$P,FALSE,Investors!$K:$K,"&gt;"&amp;'NSST Print'!$B$3,Investors!$I:$I,"&lt;="&amp;'NSST Print'!$B$3,Investors!$A:$A,'Investor Exit List'!$A495,Investors!$E:$E,'Investor Exit List'!$C495,Investors!$L:$L,'Investor Exit List'!$B495)-(SUMIFS(Investors!$M:$M,Investors!$I:$I,"&lt;="&amp;'NSST Print'!$B$3,Investors!$J:$J,"&gt;"&amp;'NSST Print'!$B$3,Investors!$A:$A,'Investor Exit List'!$A495,Investors!$E:$E,'Investor Exit List'!$C495,Investors!$L:$L,'Investor Exit List'!$B495)+SUMIFS(Investors!$M:$M,Investors!$I:$I,"&lt;="&amp;'NSST Print'!$B$3,Investors!$J:$J,"",Investors!$A:$A,'Investor Exit List'!$A495,Investors!$E:$E,'Investor Exit List'!$C495,Investors!$L:$L,'Investor Exit List'!$B495))+SUMIFS(Investors!$S:$S,Investors!$O:$O,FALSE,Investors!$P:$P,FALSE,Investors!$K:$K,"&gt;"&amp;'NSST Print'!$B$3,Investors!$I:$I,"&lt;="&amp;'NSST Print'!$B$3,Investors!$A:$A,'Investor Exit List'!$A495,Investors!$E:$E,'Investor Exit List'!$C495,Investors!$L:$L,'Investor Exit List'!$B495)-(SUMIFS(Investors!$S:$S,Investors!$I:$I,"&lt;="&amp;'NSST Print'!$B$3,Investors!$J:$J,"&gt;"&amp;'NSST Print'!$B$3,Investors!$A:$A,'Investor Exit List'!$A495,Investors!$E:$E,'Investor Exit List'!$C495,Investors!$L:$L,'Investor Exit List'!$B495)+SUMIFS(Investors!$S:$S,Investors!$I:$I,"&lt;="&amp;'NSST Print'!$B$3,Investors!$J:$J,"",Investors!$A:$A,'Investor Exit List'!$A495,Investors!$E:$E,'Investor Exit List'!$C495,Investors!$L:$L,'Investor Exit List'!$B495))</f>
        <v/>
      </c>
      <c r="R495" s="98">
        <f>IF(AND(H495=TRUE,I495=FALSE),Q495,0)</f>
        <v/>
      </c>
      <c r="S495" s="98">
        <f>SUMIFS(Investors!$M:$M,Investors!$O:$O,TRUE,Investors!$A:$A,'Investor Exit List'!$A495,Investors!$E:$E,'Investor Exit List'!$C495,Investors!$L:$L,'Investor Exit List'!$B495)+SUMIFS(Investors!$S:$S,Investors!$O:$O,TRUE,Investors!$A:$A,'Investor Exit List'!$A495,Investors!$E:$E,'Investor Exit List'!$C495,Investors!$L:$L,'Investor Exit List'!$B495)</f>
        <v/>
      </c>
      <c r="T495" s="99">
        <f>IF(U495=TRUE,$J495,"")</f>
        <v/>
      </c>
      <c r="U495" s="97" t="b">
        <v>0</v>
      </c>
      <c r="V495" s="98">
        <f>IF(AND(H495=TRUE,OR(K495="",K495&gt;M495)),S495,0)</f>
        <v/>
      </c>
      <c r="W495" s="97" t="n">
        <v>0</v>
      </c>
      <c r="X495" s="97" t="b">
        <v>0</v>
      </c>
    </row>
    <row r="496">
      <c r="A496" s="93" t="inlineStr">
        <is>
          <t>ZDEL01</t>
        </is>
      </c>
      <c r="B496" s="93" t="n">
        <v>10</v>
      </c>
      <c r="C496" s="93" t="inlineStr">
        <is>
          <t>HVO202</t>
        </is>
      </c>
      <c r="D496" s="93" t="inlineStr">
        <is>
          <t>O</t>
        </is>
      </c>
      <c r="E496" s="93" t="inlineStr">
        <is>
          <t>Jansen van Vuuren Pieter</t>
        </is>
      </c>
      <c r="F496" s="94">
        <f>SUMIFS(Investors!$M:$M,Investors!$O:$O,FALSE,Investors!$P:$P,FALSE,Investors!$K:$K,"&gt;"&amp;'NSST Print'!$B$3,Investors!$I:$I,"&lt;="&amp;'NSST Print'!$B$3,Investors!$A:$A,'Investor Exit List'!$A496,Investors!$E:$E,'Investor Exit List'!$C496,Investors!$L:$L,'Investor Exit List'!$B496)-(SUMIFS(Investors!$M:$M,Investors!$I:$I,"&lt;="&amp;'NSST Print'!$B$3,Investors!$J:$J,"&gt;"&amp;'NSST Print'!$B$3,Investors!$A:$A,'Investor Exit List'!$A496,Investors!$E:$E,'Investor Exit List'!$C496,Investors!$L:$L,'Investor Exit List'!$B496)+SUMIFS(Investors!$M:$M,Investors!$I:$I,"&lt;="&amp;'NSST Print'!$B$3,Investors!$J:$J,"",Investors!$A:$A,'Investor Exit List'!$A496,Investors!$E:$E,'Investor Exit List'!$C496,Investors!$L:$L,'Investor Exit List'!$B496))</f>
        <v/>
      </c>
      <c r="G496" s="95" t="n">
        <v>45044</v>
      </c>
      <c r="H496" s="93" t="b">
        <v>0</v>
      </c>
      <c r="I496" s="93" t="b">
        <v>0</v>
      </c>
      <c r="J496" s="95" t="n">
        <v>45518</v>
      </c>
      <c r="K496" s="95">
        <f>IF(I496=TRUE,J496,"")</f>
        <v/>
      </c>
      <c r="L496" s="95">
        <f>G496+730</f>
        <v/>
      </c>
      <c r="M496" s="95" t="n">
        <v>45382</v>
      </c>
      <c r="N496" s="96">
        <f>IFERROR(IF(G496&lt;&gt;"",IF(I496=TRUE,0,IF(U496=TRUE,0,L496-M496)),0),0)</f>
        <v/>
      </c>
      <c r="O496" s="96">
        <f>IF(N496&gt;0,IF(N496&lt;=180,N496,0),0)</f>
        <v/>
      </c>
      <c r="P496" s="94">
        <f>IF(AND(N496&lt;90,N496&gt;0),Q496,0)</f>
        <v/>
      </c>
      <c r="Q496" s="94">
        <f>SUMIFS(Investors!$M:$M,Investors!$O:$O,FALSE,Investors!$P:$P,FALSE,Investors!$K:$K,"&gt;"&amp;'NSST Print'!$B$3,Investors!$I:$I,"&lt;="&amp;'NSST Print'!$B$3,Investors!$A:$A,'Investor Exit List'!$A496,Investors!$E:$E,'Investor Exit List'!$C496,Investors!$L:$L,'Investor Exit List'!$B496)-(SUMIFS(Investors!$M:$M,Investors!$I:$I,"&lt;="&amp;'NSST Print'!$B$3,Investors!$J:$J,"&gt;"&amp;'NSST Print'!$B$3,Investors!$A:$A,'Investor Exit List'!$A496,Investors!$E:$E,'Investor Exit List'!$C496,Investors!$L:$L,'Investor Exit List'!$B496)+SUMIFS(Investors!$M:$M,Investors!$I:$I,"&lt;="&amp;'NSST Print'!$B$3,Investors!$J:$J,"",Investors!$A:$A,'Investor Exit List'!$A496,Investors!$E:$E,'Investor Exit List'!$C496,Investors!$L:$L,'Investor Exit List'!$B496))+SUMIFS(Investors!$S:$S,Investors!$O:$O,FALSE,Investors!$P:$P,FALSE,Investors!$K:$K,"&gt;"&amp;'NSST Print'!$B$3,Investors!$I:$I,"&lt;="&amp;'NSST Print'!$B$3,Investors!$A:$A,'Investor Exit List'!$A496,Investors!$E:$E,'Investor Exit List'!$C496,Investors!$L:$L,'Investor Exit List'!$B496)-(SUMIFS(Investors!$S:$S,Investors!$I:$I,"&lt;="&amp;'NSST Print'!$B$3,Investors!$J:$J,"&gt;"&amp;'NSST Print'!$B$3,Investors!$A:$A,'Investor Exit List'!$A496,Investors!$E:$E,'Investor Exit List'!$C496,Investors!$L:$L,'Investor Exit List'!$B496)+SUMIFS(Investors!$S:$S,Investors!$I:$I,"&lt;="&amp;'NSST Print'!$B$3,Investors!$J:$J,"",Investors!$A:$A,'Investor Exit List'!$A496,Investors!$E:$E,'Investor Exit List'!$C496,Investors!$L:$L,'Investor Exit List'!$B496))</f>
        <v/>
      </c>
      <c r="R496" s="94">
        <f>IF(AND(H496=TRUE,I496=FALSE),Q496,0)</f>
        <v/>
      </c>
      <c r="S496" s="94">
        <f>SUMIFS(Investors!$M:$M,Investors!$O:$O,TRUE,Investors!$A:$A,'Investor Exit List'!$A496,Investors!$E:$E,'Investor Exit List'!$C496,Investors!$L:$L,'Investor Exit List'!$B496)+SUMIFS(Investors!$S:$S,Investors!$O:$O,TRUE,Investors!$A:$A,'Investor Exit List'!$A496,Investors!$E:$E,'Investor Exit List'!$C496,Investors!$L:$L,'Investor Exit List'!$B496)</f>
        <v/>
      </c>
      <c r="T496" s="95">
        <f>IF(U496=TRUE,$J496,"")</f>
        <v/>
      </c>
      <c r="U496" s="93" t="b">
        <v>0</v>
      </c>
      <c r="V496" s="94">
        <f>IF(AND(H496=TRUE,OR(K496="",K496&gt;M496)),S496,0)</f>
        <v/>
      </c>
      <c r="W496" s="93" t="n">
        <v>0</v>
      </c>
      <c r="X496" s="93" t="b">
        <v>0</v>
      </c>
    </row>
    <row r="497">
      <c r="A497" s="93" t="inlineStr">
        <is>
          <t>ZHEI01</t>
        </is>
      </c>
      <c r="B497" s="93" t="n">
        <v>11</v>
      </c>
      <c r="C497" s="93" t="inlineStr">
        <is>
          <t>HVO202</t>
        </is>
      </c>
      <c r="D497" s="93" t="inlineStr">
        <is>
          <t>O</t>
        </is>
      </c>
      <c r="E497" s="93" t="inlineStr">
        <is>
          <t>Heinze Dieter Raimund</t>
        </is>
      </c>
      <c r="F497" s="94">
        <f>SUMIFS(Investors!$M:$M,Investors!$O:$O,FALSE,Investors!$P:$P,FALSE,Investors!$K:$K,"&gt;"&amp;'NSST Print'!$B$3,Investors!$I:$I,"&lt;="&amp;'NSST Print'!$B$3,Investors!$A:$A,'Investor Exit List'!$A497,Investors!$E:$E,'Investor Exit List'!$C497,Investors!$L:$L,'Investor Exit List'!$B497)-(SUMIFS(Investors!$M:$M,Investors!$I:$I,"&lt;="&amp;'NSST Print'!$B$3,Investors!$J:$J,"&gt;"&amp;'NSST Print'!$B$3,Investors!$A:$A,'Investor Exit List'!$A497,Investors!$E:$E,'Investor Exit List'!$C497,Investors!$L:$L,'Investor Exit List'!$B497)+SUMIFS(Investors!$M:$M,Investors!$I:$I,"&lt;="&amp;'NSST Print'!$B$3,Investors!$J:$J,"",Investors!$A:$A,'Investor Exit List'!$A497,Investors!$E:$E,'Investor Exit List'!$C497,Investors!$L:$L,'Investor Exit List'!$B497))</f>
        <v/>
      </c>
      <c r="G497" s="95" t="n">
        <v>45072</v>
      </c>
      <c r="H497" s="93" t="b">
        <v>0</v>
      </c>
      <c r="I497" s="93" t="b">
        <v>0</v>
      </c>
      <c r="J497" s="95" t="n">
        <v>45518</v>
      </c>
      <c r="K497" s="95">
        <f>IF(I497=TRUE,J497,"")</f>
        <v/>
      </c>
      <c r="L497" s="95">
        <f>G497+730</f>
        <v/>
      </c>
      <c r="M497" s="95" t="n">
        <v>45382</v>
      </c>
      <c r="N497" s="96">
        <f>IFERROR(IF(G497&lt;&gt;"",IF(I497=TRUE,0,IF(U497=TRUE,0,L497-M497)),0),0)</f>
        <v/>
      </c>
      <c r="O497" s="96">
        <f>IF(N497&gt;0,IF(N497&lt;=180,N497,0),0)</f>
        <v/>
      </c>
      <c r="P497" s="94">
        <f>IF(AND(N497&lt;90,N497&gt;0),Q497,0)</f>
        <v/>
      </c>
      <c r="Q497" s="94">
        <f>SUMIFS(Investors!$M:$M,Investors!$O:$O,FALSE,Investors!$P:$P,FALSE,Investors!$K:$K,"&gt;"&amp;'NSST Print'!$B$3,Investors!$I:$I,"&lt;="&amp;'NSST Print'!$B$3,Investors!$A:$A,'Investor Exit List'!$A497,Investors!$E:$E,'Investor Exit List'!$C497,Investors!$L:$L,'Investor Exit List'!$B497)-(SUMIFS(Investors!$M:$M,Investors!$I:$I,"&lt;="&amp;'NSST Print'!$B$3,Investors!$J:$J,"&gt;"&amp;'NSST Print'!$B$3,Investors!$A:$A,'Investor Exit List'!$A497,Investors!$E:$E,'Investor Exit List'!$C497,Investors!$L:$L,'Investor Exit List'!$B497)+SUMIFS(Investors!$M:$M,Investors!$I:$I,"&lt;="&amp;'NSST Print'!$B$3,Investors!$J:$J,"",Investors!$A:$A,'Investor Exit List'!$A497,Investors!$E:$E,'Investor Exit List'!$C497,Investors!$L:$L,'Investor Exit List'!$B497))+SUMIFS(Investors!$S:$S,Investors!$O:$O,FALSE,Investors!$P:$P,FALSE,Investors!$K:$K,"&gt;"&amp;'NSST Print'!$B$3,Investors!$I:$I,"&lt;="&amp;'NSST Print'!$B$3,Investors!$A:$A,'Investor Exit List'!$A497,Investors!$E:$E,'Investor Exit List'!$C497,Investors!$L:$L,'Investor Exit List'!$B497)-(SUMIFS(Investors!$S:$S,Investors!$I:$I,"&lt;="&amp;'NSST Print'!$B$3,Investors!$J:$J,"&gt;"&amp;'NSST Print'!$B$3,Investors!$A:$A,'Investor Exit List'!$A497,Investors!$E:$E,'Investor Exit List'!$C497,Investors!$L:$L,'Investor Exit List'!$B497)+SUMIFS(Investors!$S:$S,Investors!$I:$I,"&lt;="&amp;'NSST Print'!$B$3,Investors!$J:$J,"",Investors!$A:$A,'Investor Exit List'!$A497,Investors!$E:$E,'Investor Exit List'!$C497,Investors!$L:$L,'Investor Exit List'!$B497))</f>
        <v/>
      </c>
      <c r="R497" s="94">
        <f>IF(AND(H497=TRUE,I497=FALSE),Q497,0)</f>
        <v/>
      </c>
      <c r="S497" s="94">
        <f>SUMIFS(Investors!$M:$M,Investors!$O:$O,TRUE,Investors!$A:$A,'Investor Exit List'!$A497,Investors!$E:$E,'Investor Exit List'!$C497,Investors!$L:$L,'Investor Exit List'!$B497)+SUMIFS(Investors!$S:$S,Investors!$O:$O,TRUE,Investors!$A:$A,'Investor Exit List'!$A497,Investors!$E:$E,'Investor Exit List'!$C497,Investors!$L:$L,'Investor Exit List'!$B497)</f>
        <v/>
      </c>
      <c r="T497" s="95">
        <f>IF(U497=TRUE,$J497,"")</f>
        <v/>
      </c>
      <c r="U497" s="93" t="b">
        <v>0</v>
      </c>
      <c r="V497" s="94">
        <f>IF(AND(H497=TRUE,OR(K497="",K497&gt;M497)),S497,0)</f>
        <v/>
      </c>
      <c r="W497" s="93" t="n">
        <v>0</v>
      </c>
      <c r="X497" s="93" t="b">
        <v>0</v>
      </c>
    </row>
    <row r="498">
      <c r="A498" s="93" t="inlineStr">
        <is>
          <t>ZLOU03</t>
        </is>
      </c>
      <c r="B498" s="93" t="n">
        <v>2</v>
      </c>
      <c r="C498" s="93" t="inlineStr">
        <is>
          <t>HVO202</t>
        </is>
      </c>
      <c r="D498" s="93" t="inlineStr">
        <is>
          <t>O</t>
        </is>
      </c>
      <c r="E498" s="93" t="inlineStr">
        <is>
          <t>Louwrens Peter Arnold</t>
        </is>
      </c>
      <c r="F498" s="94">
        <f>SUMIFS(Investors!$M:$M,Investors!$O:$O,FALSE,Investors!$P:$P,FALSE,Investors!$K:$K,"&gt;"&amp;'NSST Print'!$B$3,Investors!$I:$I,"&lt;="&amp;'NSST Print'!$B$3,Investors!$A:$A,'Investor Exit List'!$A498,Investors!$E:$E,'Investor Exit List'!$C498,Investors!$L:$L,'Investor Exit List'!$B498)-(SUMIFS(Investors!$M:$M,Investors!$I:$I,"&lt;="&amp;'NSST Print'!$B$3,Investors!$J:$J,"&gt;"&amp;'NSST Print'!$B$3,Investors!$A:$A,'Investor Exit List'!$A498,Investors!$E:$E,'Investor Exit List'!$C498,Investors!$L:$L,'Investor Exit List'!$B498)+SUMIFS(Investors!$M:$M,Investors!$I:$I,"&lt;="&amp;'NSST Print'!$B$3,Investors!$J:$J,"",Investors!$A:$A,'Investor Exit List'!$A498,Investors!$E:$E,'Investor Exit List'!$C498,Investors!$L:$L,'Investor Exit List'!$B498))</f>
        <v/>
      </c>
      <c r="G498" s="95" t="n">
        <v>45044</v>
      </c>
      <c r="H498" s="93" t="b">
        <v>0</v>
      </c>
      <c r="I498" s="93" t="b">
        <v>0</v>
      </c>
      <c r="J498" s="95" t="n">
        <v>45518</v>
      </c>
      <c r="K498" s="95">
        <f>IF(I498=TRUE,J498,"")</f>
        <v/>
      </c>
      <c r="L498" s="95">
        <f>G498+730</f>
        <v/>
      </c>
      <c r="M498" s="95" t="n">
        <v>45382</v>
      </c>
      <c r="N498" s="96">
        <f>IFERROR(IF(G498&lt;&gt;"",IF(I498=TRUE,0,IF(U498=TRUE,0,L498-M498)),0),0)</f>
        <v/>
      </c>
      <c r="O498" s="96">
        <f>IF(N498&gt;0,IF(N498&lt;=180,N498,0),0)</f>
        <v/>
      </c>
      <c r="P498" s="94">
        <f>IF(AND(N498&lt;90,N498&gt;0),Q498,0)</f>
        <v/>
      </c>
      <c r="Q498" s="94">
        <f>SUMIFS(Investors!$M:$M,Investors!$O:$O,FALSE,Investors!$P:$P,FALSE,Investors!$K:$K,"&gt;"&amp;'NSST Print'!$B$3,Investors!$I:$I,"&lt;="&amp;'NSST Print'!$B$3,Investors!$A:$A,'Investor Exit List'!$A498,Investors!$E:$E,'Investor Exit List'!$C498,Investors!$L:$L,'Investor Exit List'!$B498)-(SUMIFS(Investors!$M:$M,Investors!$I:$I,"&lt;="&amp;'NSST Print'!$B$3,Investors!$J:$J,"&gt;"&amp;'NSST Print'!$B$3,Investors!$A:$A,'Investor Exit List'!$A498,Investors!$E:$E,'Investor Exit List'!$C498,Investors!$L:$L,'Investor Exit List'!$B498)+SUMIFS(Investors!$M:$M,Investors!$I:$I,"&lt;="&amp;'NSST Print'!$B$3,Investors!$J:$J,"",Investors!$A:$A,'Investor Exit List'!$A498,Investors!$E:$E,'Investor Exit List'!$C498,Investors!$L:$L,'Investor Exit List'!$B498))+SUMIFS(Investors!$S:$S,Investors!$O:$O,FALSE,Investors!$P:$P,FALSE,Investors!$K:$K,"&gt;"&amp;'NSST Print'!$B$3,Investors!$I:$I,"&lt;="&amp;'NSST Print'!$B$3,Investors!$A:$A,'Investor Exit List'!$A498,Investors!$E:$E,'Investor Exit List'!$C498,Investors!$L:$L,'Investor Exit List'!$B498)-(SUMIFS(Investors!$S:$S,Investors!$I:$I,"&lt;="&amp;'NSST Print'!$B$3,Investors!$J:$J,"&gt;"&amp;'NSST Print'!$B$3,Investors!$A:$A,'Investor Exit List'!$A498,Investors!$E:$E,'Investor Exit List'!$C498,Investors!$L:$L,'Investor Exit List'!$B498)+SUMIFS(Investors!$S:$S,Investors!$I:$I,"&lt;="&amp;'NSST Print'!$B$3,Investors!$J:$J,"",Investors!$A:$A,'Investor Exit List'!$A498,Investors!$E:$E,'Investor Exit List'!$C498,Investors!$L:$L,'Investor Exit List'!$B498))</f>
        <v/>
      </c>
      <c r="R498" s="94">
        <f>IF(AND(H498=TRUE,I498=FALSE),Q498,0)</f>
        <v/>
      </c>
      <c r="S498" s="94">
        <f>SUMIFS(Investors!$M:$M,Investors!$O:$O,TRUE,Investors!$A:$A,'Investor Exit List'!$A498,Investors!$E:$E,'Investor Exit List'!$C498,Investors!$L:$L,'Investor Exit List'!$B498)+SUMIFS(Investors!$S:$S,Investors!$O:$O,TRUE,Investors!$A:$A,'Investor Exit List'!$A498,Investors!$E:$E,'Investor Exit List'!$C498,Investors!$L:$L,'Investor Exit List'!$B498)</f>
        <v/>
      </c>
      <c r="T498" s="95">
        <f>IF(U498=TRUE,$J498,"")</f>
        <v/>
      </c>
      <c r="U498" s="93" t="b">
        <v>0</v>
      </c>
      <c r="V498" s="94">
        <f>IF(AND(H498=TRUE,OR(K498="",K498&gt;M498)),S498,0)</f>
        <v/>
      </c>
      <c r="W498" s="93" t="n">
        <v>0</v>
      </c>
      <c r="X498" s="93" t="b">
        <v>0</v>
      </c>
    </row>
    <row r="499">
      <c r="A499" s="93" t="inlineStr">
        <is>
          <t>ZWAL01</t>
        </is>
      </c>
      <c r="B499" s="93" t="n">
        <v>2</v>
      </c>
      <c r="C499" s="93" t="inlineStr">
        <is>
          <t>HVO202</t>
        </is>
      </c>
      <c r="D499" s="93" t="inlineStr">
        <is>
          <t>O</t>
        </is>
      </c>
      <c r="E499" s="93" t="inlineStr">
        <is>
          <t>Walters Benedict Joseph</t>
        </is>
      </c>
      <c r="F499" s="94">
        <f>SUMIFS(Investors!$M:$M,Investors!$O:$O,FALSE,Investors!$P:$P,FALSE,Investors!$K:$K,"&gt;"&amp;'NSST Print'!$B$3,Investors!$I:$I,"&lt;="&amp;'NSST Print'!$B$3,Investors!$A:$A,'Investor Exit List'!$A499,Investors!$E:$E,'Investor Exit List'!$C499,Investors!$L:$L,'Investor Exit List'!$B499)-(SUMIFS(Investors!$M:$M,Investors!$I:$I,"&lt;="&amp;'NSST Print'!$B$3,Investors!$J:$J,"&gt;"&amp;'NSST Print'!$B$3,Investors!$A:$A,'Investor Exit List'!$A499,Investors!$E:$E,'Investor Exit List'!$C499,Investors!$L:$L,'Investor Exit List'!$B499)+SUMIFS(Investors!$M:$M,Investors!$I:$I,"&lt;="&amp;'NSST Print'!$B$3,Investors!$J:$J,"",Investors!$A:$A,'Investor Exit List'!$A499,Investors!$E:$E,'Investor Exit List'!$C499,Investors!$L:$L,'Investor Exit List'!$B499))</f>
        <v/>
      </c>
      <c r="G499" s="95" t="n">
        <v>45016</v>
      </c>
      <c r="H499" s="93" t="b">
        <v>0</v>
      </c>
      <c r="I499" s="93" t="b">
        <v>0</v>
      </c>
      <c r="J499" s="95" t="n">
        <v>45518</v>
      </c>
      <c r="K499" s="95">
        <f>IF(I499=TRUE,J499,"")</f>
        <v/>
      </c>
      <c r="L499" s="95">
        <f>G499+730</f>
        <v/>
      </c>
      <c r="M499" s="95" t="n">
        <v>45382</v>
      </c>
      <c r="N499" s="96">
        <f>IFERROR(IF(G499&lt;&gt;"",IF(I499=TRUE,0,IF(U499=TRUE,0,L499-M499)),0),0)</f>
        <v/>
      </c>
      <c r="O499" s="96">
        <f>IF(N499&gt;0,IF(N499&lt;=180,N499,0),0)</f>
        <v/>
      </c>
      <c r="P499" s="94">
        <f>IF(AND(N499&lt;90,N499&gt;0),Q499,0)</f>
        <v/>
      </c>
      <c r="Q499" s="94">
        <f>SUMIFS(Investors!$M:$M,Investors!$O:$O,FALSE,Investors!$P:$P,FALSE,Investors!$K:$K,"&gt;"&amp;'NSST Print'!$B$3,Investors!$I:$I,"&lt;="&amp;'NSST Print'!$B$3,Investors!$A:$A,'Investor Exit List'!$A499,Investors!$E:$E,'Investor Exit List'!$C499,Investors!$L:$L,'Investor Exit List'!$B499)-(SUMIFS(Investors!$M:$M,Investors!$I:$I,"&lt;="&amp;'NSST Print'!$B$3,Investors!$J:$J,"&gt;"&amp;'NSST Print'!$B$3,Investors!$A:$A,'Investor Exit List'!$A499,Investors!$E:$E,'Investor Exit List'!$C499,Investors!$L:$L,'Investor Exit List'!$B499)+SUMIFS(Investors!$M:$M,Investors!$I:$I,"&lt;="&amp;'NSST Print'!$B$3,Investors!$J:$J,"",Investors!$A:$A,'Investor Exit List'!$A499,Investors!$E:$E,'Investor Exit List'!$C499,Investors!$L:$L,'Investor Exit List'!$B499))+SUMIFS(Investors!$S:$S,Investors!$O:$O,FALSE,Investors!$P:$P,FALSE,Investors!$K:$K,"&gt;"&amp;'NSST Print'!$B$3,Investors!$I:$I,"&lt;="&amp;'NSST Print'!$B$3,Investors!$A:$A,'Investor Exit List'!$A499,Investors!$E:$E,'Investor Exit List'!$C499,Investors!$L:$L,'Investor Exit List'!$B499)-(SUMIFS(Investors!$S:$S,Investors!$I:$I,"&lt;="&amp;'NSST Print'!$B$3,Investors!$J:$J,"&gt;"&amp;'NSST Print'!$B$3,Investors!$A:$A,'Investor Exit List'!$A499,Investors!$E:$E,'Investor Exit List'!$C499,Investors!$L:$L,'Investor Exit List'!$B499)+SUMIFS(Investors!$S:$S,Investors!$I:$I,"&lt;="&amp;'NSST Print'!$B$3,Investors!$J:$J,"",Investors!$A:$A,'Investor Exit List'!$A499,Investors!$E:$E,'Investor Exit List'!$C499,Investors!$L:$L,'Investor Exit List'!$B499))</f>
        <v/>
      </c>
      <c r="R499" s="94">
        <f>IF(AND(H499=TRUE,I499=FALSE),Q499,0)</f>
        <v/>
      </c>
      <c r="S499" s="94">
        <f>SUMIFS(Investors!$M:$M,Investors!$O:$O,TRUE,Investors!$A:$A,'Investor Exit List'!$A499,Investors!$E:$E,'Investor Exit List'!$C499,Investors!$L:$L,'Investor Exit List'!$B499)+SUMIFS(Investors!$S:$S,Investors!$O:$O,TRUE,Investors!$A:$A,'Investor Exit List'!$A499,Investors!$E:$E,'Investor Exit List'!$C499,Investors!$L:$L,'Investor Exit List'!$B499)</f>
        <v/>
      </c>
      <c r="T499" s="95">
        <f>IF(U499=TRUE,$J499,"")</f>
        <v/>
      </c>
      <c r="U499" s="93" t="b">
        <v>0</v>
      </c>
      <c r="V499" s="94">
        <f>IF(AND(H499=TRUE,OR(K499="",K499&gt;M499)),S499,0)</f>
        <v/>
      </c>
      <c r="W499" s="93" t="n">
        <v>0</v>
      </c>
      <c r="X499" s="93" t="b">
        <v>0</v>
      </c>
    </row>
    <row r="500">
      <c r="A500" s="93" t="inlineStr">
        <is>
          <t>ZCRO01</t>
        </is>
      </c>
      <c r="B500" s="93" t="n">
        <v>11</v>
      </c>
      <c r="C500" s="93" t="inlineStr">
        <is>
          <t>HVO203</t>
        </is>
      </c>
      <c r="D500" s="93" t="inlineStr">
        <is>
          <t>O</t>
        </is>
      </c>
      <c r="E500" s="93" t="inlineStr">
        <is>
          <t>Lunau Marc</t>
        </is>
      </c>
      <c r="F500" s="94">
        <f>SUMIFS(Investors!$M:$M,Investors!$O:$O,FALSE,Investors!$P:$P,FALSE,Investors!$K:$K,"&gt;"&amp;'NSST Print'!$B$3,Investors!$I:$I,"&lt;="&amp;'NSST Print'!$B$3,Investors!$A:$A,'Investor Exit List'!$A500,Investors!$E:$E,'Investor Exit List'!$C500,Investors!$L:$L,'Investor Exit List'!$B500)-(SUMIFS(Investors!$M:$M,Investors!$I:$I,"&lt;="&amp;'NSST Print'!$B$3,Investors!$J:$J,"&gt;"&amp;'NSST Print'!$B$3,Investors!$A:$A,'Investor Exit List'!$A500,Investors!$E:$E,'Investor Exit List'!$C500,Investors!$L:$L,'Investor Exit List'!$B500)+SUMIFS(Investors!$M:$M,Investors!$I:$I,"&lt;="&amp;'NSST Print'!$B$3,Investors!$J:$J,"",Investors!$A:$A,'Investor Exit List'!$A500,Investors!$E:$E,'Investor Exit List'!$C500,Investors!$L:$L,'Investor Exit List'!$B500))</f>
        <v/>
      </c>
      <c r="G500" s="95" t="n">
        <v>45072</v>
      </c>
      <c r="H500" s="93" t="b">
        <v>0</v>
      </c>
      <c r="I500" s="93" t="b">
        <v>0</v>
      </c>
      <c r="J500" s="95" t="n">
        <v>45518</v>
      </c>
      <c r="K500" s="95">
        <f>IF(I500=TRUE,J500,"")</f>
        <v/>
      </c>
      <c r="L500" s="95">
        <f>G500+730</f>
        <v/>
      </c>
      <c r="M500" s="95" t="n">
        <v>45382</v>
      </c>
      <c r="N500" s="96">
        <f>IFERROR(IF(G500&lt;&gt;"",IF(I500=TRUE,0,IF(U500=TRUE,0,L500-M500)),0),0)</f>
        <v/>
      </c>
      <c r="O500" s="96">
        <f>IF(N500&gt;0,IF(N500&lt;=180,N500,0),0)</f>
        <v/>
      </c>
      <c r="P500" s="94">
        <f>IF(AND(N500&lt;90,N500&gt;0),Q500,0)</f>
        <v/>
      </c>
      <c r="Q500" s="94">
        <f>SUMIFS(Investors!$M:$M,Investors!$O:$O,FALSE,Investors!$P:$P,FALSE,Investors!$K:$K,"&gt;"&amp;'NSST Print'!$B$3,Investors!$I:$I,"&lt;="&amp;'NSST Print'!$B$3,Investors!$A:$A,'Investor Exit List'!$A500,Investors!$E:$E,'Investor Exit List'!$C500,Investors!$L:$L,'Investor Exit List'!$B500)-(SUMIFS(Investors!$M:$M,Investors!$I:$I,"&lt;="&amp;'NSST Print'!$B$3,Investors!$J:$J,"&gt;"&amp;'NSST Print'!$B$3,Investors!$A:$A,'Investor Exit List'!$A500,Investors!$E:$E,'Investor Exit List'!$C500,Investors!$L:$L,'Investor Exit List'!$B500)+SUMIFS(Investors!$M:$M,Investors!$I:$I,"&lt;="&amp;'NSST Print'!$B$3,Investors!$J:$J,"",Investors!$A:$A,'Investor Exit List'!$A500,Investors!$E:$E,'Investor Exit List'!$C500,Investors!$L:$L,'Investor Exit List'!$B500))+SUMIFS(Investors!$S:$S,Investors!$O:$O,FALSE,Investors!$P:$P,FALSE,Investors!$K:$K,"&gt;"&amp;'NSST Print'!$B$3,Investors!$I:$I,"&lt;="&amp;'NSST Print'!$B$3,Investors!$A:$A,'Investor Exit List'!$A500,Investors!$E:$E,'Investor Exit List'!$C500,Investors!$L:$L,'Investor Exit List'!$B500)-(SUMIFS(Investors!$S:$S,Investors!$I:$I,"&lt;="&amp;'NSST Print'!$B$3,Investors!$J:$J,"&gt;"&amp;'NSST Print'!$B$3,Investors!$A:$A,'Investor Exit List'!$A500,Investors!$E:$E,'Investor Exit List'!$C500,Investors!$L:$L,'Investor Exit List'!$B500)+SUMIFS(Investors!$S:$S,Investors!$I:$I,"&lt;="&amp;'NSST Print'!$B$3,Investors!$J:$J,"",Investors!$A:$A,'Investor Exit List'!$A500,Investors!$E:$E,'Investor Exit List'!$C500,Investors!$L:$L,'Investor Exit List'!$B500))</f>
        <v/>
      </c>
      <c r="R500" s="94">
        <f>IF(AND(H500=TRUE,I500=FALSE),Q500,0)</f>
        <v/>
      </c>
      <c r="S500" s="94">
        <f>SUMIFS(Investors!$M:$M,Investors!$O:$O,TRUE,Investors!$A:$A,'Investor Exit List'!$A500,Investors!$E:$E,'Investor Exit List'!$C500,Investors!$L:$L,'Investor Exit List'!$B500)+SUMIFS(Investors!$S:$S,Investors!$O:$O,TRUE,Investors!$A:$A,'Investor Exit List'!$A500,Investors!$E:$E,'Investor Exit List'!$C500,Investors!$L:$L,'Investor Exit List'!$B500)</f>
        <v/>
      </c>
      <c r="T500" s="95">
        <f>IF(U500=TRUE,$J500,"")</f>
        <v/>
      </c>
      <c r="U500" s="93" t="b">
        <v>0</v>
      </c>
      <c r="V500" s="94">
        <f>IF(AND(H500=TRUE,OR(K500="",K500&gt;M500)),S500,0)</f>
        <v/>
      </c>
      <c r="W500" s="93" t="n">
        <v>0</v>
      </c>
      <c r="X500" s="93" t="b">
        <v>0</v>
      </c>
    </row>
    <row r="501">
      <c r="A501" s="93" t="inlineStr">
        <is>
          <t>ZKRU01</t>
        </is>
      </c>
      <c r="B501" s="93" t="n">
        <v>7</v>
      </c>
      <c r="C501" s="93" t="inlineStr">
        <is>
          <t>HVO203</t>
        </is>
      </c>
      <c r="D501" s="93" t="inlineStr">
        <is>
          <t>O</t>
        </is>
      </c>
      <c r="E501" s="93" t="inlineStr">
        <is>
          <t>Kruger Jurgen</t>
        </is>
      </c>
      <c r="F501" s="94">
        <f>SUMIFS(Investors!$M:$M,Investors!$O:$O,FALSE,Investors!$P:$P,FALSE,Investors!$K:$K,"&gt;"&amp;'NSST Print'!$B$3,Investors!$I:$I,"&lt;="&amp;'NSST Print'!$B$3,Investors!$A:$A,'Investor Exit List'!$A501,Investors!$E:$E,'Investor Exit List'!$C501,Investors!$L:$L,'Investor Exit List'!$B501)-(SUMIFS(Investors!$M:$M,Investors!$I:$I,"&lt;="&amp;'NSST Print'!$B$3,Investors!$J:$J,"&gt;"&amp;'NSST Print'!$B$3,Investors!$A:$A,'Investor Exit List'!$A501,Investors!$E:$E,'Investor Exit List'!$C501,Investors!$L:$L,'Investor Exit List'!$B501)+SUMIFS(Investors!$M:$M,Investors!$I:$I,"&lt;="&amp;'NSST Print'!$B$3,Investors!$J:$J,"",Investors!$A:$A,'Investor Exit List'!$A501,Investors!$E:$E,'Investor Exit List'!$C501,Investors!$L:$L,'Investor Exit List'!$B501))</f>
        <v/>
      </c>
      <c r="G501" s="95" t="n">
        <v>45072</v>
      </c>
      <c r="H501" s="93" t="b">
        <v>0</v>
      </c>
      <c r="I501" s="93" t="b">
        <v>0</v>
      </c>
      <c r="J501" s="95" t="n">
        <v>45518</v>
      </c>
      <c r="K501" s="95">
        <f>IF(I501=TRUE,J501,"")</f>
        <v/>
      </c>
      <c r="L501" s="95">
        <f>G501+730</f>
        <v/>
      </c>
      <c r="M501" s="95" t="n">
        <v>45382</v>
      </c>
      <c r="N501" s="96">
        <f>IFERROR(IF(G501&lt;&gt;"",IF(I501=TRUE,0,IF(U501=TRUE,0,L501-M501)),0),0)</f>
        <v/>
      </c>
      <c r="O501" s="96">
        <f>IF(N501&gt;0,IF(N501&lt;=180,N501,0),0)</f>
        <v/>
      </c>
      <c r="P501" s="94">
        <f>IF(AND(N501&lt;90,N501&gt;0),Q501,0)</f>
        <v/>
      </c>
      <c r="Q501" s="94">
        <f>SUMIFS(Investors!$M:$M,Investors!$O:$O,FALSE,Investors!$P:$P,FALSE,Investors!$K:$K,"&gt;"&amp;'NSST Print'!$B$3,Investors!$I:$I,"&lt;="&amp;'NSST Print'!$B$3,Investors!$A:$A,'Investor Exit List'!$A501,Investors!$E:$E,'Investor Exit List'!$C501,Investors!$L:$L,'Investor Exit List'!$B501)-(SUMIFS(Investors!$M:$M,Investors!$I:$I,"&lt;="&amp;'NSST Print'!$B$3,Investors!$J:$J,"&gt;"&amp;'NSST Print'!$B$3,Investors!$A:$A,'Investor Exit List'!$A501,Investors!$E:$E,'Investor Exit List'!$C501,Investors!$L:$L,'Investor Exit List'!$B501)+SUMIFS(Investors!$M:$M,Investors!$I:$I,"&lt;="&amp;'NSST Print'!$B$3,Investors!$J:$J,"",Investors!$A:$A,'Investor Exit List'!$A501,Investors!$E:$E,'Investor Exit List'!$C501,Investors!$L:$L,'Investor Exit List'!$B501))+SUMIFS(Investors!$S:$S,Investors!$O:$O,FALSE,Investors!$P:$P,FALSE,Investors!$K:$K,"&gt;"&amp;'NSST Print'!$B$3,Investors!$I:$I,"&lt;="&amp;'NSST Print'!$B$3,Investors!$A:$A,'Investor Exit List'!$A501,Investors!$E:$E,'Investor Exit List'!$C501,Investors!$L:$L,'Investor Exit List'!$B501)-(SUMIFS(Investors!$S:$S,Investors!$I:$I,"&lt;="&amp;'NSST Print'!$B$3,Investors!$J:$J,"&gt;"&amp;'NSST Print'!$B$3,Investors!$A:$A,'Investor Exit List'!$A501,Investors!$E:$E,'Investor Exit List'!$C501,Investors!$L:$L,'Investor Exit List'!$B501)+SUMIFS(Investors!$S:$S,Investors!$I:$I,"&lt;="&amp;'NSST Print'!$B$3,Investors!$J:$J,"",Investors!$A:$A,'Investor Exit List'!$A501,Investors!$E:$E,'Investor Exit List'!$C501,Investors!$L:$L,'Investor Exit List'!$B501))</f>
        <v/>
      </c>
      <c r="R501" s="94">
        <f>IF(AND(H501=TRUE,I501=FALSE),Q501,0)</f>
        <v/>
      </c>
      <c r="S501" s="94">
        <f>SUMIFS(Investors!$M:$M,Investors!$O:$O,TRUE,Investors!$A:$A,'Investor Exit List'!$A501,Investors!$E:$E,'Investor Exit List'!$C501,Investors!$L:$L,'Investor Exit List'!$B501)+SUMIFS(Investors!$S:$S,Investors!$O:$O,TRUE,Investors!$A:$A,'Investor Exit List'!$A501,Investors!$E:$E,'Investor Exit List'!$C501,Investors!$L:$L,'Investor Exit List'!$B501)</f>
        <v/>
      </c>
      <c r="T501" s="95">
        <f>IF(U501=TRUE,$J501,"")</f>
        <v/>
      </c>
      <c r="U501" s="93" t="b">
        <v>0</v>
      </c>
      <c r="V501" s="94">
        <f>IF(AND(H501=TRUE,OR(K501="",K501&gt;M501)),S501,0)</f>
        <v/>
      </c>
      <c r="W501" s="93" t="n">
        <v>0</v>
      </c>
      <c r="X501" s="93" t="b">
        <v>0</v>
      </c>
    </row>
    <row r="502">
      <c r="A502" s="93" t="inlineStr">
        <is>
          <t>ZVAL01</t>
        </is>
      </c>
      <c r="B502" s="93" t="n">
        <v>2</v>
      </c>
      <c r="C502" s="93" t="inlineStr">
        <is>
          <t>HVO203</t>
        </is>
      </c>
      <c r="D502" s="93" t="inlineStr">
        <is>
          <t>O</t>
        </is>
      </c>
      <c r="E502" s="93" t="inlineStr">
        <is>
          <t>Vallabh Manoj</t>
        </is>
      </c>
      <c r="F502" s="94">
        <f>SUMIFS(Investors!$M:$M,Investors!$O:$O,FALSE,Investors!$P:$P,FALSE,Investors!$K:$K,"&gt;"&amp;'NSST Print'!$B$3,Investors!$I:$I,"&lt;="&amp;'NSST Print'!$B$3,Investors!$A:$A,'Investor Exit List'!$A502,Investors!$E:$E,'Investor Exit List'!$C502,Investors!$L:$L,'Investor Exit List'!$B502)-(SUMIFS(Investors!$M:$M,Investors!$I:$I,"&lt;="&amp;'NSST Print'!$B$3,Investors!$J:$J,"&gt;"&amp;'NSST Print'!$B$3,Investors!$A:$A,'Investor Exit List'!$A502,Investors!$E:$E,'Investor Exit List'!$C502,Investors!$L:$L,'Investor Exit List'!$B502)+SUMIFS(Investors!$M:$M,Investors!$I:$I,"&lt;="&amp;'NSST Print'!$B$3,Investors!$J:$J,"",Investors!$A:$A,'Investor Exit List'!$A502,Investors!$E:$E,'Investor Exit List'!$C502,Investors!$L:$L,'Investor Exit List'!$B502))</f>
        <v/>
      </c>
      <c r="G502" s="95" t="n">
        <v>45129</v>
      </c>
      <c r="H502" s="93" t="b">
        <v>0</v>
      </c>
      <c r="I502" s="93" t="b">
        <v>0</v>
      </c>
      <c r="J502" s="95" t="n">
        <v>45518</v>
      </c>
      <c r="K502" s="95">
        <f>IF(I502=TRUE,J502,"")</f>
        <v/>
      </c>
      <c r="L502" s="95">
        <f>G502+730</f>
        <v/>
      </c>
      <c r="M502" s="95" t="n">
        <v>45382</v>
      </c>
      <c r="N502" s="96">
        <f>IFERROR(IF(G502&lt;&gt;"",IF(I502=TRUE,0,IF(U502=TRUE,0,L502-M502)),0),0)</f>
        <v/>
      </c>
      <c r="O502" s="96">
        <f>IF(N502&gt;0,IF(N502&lt;=180,N502,0),0)</f>
        <v/>
      </c>
      <c r="P502" s="94">
        <f>IF(AND(N502&lt;90,N502&gt;0),Q502,0)</f>
        <v/>
      </c>
      <c r="Q502" s="94">
        <f>SUMIFS(Investors!$M:$M,Investors!$O:$O,FALSE,Investors!$P:$P,FALSE,Investors!$K:$K,"&gt;"&amp;'NSST Print'!$B$3,Investors!$I:$I,"&lt;="&amp;'NSST Print'!$B$3,Investors!$A:$A,'Investor Exit List'!$A502,Investors!$E:$E,'Investor Exit List'!$C502,Investors!$L:$L,'Investor Exit List'!$B502)-(SUMIFS(Investors!$M:$M,Investors!$I:$I,"&lt;="&amp;'NSST Print'!$B$3,Investors!$J:$J,"&gt;"&amp;'NSST Print'!$B$3,Investors!$A:$A,'Investor Exit List'!$A502,Investors!$E:$E,'Investor Exit List'!$C502,Investors!$L:$L,'Investor Exit List'!$B502)+SUMIFS(Investors!$M:$M,Investors!$I:$I,"&lt;="&amp;'NSST Print'!$B$3,Investors!$J:$J,"",Investors!$A:$A,'Investor Exit List'!$A502,Investors!$E:$E,'Investor Exit List'!$C502,Investors!$L:$L,'Investor Exit List'!$B502))+SUMIFS(Investors!$S:$S,Investors!$O:$O,FALSE,Investors!$P:$P,FALSE,Investors!$K:$K,"&gt;"&amp;'NSST Print'!$B$3,Investors!$I:$I,"&lt;="&amp;'NSST Print'!$B$3,Investors!$A:$A,'Investor Exit List'!$A502,Investors!$E:$E,'Investor Exit List'!$C502,Investors!$L:$L,'Investor Exit List'!$B502)-(SUMIFS(Investors!$S:$S,Investors!$I:$I,"&lt;="&amp;'NSST Print'!$B$3,Investors!$J:$J,"&gt;"&amp;'NSST Print'!$B$3,Investors!$A:$A,'Investor Exit List'!$A502,Investors!$E:$E,'Investor Exit List'!$C502,Investors!$L:$L,'Investor Exit List'!$B502)+SUMIFS(Investors!$S:$S,Investors!$I:$I,"&lt;="&amp;'NSST Print'!$B$3,Investors!$J:$J,"",Investors!$A:$A,'Investor Exit List'!$A502,Investors!$E:$E,'Investor Exit List'!$C502,Investors!$L:$L,'Investor Exit List'!$B502))</f>
        <v/>
      </c>
      <c r="R502" s="94">
        <f>IF(AND(H502=TRUE,I502=FALSE),Q502,0)</f>
        <v/>
      </c>
      <c r="S502" s="94">
        <f>SUMIFS(Investors!$M:$M,Investors!$O:$O,TRUE,Investors!$A:$A,'Investor Exit List'!$A502,Investors!$E:$E,'Investor Exit List'!$C502,Investors!$L:$L,'Investor Exit List'!$B502)+SUMIFS(Investors!$S:$S,Investors!$O:$O,TRUE,Investors!$A:$A,'Investor Exit List'!$A502,Investors!$E:$E,'Investor Exit List'!$C502,Investors!$L:$L,'Investor Exit List'!$B502)</f>
        <v/>
      </c>
      <c r="T502" s="95">
        <f>IF(U502=TRUE,$J502,"")</f>
        <v/>
      </c>
      <c r="U502" s="93" t="b">
        <v>0</v>
      </c>
      <c r="V502" s="94">
        <f>IF(AND(H502=TRUE,OR(K502="",K502&gt;M502)),S502,0)</f>
        <v/>
      </c>
      <c r="W502" s="93" t="n">
        <v>0</v>
      </c>
      <c r="X502" s="93" t="b">
        <v>0</v>
      </c>
    </row>
    <row r="503">
      <c r="A503" s="93" t="inlineStr">
        <is>
          <t>ZLAB01</t>
        </is>
      </c>
      <c r="B503" s="93" t="n">
        <v>4</v>
      </c>
      <c r="C503" s="93" t="inlineStr">
        <is>
          <t>HVO204</t>
        </is>
      </c>
      <c r="D503" s="93" t="inlineStr">
        <is>
          <t>O</t>
        </is>
      </c>
      <c r="E503" s="93" t="inlineStr">
        <is>
          <t>Labuschagne Andre Jan</t>
        </is>
      </c>
      <c r="F503" s="94">
        <f>SUMIFS(Investors!$M:$M,Investors!$O:$O,FALSE,Investors!$P:$P,FALSE,Investors!$K:$K,"&gt;"&amp;'NSST Print'!$B$3,Investors!$I:$I,"&lt;="&amp;'NSST Print'!$B$3,Investors!$A:$A,'Investor Exit List'!$A503,Investors!$E:$E,'Investor Exit List'!$C503,Investors!$L:$L,'Investor Exit List'!$B503)-(SUMIFS(Investors!$M:$M,Investors!$I:$I,"&lt;="&amp;'NSST Print'!$B$3,Investors!$J:$J,"&gt;"&amp;'NSST Print'!$B$3,Investors!$A:$A,'Investor Exit List'!$A503,Investors!$E:$E,'Investor Exit List'!$C503,Investors!$L:$L,'Investor Exit List'!$B503)+SUMIFS(Investors!$M:$M,Investors!$I:$I,"&lt;="&amp;'NSST Print'!$B$3,Investors!$J:$J,"",Investors!$A:$A,'Investor Exit List'!$A503,Investors!$E:$E,'Investor Exit List'!$C503,Investors!$L:$L,'Investor Exit List'!$B503))</f>
        <v/>
      </c>
      <c r="G503" s="95" t="n">
        <v>45072</v>
      </c>
      <c r="H503" s="93" t="b">
        <v>0</v>
      </c>
      <c r="I503" s="93" t="b">
        <v>0</v>
      </c>
      <c r="J503" s="95" t="n">
        <v>45518</v>
      </c>
      <c r="K503" s="95">
        <f>IF(I503=TRUE,J503,"")</f>
        <v/>
      </c>
      <c r="L503" s="95">
        <f>G503+730</f>
        <v/>
      </c>
      <c r="M503" s="95" t="n">
        <v>45382</v>
      </c>
      <c r="N503" s="96">
        <f>IFERROR(IF(G503&lt;&gt;"",IF(I503=TRUE,0,IF(U503=TRUE,0,L503-M503)),0),0)</f>
        <v/>
      </c>
      <c r="O503" s="96">
        <f>IF(N503&gt;0,IF(N503&lt;=180,N503,0),0)</f>
        <v/>
      </c>
      <c r="P503" s="94">
        <f>IF(AND(N503&lt;90,N503&gt;0),Q503,0)</f>
        <v/>
      </c>
      <c r="Q503" s="94">
        <f>SUMIFS(Investors!$M:$M,Investors!$O:$O,FALSE,Investors!$P:$P,FALSE,Investors!$K:$K,"&gt;"&amp;'NSST Print'!$B$3,Investors!$I:$I,"&lt;="&amp;'NSST Print'!$B$3,Investors!$A:$A,'Investor Exit List'!$A503,Investors!$E:$E,'Investor Exit List'!$C503,Investors!$L:$L,'Investor Exit List'!$B503)-(SUMIFS(Investors!$M:$M,Investors!$I:$I,"&lt;="&amp;'NSST Print'!$B$3,Investors!$J:$J,"&gt;"&amp;'NSST Print'!$B$3,Investors!$A:$A,'Investor Exit List'!$A503,Investors!$E:$E,'Investor Exit List'!$C503,Investors!$L:$L,'Investor Exit List'!$B503)+SUMIFS(Investors!$M:$M,Investors!$I:$I,"&lt;="&amp;'NSST Print'!$B$3,Investors!$J:$J,"",Investors!$A:$A,'Investor Exit List'!$A503,Investors!$E:$E,'Investor Exit List'!$C503,Investors!$L:$L,'Investor Exit List'!$B503))+SUMIFS(Investors!$S:$S,Investors!$O:$O,FALSE,Investors!$P:$P,FALSE,Investors!$K:$K,"&gt;"&amp;'NSST Print'!$B$3,Investors!$I:$I,"&lt;="&amp;'NSST Print'!$B$3,Investors!$A:$A,'Investor Exit List'!$A503,Investors!$E:$E,'Investor Exit List'!$C503,Investors!$L:$L,'Investor Exit List'!$B503)-(SUMIFS(Investors!$S:$S,Investors!$I:$I,"&lt;="&amp;'NSST Print'!$B$3,Investors!$J:$J,"&gt;"&amp;'NSST Print'!$B$3,Investors!$A:$A,'Investor Exit List'!$A503,Investors!$E:$E,'Investor Exit List'!$C503,Investors!$L:$L,'Investor Exit List'!$B503)+SUMIFS(Investors!$S:$S,Investors!$I:$I,"&lt;="&amp;'NSST Print'!$B$3,Investors!$J:$J,"",Investors!$A:$A,'Investor Exit List'!$A503,Investors!$E:$E,'Investor Exit List'!$C503,Investors!$L:$L,'Investor Exit List'!$B503))</f>
        <v/>
      </c>
      <c r="R503" s="94">
        <f>IF(AND(H503=TRUE,I503=FALSE),Q503,0)</f>
        <v/>
      </c>
      <c r="S503" s="94">
        <f>SUMIFS(Investors!$M:$M,Investors!$O:$O,TRUE,Investors!$A:$A,'Investor Exit List'!$A503,Investors!$E:$E,'Investor Exit List'!$C503,Investors!$L:$L,'Investor Exit List'!$B503)+SUMIFS(Investors!$S:$S,Investors!$O:$O,TRUE,Investors!$A:$A,'Investor Exit List'!$A503,Investors!$E:$E,'Investor Exit List'!$C503,Investors!$L:$L,'Investor Exit List'!$B503)</f>
        <v/>
      </c>
      <c r="T503" s="95">
        <f>IF(U503=TRUE,$J503,"")</f>
        <v/>
      </c>
      <c r="U503" s="93" t="b">
        <v>0</v>
      </c>
      <c r="V503" s="94">
        <f>IF(AND(H503=TRUE,OR(K503="",K503&gt;M503)),S503,0)</f>
        <v/>
      </c>
      <c r="W503" s="93" t="n">
        <v>0</v>
      </c>
      <c r="X503" s="93" t="b">
        <v>0</v>
      </c>
    </row>
    <row r="504">
      <c r="A504" s="93" t="inlineStr">
        <is>
          <t>ZTSO01</t>
        </is>
      </c>
      <c r="B504" s="93" t="n">
        <v>2</v>
      </c>
      <c r="C504" s="93" t="inlineStr">
        <is>
          <t>HVO204</t>
        </is>
      </c>
      <c r="D504" s="93" t="inlineStr">
        <is>
          <t>O</t>
        </is>
      </c>
      <c r="E504" s="93" t="inlineStr">
        <is>
          <t>Tsoku Abram Matlotleng</t>
        </is>
      </c>
      <c r="F504" s="94">
        <f>SUMIFS(Investors!$M:$M,Investors!$O:$O,FALSE,Investors!$P:$P,FALSE,Investors!$K:$K,"&gt;"&amp;'NSST Print'!$B$3,Investors!$I:$I,"&lt;="&amp;'NSST Print'!$B$3,Investors!$A:$A,'Investor Exit List'!$A504,Investors!$E:$E,'Investor Exit List'!$C504,Investors!$L:$L,'Investor Exit List'!$B504)-(SUMIFS(Investors!$M:$M,Investors!$I:$I,"&lt;="&amp;'NSST Print'!$B$3,Investors!$J:$J,"&gt;"&amp;'NSST Print'!$B$3,Investors!$A:$A,'Investor Exit List'!$A504,Investors!$E:$E,'Investor Exit List'!$C504,Investors!$L:$L,'Investor Exit List'!$B504)+SUMIFS(Investors!$M:$M,Investors!$I:$I,"&lt;="&amp;'NSST Print'!$B$3,Investors!$J:$J,"",Investors!$A:$A,'Investor Exit List'!$A504,Investors!$E:$E,'Investor Exit List'!$C504,Investors!$L:$L,'Investor Exit List'!$B504))</f>
        <v/>
      </c>
      <c r="G504" s="95" t="n">
        <v>45072</v>
      </c>
      <c r="H504" s="93" t="b">
        <v>0</v>
      </c>
      <c r="I504" s="93" t="b">
        <v>0</v>
      </c>
      <c r="J504" s="95" t="n">
        <v>45518</v>
      </c>
      <c r="K504" s="95">
        <f>IF(I504=TRUE,J504,"")</f>
        <v/>
      </c>
      <c r="L504" s="95">
        <f>G504+730</f>
        <v/>
      </c>
      <c r="M504" s="95" t="n">
        <v>45382</v>
      </c>
      <c r="N504" s="96">
        <f>IFERROR(IF(G504&lt;&gt;"",IF(I504=TRUE,0,IF(U504=TRUE,0,L504-M504)),0),0)</f>
        <v/>
      </c>
      <c r="O504" s="96">
        <f>IF(N504&gt;0,IF(N504&lt;=180,N504,0),0)</f>
        <v/>
      </c>
      <c r="P504" s="94">
        <f>IF(AND(N504&lt;90,N504&gt;0),Q504,0)</f>
        <v/>
      </c>
      <c r="Q504" s="94">
        <f>SUMIFS(Investors!$M:$M,Investors!$O:$O,FALSE,Investors!$P:$P,FALSE,Investors!$K:$K,"&gt;"&amp;'NSST Print'!$B$3,Investors!$I:$I,"&lt;="&amp;'NSST Print'!$B$3,Investors!$A:$A,'Investor Exit List'!$A504,Investors!$E:$E,'Investor Exit List'!$C504,Investors!$L:$L,'Investor Exit List'!$B504)-(SUMIFS(Investors!$M:$M,Investors!$I:$I,"&lt;="&amp;'NSST Print'!$B$3,Investors!$J:$J,"&gt;"&amp;'NSST Print'!$B$3,Investors!$A:$A,'Investor Exit List'!$A504,Investors!$E:$E,'Investor Exit List'!$C504,Investors!$L:$L,'Investor Exit List'!$B504)+SUMIFS(Investors!$M:$M,Investors!$I:$I,"&lt;="&amp;'NSST Print'!$B$3,Investors!$J:$J,"",Investors!$A:$A,'Investor Exit List'!$A504,Investors!$E:$E,'Investor Exit List'!$C504,Investors!$L:$L,'Investor Exit List'!$B504))+SUMIFS(Investors!$S:$S,Investors!$O:$O,FALSE,Investors!$P:$P,FALSE,Investors!$K:$K,"&gt;"&amp;'NSST Print'!$B$3,Investors!$I:$I,"&lt;="&amp;'NSST Print'!$B$3,Investors!$A:$A,'Investor Exit List'!$A504,Investors!$E:$E,'Investor Exit List'!$C504,Investors!$L:$L,'Investor Exit List'!$B504)-(SUMIFS(Investors!$S:$S,Investors!$I:$I,"&lt;="&amp;'NSST Print'!$B$3,Investors!$J:$J,"&gt;"&amp;'NSST Print'!$B$3,Investors!$A:$A,'Investor Exit List'!$A504,Investors!$E:$E,'Investor Exit List'!$C504,Investors!$L:$L,'Investor Exit List'!$B504)+SUMIFS(Investors!$S:$S,Investors!$I:$I,"&lt;="&amp;'NSST Print'!$B$3,Investors!$J:$J,"",Investors!$A:$A,'Investor Exit List'!$A504,Investors!$E:$E,'Investor Exit List'!$C504,Investors!$L:$L,'Investor Exit List'!$B504))</f>
        <v/>
      </c>
      <c r="R504" s="94">
        <f>IF(AND(H504=TRUE,I504=FALSE),Q504,0)</f>
        <v/>
      </c>
      <c r="S504" s="94">
        <f>SUMIFS(Investors!$M:$M,Investors!$O:$O,TRUE,Investors!$A:$A,'Investor Exit List'!$A504,Investors!$E:$E,'Investor Exit List'!$C504,Investors!$L:$L,'Investor Exit List'!$B504)+SUMIFS(Investors!$S:$S,Investors!$O:$O,TRUE,Investors!$A:$A,'Investor Exit List'!$A504,Investors!$E:$E,'Investor Exit List'!$C504,Investors!$L:$L,'Investor Exit List'!$B504)</f>
        <v/>
      </c>
      <c r="T504" s="95">
        <f>IF(U504=TRUE,$J504,"")</f>
        <v/>
      </c>
      <c r="U504" s="93" t="b">
        <v>0</v>
      </c>
      <c r="V504" s="94">
        <f>IF(AND(H504=TRUE,OR(K504="",K504&gt;M504)),S504,0)</f>
        <v/>
      </c>
      <c r="W504" s="93" t="n">
        <v>0</v>
      </c>
      <c r="X504" s="93" t="b">
        <v>0</v>
      </c>
    </row>
    <row r="505">
      <c r="A505" s="93" t="inlineStr">
        <is>
          <t>ZKUS04</t>
        </is>
      </c>
      <c r="B505" s="93" t="n">
        <v>2</v>
      </c>
      <c r="C505" s="93" t="inlineStr">
        <is>
          <t>HVO205</t>
        </is>
      </c>
      <c r="D505" s="93" t="inlineStr">
        <is>
          <t>O</t>
        </is>
      </c>
      <c r="E505" s="93" t="inlineStr">
        <is>
          <t>Kusel Willie</t>
        </is>
      </c>
      <c r="F505" s="94">
        <f>SUMIFS(Investors!$M:$M,Investors!$O:$O,FALSE,Investors!$P:$P,FALSE,Investors!$K:$K,"&gt;"&amp;'NSST Print'!$B$3,Investors!$I:$I,"&lt;="&amp;'NSST Print'!$B$3,Investors!$A:$A,'Investor Exit List'!$A505,Investors!$E:$E,'Investor Exit List'!$C505,Investors!$L:$L,'Investor Exit List'!$B505)-(SUMIFS(Investors!$M:$M,Investors!$I:$I,"&lt;="&amp;'NSST Print'!$B$3,Investors!$J:$J,"&gt;"&amp;'NSST Print'!$B$3,Investors!$A:$A,'Investor Exit List'!$A505,Investors!$E:$E,'Investor Exit List'!$C505,Investors!$L:$L,'Investor Exit List'!$B505)+SUMIFS(Investors!$M:$M,Investors!$I:$I,"&lt;="&amp;'NSST Print'!$B$3,Investors!$J:$J,"",Investors!$A:$A,'Investor Exit List'!$A505,Investors!$E:$E,'Investor Exit List'!$C505,Investors!$L:$L,'Investor Exit List'!$B505))</f>
        <v/>
      </c>
      <c r="G505" s="95" t="n">
        <v>45072</v>
      </c>
      <c r="H505" s="93" t="b">
        <v>0</v>
      </c>
      <c r="I505" s="93" t="b">
        <v>0</v>
      </c>
      <c r="J505" s="95" t="n">
        <v>45518</v>
      </c>
      <c r="K505" s="95">
        <f>IF(I505=TRUE,J505,"")</f>
        <v/>
      </c>
      <c r="L505" s="95">
        <f>G505+730</f>
        <v/>
      </c>
      <c r="M505" s="95" t="n">
        <v>45382</v>
      </c>
      <c r="N505" s="96">
        <f>IFERROR(IF(G505&lt;&gt;"",IF(I505=TRUE,0,IF(U505=TRUE,0,L505-M505)),0),0)</f>
        <v/>
      </c>
      <c r="O505" s="96">
        <f>IF(N505&gt;0,IF(N505&lt;=180,N505,0),0)</f>
        <v/>
      </c>
      <c r="P505" s="94">
        <f>IF(AND(N505&lt;90,N505&gt;0),Q505,0)</f>
        <v/>
      </c>
      <c r="Q505" s="94">
        <f>SUMIFS(Investors!$M:$M,Investors!$O:$O,FALSE,Investors!$P:$P,FALSE,Investors!$K:$K,"&gt;"&amp;'NSST Print'!$B$3,Investors!$I:$I,"&lt;="&amp;'NSST Print'!$B$3,Investors!$A:$A,'Investor Exit List'!$A505,Investors!$E:$E,'Investor Exit List'!$C505,Investors!$L:$L,'Investor Exit List'!$B505)-(SUMIFS(Investors!$M:$M,Investors!$I:$I,"&lt;="&amp;'NSST Print'!$B$3,Investors!$J:$J,"&gt;"&amp;'NSST Print'!$B$3,Investors!$A:$A,'Investor Exit List'!$A505,Investors!$E:$E,'Investor Exit List'!$C505,Investors!$L:$L,'Investor Exit List'!$B505)+SUMIFS(Investors!$M:$M,Investors!$I:$I,"&lt;="&amp;'NSST Print'!$B$3,Investors!$J:$J,"",Investors!$A:$A,'Investor Exit List'!$A505,Investors!$E:$E,'Investor Exit List'!$C505,Investors!$L:$L,'Investor Exit List'!$B505))+SUMIFS(Investors!$S:$S,Investors!$O:$O,FALSE,Investors!$P:$P,FALSE,Investors!$K:$K,"&gt;"&amp;'NSST Print'!$B$3,Investors!$I:$I,"&lt;="&amp;'NSST Print'!$B$3,Investors!$A:$A,'Investor Exit List'!$A505,Investors!$E:$E,'Investor Exit List'!$C505,Investors!$L:$L,'Investor Exit List'!$B505)-(SUMIFS(Investors!$S:$S,Investors!$I:$I,"&lt;="&amp;'NSST Print'!$B$3,Investors!$J:$J,"&gt;"&amp;'NSST Print'!$B$3,Investors!$A:$A,'Investor Exit List'!$A505,Investors!$E:$E,'Investor Exit List'!$C505,Investors!$L:$L,'Investor Exit List'!$B505)+SUMIFS(Investors!$S:$S,Investors!$I:$I,"&lt;="&amp;'NSST Print'!$B$3,Investors!$J:$J,"",Investors!$A:$A,'Investor Exit List'!$A505,Investors!$E:$E,'Investor Exit List'!$C505,Investors!$L:$L,'Investor Exit List'!$B505))</f>
        <v/>
      </c>
      <c r="R505" s="94">
        <f>IF(AND(H505=TRUE,I505=FALSE),Q505,0)</f>
        <v/>
      </c>
      <c r="S505" s="94">
        <f>SUMIFS(Investors!$M:$M,Investors!$O:$O,TRUE,Investors!$A:$A,'Investor Exit List'!$A505,Investors!$E:$E,'Investor Exit List'!$C505,Investors!$L:$L,'Investor Exit List'!$B505)+SUMIFS(Investors!$S:$S,Investors!$O:$O,TRUE,Investors!$A:$A,'Investor Exit List'!$A505,Investors!$E:$E,'Investor Exit List'!$C505,Investors!$L:$L,'Investor Exit List'!$B505)</f>
        <v/>
      </c>
      <c r="T505" s="95">
        <f>IF(U505=TRUE,$J505,"")</f>
        <v/>
      </c>
      <c r="U505" s="93" t="b">
        <v>0</v>
      </c>
      <c r="V505" s="94">
        <f>IF(AND(H505=TRUE,OR(K505="",K505&gt;M505)),S505,0)</f>
        <v/>
      </c>
      <c r="W505" s="93" t="n">
        <v>0</v>
      </c>
      <c r="X505" s="93" t="b">
        <v>0</v>
      </c>
    </row>
    <row r="506">
      <c r="A506" s="93" t="inlineStr">
        <is>
          <t>ZVAN10</t>
        </is>
      </c>
      <c r="B506" s="93" t="n">
        <v>2</v>
      </c>
      <c r="C506" s="93" t="inlineStr">
        <is>
          <t>HVO205</t>
        </is>
      </c>
      <c r="D506" s="93" t="inlineStr">
        <is>
          <t>O</t>
        </is>
      </c>
      <c r="E506" s="93" t="inlineStr">
        <is>
          <t>van der Merwe Wilhelm Johannes</t>
        </is>
      </c>
      <c r="F506" s="94">
        <f>SUMIFS(Investors!$M:$M,Investors!$O:$O,FALSE,Investors!$P:$P,FALSE,Investors!$K:$K,"&gt;"&amp;'NSST Print'!$B$3,Investors!$I:$I,"&lt;="&amp;'NSST Print'!$B$3,Investors!$A:$A,'Investor Exit List'!$A506,Investors!$E:$E,'Investor Exit List'!$C506,Investors!$L:$L,'Investor Exit List'!$B506)-(SUMIFS(Investors!$M:$M,Investors!$I:$I,"&lt;="&amp;'NSST Print'!$B$3,Investors!$J:$J,"&gt;"&amp;'NSST Print'!$B$3,Investors!$A:$A,'Investor Exit List'!$A506,Investors!$E:$E,'Investor Exit List'!$C506,Investors!$L:$L,'Investor Exit List'!$B506)+SUMIFS(Investors!$M:$M,Investors!$I:$I,"&lt;="&amp;'NSST Print'!$B$3,Investors!$J:$J,"",Investors!$A:$A,'Investor Exit List'!$A506,Investors!$E:$E,'Investor Exit List'!$C506,Investors!$L:$L,'Investor Exit List'!$B506))</f>
        <v/>
      </c>
      <c r="G506" s="95" t="n">
        <v>45072</v>
      </c>
      <c r="H506" s="93" t="b">
        <v>0</v>
      </c>
      <c r="I506" s="93" t="b">
        <v>0</v>
      </c>
      <c r="J506" s="95" t="n">
        <v>45518</v>
      </c>
      <c r="K506" s="95">
        <f>IF(I506=TRUE,J506,"")</f>
        <v/>
      </c>
      <c r="L506" s="95">
        <f>G506+730</f>
        <v/>
      </c>
      <c r="M506" s="95" t="n">
        <v>45382</v>
      </c>
      <c r="N506" s="96">
        <f>IFERROR(IF(G506&lt;&gt;"",IF(I506=TRUE,0,IF(U506=TRUE,0,L506-M506)),0),0)</f>
        <v/>
      </c>
      <c r="O506" s="96">
        <f>IF(N506&gt;0,IF(N506&lt;=180,N506,0),0)</f>
        <v/>
      </c>
      <c r="P506" s="94">
        <f>IF(AND(N506&lt;90,N506&gt;0),Q506,0)</f>
        <v/>
      </c>
      <c r="Q506" s="94">
        <f>SUMIFS(Investors!$M:$M,Investors!$O:$O,FALSE,Investors!$P:$P,FALSE,Investors!$K:$K,"&gt;"&amp;'NSST Print'!$B$3,Investors!$I:$I,"&lt;="&amp;'NSST Print'!$B$3,Investors!$A:$A,'Investor Exit List'!$A506,Investors!$E:$E,'Investor Exit List'!$C506,Investors!$L:$L,'Investor Exit List'!$B506)-(SUMIFS(Investors!$M:$M,Investors!$I:$I,"&lt;="&amp;'NSST Print'!$B$3,Investors!$J:$J,"&gt;"&amp;'NSST Print'!$B$3,Investors!$A:$A,'Investor Exit List'!$A506,Investors!$E:$E,'Investor Exit List'!$C506,Investors!$L:$L,'Investor Exit List'!$B506)+SUMIFS(Investors!$M:$M,Investors!$I:$I,"&lt;="&amp;'NSST Print'!$B$3,Investors!$J:$J,"",Investors!$A:$A,'Investor Exit List'!$A506,Investors!$E:$E,'Investor Exit List'!$C506,Investors!$L:$L,'Investor Exit List'!$B506))+SUMIFS(Investors!$S:$S,Investors!$O:$O,FALSE,Investors!$P:$P,FALSE,Investors!$K:$K,"&gt;"&amp;'NSST Print'!$B$3,Investors!$I:$I,"&lt;="&amp;'NSST Print'!$B$3,Investors!$A:$A,'Investor Exit List'!$A506,Investors!$E:$E,'Investor Exit List'!$C506,Investors!$L:$L,'Investor Exit List'!$B506)-(SUMIFS(Investors!$S:$S,Investors!$I:$I,"&lt;="&amp;'NSST Print'!$B$3,Investors!$J:$J,"&gt;"&amp;'NSST Print'!$B$3,Investors!$A:$A,'Investor Exit List'!$A506,Investors!$E:$E,'Investor Exit List'!$C506,Investors!$L:$L,'Investor Exit List'!$B506)+SUMIFS(Investors!$S:$S,Investors!$I:$I,"&lt;="&amp;'NSST Print'!$B$3,Investors!$J:$J,"",Investors!$A:$A,'Investor Exit List'!$A506,Investors!$E:$E,'Investor Exit List'!$C506,Investors!$L:$L,'Investor Exit List'!$B506))</f>
        <v/>
      </c>
      <c r="R506" s="94">
        <f>IF(AND(H506=TRUE,I506=FALSE),Q506,0)</f>
        <v/>
      </c>
      <c r="S506" s="94">
        <f>SUMIFS(Investors!$M:$M,Investors!$O:$O,TRUE,Investors!$A:$A,'Investor Exit List'!$A506,Investors!$E:$E,'Investor Exit List'!$C506,Investors!$L:$L,'Investor Exit List'!$B506)+SUMIFS(Investors!$S:$S,Investors!$O:$O,TRUE,Investors!$A:$A,'Investor Exit List'!$A506,Investors!$E:$E,'Investor Exit List'!$C506,Investors!$L:$L,'Investor Exit List'!$B506)</f>
        <v/>
      </c>
      <c r="T506" s="95">
        <f>IF(U506=TRUE,$J506,"")</f>
        <v/>
      </c>
      <c r="U506" s="93" t="b">
        <v>0</v>
      </c>
      <c r="V506" s="94">
        <f>IF(AND(H506=TRUE,OR(K506="",K506&gt;M506)),S506,0)</f>
        <v/>
      </c>
      <c r="W506" s="93" t="n">
        <v>0</v>
      </c>
      <c r="X506" s="93" t="b">
        <v>0</v>
      </c>
    </row>
    <row r="507">
      <c r="A507" s="93" t="inlineStr">
        <is>
          <t>ZDEV02</t>
        </is>
      </c>
      <c r="B507" s="93" t="n">
        <v>1</v>
      </c>
      <c r="C507" s="93" t="inlineStr">
        <is>
          <t>HVO301</t>
        </is>
      </c>
      <c r="D507" s="93" t="inlineStr">
        <is>
          <t>O</t>
        </is>
      </c>
      <c r="E507" s="93" t="inlineStr">
        <is>
          <t>de Villiers André Deric</t>
        </is>
      </c>
      <c r="F507" s="94">
        <f>SUMIFS(Investors!$M:$M,Investors!$O:$O,FALSE,Investors!$P:$P,FALSE,Investors!$K:$K,"&gt;"&amp;'NSST Print'!$B$3,Investors!$I:$I,"&lt;="&amp;'NSST Print'!$B$3,Investors!$A:$A,'Investor Exit List'!$A507,Investors!$E:$E,'Investor Exit List'!$C507,Investors!$L:$L,'Investor Exit List'!$B507)-(SUMIFS(Investors!$M:$M,Investors!$I:$I,"&lt;="&amp;'NSST Print'!$B$3,Investors!$J:$J,"&gt;"&amp;'NSST Print'!$B$3,Investors!$A:$A,'Investor Exit List'!$A507,Investors!$E:$E,'Investor Exit List'!$C507,Investors!$L:$L,'Investor Exit List'!$B507)+SUMIFS(Investors!$M:$M,Investors!$I:$I,"&lt;="&amp;'NSST Print'!$B$3,Investors!$J:$J,"",Investors!$A:$A,'Investor Exit List'!$A507,Investors!$E:$E,'Investor Exit List'!$C507,Investors!$L:$L,'Investor Exit List'!$B507))</f>
        <v/>
      </c>
      <c r="G507" s="95" t="n">
        <v>45107</v>
      </c>
      <c r="H507" s="93" t="b">
        <v>0</v>
      </c>
      <c r="I507" s="93" t="b">
        <v>0</v>
      </c>
      <c r="J507" s="95" t="n">
        <v>45518</v>
      </c>
      <c r="K507" s="95">
        <f>IF(I507=TRUE,J507,"")</f>
        <v/>
      </c>
      <c r="L507" s="95">
        <f>G507+730</f>
        <v/>
      </c>
      <c r="M507" s="95" t="n">
        <v>45382</v>
      </c>
      <c r="N507" s="96">
        <f>IFERROR(IF(G507&lt;&gt;"",IF(I507=TRUE,0,IF(U507=TRUE,0,L507-M507)),0),0)</f>
        <v/>
      </c>
      <c r="O507" s="96">
        <f>IF(N507&gt;0,IF(N507&lt;=180,N507,0),0)</f>
        <v/>
      </c>
      <c r="P507" s="94">
        <f>IF(AND(N507&lt;90,N507&gt;0),Q507,0)</f>
        <v/>
      </c>
      <c r="Q507" s="94">
        <f>SUMIFS(Investors!$M:$M,Investors!$O:$O,FALSE,Investors!$P:$P,FALSE,Investors!$K:$K,"&gt;"&amp;'NSST Print'!$B$3,Investors!$I:$I,"&lt;="&amp;'NSST Print'!$B$3,Investors!$A:$A,'Investor Exit List'!$A507,Investors!$E:$E,'Investor Exit List'!$C507,Investors!$L:$L,'Investor Exit List'!$B507)-(SUMIFS(Investors!$M:$M,Investors!$I:$I,"&lt;="&amp;'NSST Print'!$B$3,Investors!$J:$J,"&gt;"&amp;'NSST Print'!$B$3,Investors!$A:$A,'Investor Exit List'!$A507,Investors!$E:$E,'Investor Exit List'!$C507,Investors!$L:$L,'Investor Exit List'!$B507)+SUMIFS(Investors!$M:$M,Investors!$I:$I,"&lt;="&amp;'NSST Print'!$B$3,Investors!$J:$J,"",Investors!$A:$A,'Investor Exit List'!$A507,Investors!$E:$E,'Investor Exit List'!$C507,Investors!$L:$L,'Investor Exit List'!$B507))+SUMIFS(Investors!$S:$S,Investors!$O:$O,FALSE,Investors!$P:$P,FALSE,Investors!$K:$K,"&gt;"&amp;'NSST Print'!$B$3,Investors!$I:$I,"&lt;="&amp;'NSST Print'!$B$3,Investors!$A:$A,'Investor Exit List'!$A507,Investors!$E:$E,'Investor Exit List'!$C507,Investors!$L:$L,'Investor Exit List'!$B507)-(SUMIFS(Investors!$S:$S,Investors!$I:$I,"&lt;="&amp;'NSST Print'!$B$3,Investors!$J:$J,"&gt;"&amp;'NSST Print'!$B$3,Investors!$A:$A,'Investor Exit List'!$A507,Investors!$E:$E,'Investor Exit List'!$C507,Investors!$L:$L,'Investor Exit List'!$B507)+SUMIFS(Investors!$S:$S,Investors!$I:$I,"&lt;="&amp;'NSST Print'!$B$3,Investors!$J:$J,"",Investors!$A:$A,'Investor Exit List'!$A507,Investors!$E:$E,'Investor Exit List'!$C507,Investors!$L:$L,'Investor Exit List'!$B507))</f>
        <v/>
      </c>
      <c r="R507" s="94">
        <f>IF(AND(H507=TRUE,I507=FALSE),Q507,0)</f>
        <v/>
      </c>
      <c r="S507" s="94">
        <f>SUMIFS(Investors!$M:$M,Investors!$O:$O,TRUE,Investors!$A:$A,'Investor Exit List'!$A507,Investors!$E:$E,'Investor Exit List'!$C507,Investors!$L:$L,'Investor Exit List'!$B507)+SUMIFS(Investors!$S:$S,Investors!$O:$O,TRUE,Investors!$A:$A,'Investor Exit List'!$A507,Investors!$E:$E,'Investor Exit List'!$C507,Investors!$L:$L,'Investor Exit List'!$B507)</f>
        <v/>
      </c>
      <c r="T507" s="95">
        <f>IF(U507=TRUE,$J507,"")</f>
        <v/>
      </c>
      <c r="U507" s="93" t="b">
        <v>0</v>
      </c>
      <c r="V507" s="94">
        <f>IF(AND(H507=TRUE,OR(K507="",K507&gt;M507)),S507,0)</f>
        <v/>
      </c>
      <c r="W507" s="93" t="n">
        <v>0</v>
      </c>
      <c r="X507" s="93" t="b">
        <v>0</v>
      </c>
    </row>
    <row r="508">
      <c r="A508" s="93" t="inlineStr">
        <is>
          <t>ZGOF01</t>
        </is>
      </c>
      <c r="B508" s="93" t="n">
        <v>3</v>
      </c>
      <c r="C508" s="93" t="inlineStr">
        <is>
          <t>HVO301</t>
        </is>
      </c>
      <c r="D508" s="93" t="inlineStr">
        <is>
          <t>O</t>
        </is>
      </c>
      <c r="E508" s="93" t="inlineStr">
        <is>
          <t>Goff Angela</t>
        </is>
      </c>
      <c r="F508" s="94">
        <f>SUMIFS(Investors!$M:$M,Investors!$O:$O,FALSE,Investors!$P:$P,FALSE,Investors!$K:$K,"&gt;"&amp;'NSST Print'!$B$3,Investors!$I:$I,"&lt;="&amp;'NSST Print'!$B$3,Investors!$A:$A,'Investor Exit List'!$A508,Investors!$E:$E,'Investor Exit List'!$C508,Investors!$L:$L,'Investor Exit List'!$B508)-(SUMIFS(Investors!$M:$M,Investors!$I:$I,"&lt;="&amp;'NSST Print'!$B$3,Investors!$J:$J,"&gt;"&amp;'NSST Print'!$B$3,Investors!$A:$A,'Investor Exit List'!$A508,Investors!$E:$E,'Investor Exit List'!$C508,Investors!$L:$L,'Investor Exit List'!$B508)+SUMIFS(Investors!$M:$M,Investors!$I:$I,"&lt;="&amp;'NSST Print'!$B$3,Investors!$J:$J,"",Investors!$A:$A,'Investor Exit List'!$A508,Investors!$E:$E,'Investor Exit List'!$C508,Investors!$L:$L,'Investor Exit List'!$B508))</f>
        <v/>
      </c>
      <c r="G508" s="95" t="n">
        <v>45129</v>
      </c>
      <c r="H508" s="93" t="b">
        <v>0</v>
      </c>
      <c r="I508" s="93" t="b">
        <v>0</v>
      </c>
      <c r="J508" s="95" t="n">
        <v>45518</v>
      </c>
      <c r="K508" s="95">
        <f>IF(I508=TRUE,J508,"")</f>
        <v/>
      </c>
      <c r="L508" s="95">
        <f>G508+730</f>
        <v/>
      </c>
      <c r="M508" s="95" t="n">
        <v>45382</v>
      </c>
      <c r="N508" s="96">
        <f>IFERROR(IF(G508&lt;&gt;"",IF(I508=TRUE,0,IF(U508=TRUE,0,L508-M508)),0),0)</f>
        <v/>
      </c>
      <c r="O508" s="96">
        <f>IF(N508&gt;0,IF(N508&lt;=180,N508,0),0)</f>
        <v/>
      </c>
      <c r="P508" s="94">
        <f>IF(AND(N508&lt;90,N508&gt;0),Q508,0)</f>
        <v/>
      </c>
      <c r="Q508" s="94">
        <f>SUMIFS(Investors!$M:$M,Investors!$O:$O,FALSE,Investors!$P:$P,FALSE,Investors!$K:$K,"&gt;"&amp;'NSST Print'!$B$3,Investors!$I:$I,"&lt;="&amp;'NSST Print'!$B$3,Investors!$A:$A,'Investor Exit List'!$A508,Investors!$E:$E,'Investor Exit List'!$C508,Investors!$L:$L,'Investor Exit List'!$B508)-(SUMIFS(Investors!$M:$M,Investors!$I:$I,"&lt;="&amp;'NSST Print'!$B$3,Investors!$J:$J,"&gt;"&amp;'NSST Print'!$B$3,Investors!$A:$A,'Investor Exit List'!$A508,Investors!$E:$E,'Investor Exit List'!$C508,Investors!$L:$L,'Investor Exit List'!$B508)+SUMIFS(Investors!$M:$M,Investors!$I:$I,"&lt;="&amp;'NSST Print'!$B$3,Investors!$J:$J,"",Investors!$A:$A,'Investor Exit List'!$A508,Investors!$E:$E,'Investor Exit List'!$C508,Investors!$L:$L,'Investor Exit List'!$B508))+SUMIFS(Investors!$S:$S,Investors!$O:$O,FALSE,Investors!$P:$P,FALSE,Investors!$K:$K,"&gt;"&amp;'NSST Print'!$B$3,Investors!$I:$I,"&lt;="&amp;'NSST Print'!$B$3,Investors!$A:$A,'Investor Exit List'!$A508,Investors!$E:$E,'Investor Exit List'!$C508,Investors!$L:$L,'Investor Exit List'!$B508)-(SUMIFS(Investors!$S:$S,Investors!$I:$I,"&lt;="&amp;'NSST Print'!$B$3,Investors!$J:$J,"&gt;"&amp;'NSST Print'!$B$3,Investors!$A:$A,'Investor Exit List'!$A508,Investors!$E:$E,'Investor Exit List'!$C508,Investors!$L:$L,'Investor Exit List'!$B508)+SUMIFS(Investors!$S:$S,Investors!$I:$I,"&lt;="&amp;'NSST Print'!$B$3,Investors!$J:$J,"",Investors!$A:$A,'Investor Exit List'!$A508,Investors!$E:$E,'Investor Exit List'!$C508,Investors!$L:$L,'Investor Exit List'!$B508))</f>
        <v/>
      </c>
      <c r="R508" s="94">
        <f>IF(AND(H508=TRUE,I508=FALSE),Q508,0)</f>
        <v/>
      </c>
      <c r="S508" s="94">
        <f>SUMIFS(Investors!$M:$M,Investors!$O:$O,TRUE,Investors!$A:$A,'Investor Exit List'!$A508,Investors!$E:$E,'Investor Exit List'!$C508,Investors!$L:$L,'Investor Exit List'!$B508)+SUMIFS(Investors!$S:$S,Investors!$O:$O,TRUE,Investors!$A:$A,'Investor Exit List'!$A508,Investors!$E:$E,'Investor Exit List'!$C508,Investors!$L:$L,'Investor Exit List'!$B508)</f>
        <v/>
      </c>
      <c r="T508" s="95">
        <f>IF(U508=TRUE,$J508,"")</f>
        <v/>
      </c>
      <c r="U508" s="93" t="b">
        <v>0</v>
      </c>
      <c r="V508" s="94">
        <f>IF(AND(H508=TRUE,OR(K508="",K508&gt;M508)),S508,0)</f>
        <v/>
      </c>
      <c r="W508" s="93" t="n">
        <v>0</v>
      </c>
      <c r="X508" s="93" t="b">
        <v>0</v>
      </c>
    </row>
    <row r="509">
      <c r="A509" s="93" t="inlineStr">
        <is>
          <t>ZLAM01</t>
        </is>
      </c>
      <c r="B509" s="93" t="n">
        <v>1</v>
      </c>
      <c r="C509" s="93" t="inlineStr">
        <is>
          <t>HVO301</t>
        </is>
      </c>
      <c r="D509" s="93" t="inlineStr">
        <is>
          <t>O</t>
        </is>
      </c>
      <c r="E509" s="93" t="inlineStr">
        <is>
          <t>Lamb Oswald Robert (Ossie)</t>
        </is>
      </c>
      <c r="F509" s="94">
        <f>SUMIFS(Investors!$M:$M,Investors!$O:$O,FALSE,Investors!$P:$P,FALSE,Investors!$K:$K,"&gt;"&amp;'NSST Print'!$B$3,Investors!$I:$I,"&lt;="&amp;'NSST Print'!$B$3,Investors!$A:$A,'Investor Exit List'!$A509,Investors!$E:$E,'Investor Exit List'!$C509,Investors!$L:$L,'Investor Exit List'!$B509)-(SUMIFS(Investors!$M:$M,Investors!$I:$I,"&lt;="&amp;'NSST Print'!$B$3,Investors!$J:$J,"&gt;"&amp;'NSST Print'!$B$3,Investors!$A:$A,'Investor Exit List'!$A509,Investors!$E:$E,'Investor Exit List'!$C509,Investors!$L:$L,'Investor Exit List'!$B509)+SUMIFS(Investors!$M:$M,Investors!$I:$I,"&lt;="&amp;'NSST Print'!$B$3,Investors!$J:$J,"",Investors!$A:$A,'Investor Exit List'!$A509,Investors!$E:$E,'Investor Exit List'!$C509,Investors!$L:$L,'Investor Exit List'!$B509))</f>
        <v/>
      </c>
      <c r="G509" s="95" t="n">
        <v>45252</v>
      </c>
      <c r="H509" s="93" t="b">
        <v>0</v>
      </c>
      <c r="I509" s="93" t="b">
        <v>0</v>
      </c>
      <c r="J509" s="95" t="n">
        <v>45518</v>
      </c>
      <c r="K509" s="95">
        <f>IF(I509=TRUE,J509,"")</f>
        <v/>
      </c>
      <c r="L509" s="95">
        <f>G509+730</f>
        <v/>
      </c>
      <c r="M509" s="95" t="n">
        <v>45382</v>
      </c>
      <c r="N509" s="96">
        <f>IFERROR(IF(G509&lt;&gt;"",IF(I509=TRUE,0,IF(U509=TRUE,0,L509-M509)),0),0)</f>
        <v/>
      </c>
      <c r="O509" s="96">
        <f>IF(N509&gt;0,IF(N509&lt;=180,N509,0),0)</f>
        <v/>
      </c>
      <c r="P509" s="94">
        <f>IF(AND(N509&lt;90,N509&gt;0),Q509,0)</f>
        <v/>
      </c>
      <c r="Q509" s="94">
        <f>SUMIFS(Investors!$M:$M,Investors!$O:$O,FALSE,Investors!$P:$P,FALSE,Investors!$K:$K,"&gt;"&amp;'NSST Print'!$B$3,Investors!$I:$I,"&lt;="&amp;'NSST Print'!$B$3,Investors!$A:$A,'Investor Exit List'!$A509,Investors!$E:$E,'Investor Exit List'!$C509,Investors!$L:$L,'Investor Exit List'!$B509)-(SUMIFS(Investors!$M:$M,Investors!$I:$I,"&lt;="&amp;'NSST Print'!$B$3,Investors!$J:$J,"&gt;"&amp;'NSST Print'!$B$3,Investors!$A:$A,'Investor Exit List'!$A509,Investors!$E:$E,'Investor Exit List'!$C509,Investors!$L:$L,'Investor Exit List'!$B509)+SUMIFS(Investors!$M:$M,Investors!$I:$I,"&lt;="&amp;'NSST Print'!$B$3,Investors!$J:$J,"",Investors!$A:$A,'Investor Exit List'!$A509,Investors!$E:$E,'Investor Exit List'!$C509,Investors!$L:$L,'Investor Exit List'!$B509))+SUMIFS(Investors!$S:$S,Investors!$O:$O,FALSE,Investors!$P:$P,FALSE,Investors!$K:$K,"&gt;"&amp;'NSST Print'!$B$3,Investors!$I:$I,"&lt;="&amp;'NSST Print'!$B$3,Investors!$A:$A,'Investor Exit List'!$A509,Investors!$E:$E,'Investor Exit List'!$C509,Investors!$L:$L,'Investor Exit List'!$B509)-(SUMIFS(Investors!$S:$S,Investors!$I:$I,"&lt;="&amp;'NSST Print'!$B$3,Investors!$J:$J,"&gt;"&amp;'NSST Print'!$B$3,Investors!$A:$A,'Investor Exit List'!$A509,Investors!$E:$E,'Investor Exit List'!$C509,Investors!$L:$L,'Investor Exit List'!$B509)+SUMIFS(Investors!$S:$S,Investors!$I:$I,"&lt;="&amp;'NSST Print'!$B$3,Investors!$J:$J,"",Investors!$A:$A,'Investor Exit List'!$A509,Investors!$E:$E,'Investor Exit List'!$C509,Investors!$L:$L,'Investor Exit List'!$B509))</f>
        <v/>
      </c>
      <c r="R509" s="94">
        <f>IF(AND(H509=TRUE,I509=FALSE),Q509,0)</f>
        <v/>
      </c>
      <c r="S509" s="94">
        <f>SUMIFS(Investors!$M:$M,Investors!$O:$O,TRUE,Investors!$A:$A,'Investor Exit List'!$A509,Investors!$E:$E,'Investor Exit List'!$C509,Investors!$L:$L,'Investor Exit List'!$B509)+SUMIFS(Investors!$S:$S,Investors!$O:$O,TRUE,Investors!$A:$A,'Investor Exit List'!$A509,Investors!$E:$E,'Investor Exit List'!$C509,Investors!$L:$L,'Investor Exit List'!$B509)</f>
        <v/>
      </c>
      <c r="T509" s="95">
        <f>IF(U509=TRUE,$J509,"")</f>
        <v/>
      </c>
      <c r="U509" s="93" t="b">
        <v>0</v>
      </c>
      <c r="V509" s="94">
        <f>IF(AND(H509=TRUE,OR(K509="",K509&gt;M509)),S509,0)</f>
        <v/>
      </c>
      <c r="W509" s="93" t="n">
        <v>0</v>
      </c>
      <c r="X509" s="93" t="b">
        <v>0</v>
      </c>
    </row>
    <row r="510">
      <c r="A510" s="93" t="inlineStr">
        <is>
          <t>ZMAT04</t>
        </is>
      </c>
      <c r="B510" s="93" t="n">
        <v>1</v>
      </c>
      <c r="C510" s="93" t="inlineStr">
        <is>
          <t>HVO301</t>
        </is>
      </c>
      <c r="D510" s="93" t="inlineStr">
        <is>
          <t>O</t>
        </is>
      </c>
      <c r="E510" s="93" t="inlineStr">
        <is>
          <t>Matang Mosweu Abraham Stephen</t>
        </is>
      </c>
      <c r="F510" s="94">
        <f>SUMIFS(Investors!$M:$M,Investors!$O:$O,FALSE,Investors!$P:$P,FALSE,Investors!$K:$K,"&gt;"&amp;'NSST Print'!$B$3,Investors!$I:$I,"&lt;="&amp;'NSST Print'!$B$3,Investors!$A:$A,'Investor Exit List'!$A510,Investors!$E:$E,'Investor Exit List'!$C510,Investors!$L:$L,'Investor Exit List'!$B510)-(SUMIFS(Investors!$M:$M,Investors!$I:$I,"&lt;="&amp;'NSST Print'!$B$3,Investors!$J:$J,"&gt;"&amp;'NSST Print'!$B$3,Investors!$A:$A,'Investor Exit List'!$A510,Investors!$E:$E,'Investor Exit List'!$C510,Investors!$L:$L,'Investor Exit List'!$B510)+SUMIFS(Investors!$M:$M,Investors!$I:$I,"&lt;="&amp;'NSST Print'!$B$3,Investors!$J:$J,"",Investors!$A:$A,'Investor Exit List'!$A510,Investors!$E:$E,'Investor Exit List'!$C510,Investors!$L:$L,'Investor Exit List'!$B510))</f>
        <v/>
      </c>
      <c r="G510" s="95" t="n">
        <v>45273</v>
      </c>
      <c r="H510" s="93" t="b">
        <v>0</v>
      </c>
      <c r="I510" s="93" t="b">
        <v>0</v>
      </c>
      <c r="J510" s="95" t="n">
        <v>45518</v>
      </c>
      <c r="K510" s="95">
        <f>IF(I510=TRUE,J510,"")</f>
        <v/>
      </c>
      <c r="L510" s="95">
        <f>G510+730</f>
        <v/>
      </c>
      <c r="M510" s="95" t="n">
        <v>45382</v>
      </c>
      <c r="N510" s="96">
        <f>IFERROR(IF(G510&lt;&gt;"",IF(I510=TRUE,0,IF(U510=TRUE,0,L510-M510)),0),0)</f>
        <v/>
      </c>
      <c r="O510" s="96">
        <f>IF(N510&gt;0,IF(N510&lt;=180,N510,0),0)</f>
        <v/>
      </c>
      <c r="P510" s="94">
        <f>IF(AND(N510&lt;90,N510&gt;0),Q510,0)</f>
        <v/>
      </c>
      <c r="Q510" s="94">
        <f>SUMIFS(Investors!$M:$M,Investors!$O:$O,FALSE,Investors!$P:$P,FALSE,Investors!$K:$K,"&gt;"&amp;'NSST Print'!$B$3,Investors!$I:$I,"&lt;="&amp;'NSST Print'!$B$3,Investors!$A:$A,'Investor Exit List'!$A510,Investors!$E:$E,'Investor Exit List'!$C510,Investors!$L:$L,'Investor Exit List'!$B510)-(SUMIFS(Investors!$M:$M,Investors!$I:$I,"&lt;="&amp;'NSST Print'!$B$3,Investors!$J:$J,"&gt;"&amp;'NSST Print'!$B$3,Investors!$A:$A,'Investor Exit List'!$A510,Investors!$E:$E,'Investor Exit List'!$C510,Investors!$L:$L,'Investor Exit List'!$B510)+SUMIFS(Investors!$M:$M,Investors!$I:$I,"&lt;="&amp;'NSST Print'!$B$3,Investors!$J:$J,"",Investors!$A:$A,'Investor Exit List'!$A510,Investors!$E:$E,'Investor Exit List'!$C510,Investors!$L:$L,'Investor Exit List'!$B510))+SUMIFS(Investors!$S:$S,Investors!$O:$O,FALSE,Investors!$P:$P,FALSE,Investors!$K:$K,"&gt;"&amp;'NSST Print'!$B$3,Investors!$I:$I,"&lt;="&amp;'NSST Print'!$B$3,Investors!$A:$A,'Investor Exit List'!$A510,Investors!$E:$E,'Investor Exit List'!$C510,Investors!$L:$L,'Investor Exit List'!$B510)-(SUMIFS(Investors!$S:$S,Investors!$I:$I,"&lt;="&amp;'NSST Print'!$B$3,Investors!$J:$J,"&gt;"&amp;'NSST Print'!$B$3,Investors!$A:$A,'Investor Exit List'!$A510,Investors!$E:$E,'Investor Exit List'!$C510,Investors!$L:$L,'Investor Exit List'!$B510)+SUMIFS(Investors!$S:$S,Investors!$I:$I,"&lt;="&amp;'NSST Print'!$B$3,Investors!$J:$J,"",Investors!$A:$A,'Investor Exit List'!$A510,Investors!$E:$E,'Investor Exit List'!$C510,Investors!$L:$L,'Investor Exit List'!$B510))</f>
        <v/>
      </c>
      <c r="R510" s="94">
        <f>IF(AND(H510=TRUE,I510=FALSE),Q510,0)</f>
        <v/>
      </c>
      <c r="S510" s="94">
        <f>SUMIFS(Investors!$M:$M,Investors!$O:$O,TRUE,Investors!$A:$A,'Investor Exit List'!$A510,Investors!$E:$E,'Investor Exit List'!$C510,Investors!$L:$L,'Investor Exit List'!$B510)+SUMIFS(Investors!$S:$S,Investors!$O:$O,TRUE,Investors!$A:$A,'Investor Exit List'!$A510,Investors!$E:$E,'Investor Exit List'!$C510,Investors!$L:$L,'Investor Exit List'!$B510)</f>
        <v/>
      </c>
      <c r="T510" s="95">
        <f>IF(U510=TRUE,$J510,"")</f>
        <v/>
      </c>
      <c r="U510" s="93" t="b">
        <v>0</v>
      </c>
      <c r="V510" s="94">
        <f>IF(AND(H510=TRUE,OR(K510="",K510&gt;M510)),S510,0)</f>
        <v/>
      </c>
      <c r="W510" s="93" t="n">
        <v>0</v>
      </c>
      <c r="X510" s="93" t="b">
        <v>0</v>
      </c>
    </row>
    <row r="511">
      <c r="A511" s="93" t="inlineStr">
        <is>
          <t>ZVAN08</t>
        </is>
      </c>
      <c r="B511" s="93" t="n">
        <v>2</v>
      </c>
      <c r="C511" s="93" t="inlineStr">
        <is>
          <t>HVO301</t>
        </is>
      </c>
      <c r="D511" s="93" t="inlineStr">
        <is>
          <t>O</t>
        </is>
      </c>
      <c r="E511" s="93" t="inlineStr">
        <is>
          <t>van der Mescht Andree-Lauren</t>
        </is>
      </c>
      <c r="F511" s="94">
        <f>SUMIFS(Investors!$M:$M,Investors!$O:$O,FALSE,Investors!$P:$P,FALSE,Investors!$K:$K,"&gt;"&amp;'NSST Print'!$B$3,Investors!$I:$I,"&lt;="&amp;'NSST Print'!$B$3,Investors!$A:$A,'Investor Exit List'!$A511,Investors!$E:$E,'Investor Exit List'!$C511,Investors!$L:$L,'Investor Exit List'!$B511)-(SUMIFS(Investors!$M:$M,Investors!$I:$I,"&lt;="&amp;'NSST Print'!$B$3,Investors!$J:$J,"&gt;"&amp;'NSST Print'!$B$3,Investors!$A:$A,'Investor Exit List'!$A511,Investors!$E:$E,'Investor Exit List'!$C511,Investors!$L:$L,'Investor Exit List'!$B511)+SUMIFS(Investors!$M:$M,Investors!$I:$I,"&lt;="&amp;'NSST Print'!$B$3,Investors!$J:$J,"",Investors!$A:$A,'Investor Exit List'!$A511,Investors!$E:$E,'Investor Exit List'!$C511,Investors!$L:$L,'Investor Exit List'!$B511))</f>
        <v/>
      </c>
      <c r="G511" s="95" t="n">
        <v>45259</v>
      </c>
      <c r="H511" s="93" t="b">
        <v>0</v>
      </c>
      <c r="I511" s="93" t="b">
        <v>0</v>
      </c>
      <c r="J511" s="95" t="n">
        <v>45518</v>
      </c>
      <c r="K511" s="95">
        <f>IF(I511=TRUE,J511,"")</f>
        <v/>
      </c>
      <c r="L511" s="95">
        <f>G511+730</f>
        <v/>
      </c>
      <c r="M511" s="95" t="n">
        <v>45382</v>
      </c>
      <c r="N511" s="96">
        <f>IFERROR(IF(G511&lt;&gt;"",IF(I511=TRUE,0,IF(U511=TRUE,0,L511-M511)),0),0)</f>
        <v/>
      </c>
      <c r="O511" s="96">
        <f>IF(N511&gt;0,IF(N511&lt;=180,N511,0),0)</f>
        <v/>
      </c>
      <c r="P511" s="94">
        <f>IF(AND(N511&lt;90,N511&gt;0),Q511,0)</f>
        <v/>
      </c>
      <c r="Q511" s="94">
        <f>SUMIFS(Investors!$M:$M,Investors!$O:$O,FALSE,Investors!$P:$P,FALSE,Investors!$K:$K,"&gt;"&amp;'NSST Print'!$B$3,Investors!$I:$I,"&lt;="&amp;'NSST Print'!$B$3,Investors!$A:$A,'Investor Exit List'!$A511,Investors!$E:$E,'Investor Exit List'!$C511,Investors!$L:$L,'Investor Exit List'!$B511)-(SUMIFS(Investors!$M:$M,Investors!$I:$I,"&lt;="&amp;'NSST Print'!$B$3,Investors!$J:$J,"&gt;"&amp;'NSST Print'!$B$3,Investors!$A:$A,'Investor Exit List'!$A511,Investors!$E:$E,'Investor Exit List'!$C511,Investors!$L:$L,'Investor Exit List'!$B511)+SUMIFS(Investors!$M:$M,Investors!$I:$I,"&lt;="&amp;'NSST Print'!$B$3,Investors!$J:$J,"",Investors!$A:$A,'Investor Exit List'!$A511,Investors!$E:$E,'Investor Exit List'!$C511,Investors!$L:$L,'Investor Exit List'!$B511))+SUMIFS(Investors!$S:$S,Investors!$O:$O,FALSE,Investors!$P:$P,FALSE,Investors!$K:$K,"&gt;"&amp;'NSST Print'!$B$3,Investors!$I:$I,"&lt;="&amp;'NSST Print'!$B$3,Investors!$A:$A,'Investor Exit List'!$A511,Investors!$E:$E,'Investor Exit List'!$C511,Investors!$L:$L,'Investor Exit List'!$B511)-(SUMIFS(Investors!$S:$S,Investors!$I:$I,"&lt;="&amp;'NSST Print'!$B$3,Investors!$J:$J,"&gt;"&amp;'NSST Print'!$B$3,Investors!$A:$A,'Investor Exit List'!$A511,Investors!$E:$E,'Investor Exit List'!$C511,Investors!$L:$L,'Investor Exit List'!$B511)+SUMIFS(Investors!$S:$S,Investors!$I:$I,"&lt;="&amp;'NSST Print'!$B$3,Investors!$J:$J,"",Investors!$A:$A,'Investor Exit List'!$A511,Investors!$E:$E,'Investor Exit List'!$C511,Investors!$L:$L,'Investor Exit List'!$B511))</f>
        <v/>
      </c>
      <c r="R511" s="94">
        <f>IF(AND(H511=TRUE,I511=FALSE),Q511,0)</f>
        <v/>
      </c>
      <c r="S511" s="94">
        <f>SUMIFS(Investors!$M:$M,Investors!$O:$O,TRUE,Investors!$A:$A,'Investor Exit List'!$A511,Investors!$E:$E,'Investor Exit List'!$C511,Investors!$L:$L,'Investor Exit List'!$B511)+SUMIFS(Investors!$S:$S,Investors!$O:$O,TRUE,Investors!$A:$A,'Investor Exit List'!$A511,Investors!$E:$E,'Investor Exit List'!$C511,Investors!$L:$L,'Investor Exit List'!$B511)</f>
        <v/>
      </c>
      <c r="T511" s="95">
        <f>IF(U511=TRUE,$J511,"")</f>
        <v/>
      </c>
      <c r="U511" s="93" t="b">
        <v>0</v>
      </c>
      <c r="V511" s="94">
        <f>IF(AND(H511=TRUE,OR(K511="",K511&gt;M511)),S511,0)</f>
        <v/>
      </c>
      <c r="W511" s="93" t="n">
        <v>0</v>
      </c>
      <c r="X511" s="93" t="b">
        <v>0</v>
      </c>
    </row>
    <row r="512">
      <c r="A512" s="93" t="inlineStr">
        <is>
          <t>ZLER02</t>
        </is>
      </c>
      <c r="B512" s="93" t="n">
        <v>1</v>
      </c>
      <c r="C512" s="93" t="inlineStr">
        <is>
          <t>HVO302</t>
        </is>
      </c>
      <c r="D512" s="93" t="inlineStr">
        <is>
          <t>O</t>
        </is>
      </c>
      <c r="E512" s="93" t="inlineStr">
        <is>
          <t>le Roux Jacques</t>
        </is>
      </c>
      <c r="F512" s="94">
        <f>SUMIFS(Investors!$M:$M,Investors!$O:$O,FALSE,Investors!$P:$P,FALSE,Investors!$K:$K,"&gt;"&amp;'NSST Print'!$B$3,Investors!$I:$I,"&lt;="&amp;'NSST Print'!$B$3,Investors!$A:$A,'Investor Exit List'!$A512,Investors!$E:$E,'Investor Exit List'!$C512,Investors!$L:$L,'Investor Exit List'!$B512)-(SUMIFS(Investors!$M:$M,Investors!$I:$I,"&lt;="&amp;'NSST Print'!$B$3,Investors!$J:$J,"&gt;"&amp;'NSST Print'!$B$3,Investors!$A:$A,'Investor Exit List'!$A512,Investors!$E:$E,'Investor Exit List'!$C512,Investors!$L:$L,'Investor Exit List'!$B512)+SUMIFS(Investors!$M:$M,Investors!$I:$I,"&lt;="&amp;'NSST Print'!$B$3,Investors!$J:$J,"",Investors!$A:$A,'Investor Exit List'!$A512,Investors!$E:$E,'Investor Exit List'!$C512,Investors!$L:$L,'Investor Exit List'!$B512))</f>
        <v/>
      </c>
      <c r="G512" s="95" t="n">
        <v>45129</v>
      </c>
      <c r="H512" s="93" t="b">
        <v>0</v>
      </c>
      <c r="I512" s="93" t="b">
        <v>0</v>
      </c>
      <c r="J512" s="95" t="n">
        <v>45518</v>
      </c>
      <c r="K512" s="95">
        <f>IF(I512=TRUE,J512,"")</f>
        <v/>
      </c>
      <c r="L512" s="95">
        <f>G512+730</f>
        <v/>
      </c>
      <c r="M512" s="95" t="n">
        <v>45382</v>
      </c>
      <c r="N512" s="96">
        <f>IFERROR(IF(G512&lt;&gt;"",IF(I512=TRUE,0,IF(U512=TRUE,0,L512-M512)),0),0)</f>
        <v/>
      </c>
      <c r="O512" s="96">
        <f>IF(N512&gt;0,IF(N512&lt;=180,N512,0),0)</f>
        <v/>
      </c>
      <c r="P512" s="94">
        <f>IF(AND(N512&lt;90,N512&gt;0),Q512,0)</f>
        <v/>
      </c>
      <c r="Q512" s="94">
        <f>SUMIFS(Investors!$M:$M,Investors!$O:$O,FALSE,Investors!$P:$P,FALSE,Investors!$K:$K,"&gt;"&amp;'NSST Print'!$B$3,Investors!$I:$I,"&lt;="&amp;'NSST Print'!$B$3,Investors!$A:$A,'Investor Exit List'!$A512,Investors!$E:$E,'Investor Exit List'!$C512,Investors!$L:$L,'Investor Exit List'!$B512)-(SUMIFS(Investors!$M:$M,Investors!$I:$I,"&lt;="&amp;'NSST Print'!$B$3,Investors!$J:$J,"&gt;"&amp;'NSST Print'!$B$3,Investors!$A:$A,'Investor Exit List'!$A512,Investors!$E:$E,'Investor Exit List'!$C512,Investors!$L:$L,'Investor Exit List'!$B512)+SUMIFS(Investors!$M:$M,Investors!$I:$I,"&lt;="&amp;'NSST Print'!$B$3,Investors!$J:$J,"",Investors!$A:$A,'Investor Exit List'!$A512,Investors!$E:$E,'Investor Exit List'!$C512,Investors!$L:$L,'Investor Exit List'!$B512))+SUMIFS(Investors!$S:$S,Investors!$O:$O,FALSE,Investors!$P:$P,FALSE,Investors!$K:$K,"&gt;"&amp;'NSST Print'!$B$3,Investors!$I:$I,"&lt;="&amp;'NSST Print'!$B$3,Investors!$A:$A,'Investor Exit List'!$A512,Investors!$E:$E,'Investor Exit List'!$C512,Investors!$L:$L,'Investor Exit List'!$B512)-(SUMIFS(Investors!$S:$S,Investors!$I:$I,"&lt;="&amp;'NSST Print'!$B$3,Investors!$J:$J,"&gt;"&amp;'NSST Print'!$B$3,Investors!$A:$A,'Investor Exit List'!$A512,Investors!$E:$E,'Investor Exit List'!$C512,Investors!$L:$L,'Investor Exit List'!$B512)+SUMIFS(Investors!$S:$S,Investors!$I:$I,"&lt;="&amp;'NSST Print'!$B$3,Investors!$J:$J,"",Investors!$A:$A,'Investor Exit List'!$A512,Investors!$E:$E,'Investor Exit List'!$C512,Investors!$L:$L,'Investor Exit List'!$B512))</f>
        <v/>
      </c>
      <c r="R512" s="94">
        <f>IF(AND(H512=TRUE,I512=FALSE),Q512,0)</f>
        <v/>
      </c>
      <c r="S512" s="94">
        <f>SUMIFS(Investors!$M:$M,Investors!$O:$O,TRUE,Investors!$A:$A,'Investor Exit List'!$A512,Investors!$E:$E,'Investor Exit List'!$C512,Investors!$L:$L,'Investor Exit List'!$B512)+SUMIFS(Investors!$S:$S,Investors!$O:$O,TRUE,Investors!$A:$A,'Investor Exit List'!$A512,Investors!$E:$E,'Investor Exit List'!$C512,Investors!$L:$L,'Investor Exit List'!$B512)</f>
        <v/>
      </c>
      <c r="T512" s="95">
        <f>IF(U512=TRUE,$J512,"")</f>
        <v/>
      </c>
      <c r="U512" s="93" t="b">
        <v>0</v>
      </c>
      <c r="V512" s="94">
        <f>IF(AND(H512=TRUE,OR(K512="",K512&gt;M512)),S512,0)</f>
        <v/>
      </c>
      <c r="W512" s="93" t="n">
        <v>0</v>
      </c>
      <c r="X512" s="93" t="b">
        <v>0</v>
      </c>
    </row>
    <row r="513">
      <c r="A513" s="93" t="inlineStr">
        <is>
          <t>ZPED01</t>
        </is>
      </c>
      <c r="B513" s="93" t="n">
        <v>5</v>
      </c>
      <c r="C513" s="93" t="inlineStr">
        <is>
          <t>HVO302</t>
        </is>
      </c>
      <c r="D513" s="93" t="inlineStr">
        <is>
          <t>O</t>
        </is>
      </c>
      <c r="E513" s="93" t="inlineStr">
        <is>
          <t>Pedersen Wendy</t>
        </is>
      </c>
      <c r="F513" s="94">
        <f>SUMIFS(Investors!$M:$M,Investors!$O:$O,FALSE,Investors!$P:$P,FALSE,Investors!$K:$K,"&gt;"&amp;'NSST Print'!$B$3,Investors!$I:$I,"&lt;="&amp;'NSST Print'!$B$3,Investors!$A:$A,'Investor Exit List'!$A513,Investors!$E:$E,'Investor Exit List'!$C513,Investors!$L:$L,'Investor Exit List'!$B513)-(SUMIFS(Investors!$M:$M,Investors!$I:$I,"&lt;="&amp;'NSST Print'!$B$3,Investors!$J:$J,"&gt;"&amp;'NSST Print'!$B$3,Investors!$A:$A,'Investor Exit List'!$A513,Investors!$E:$E,'Investor Exit List'!$C513,Investors!$L:$L,'Investor Exit List'!$B513)+SUMIFS(Investors!$M:$M,Investors!$I:$I,"&lt;="&amp;'NSST Print'!$B$3,Investors!$J:$J,"",Investors!$A:$A,'Investor Exit List'!$A513,Investors!$E:$E,'Investor Exit List'!$C513,Investors!$L:$L,'Investor Exit List'!$B513))</f>
        <v/>
      </c>
      <c r="G513" s="95" t="n">
        <v>45129</v>
      </c>
      <c r="H513" s="93" t="b">
        <v>0</v>
      </c>
      <c r="I513" s="93" t="b">
        <v>0</v>
      </c>
      <c r="J513" s="95" t="n">
        <v>45518</v>
      </c>
      <c r="K513" s="95">
        <f>IF(I513=TRUE,J513,"")</f>
        <v/>
      </c>
      <c r="L513" s="95">
        <f>G513+730</f>
        <v/>
      </c>
      <c r="M513" s="95" t="n">
        <v>45382</v>
      </c>
      <c r="N513" s="96">
        <f>IFERROR(IF(G513&lt;&gt;"",IF(I513=TRUE,0,IF(U513=TRUE,0,L513-M513)),0),0)</f>
        <v/>
      </c>
      <c r="O513" s="96">
        <f>IF(N513&gt;0,IF(N513&lt;=180,N513,0),0)</f>
        <v/>
      </c>
      <c r="P513" s="94">
        <f>IF(AND(N513&lt;90,N513&gt;0),Q513,0)</f>
        <v/>
      </c>
      <c r="Q513" s="94">
        <f>SUMIFS(Investors!$M:$M,Investors!$O:$O,FALSE,Investors!$P:$P,FALSE,Investors!$K:$K,"&gt;"&amp;'NSST Print'!$B$3,Investors!$I:$I,"&lt;="&amp;'NSST Print'!$B$3,Investors!$A:$A,'Investor Exit List'!$A513,Investors!$E:$E,'Investor Exit List'!$C513,Investors!$L:$L,'Investor Exit List'!$B513)-(SUMIFS(Investors!$M:$M,Investors!$I:$I,"&lt;="&amp;'NSST Print'!$B$3,Investors!$J:$J,"&gt;"&amp;'NSST Print'!$B$3,Investors!$A:$A,'Investor Exit List'!$A513,Investors!$E:$E,'Investor Exit List'!$C513,Investors!$L:$L,'Investor Exit List'!$B513)+SUMIFS(Investors!$M:$M,Investors!$I:$I,"&lt;="&amp;'NSST Print'!$B$3,Investors!$J:$J,"",Investors!$A:$A,'Investor Exit List'!$A513,Investors!$E:$E,'Investor Exit List'!$C513,Investors!$L:$L,'Investor Exit List'!$B513))+SUMIFS(Investors!$S:$S,Investors!$O:$O,FALSE,Investors!$P:$P,FALSE,Investors!$K:$K,"&gt;"&amp;'NSST Print'!$B$3,Investors!$I:$I,"&lt;="&amp;'NSST Print'!$B$3,Investors!$A:$A,'Investor Exit List'!$A513,Investors!$E:$E,'Investor Exit List'!$C513,Investors!$L:$L,'Investor Exit List'!$B513)-(SUMIFS(Investors!$S:$S,Investors!$I:$I,"&lt;="&amp;'NSST Print'!$B$3,Investors!$J:$J,"&gt;"&amp;'NSST Print'!$B$3,Investors!$A:$A,'Investor Exit List'!$A513,Investors!$E:$E,'Investor Exit List'!$C513,Investors!$L:$L,'Investor Exit List'!$B513)+SUMIFS(Investors!$S:$S,Investors!$I:$I,"&lt;="&amp;'NSST Print'!$B$3,Investors!$J:$J,"",Investors!$A:$A,'Investor Exit List'!$A513,Investors!$E:$E,'Investor Exit List'!$C513,Investors!$L:$L,'Investor Exit List'!$B513))</f>
        <v/>
      </c>
      <c r="R513" s="94">
        <f>IF(AND(H513=TRUE,I513=FALSE),Q513,0)</f>
        <v/>
      </c>
      <c r="S513" s="94">
        <f>SUMIFS(Investors!$M:$M,Investors!$O:$O,TRUE,Investors!$A:$A,'Investor Exit List'!$A513,Investors!$E:$E,'Investor Exit List'!$C513,Investors!$L:$L,'Investor Exit List'!$B513)+SUMIFS(Investors!$S:$S,Investors!$O:$O,TRUE,Investors!$A:$A,'Investor Exit List'!$A513,Investors!$E:$E,'Investor Exit List'!$C513,Investors!$L:$L,'Investor Exit List'!$B513)</f>
        <v/>
      </c>
      <c r="T513" s="95">
        <f>IF(U513=TRUE,$J513,"")</f>
        <v/>
      </c>
      <c r="U513" s="93" t="b">
        <v>0</v>
      </c>
      <c r="V513" s="94">
        <f>IF(AND(H513=TRUE,OR(K513="",K513&gt;M513)),S513,0)</f>
        <v/>
      </c>
      <c r="W513" s="93" t="n">
        <v>0</v>
      </c>
      <c r="X513" s="93" t="b">
        <v>0</v>
      </c>
    </row>
    <row r="514">
      <c r="A514" s="93" t="inlineStr">
        <is>
          <t>ZVIS03</t>
        </is>
      </c>
      <c r="B514" s="93" t="n">
        <v>1</v>
      </c>
      <c r="C514" s="93" t="inlineStr">
        <is>
          <t>HVO302</t>
        </is>
      </c>
      <c r="D514" s="93" t="inlineStr">
        <is>
          <t>O</t>
        </is>
      </c>
      <c r="E514" s="93" t="inlineStr">
        <is>
          <t>Visser Anton Patrick</t>
        </is>
      </c>
      <c r="F514" s="94">
        <f>SUMIFS(Investors!$M:$M,Investors!$O:$O,FALSE,Investors!$P:$P,FALSE,Investors!$K:$K,"&gt;"&amp;'NSST Print'!$B$3,Investors!$I:$I,"&lt;="&amp;'NSST Print'!$B$3,Investors!$A:$A,'Investor Exit List'!$A514,Investors!$E:$E,'Investor Exit List'!$C514,Investors!$L:$L,'Investor Exit List'!$B514)-(SUMIFS(Investors!$M:$M,Investors!$I:$I,"&lt;="&amp;'NSST Print'!$B$3,Investors!$J:$J,"&gt;"&amp;'NSST Print'!$B$3,Investors!$A:$A,'Investor Exit List'!$A514,Investors!$E:$E,'Investor Exit List'!$C514,Investors!$L:$L,'Investor Exit List'!$B514)+SUMIFS(Investors!$M:$M,Investors!$I:$I,"&lt;="&amp;'NSST Print'!$B$3,Investors!$J:$J,"",Investors!$A:$A,'Investor Exit List'!$A514,Investors!$E:$E,'Investor Exit List'!$C514,Investors!$L:$L,'Investor Exit List'!$B514))</f>
        <v/>
      </c>
      <c r="G514" s="95" t="n">
        <v>45107</v>
      </c>
      <c r="H514" s="93" t="b">
        <v>0</v>
      </c>
      <c r="I514" s="93" t="b">
        <v>0</v>
      </c>
      <c r="J514" s="95" t="n">
        <v>45518</v>
      </c>
      <c r="K514" s="95">
        <f>IF(I514=TRUE,J514,"")</f>
        <v/>
      </c>
      <c r="L514" s="95">
        <f>G514+730</f>
        <v/>
      </c>
      <c r="M514" s="95" t="n">
        <v>45382</v>
      </c>
      <c r="N514" s="96">
        <f>IFERROR(IF(G514&lt;&gt;"",IF(I514=TRUE,0,IF(U514=TRUE,0,L514-M514)),0),0)</f>
        <v/>
      </c>
      <c r="O514" s="96">
        <f>IF(N514&gt;0,IF(N514&lt;=180,N514,0),0)</f>
        <v/>
      </c>
      <c r="P514" s="94">
        <f>IF(AND(N514&lt;90,N514&gt;0),Q514,0)</f>
        <v/>
      </c>
      <c r="Q514" s="94">
        <f>SUMIFS(Investors!$M:$M,Investors!$O:$O,FALSE,Investors!$P:$P,FALSE,Investors!$K:$K,"&gt;"&amp;'NSST Print'!$B$3,Investors!$I:$I,"&lt;="&amp;'NSST Print'!$B$3,Investors!$A:$A,'Investor Exit List'!$A514,Investors!$E:$E,'Investor Exit List'!$C514,Investors!$L:$L,'Investor Exit List'!$B514)-(SUMIFS(Investors!$M:$M,Investors!$I:$I,"&lt;="&amp;'NSST Print'!$B$3,Investors!$J:$J,"&gt;"&amp;'NSST Print'!$B$3,Investors!$A:$A,'Investor Exit List'!$A514,Investors!$E:$E,'Investor Exit List'!$C514,Investors!$L:$L,'Investor Exit List'!$B514)+SUMIFS(Investors!$M:$M,Investors!$I:$I,"&lt;="&amp;'NSST Print'!$B$3,Investors!$J:$J,"",Investors!$A:$A,'Investor Exit List'!$A514,Investors!$E:$E,'Investor Exit List'!$C514,Investors!$L:$L,'Investor Exit List'!$B514))+SUMIFS(Investors!$S:$S,Investors!$O:$O,FALSE,Investors!$P:$P,FALSE,Investors!$K:$K,"&gt;"&amp;'NSST Print'!$B$3,Investors!$I:$I,"&lt;="&amp;'NSST Print'!$B$3,Investors!$A:$A,'Investor Exit List'!$A514,Investors!$E:$E,'Investor Exit List'!$C514,Investors!$L:$L,'Investor Exit List'!$B514)-(SUMIFS(Investors!$S:$S,Investors!$I:$I,"&lt;="&amp;'NSST Print'!$B$3,Investors!$J:$J,"&gt;"&amp;'NSST Print'!$B$3,Investors!$A:$A,'Investor Exit List'!$A514,Investors!$E:$E,'Investor Exit List'!$C514,Investors!$L:$L,'Investor Exit List'!$B514)+SUMIFS(Investors!$S:$S,Investors!$I:$I,"&lt;="&amp;'NSST Print'!$B$3,Investors!$J:$J,"",Investors!$A:$A,'Investor Exit List'!$A514,Investors!$E:$E,'Investor Exit List'!$C514,Investors!$L:$L,'Investor Exit List'!$B514))</f>
        <v/>
      </c>
      <c r="R514" s="94">
        <f>IF(AND(H514=TRUE,I514=FALSE),Q514,0)</f>
        <v/>
      </c>
      <c r="S514" s="94">
        <f>SUMIFS(Investors!$M:$M,Investors!$O:$O,TRUE,Investors!$A:$A,'Investor Exit List'!$A514,Investors!$E:$E,'Investor Exit List'!$C514,Investors!$L:$L,'Investor Exit List'!$B514)+SUMIFS(Investors!$S:$S,Investors!$O:$O,TRUE,Investors!$A:$A,'Investor Exit List'!$A514,Investors!$E:$E,'Investor Exit List'!$C514,Investors!$L:$L,'Investor Exit List'!$B514)</f>
        <v/>
      </c>
      <c r="T514" s="95">
        <f>IF(U514=TRUE,$J514,"")</f>
        <v/>
      </c>
      <c r="U514" s="93" t="b">
        <v>0</v>
      </c>
      <c r="V514" s="94">
        <f>IF(AND(H514=TRUE,OR(K514="",K514&gt;M514)),S514,0)</f>
        <v/>
      </c>
      <c r="W514" s="93" t="n">
        <v>0</v>
      </c>
      <c r="X514" s="93" t="b">
        <v>0</v>
      </c>
    </row>
    <row r="515">
      <c r="A515" s="93" t="inlineStr">
        <is>
          <t>ZDEB01</t>
        </is>
      </c>
      <c r="B515" s="93" t="n">
        <v>7</v>
      </c>
      <c r="C515" s="93" t="inlineStr">
        <is>
          <t>HVO303</t>
        </is>
      </c>
      <c r="D515" s="93" t="inlineStr">
        <is>
          <t>O</t>
        </is>
      </c>
      <c r="E515" s="93" t="inlineStr">
        <is>
          <t>De Beer William Henry</t>
        </is>
      </c>
      <c r="F515" s="94">
        <f>SUMIFS(Investors!$M:$M,Investors!$O:$O,FALSE,Investors!$P:$P,FALSE,Investors!$K:$K,"&gt;"&amp;'NSST Print'!$B$3,Investors!$I:$I,"&lt;="&amp;'NSST Print'!$B$3,Investors!$A:$A,'Investor Exit List'!$A515,Investors!$E:$E,'Investor Exit List'!$C515,Investors!$L:$L,'Investor Exit List'!$B515)-(SUMIFS(Investors!$M:$M,Investors!$I:$I,"&lt;="&amp;'NSST Print'!$B$3,Investors!$J:$J,"&gt;"&amp;'NSST Print'!$B$3,Investors!$A:$A,'Investor Exit List'!$A515,Investors!$E:$E,'Investor Exit List'!$C515,Investors!$L:$L,'Investor Exit List'!$B515)+SUMIFS(Investors!$M:$M,Investors!$I:$I,"&lt;="&amp;'NSST Print'!$B$3,Investors!$J:$J,"",Investors!$A:$A,'Investor Exit List'!$A515,Investors!$E:$E,'Investor Exit List'!$C515,Investors!$L:$L,'Investor Exit List'!$B515))</f>
        <v/>
      </c>
      <c r="G515" s="95" t="n">
        <v>45107</v>
      </c>
      <c r="H515" s="93" t="b">
        <v>0</v>
      </c>
      <c r="I515" s="93" t="b">
        <v>0</v>
      </c>
      <c r="J515" s="95" t="n">
        <v>45518</v>
      </c>
      <c r="K515" s="95">
        <f>IF(I515=TRUE,J515,"")</f>
        <v/>
      </c>
      <c r="L515" s="95">
        <f>G515+730</f>
        <v/>
      </c>
      <c r="M515" s="95" t="n">
        <v>45382</v>
      </c>
      <c r="N515" s="96">
        <f>IFERROR(IF(G515&lt;&gt;"",IF(I515=TRUE,0,IF(U515=TRUE,0,L515-M515)),0),0)</f>
        <v/>
      </c>
      <c r="O515" s="96">
        <f>IF(N515&gt;0,IF(N515&lt;=180,N515,0),0)</f>
        <v/>
      </c>
      <c r="P515" s="94">
        <f>IF(AND(N515&lt;90,N515&gt;0),Q515,0)</f>
        <v/>
      </c>
      <c r="Q515" s="94">
        <f>SUMIFS(Investors!$M:$M,Investors!$O:$O,FALSE,Investors!$P:$P,FALSE,Investors!$K:$K,"&gt;"&amp;'NSST Print'!$B$3,Investors!$I:$I,"&lt;="&amp;'NSST Print'!$B$3,Investors!$A:$A,'Investor Exit List'!$A515,Investors!$E:$E,'Investor Exit List'!$C515,Investors!$L:$L,'Investor Exit List'!$B515)-(SUMIFS(Investors!$M:$M,Investors!$I:$I,"&lt;="&amp;'NSST Print'!$B$3,Investors!$J:$J,"&gt;"&amp;'NSST Print'!$B$3,Investors!$A:$A,'Investor Exit List'!$A515,Investors!$E:$E,'Investor Exit List'!$C515,Investors!$L:$L,'Investor Exit List'!$B515)+SUMIFS(Investors!$M:$M,Investors!$I:$I,"&lt;="&amp;'NSST Print'!$B$3,Investors!$J:$J,"",Investors!$A:$A,'Investor Exit List'!$A515,Investors!$E:$E,'Investor Exit List'!$C515,Investors!$L:$L,'Investor Exit List'!$B515))+SUMIFS(Investors!$S:$S,Investors!$O:$O,FALSE,Investors!$P:$P,FALSE,Investors!$K:$K,"&gt;"&amp;'NSST Print'!$B$3,Investors!$I:$I,"&lt;="&amp;'NSST Print'!$B$3,Investors!$A:$A,'Investor Exit List'!$A515,Investors!$E:$E,'Investor Exit List'!$C515,Investors!$L:$L,'Investor Exit List'!$B515)-(SUMIFS(Investors!$S:$S,Investors!$I:$I,"&lt;="&amp;'NSST Print'!$B$3,Investors!$J:$J,"&gt;"&amp;'NSST Print'!$B$3,Investors!$A:$A,'Investor Exit List'!$A515,Investors!$E:$E,'Investor Exit List'!$C515,Investors!$L:$L,'Investor Exit List'!$B515)+SUMIFS(Investors!$S:$S,Investors!$I:$I,"&lt;="&amp;'NSST Print'!$B$3,Investors!$J:$J,"",Investors!$A:$A,'Investor Exit List'!$A515,Investors!$E:$E,'Investor Exit List'!$C515,Investors!$L:$L,'Investor Exit List'!$B515))</f>
        <v/>
      </c>
      <c r="R515" s="94">
        <f>IF(AND(H515=TRUE,I515=FALSE),Q515,0)</f>
        <v/>
      </c>
      <c r="S515" s="94">
        <f>SUMIFS(Investors!$M:$M,Investors!$O:$O,TRUE,Investors!$A:$A,'Investor Exit List'!$A515,Investors!$E:$E,'Investor Exit List'!$C515,Investors!$L:$L,'Investor Exit List'!$B515)+SUMIFS(Investors!$S:$S,Investors!$O:$O,TRUE,Investors!$A:$A,'Investor Exit List'!$A515,Investors!$E:$E,'Investor Exit List'!$C515,Investors!$L:$L,'Investor Exit List'!$B515)</f>
        <v/>
      </c>
      <c r="T515" s="95">
        <f>IF(U515=TRUE,$J515,"")</f>
        <v/>
      </c>
      <c r="U515" s="93" t="b">
        <v>0</v>
      </c>
      <c r="V515" s="94">
        <f>IF(AND(H515=TRUE,OR(K515="",K515&gt;M515)),S515,0)</f>
        <v/>
      </c>
      <c r="W515" s="93" t="n">
        <v>0</v>
      </c>
      <c r="X515" s="93" t="b">
        <v>0</v>
      </c>
    </row>
    <row r="516">
      <c r="A516" s="93" t="inlineStr">
        <is>
          <t>ZJAN03</t>
        </is>
      </c>
      <c r="B516" s="93" t="n">
        <v>2</v>
      </c>
      <c r="C516" s="93" t="inlineStr">
        <is>
          <t>HVO304</t>
        </is>
      </c>
      <c r="D516" s="93" t="inlineStr">
        <is>
          <t>O</t>
        </is>
      </c>
      <c r="E516" s="93" t="inlineStr">
        <is>
          <t>Jansen van Vuuren Rudolph Johannes</t>
        </is>
      </c>
      <c r="F516" s="94">
        <f>SUMIFS(Investors!$M:$M,Investors!$O:$O,FALSE,Investors!$P:$P,FALSE,Investors!$K:$K,"&gt;"&amp;'NSST Print'!$B$3,Investors!$I:$I,"&lt;="&amp;'NSST Print'!$B$3,Investors!$A:$A,'Investor Exit List'!$A516,Investors!$E:$E,'Investor Exit List'!$C516,Investors!$L:$L,'Investor Exit List'!$B516)-(SUMIFS(Investors!$M:$M,Investors!$I:$I,"&lt;="&amp;'NSST Print'!$B$3,Investors!$J:$J,"&gt;"&amp;'NSST Print'!$B$3,Investors!$A:$A,'Investor Exit List'!$A516,Investors!$E:$E,'Investor Exit List'!$C516,Investors!$L:$L,'Investor Exit List'!$B516)+SUMIFS(Investors!$M:$M,Investors!$I:$I,"&lt;="&amp;'NSST Print'!$B$3,Investors!$J:$J,"",Investors!$A:$A,'Investor Exit List'!$A516,Investors!$E:$E,'Investor Exit List'!$C516,Investors!$L:$L,'Investor Exit List'!$B516))</f>
        <v/>
      </c>
      <c r="G516" s="95" t="n">
        <v>45259</v>
      </c>
      <c r="H516" s="93" t="b">
        <v>0</v>
      </c>
      <c r="I516" s="93" t="b">
        <v>0</v>
      </c>
      <c r="J516" s="95" t="n">
        <v>45518</v>
      </c>
      <c r="K516" s="95">
        <f>IF(I516=TRUE,J516,"")</f>
        <v/>
      </c>
      <c r="L516" s="95">
        <f>G516+730</f>
        <v/>
      </c>
      <c r="M516" s="95" t="n">
        <v>45382</v>
      </c>
      <c r="N516" s="96">
        <f>IFERROR(IF(G516&lt;&gt;"",IF(I516=TRUE,0,IF(U516=TRUE,0,L516-M516)),0),0)</f>
        <v/>
      </c>
      <c r="O516" s="96">
        <f>IF(N516&gt;0,IF(N516&lt;=180,N516,0),0)</f>
        <v/>
      </c>
      <c r="P516" s="94">
        <f>IF(AND(N516&lt;90,N516&gt;0),Q516,0)</f>
        <v/>
      </c>
      <c r="Q516" s="94">
        <f>SUMIFS(Investors!$M:$M,Investors!$O:$O,FALSE,Investors!$P:$P,FALSE,Investors!$K:$K,"&gt;"&amp;'NSST Print'!$B$3,Investors!$I:$I,"&lt;="&amp;'NSST Print'!$B$3,Investors!$A:$A,'Investor Exit List'!$A516,Investors!$E:$E,'Investor Exit List'!$C516,Investors!$L:$L,'Investor Exit List'!$B516)-(SUMIFS(Investors!$M:$M,Investors!$I:$I,"&lt;="&amp;'NSST Print'!$B$3,Investors!$J:$J,"&gt;"&amp;'NSST Print'!$B$3,Investors!$A:$A,'Investor Exit List'!$A516,Investors!$E:$E,'Investor Exit List'!$C516,Investors!$L:$L,'Investor Exit List'!$B516)+SUMIFS(Investors!$M:$M,Investors!$I:$I,"&lt;="&amp;'NSST Print'!$B$3,Investors!$J:$J,"",Investors!$A:$A,'Investor Exit List'!$A516,Investors!$E:$E,'Investor Exit List'!$C516,Investors!$L:$L,'Investor Exit List'!$B516))+SUMIFS(Investors!$S:$S,Investors!$O:$O,FALSE,Investors!$P:$P,FALSE,Investors!$K:$K,"&gt;"&amp;'NSST Print'!$B$3,Investors!$I:$I,"&lt;="&amp;'NSST Print'!$B$3,Investors!$A:$A,'Investor Exit List'!$A516,Investors!$E:$E,'Investor Exit List'!$C516,Investors!$L:$L,'Investor Exit List'!$B516)-(SUMIFS(Investors!$S:$S,Investors!$I:$I,"&lt;="&amp;'NSST Print'!$B$3,Investors!$J:$J,"&gt;"&amp;'NSST Print'!$B$3,Investors!$A:$A,'Investor Exit List'!$A516,Investors!$E:$E,'Investor Exit List'!$C516,Investors!$L:$L,'Investor Exit List'!$B516)+SUMIFS(Investors!$S:$S,Investors!$I:$I,"&lt;="&amp;'NSST Print'!$B$3,Investors!$J:$J,"",Investors!$A:$A,'Investor Exit List'!$A516,Investors!$E:$E,'Investor Exit List'!$C516,Investors!$L:$L,'Investor Exit List'!$B516))</f>
        <v/>
      </c>
      <c r="R516" s="94">
        <f>IF(AND(H516=TRUE,I516=FALSE),Q516,0)</f>
        <v/>
      </c>
      <c r="S516" s="94">
        <f>SUMIFS(Investors!$M:$M,Investors!$O:$O,TRUE,Investors!$A:$A,'Investor Exit List'!$A516,Investors!$E:$E,'Investor Exit List'!$C516,Investors!$L:$L,'Investor Exit List'!$B516)+SUMIFS(Investors!$S:$S,Investors!$O:$O,TRUE,Investors!$A:$A,'Investor Exit List'!$A516,Investors!$E:$E,'Investor Exit List'!$C516,Investors!$L:$L,'Investor Exit List'!$B516)</f>
        <v/>
      </c>
      <c r="T516" s="95">
        <f>IF(U516=TRUE,$J516,"")</f>
        <v/>
      </c>
      <c r="U516" s="93" t="b">
        <v>0</v>
      </c>
      <c r="V516" s="94">
        <f>IF(AND(H516=TRUE,OR(K516="",K516&gt;M516)),S516,0)</f>
        <v/>
      </c>
      <c r="W516" s="93" t="n">
        <v>0</v>
      </c>
      <c r="X516" s="93" t="b">
        <v>0</v>
      </c>
    </row>
    <row r="517">
      <c r="A517" s="93" t="inlineStr">
        <is>
          <t>ZVIS02</t>
        </is>
      </c>
      <c r="B517" s="93" t="n">
        <v>3</v>
      </c>
      <c r="C517" s="93" t="inlineStr">
        <is>
          <t>HVO304</t>
        </is>
      </c>
      <c r="D517" s="93" t="inlineStr">
        <is>
          <t>O</t>
        </is>
      </c>
      <c r="E517" s="93" t="inlineStr">
        <is>
          <t>Visser Jimke</t>
        </is>
      </c>
      <c r="F517" s="94">
        <f>SUMIFS(Investors!$M:$M,Investors!$O:$O,FALSE,Investors!$P:$P,FALSE,Investors!$K:$K,"&gt;"&amp;'NSST Print'!$B$3,Investors!$I:$I,"&lt;="&amp;'NSST Print'!$B$3,Investors!$A:$A,'Investor Exit List'!$A517,Investors!$E:$E,'Investor Exit List'!$C517,Investors!$L:$L,'Investor Exit List'!$B517)-(SUMIFS(Investors!$M:$M,Investors!$I:$I,"&lt;="&amp;'NSST Print'!$B$3,Investors!$J:$J,"&gt;"&amp;'NSST Print'!$B$3,Investors!$A:$A,'Investor Exit List'!$A517,Investors!$E:$E,'Investor Exit List'!$C517,Investors!$L:$L,'Investor Exit List'!$B517)+SUMIFS(Investors!$M:$M,Investors!$I:$I,"&lt;="&amp;'NSST Print'!$B$3,Investors!$J:$J,"",Investors!$A:$A,'Investor Exit List'!$A517,Investors!$E:$E,'Investor Exit List'!$C517,Investors!$L:$L,'Investor Exit List'!$B517))</f>
        <v/>
      </c>
      <c r="G517" s="95" t="n">
        <v>45259</v>
      </c>
      <c r="H517" s="93" t="b">
        <v>0</v>
      </c>
      <c r="I517" s="93" t="b">
        <v>0</v>
      </c>
      <c r="J517" s="95" t="n">
        <v>45518</v>
      </c>
      <c r="K517" s="95">
        <f>IF(I517=TRUE,J517,"")</f>
        <v/>
      </c>
      <c r="L517" s="95">
        <f>G517+730</f>
        <v/>
      </c>
      <c r="M517" s="95" t="n">
        <v>45382</v>
      </c>
      <c r="N517" s="96">
        <f>IFERROR(IF(G517&lt;&gt;"",IF(I517=TRUE,0,IF(U517=TRUE,0,L517-M517)),0),0)</f>
        <v/>
      </c>
      <c r="O517" s="96">
        <f>IF(N517&gt;0,IF(N517&lt;=180,N517,0),0)</f>
        <v/>
      </c>
      <c r="P517" s="94">
        <f>IF(AND(N517&lt;90,N517&gt;0),Q517,0)</f>
        <v/>
      </c>
      <c r="Q517" s="94">
        <f>SUMIFS(Investors!$M:$M,Investors!$O:$O,FALSE,Investors!$P:$P,FALSE,Investors!$K:$K,"&gt;"&amp;'NSST Print'!$B$3,Investors!$I:$I,"&lt;="&amp;'NSST Print'!$B$3,Investors!$A:$A,'Investor Exit List'!$A517,Investors!$E:$E,'Investor Exit List'!$C517,Investors!$L:$L,'Investor Exit List'!$B517)-(SUMIFS(Investors!$M:$M,Investors!$I:$I,"&lt;="&amp;'NSST Print'!$B$3,Investors!$J:$J,"&gt;"&amp;'NSST Print'!$B$3,Investors!$A:$A,'Investor Exit List'!$A517,Investors!$E:$E,'Investor Exit List'!$C517,Investors!$L:$L,'Investor Exit List'!$B517)+SUMIFS(Investors!$M:$M,Investors!$I:$I,"&lt;="&amp;'NSST Print'!$B$3,Investors!$J:$J,"",Investors!$A:$A,'Investor Exit List'!$A517,Investors!$E:$E,'Investor Exit List'!$C517,Investors!$L:$L,'Investor Exit List'!$B517))+SUMIFS(Investors!$S:$S,Investors!$O:$O,FALSE,Investors!$P:$P,FALSE,Investors!$K:$K,"&gt;"&amp;'NSST Print'!$B$3,Investors!$I:$I,"&lt;="&amp;'NSST Print'!$B$3,Investors!$A:$A,'Investor Exit List'!$A517,Investors!$E:$E,'Investor Exit List'!$C517,Investors!$L:$L,'Investor Exit List'!$B517)-(SUMIFS(Investors!$S:$S,Investors!$I:$I,"&lt;="&amp;'NSST Print'!$B$3,Investors!$J:$J,"&gt;"&amp;'NSST Print'!$B$3,Investors!$A:$A,'Investor Exit List'!$A517,Investors!$E:$E,'Investor Exit List'!$C517,Investors!$L:$L,'Investor Exit List'!$B517)+SUMIFS(Investors!$S:$S,Investors!$I:$I,"&lt;="&amp;'NSST Print'!$B$3,Investors!$J:$J,"",Investors!$A:$A,'Investor Exit List'!$A517,Investors!$E:$E,'Investor Exit List'!$C517,Investors!$L:$L,'Investor Exit List'!$B517))</f>
        <v/>
      </c>
      <c r="R517" s="94">
        <f>IF(AND(H517=TRUE,I517=FALSE),Q517,0)</f>
        <v/>
      </c>
      <c r="S517" s="94">
        <f>SUMIFS(Investors!$M:$M,Investors!$O:$O,TRUE,Investors!$A:$A,'Investor Exit List'!$A517,Investors!$E:$E,'Investor Exit List'!$C517,Investors!$L:$L,'Investor Exit List'!$B517)+SUMIFS(Investors!$S:$S,Investors!$O:$O,TRUE,Investors!$A:$A,'Investor Exit List'!$A517,Investors!$E:$E,'Investor Exit List'!$C517,Investors!$L:$L,'Investor Exit List'!$B517)</f>
        <v/>
      </c>
      <c r="T517" s="95">
        <f>IF(U517=TRUE,$J517,"")</f>
        <v/>
      </c>
      <c r="U517" s="93" t="b">
        <v>0</v>
      </c>
      <c r="V517" s="94">
        <f>IF(AND(H517=TRUE,OR(K517="",K517&gt;M517)),S517,0)</f>
        <v/>
      </c>
      <c r="W517" s="93" t="n">
        <v>0</v>
      </c>
      <c r="X517" s="93" t="b">
        <v>0</v>
      </c>
    </row>
    <row r="518">
      <c r="A518" s="93" t="inlineStr">
        <is>
          <t>ZDEV01</t>
        </is>
      </c>
      <c r="B518" s="93" t="n">
        <v>2</v>
      </c>
      <c r="C518" s="93" t="inlineStr">
        <is>
          <t>HVO305</t>
        </is>
      </c>
      <c r="D518" s="93" t="inlineStr">
        <is>
          <t>O</t>
        </is>
      </c>
      <c r="E518" s="93" t="inlineStr">
        <is>
          <t>de Villiers Andre Deric</t>
        </is>
      </c>
      <c r="F518" s="94">
        <f>SUMIFS(Investors!$M:$M,Investors!$O:$O,FALSE,Investors!$P:$P,FALSE,Investors!$K:$K,"&gt;"&amp;'NSST Print'!$B$3,Investors!$I:$I,"&lt;="&amp;'NSST Print'!$B$3,Investors!$A:$A,'Investor Exit List'!$A518,Investors!$E:$E,'Investor Exit List'!$C518,Investors!$L:$L,'Investor Exit List'!$B518)-(SUMIFS(Investors!$M:$M,Investors!$I:$I,"&lt;="&amp;'NSST Print'!$B$3,Investors!$J:$J,"&gt;"&amp;'NSST Print'!$B$3,Investors!$A:$A,'Investor Exit List'!$A518,Investors!$E:$E,'Investor Exit List'!$C518,Investors!$L:$L,'Investor Exit List'!$B518)+SUMIFS(Investors!$M:$M,Investors!$I:$I,"&lt;="&amp;'NSST Print'!$B$3,Investors!$J:$J,"",Investors!$A:$A,'Investor Exit List'!$A518,Investors!$E:$E,'Investor Exit List'!$C518,Investors!$L:$L,'Investor Exit List'!$B518))</f>
        <v/>
      </c>
      <c r="G518" s="95" t="n">
        <v>45107</v>
      </c>
      <c r="H518" s="93" t="b">
        <v>0</v>
      </c>
      <c r="I518" s="93" t="b">
        <v>0</v>
      </c>
      <c r="J518" s="95" t="n">
        <v>45518</v>
      </c>
      <c r="K518" s="95">
        <f>IF(I518=TRUE,J518,"")</f>
        <v/>
      </c>
      <c r="L518" s="95">
        <f>G518+730</f>
        <v/>
      </c>
      <c r="M518" s="95" t="n">
        <v>45382</v>
      </c>
      <c r="N518" s="96">
        <f>IFERROR(IF(G518&lt;&gt;"",IF(I518=TRUE,0,IF(U518=TRUE,0,L518-M518)),0),0)</f>
        <v/>
      </c>
      <c r="O518" s="96">
        <f>IF(N518&gt;0,IF(N518&lt;=180,N518,0),0)</f>
        <v/>
      </c>
      <c r="P518" s="94">
        <f>IF(AND(N518&lt;90,N518&gt;0),Q518,0)</f>
        <v/>
      </c>
      <c r="Q518" s="94">
        <f>SUMIFS(Investors!$M:$M,Investors!$O:$O,FALSE,Investors!$P:$P,FALSE,Investors!$K:$K,"&gt;"&amp;'NSST Print'!$B$3,Investors!$I:$I,"&lt;="&amp;'NSST Print'!$B$3,Investors!$A:$A,'Investor Exit List'!$A518,Investors!$E:$E,'Investor Exit List'!$C518,Investors!$L:$L,'Investor Exit List'!$B518)-(SUMIFS(Investors!$M:$M,Investors!$I:$I,"&lt;="&amp;'NSST Print'!$B$3,Investors!$J:$J,"&gt;"&amp;'NSST Print'!$B$3,Investors!$A:$A,'Investor Exit List'!$A518,Investors!$E:$E,'Investor Exit List'!$C518,Investors!$L:$L,'Investor Exit List'!$B518)+SUMIFS(Investors!$M:$M,Investors!$I:$I,"&lt;="&amp;'NSST Print'!$B$3,Investors!$J:$J,"",Investors!$A:$A,'Investor Exit List'!$A518,Investors!$E:$E,'Investor Exit List'!$C518,Investors!$L:$L,'Investor Exit List'!$B518))+SUMIFS(Investors!$S:$S,Investors!$O:$O,FALSE,Investors!$P:$P,FALSE,Investors!$K:$K,"&gt;"&amp;'NSST Print'!$B$3,Investors!$I:$I,"&lt;="&amp;'NSST Print'!$B$3,Investors!$A:$A,'Investor Exit List'!$A518,Investors!$E:$E,'Investor Exit List'!$C518,Investors!$L:$L,'Investor Exit List'!$B518)-(SUMIFS(Investors!$S:$S,Investors!$I:$I,"&lt;="&amp;'NSST Print'!$B$3,Investors!$J:$J,"&gt;"&amp;'NSST Print'!$B$3,Investors!$A:$A,'Investor Exit List'!$A518,Investors!$E:$E,'Investor Exit List'!$C518,Investors!$L:$L,'Investor Exit List'!$B518)+SUMIFS(Investors!$S:$S,Investors!$I:$I,"&lt;="&amp;'NSST Print'!$B$3,Investors!$J:$J,"",Investors!$A:$A,'Investor Exit List'!$A518,Investors!$E:$E,'Investor Exit List'!$C518,Investors!$L:$L,'Investor Exit List'!$B518))</f>
        <v/>
      </c>
      <c r="R518" s="94">
        <f>IF(AND(H518=TRUE,I518=FALSE),Q518,0)</f>
        <v/>
      </c>
      <c r="S518" s="94">
        <f>SUMIFS(Investors!$M:$M,Investors!$O:$O,TRUE,Investors!$A:$A,'Investor Exit List'!$A518,Investors!$E:$E,'Investor Exit List'!$C518,Investors!$L:$L,'Investor Exit List'!$B518)+SUMIFS(Investors!$S:$S,Investors!$O:$O,TRUE,Investors!$A:$A,'Investor Exit List'!$A518,Investors!$E:$E,'Investor Exit List'!$C518,Investors!$L:$L,'Investor Exit List'!$B518)</f>
        <v/>
      </c>
      <c r="T518" s="95">
        <f>IF(U518=TRUE,$J518,"")</f>
        <v/>
      </c>
      <c r="U518" s="93" t="b">
        <v>0</v>
      </c>
      <c r="V518" s="94">
        <f>IF(AND(H518=TRUE,OR(K518="",K518&gt;M518)),S518,0)</f>
        <v/>
      </c>
      <c r="W518" s="93" t="n">
        <v>0</v>
      </c>
      <c r="X518" s="93" t="b">
        <v>0</v>
      </c>
    </row>
    <row r="519">
      <c r="A519" s="93" t="inlineStr">
        <is>
          <t>ZFLA01</t>
        </is>
      </c>
      <c r="B519" s="93" t="n">
        <v>2</v>
      </c>
      <c r="C519" s="93" t="inlineStr">
        <is>
          <t>HVO305</t>
        </is>
      </c>
      <c r="D519" s="93" t="inlineStr">
        <is>
          <t>O</t>
        </is>
      </c>
      <c r="E519" s="93" t="inlineStr">
        <is>
          <t>Flamengo Jose Manuel Rezende</t>
        </is>
      </c>
      <c r="F519" s="94">
        <f>SUMIFS(Investors!$M:$M,Investors!$O:$O,FALSE,Investors!$P:$P,FALSE,Investors!$K:$K,"&gt;"&amp;'NSST Print'!$B$3,Investors!$I:$I,"&lt;="&amp;'NSST Print'!$B$3,Investors!$A:$A,'Investor Exit List'!$A519,Investors!$E:$E,'Investor Exit List'!$C519,Investors!$L:$L,'Investor Exit List'!$B519)-(SUMIFS(Investors!$M:$M,Investors!$I:$I,"&lt;="&amp;'NSST Print'!$B$3,Investors!$J:$J,"&gt;"&amp;'NSST Print'!$B$3,Investors!$A:$A,'Investor Exit List'!$A519,Investors!$E:$E,'Investor Exit List'!$C519,Investors!$L:$L,'Investor Exit List'!$B519)+SUMIFS(Investors!$M:$M,Investors!$I:$I,"&lt;="&amp;'NSST Print'!$B$3,Investors!$J:$J,"",Investors!$A:$A,'Investor Exit List'!$A519,Investors!$E:$E,'Investor Exit List'!$C519,Investors!$L:$L,'Investor Exit List'!$B519))</f>
        <v/>
      </c>
      <c r="G519" s="95" t="n">
        <v>45161</v>
      </c>
      <c r="H519" s="93" t="b">
        <v>0</v>
      </c>
      <c r="I519" s="93" t="b">
        <v>0</v>
      </c>
      <c r="J519" s="95" t="n">
        <v>45518</v>
      </c>
      <c r="K519" s="95">
        <f>IF(I519=TRUE,J519,"")</f>
        <v/>
      </c>
      <c r="L519" s="95">
        <f>G519+730</f>
        <v/>
      </c>
      <c r="M519" s="95" t="n">
        <v>45382</v>
      </c>
      <c r="N519" s="96">
        <f>IFERROR(IF(G519&lt;&gt;"",IF(I519=TRUE,0,IF(U519=TRUE,0,L519-M519)),0),0)</f>
        <v/>
      </c>
      <c r="O519" s="96">
        <f>IF(N519&gt;0,IF(N519&lt;=180,N519,0),0)</f>
        <v/>
      </c>
      <c r="P519" s="94">
        <f>IF(AND(N519&lt;90,N519&gt;0),Q519,0)</f>
        <v/>
      </c>
      <c r="Q519" s="94">
        <f>SUMIFS(Investors!$M:$M,Investors!$O:$O,FALSE,Investors!$P:$P,FALSE,Investors!$K:$K,"&gt;"&amp;'NSST Print'!$B$3,Investors!$I:$I,"&lt;="&amp;'NSST Print'!$B$3,Investors!$A:$A,'Investor Exit List'!$A519,Investors!$E:$E,'Investor Exit List'!$C519,Investors!$L:$L,'Investor Exit List'!$B519)-(SUMIFS(Investors!$M:$M,Investors!$I:$I,"&lt;="&amp;'NSST Print'!$B$3,Investors!$J:$J,"&gt;"&amp;'NSST Print'!$B$3,Investors!$A:$A,'Investor Exit List'!$A519,Investors!$E:$E,'Investor Exit List'!$C519,Investors!$L:$L,'Investor Exit List'!$B519)+SUMIFS(Investors!$M:$M,Investors!$I:$I,"&lt;="&amp;'NSST Print'!$B$3,Investors!$J:$J,"",Investors!$A:$A,'Investor Exit List'!$A519,Investors!$E:$E,'Investor Exit List'!$C519,Investors!$L:$L,'Investor Exit List'!$B519))+SUMIFS(Investors!$S:$S,Investors!$O:$O,FALSE,Investors!$P:$P,FALSE,Investors!$K:$K,"&gt;"&amp;'NSST Print'!$B$3,Investors!$I:$I,"&lt;="&amp;'NSST Print'!$B$3,Investors!$A:$A,'Investor Exit List'!$A519,Investors!$E:$E,'Investor Exit List'!$C519,Investors!$L:$L,'Investor Exit List'!$B519)-(SUMIFS(Investors!$S:$S,Investors!$I:$I,"&lt;="&amp;'NSST Print'!$B$3,Investors!$J:$J,"&gt;"&amp;'NSST Print'!$B$3,Investors!$A:$A,'Investor Exit List'!$A519,Investors!$E:$E,'Investor Exit List'!$C519,Investors!$L:$L,'Investor Exit List'!$B519)+SUMIFS(Investors!$S:$S,Investors!$I:$I,"&lt;="&amp;'NSST Print'!$B$3,Investors!$J:$J,"",Investors!$A:$A,'Investor Exit List'!$A519,Investors!$E:$E,'Investor Exit List'!$C519,Investors!$L:$L,'Investor Exit List'!$B519))</f>
        <v/>
      </c>
      <c r="R519" s="94">
        <f>IF(AND(H519=TRUE,I519=FALSE),Q519,0)</f>
        <v/>
      </c>
      <c r="S519" s="94">
        <f>SUMIFS(Investors!$M:$M,Investors!$O:$O,TRUE,Investors!$A:$A,'Investor Exit List'!$A519,Investors!$E:$E,'Investor Exit List'!$C519,Investors!$L:$L,'Investor Exit List'!$B519)+SUMIFS(Investors!$S:$S,Investors!$O:$O,TRUE,Investors!$A:$A,'Investor Exit List'!$A519,Investors!$E:$E,'Investor Exit List'!$C519,Investors!$L:$L,'Investor Exit List'!$B519)</f>
        <v/>
      </c>
      <c r="T519" s="95">
        <f>IF(U519=TRUE,$J519,"")</f>
        <v/>
      </c>
      <c r="U519" s="93" t="b">
        <v>0</v>
      </c>
      <c r="V519" s="94">
        <f>IF(AND(H519=TRUE,OR(K519="",K519&gt;M519)),S519,0)</f>
        <v/>
      </c>
      <c r="W519" s="93" t="n">
        <v>0</v>
      </c>
      <c r="X519" s="93" t="b">
        <v>0</v>
      </c>
    </row>
    <row r="520">
      <c r="A520" s="93" t="inlineStr">
        <is>
          <t>ZLIN01</t>
        </is>
      </c>
      <c r="B520" s="93" t="n">
        <v>2</v>
      </c>
      <c r="C520" s="93" t="inlineStr">
        <is>
          <t>HVO305</t>
        </is>
      </c>
      <c r="D520" s="93" t="inlineStr">
        <is>
          <t>O</t>
        </is>
      </c>
      <c r="E520" s="93" t="inlineStr">
        <is>
          <t>Lines Charmain</t>
        </is>
      </c>
      <c r="F520" s="94">
        <f>SUMIFS(Investors!$M:$M,Investors!$O:$O,FALSE,Investors!$P:$P,FALSE,Investors!$K:$K,"&gt;"&amp;'NSST Print'!$B$3,Investors!$I:$I,"&lt;="&amp;'NSST Print'!$B$3,Investors!$A:$A,'Investor Exit List'!$A520,Investors!$E:$E,'Investor Exit List'!$C520,Investors!$L:$L,'Investor Exit List'!$B520)-(SUMIFS(Investors!$M:$M,Investors!$I:$I,"&lt;="&amp;'NSST Print'!$B$3,Investors!$J:$J,"&gt;"&amp;'NSST Print'!$B$3,Investors!$A:$A,'Investor Exit List'!$A520,Investors!$E:$E,'Investor Exit List'!$C520,Investors!$L:$L,'Investor Exit List'!$B520)+SUMIFS(Investors!$M:$M,Investors!$I:$I,"&lt;="&amp;'NSST Print'!$B$3,Investors!$J:$J,"",Investors!$A:$A,'Investor Exit List'!$A520,Investors!$E:$E,'Investor Exit List'!$C520,Investors!$L:$L,'Investor Exit List'!$B520))</f>
        <v/>
      </c>
      <c r="G520" s="95" t="n">
        <v>45129</v>
      </c>
      <c r="H520" s="93" t="b">
        <v>0</v>
      </c>
      <c r="I520" s="93" t="b">
        <v>0</v>
      </c>
      <c r="J520" s="95" t="n">
        <v>45518</v>
      </c>
      <c r="K520" s="95">
        <f>IF(I520=TRUE,J520,"")</f>
        <v/>
      </c>
      <c r="L520" s="95">
        <f>G520+730</f>
        <v/>
      </c>
      <c r="M520" s="95" t="n">
        <v>45382</v>
      </c>
      <c r="N520" s="96">
        <f>IFERROR(IF(G520&lt;&gt;"",IF(I520=TRUE,0,IF(U520=TRUE,0,L520-M520)),0),0)</f>
        <v/>
      </c>
      <c r="O520" s="96">
        <f>IF(N520&gt;0,IF(N520&lt;=180,N520,0),0)</f>
        <v/>
      </c>
      <c r="P520" s="94">
        <f>IF(AND(N520&lt;90,N520&gt;0),Q520,0)</f>
        <v/>
      </c>
      <c r="Q520" s="94">
        <f>SUMIFS(Investors!$M:$M,Investors!$O:$O,FALSE,Investors!$P:$P,FALSE,Investors!$K:$K,"&gt;"&amp;'NSST Print'!$B$3,Investors!$I:$I,"&lt;="&amp;'NSST Print'!$B$3,Investors!$A:$A,'Investor Exit List'!$A520,Investors!$E:$E,'Investor Exit List'!$C520,Investors!$L:$L,'Investor Exit List'!$B520)-(SUMIFS(Investors!$M:$M,Investors!$I:$I,"&lt;="&amp;'NSST Print'!$B$3,Investors!$J:$J,"&gt;"&amp;'NSST Print'!$B$3,Investors!$A:$A,'Investor Exit List'!$A520,Investors!$E:$E,'Investor Exit List'!$C520,Investors!$L:$L,'Investor Exit List'!$B520)+SUMIFS(Investors!$M:$M,Investors!$I:$I,"&lt;="&amp;'NSST Print'!$B$3,Investors!$J:$J,"",Investors!$A:$A,'Investor Exit List'!$A520,Investors!$E:$E,'Investor Exit List'!$C520,Investors!$L:$L,'Investor Exit List'!$B520))+SUMIFS(Investors!$S:$S,Investors!$O:$O,FALSE,Investors!$P:$P,FALSE,Investors!$K:$K,"&gt;"&amp;'NSST Print'!$B$3,Investors!$I:$I,"&lt;="&amp;'NSST Print'!$B$3,Investors!$A:$A,'Investor Exit List'!$A520,Investors!$E:$E,'Investor Exit List'!$C520,Investors!$L:$L,'Investor Exit List'!$B520)-(SUMIFS(Investors!$S:$S,Investors!$I:$I,"&lt;="&amp;'NSST Print'!$B$3,Investors!$J:$J,"&gt;"&amp;'NSST Print'!$B$3,Investors!$A:$A,'Investor Exit List'!$A520,Investors!$E:$E,'Investor Exit List'!$C520,Investors!$L:$L,'Investor Exit List'!$B520)+SUMIFS(Investors!$S:$S,Investors!$I:$I,"&lt;="&amp;'NSST Print'!$B$3,Investors!$J:$J,"",Investors!$A:$A,'Investor Exit List'!$A520,Investors!$E:$E,'Investor Exit List'!$C520,Investors!$L:$L,'Investor Exit List'!$B520))</f>
        <v/>
      </c>
      <c r="R520" s="94">
        <f>IF(AND(H520=TRUE,I520=FALSE),Q520,0)</f>
        <v/>
      </c>
      <c r="S520" s="94">
        <f>SUMIFS(Investors!$M:$M,Investors!$O:$O,TRUE,Investors!$A:$A,'Investor Exit List'!$A520,Investors!$E:$E,'Investor Exit List'!$C520,Investors!$L:$L,'Investor Exit List'!$B520)+SUMIFS(Investors!$S:$S,Investors!$O:$O,TRUE,Investors!$A:$A,'Investor Exit List'!$A520,Investors!$E:$E,'Investor Exit List'!$C520,Investors!$L:$L,'Investor Exit List'!$B520)</f>
        <v/>
      </c>
      <c r="T520" s="95">
        <f>IF(U520=TRUE,$J520,"")</f>
        <v/>
      </c>
      <c r="U520" s="93" t="b">
        <v>0</v>
      </c>
      <c r="V520" s="94">
        <f>IF(AND(H520=TRUE,OR(K520="",K520&gt;M520)),S520,0)</f>
        <v/>
      </c>
      <c r="W520" s="93" t="n">
        <v>0</v>
      </c>
      <c r="X520" s="93" t="b">
        <v>0</v>
      </c>
    </row>
    <row r="521">
      <c r="A521" s="93" t="inlineStr">
        <is>
          <t>ZSOU02</t>
        </is>
      </c>
      <c r="B521" s="93" t="n">
        <v>2</v>
      </c>
      <c r="C521" s="93" t="inlineStr">
        <is>
          <t>HVO305</t>
        </is>
      </c>
      <c r="D521" s="93" t="inlineStr">
        <is>
          <t>O</t>
        </is>
      </c>
      <c r="E521" s="93" t="inlineStr">
        <is>
          <t>Sourgen Frances Leathem</t>
        </is>
      </c>
      <c r="F521" s="94">
        <f>SUMIFS(Investors!$M:$M,Investors!$O:$O,FALSE,Investors!$P:$P,FALSE,Investors!$K:$K,"&gt;"&amp;'NSST Print'!$B$3,Investors!$I:$I,"&lt;="&amp;'NSST Print'!$B$3,Investors!$A:$A,'Investor Exit List'!$A521,Investors!$E:$E,'Investor Exit List'!$C521,Investors!$L:$L,'Investor Exit List'!$B521)-(SUMIFS(Investors!$M:$M,Investors!$I:$I,"&lt;="&amp;'NSST Print'!$B$3,Investors!$J:$J,"&gt;"&amp;'NSST Print'!$B$3,Investors!$A:$A,'Investor Exit List'!$A521,Investors!$E:$E,'Investor Exit List'!$C521,Investors!$L:$L,'Investor Exit List'!$B521)+SUMIFS(Investors!$M:$M,Investors!$I:$I,"&lt;="&amp;'NSST Print'!$B$3,Investors!$J:$J,"",Investors!$A:$A,'Investor Exit List'!$A521,Investors!$E:$E,'Investor Exit List'!$C521,Investors!$L:$L,'Investor Exit List'!$B521))</f>
        <v/>
      </c>
      <c r="G521" s="95" t="n">
        <v>45161</v>
      </c>
      <c r="H521" s="93" t="b">
        <v>0</v>
      </c>
      <c r="I521" s="93" t="b">
        <v>0</v>
      </c>
      <c r="J521" s="95" t="n">
        <v>45518</v>
      </c>
      <c r="K521" s="95">
        <f>IF(I521=TRUE,J521,"")</f>
        <v/>
      </c>
      <c r="L521" s="95">
        <f>G521+730</f>
        <v/>
      </c>
      <c r="M521" s="95" t="n">
        <v>45382</v>
      </c>
      <c r="N521" s="96">
        <f>IFERROR(IF(G521&lt;&gt;"",IF(I521=TRUE,0,IF(U521=TRUE,0,L521-M521)),0),0)</f>
        <v/>
      </c>
      <c r="O521" s="96">
        <f>IF(N521&gt;0,IF(N521&lt;=180,N521,0),0)</f>
        <v/>
      </c>
      <c r="P521" s="94">
        <f>IF(AND(N521&lt;90,N521&gt;0),Q521,0)</f>
        <v/>
      </c>
      <c r="Q521" s="94">
        <f>SUMIFS(Investors!$M:$M,Investors!$O:$O,FALSE,Investors!$P:$P,FALSE,Investors!$K:$K,"&gt;"&amp;'NSST Print'!$B$3,Investors!$I:$I,"&lt;="&amp;'NSST Print'!$B$3,Investors!$A:$A,'Investor Exit List'!$A521,Investors!$E:$E,'Investor Exit List'!$C521,Investors!$L:$L,'Investor Exit List'!$B521)-(SUMIFS(Investors!$M:$M,Investors!$I:$I,"&lt;="&amp;'NSST Print'!$B$3,Investors!$J:$J,"&gt;"&amp;'NSST Print'!$B$3,Investors!$A:$A,'Investor Exit List'!$A521,Investors!$E:$E,'Investor Exit List'!$C521,Investors!$L:$L,'Investor Exit List'!$B521)+SUMIFS(Investors!$M:$M,Investors!$I:$I,"&lt;="&amp;'NSST Print'!$B$3,Investors!$J:$J,"",Investors!$A:$A,'Investor Exit List'!$A521,Investors!$E:$E,'Investor Exit List'!$C521,Investors!$L:$L,'Investor Exit List'!$B521))+SUMIFS(Investors!$S:$S,Investors!$O:$O,FALSE,Investors!$P:$P,FALSE,Investors!$K:$K,"&gt;"&amp;'NSST Print'!$B$3,Investors!$I:$I,"&lt;="&amp;'NSST Print'!$B$3,Investors!$A:$A,'Investor Exit List'!$A521,Investors!$E:$E,'Investor Exit List'!$C521,Investors!$L:$L,'Investor Exit List'!$B521)-(SUMIFS(Investors!$S:$S,Investors!$I:$I,"&lt;="&amp;'NSST Print'!$B$3,Investors!$J:$J,"&gt;"&amp;'NSST Print'!$B$3,Investors!$A:$A,'Investor Exit List'!$A521,Investors!$E:$E,'Investor Exit List'!$C521,Investors!$L:$L,'Investor Exit List'!$B521)+SUMIFS(Investors!$S:$S,Investors!$I:$I,"&lt;="&amp;'NSST Print'!$B$3,Investors!$J:$J,"",Investors!$A:$A,'Investor Exit List'!$A521,Investors!$E:$E,'Investor Exit List'!$C521,Investors!$L:$L,'Investor Exit List'!$B521))</f>
        <v/>
      </c>
      <c r="R521" s="94">
        <f>IF(AND(H521=TRUE,I521=FALSE),Q521,0)</f>
        <v/>
      </c>
      <c r="S521" s="94">
        <f>SUMIFS(Investors!$M:$M,Investors!$O:$O,TRUE,Investors!$A:$A,'Investor Exit List'!$A521,Investors!$E:$E,'Investor Exit List'!$C521,Investors!$L:$L,'Investor Exit List'!$B521)+SUMIFS(Investors!$S:$S,Investors!$O:$O,TRUE,Investors!$A:$A,'Investor Exit List'!$A521,Investors!$E:$E,'Investor Exit List'!$C521,Investors!$L:$L,'Investor Exit List'!$B521)</f>
        <v/>
      </c>
      <c r="T521" s="95">
        <f>IF(U521=TRUE,$J521,"")</f>
        <v/>
      </c>
      <c r="U521" s="93" t="b">
        <v>0</v>
      </c>
      <c r="V521" s="94">
        <f>IF(AND(H521=TRUE,OR(K521="",K521&gt;M521)),S521,0)</f>
        <v/>
      </c>
      <c r="W521" s="93" t="n">
        <v>0</v>
      </c>
      <c r="X521" s="93" t="b">
        <v>0</v>
      </c>
    </row>
    <row r="522" hidden="1">
      <c r="A522" s="89" t="inlineStr">
        <is>
          <t>ZFER02</t>
        </is>
      </c>
      <c r="B522" s="89" t="n">
        <v>1</v>
      </c>
      <c r="C522" s="89" t="inlineStr">
        <is>
          <t>HVP101</t>
        </is>
      </c>
      <c r="D522" s="89" t="inlineStr">
        <is>
          <t>P</t>
        </is>
      </c>
      <c r="E522" s="89" t="inlineStr">
        <is>
          <t>Fernandes Olga Maria</t>
        </is>
      </c>
      <c r="F522" s="90">
        <f>SUMIFS(Investors!$M:$M,Investors!$O:$O,FALSE,Investors!$P:$P,FALSE,Investors!$K:$K,"&gt;"&amp;'NSST Print'!$B$3,Investors!$I:$I,"&lt;="&amp;'NSST Print'!$B$3,Investors!$A:$A,'Investor Exit List'!$A522,Investors!$E:$E,'Investor Exit List'!$C522,Investors!$L:$L,'Investor Exit List'!$B522)-(SUMIFS(Investors!$M:$M,Investors!$I:$I,"&lt;="&amp;'NSST Print'!$B$3,Investors!$J:$J,"&gt;"&amp;'NSST Print'!$B$3,Investors!$A:$A,'Investor Exit List'!$A522,Investors!$E:$E,'Investor Exit List'!$C522,Investors!$L:$L,'Investor Exit List'!$B522)+SUMIFS(Investors!$M:$M,Investors!$I:$I,"&lt;="&amp;'NSST Print'!$B$3,Investors!$J:$J,"",Investors!$A:$A,'Investor Exit List'!$A522,Investors!$E:$E,'Investor Exit List'!$C522,Investors!$L:$L,'Investor Exit List'!$B522))</f>
        <v/>
      </c>
      <c r="G522" s="91" t="n">
        <v>44791</v>
      </c>
      <c r="H522" s="89" t="b">
        <v>1</v>
      </c>
      <c r="I522" s="89" t="b">
        <v>1</v>
      </c>
      <c r="J522" s="91" t="n">
        <v>45177</v>
      </c>
      <c r="K522" s="91">
        <f>IF(I522=TRUE,J522,"")</f>
        <v/>
      </c>
      <c r="L522" s="91">
        <f>G522+730</f>
        <v/>
      </c>
      <c r="M522" s="91" t="n">
        <v>45382</v>
      </c>
      <c r="N522" s="92">
        <f>IFERROR(IF(G522&lt;&gt;"",IF(I522=TRUE,0,IF(U522=TRUE,0,L522-M522)),0),0)</f>
        <v/>
      </c>
      <c r="O522" s="92">
        <f>IF(N522&gt;0,IF(N522&lt;=180,N522,0),0)</f>
        <v/>
      </c>
      <c r="P522" s="90">
        <f>IF(AND(N522&lt;90,N522&gt;0),Q522,0)</f>
        <v/>
      </c>
      <c r="Q522" s="90">
        <f>SUMIFS(Investors!$M:$M,Investors!$O:$O,FALSE,Investors!$P:$P,FALSE,Investors!$K:$K,"&gt;"&amp;'NSST Print'!$B$3,Investors!$I:$I,"&lt;="&amp;'NSST Print'!$B$3,Investors!$A:$A,'Investor Exit List'!$A522,Investors!$E:$E,'Investor Exit List'!$C522,Investors!$L:$L,'Investor Exit List'!$B522)-(SUMIFS(Investors!$M:$M,Investors!$I:$I,"&lt;="&amp;'NSST Print'!$B$3,Investors!$J:$J,"&gt;"&amp;'NSST Print'!$B$3,Investors!$A:$A,'Investor Exit List'!$A522,Investors!$E:$E,'Investor Exit List'!$C522,Investors!$L:$L,'Investor Exit List'!$B522)+SUMIFS(Investors!$M:$M,Investors!$I:$I,"&lt;="&amp;'NSST Print'!$B$3,Investors!$J:$J,"",Investors!$A:$A,'Investor Exit List'!$A522,Investors!$E:$E,'Investor Exit List'!$C522,Investors!$L:$L,'Investor Exit List'!$B522))+SUMIFS(Investors!$S:$S,Investors!$O:$O,FALSE,Investors!$P:$P,FALSE,Investors!$K:$K,"&gt;"&amp;'NSST Print'!$B$3,Investors!$I:$I,"&lt;="&amp;'NSST Print'!$B$3,Investors!$A:$A,'Investor Exit List'!$A522,Investors!$E:$E,'Investor Exit List'!$C522,Investors!$L:$L,'Investor Exit List'!$B522)-(SUMIFS(Investors!$S:$S,Investors!$I:$I,"&lt;="&amp;'NSST Print'!$B$3,Investors!$J:$J,"&gt;"&amp;'NSST Print'!$B$3,Investors!$A:$A,'Investor Exit List'!$A522,Investors!$E:$E,'Investor Exit List'!$C522,Investors!$L:$L,'Investor Exit List'!$B522)+SUMIFS(Investors!$S:$S,Investors!$I:$I,"&lt;="&amp;'NSST Print'!$B$3,Investors!$J:$J,"",Investors!$A:$A,'Investor Exit List'!$A522,Investors!$E:$E,'Investor Exit List'!$C522,Investors!$L:$L,'Investor Exit List'!$B522))</f>
        <v/>
      </c>
      <c r="R522" s="90">
        <f>IF(AND(H522=TRUE,I522=FALSE),Q522,0)</f>
        <v/>
      </c>
      <c r="S522" s="90">
        <f>SUMIFS(Investors!$M:$M,Investors!$O:$O,TRUE,Investors!$A:$A,'Investor Exit List'!$A522,Investors!$E:$E,'Investor Exit List'!$C522,Investors!$L:$L,'Investor Exit List'!$B522)+SUMIFS(Investors!$S:$S,Investors!$O:$O,TRUE,Investors!$A:$A,'Investor Exit List'!$A522,Investors!$E:$E,'Investor Exit List'!$C522,Investors!$L:$L,'Investor Exit List'!$B522)</f>
        <v/>
      </c>
      <c r="T522" s="91">
        <f>IF(U522=TRUE,$J522,"")</f>
        <v/>
      </c>
      <c r="U522" s="89" t="b">
        <v>0</v>
      </c>
      <c r="V522" s="90">
        <f>IF(AND(H522=TRUE,OR(K522="",K522&gt;M522)),S522,0)</f>
        <v/>
      </c>
      <c r="W522" s="89" t="n">
        <v>0</v>
      </c>
      <c r="X522" s="89" t="b">
        <v>0</v>
      </c>
    </row>
    <row r="523" hidden="1">
      <c r="A523" s="89" t="inlineStr">
        <is>
          <t>ZJOR01</t>
        </is>
      </c>
      <c r="B523" s="89" t="n">
        <v>3</v>
      </c>
      <c r="C523" s="89" t="inlineStr">
        <is>
          <t>HVP101</t>
        </is>
      </c>
      <c r="D523" s="89" t="inlineStr">
        <is>
          <t>P</t>
        </is>
      </c>
      <c r="E523" s="89" t="inlineStr">
        <is>
          <t>Jordaan Glen Rutherford</t>
        </is>
      </c>
      <c r="F523" s="90">
        <f>SUMIFS(Investors!$M:$M,Investors!$O:$O,FALSE,Investors!$P:$P,FALSE,Investors!$K:$K,"&gt;"&amp;'NSST Print'!$B$3,Investors!$I:$I,"&lt;="&amp;'NSST Print'!$B$3,Investors!$A:$A,'Investor Exit List'!$A523,Investors!$E:$E,'Investor Exit List'!$C523,Investors!$L:$L,'Investor Exit List'!$B523)-(SUMIFS(Investors!$M:$M,Investors!$I:$I,"&lt;="&amp;'NSST Print'!$B$3,Investors!$J:$J,"&gt;"&amp;'NSST Print'!$B$3,Investors!$A:$A,'Investor Exit List'!$A523,Investors!$E:$E,'Investor Exit List'!$C523,Investors!$L:$L,'Investor Exit List'!$B523)+SUMIFS(Investors!$M:$M,Investors!$I:$I,"&lt;="&amp;'NSST Print'!$B$3,Investors!$J:$J,"",Investors!$A:$A,'Investor Exit List'!$A523,Investors!$E:$E,'Investor Exit List'!$C523,Investors!$L:$L,'Investor Exit List'!$B523))</f>
        <v/>
      </c>
      <c r="G523" s="91" t="n">
        <v>44833</v>
      </c>
      <c r="H523" s="89" t="b">
        <v>1</v>
      </c>
      <c r="I523" s="89" t="b">
        <v>1</v>
      </c>
      <c r="J523" s="91" t="n">
        <v>45177</v>
      </c>
      <c r="K523" s="91">
        <f>IF(I523=TRUE,J523,"")</f>
        <v/>
      </c>
      <c r="L523" s="91">
        <f>G523+730</f>
        <v/>
      </c>
      <c r="M523" s="91" t="n">
        <v>45382</v>
      </c>
      <c r="N523" s="92">
        <f>IFERROR(IF(G523&lt;&gt;"",IF(I523=TRUE,0,IF(U523=TRUE,0,L523-M523)),0),0)</f>
        <v/>
      </c>
      <c r="O523" s="92">
        <f>IF(N523&gt;0,IF(N523&lt;=180,N523,0),0)</f>
        <v/>
      </c>
      <c r="P523" s="90">
        <f>IF(AND(N523&lt;90,N523&gt;0),Q523,0)</f>
        <v/>
      </c>
      <c r="Q523" s="90">
        <f>SUMIFS(Investors!$M:$M,Investors!$O:$O,FALSE,Investors!$P:$P,FALSE,Investors!$K:$K,"&gt;"&amp;'NSST Print'!$B$3,Investors!$I:$I,"&lt;="&amp;'NSST Print'!$B$3,Investors!$A:$A,'Investor Exit List'!$A523,Investors!$E:$E,'Investor Exit List'!$C523,Investors!$L:$L,'Investor Exit List'!$B523)-(SUMIFS(Investors!$M:$M,Investors!$I:$I,"&lt;="&amp;'NSST Print'!$B$3,Investors!$J:$J,"&gt;"&amp;'NSST Print'!$B$3,Investors!$A:$A,'Investor Exit List'!$A523,Investors!$E:$E,'Investor Exit List'!$C523,Investors!$L:$L,'Investor Exit List'!$B523)+SUMIFS(Investors!$M:$M,Investors!$I:$I,"&lt;="&amp;'NSST Print'!$B$3,Investors!$J:$J,"",Investors!$A:$A,'Investor Exit List'!$A523,Investors!$E:$E,'Investor Exit List'!$C523,Investors!$L:$L,'Investor Exit List'!$B523))+SUMIFS(Investors!$S:$S,Investors!$O:$O,FALSE,Investors!$P:$P,FALSE,Investors!$K:$K,"&gt;"&amp;'NSST Print'!$B$3,Investors!$I:$I,"&lt;="&amp;'NSST Print'!$B$3,Investors!$A:$A,'Investor Exit List'!$A523,Investors!$E:$E,'Investor Exit List'!$C523,Investors!$L:$L,'Investor Exit List'!$B523)-(SUMIFS(Investors!$S:$S,Investors!$I:$I,"&lt;="&amp;'NSST Print'!$B$3,Investors!$J:$J,"&gt;"&amp;'NSST Print'!$B$3,Investors!$A:$A,'Investor Exit List'!$A523,Investors!$E:$E,'Investor Exit List'!$C523,Investors!$L:$L,'Investor Exit List'!$B523)+SUMIFS(Investors!$S:$S,Investors!$I:$I,"&lt;="&amp;'NSST Print'!$B$3,Investors!$J:$J,"",Investors!$A:$A,'Investor Exit List'!$A523,Investors!$E:$E,'Investor Exit List'!$C523,Investors!$L:$L,'Investor Exit List'!$B523))</f>
        <v/>
      </c>
      <c r="R523" s="90">
        <f>IF(AND(H523=TRUE,I523=FALSE),Q523,0)</f>
        <v/>
      </c>
      <c r="S523" s="90">
        <f>SUMIFS(Investors!$M:$M,Investors!$O:$O,TRUE,Investors!$A:$A,'Investor Exit List'!$A523,Investors!$E:$E,'Investor Exit List'!$C523,Investors!$L:$L,'Investor Exit List'!$B523)+SUMIFS(Investors!$S:$S,Investors!$O:$O,TRUE,Investors!$A:$A,'Investor Exit List'!$A523,Investors!$E:$E,'Investor Exit List'!$C523,Investors!$L:$L,'Investor Exit List'!$B523)</f>
        <v/>
      </c>
      <c r="T523" s="91">
        <f>IF(U523=TRUE,$J523,"")</f>
        <v/>
      </c>
      <c r="U523" s="89" t="b">
        <v>0</v>
      </c>
      <c r="V523" s="90">
        <f>IF(AND(H523=TRUE,OR(K523="",K523&gt;M523)),S523,0)</f>
        <v/>
      </c>
      <c r="W523" s="89" t="n">
        <v>0</v>
      </c>
      <c r="X523" s="89" t="b">
        <v>0</v>
      </c>
    </row>
    <row r="524" hidden="1">
      <c r="A524" s="89" t="inlineStr">
        <is>
          <t>ZKRU01</t>
        </is>
      </c>
      <c r="B524" s="89" t="n">
        <v>6</v>
      </c>
      <c r="C524" s="89" t="inlineStr">
        <is>
          <t>HVP101</t>
        </is>
      </c>
      <c r="D524" s="89" t="inlineStr">
        <is>
          <t>P</t>
        </is>
      </c>
      <c r="E524" s="89" t="inlineStr">
        <is>
          <t>Kruger Jurgen</t>
        </is>
      </c>
      <c r="F524" s="90">
        <f>SUMIFS(Investors!$M:$M,Investors!$O:$O,FALSE,Investors!$P:$P,FALSE,Investors!$K:$K,"&gt;"&amp;'NSST Print'!$B$3,Investors!$I:$I,"&lt;="&amp;'NSST Print'!$B$3,Investors!$A:$A,'Investor Exit List'!$A524,Investors!$E:$E,'Investor Exit List'!$C524,Investors!$L:$L,'Investor Exit List'!$B524)-(SUMIFS(Investors!$M:$M,Investors!$I:$I,"&lt;="&amp;'NSST Print'!$B$3,Investors!$J:$J,"&gt;"&amp;'NSST Print'!$B$3,Investors!$A:$A,'Investor Exit List'!$A524,Investors!$E:$E,'Investor Exit List'!$C524,Investors!$L:$L,'Investor Exit List'!$B524)+SUMIFS(Investors!$M:$M,Investors!$I:$I,"&lt;="&amp;'NSST Print'!$B$3,Investors!$J:$J,"",Investors!$A:$A,'Investor Exit List'!$A524,Investors!$E:$E,'Investor Exit List'!$C524,Investors!$L:$L,'Investor Exit List'!$B524))</f>
        <v/>
      </c>
      <c r="G524" s="91" t="n">
        <v>44819</v>
      </c>
      <c r="H524" s="89" t="b">
        <v>1</v>
      </c>
      <c r="I524" s="89" t="b">
        <v>1</v>
      </c>
      <c r="J524" s="91" t="n">
        <v>45177</v>
      </c>
      <c r="K524" s="91">
        <f>IF(I524=TRUE,J524,"")</f>
        <v/>
      </c>
      <c r="L524" s="91">
        <f>G524+730</f>
        <v/>
      </c>
      <c r="M524" s="91" t="n">
        <v>45382</v>
      </c>
      <c r="N524" s="92">
        <f>IFERROR(IF(G524&lt;&gt;"",IF(I524=TRUE,0,IF(U524=TRUE,0,L524-M524)),0),0)</f>
        <v/>
      </c>
      <c r="O524" s="92">
        <f>IF(N524&gt;0,IF(N524&lt;=180,N524,0),0)</f>
        <v/>
      </c>
      <c r="P524" s="90">
        <f>IF(AND(N524&lt;90,N524&gt;0),Q524,0)</f>
        <v/>
      </c>
      <c r="Q524" s="90">
        <f>SUMIFS(Investors!$M:$M,Investors!$O:$O,FALSE,Investors!$P:$P,FALSE,Investors!$K:$K,"&gt;"&amp;'NSST Print'!$B$3,Investors!$I:$I,"&lt;="&amp;'NSST Print'!$B$3,Investors!$A:$A,'Investor Exit List'!$A524,Investors!$E:$E,'Investor Exit List'!$C524,Investors!$L:$L,'Investor Exit List'!$B524)-(SUMIFS(Investors!$M:$M,Investors!$I:$I,"&lt;="&amp;'NSST Print'!$B$3,Investors!$J:$J,"&gt;"&amp;'NSST Print'!$B$3,Investors!$A:$A,'Investor Exit List'!$A524,Investors!$E:$E,'Investor Exit List'!$C524,Investors!$L:$L,'Investor Exit List'!$B524)+SUMIFS(Investors!$M:$M,Investors!$I:$I,"&lt;="&amp;'NSST Print'!$B$3,Investors!$J:$J,"",Investors!$A:$A,'Investor Exit List'!$A524,Investors!$E:$E,'Investor Exit List'!$C524,Investors!$L:$L,'Investor Exit List'!$B524))+SUMIFS(Investors!$S:$S,Investors!$O:$O,FALSE,Investors!$P:$P,FALSE,Investors!$K:$K,"&gt;"&amp;'NSST Print'!$B$3,Investors!$I:$I,"&lt;="&amp;'NSST Print'!$B$3,Investors!$A:$A,'Investor Exit List'!$A524,Investors!$E:$E,'Investor Exit List'!$C524,Investors!$L:$L,'Investor Exit List'!$B524)-(SUMIFS(Investors!$S:$S,Investors!$I:$I,"&lt;="&amp;'NSST Print'!$B$3,Investors!$J:$J,"&gt;"&amp;'NSST Print'!$B$3,Investors!$A:$A,'Investor Exit List'!$A524,Investors!$E:$E,'Investor Exit List'!$C524,Investors!$L:$L,'Investor Exit List'!$B524)+SUMIFS(Investors!$S:$S,Investors!$I:$I,"&lt;="&amp;'NSST Print'!$B$3,Investors!$J:$J,"",Investors!$A:$A,'Investor Exit List'!$A524,Investors!$E:$E,'Investor Exit List'!$C524,Investors!$L:$L,'Investor Exit List'!$B524))</f>
        <v/>
      </c>
      <c r="R524" s="90">
        <f>IF(AND(H524=TRUE,I524=FALSE),Q524,0)</f>
        <v/>
      </c>
      <c r="S524" s="90">
        <f>SUMIFS(Investors!$M:$M,Investors!$O:$O,TRUE,Investors!$A:$A,'Investor Exit List'!$A524,Investors!$E:$E,'Investor Exit List'!$C524,Investors!$L:$L,'Investor Exit List'!$B524)+SUMIFS(Investors!$S:$S,Investors!$O:$O,TRUE,Investors!$A:$A,'Investor Exit List'!$A524,Investors!$E:$E,'Investor Exit List'!$C524,Investors!$L:$L,'Investor Exit List'!$B524)</f>
        <v/>
      </c>
      <c r="T524" s="91">
        <f>IF(U524=TRUE,$J524,"")</f>
        <v/>
      </c>
      <c r="U524" s="89" t="b">
        <v>0</v>
      </c>
      <c r="V524" s="90">
        <f>IF(AND(H524=TRUE,OR(K524="",K524&gt;M524)),S524,0)</f>
        <v/>
      </c>
      <c r="W524" s="89" t="n">
        <v>0</v>
      </c>
      <c r="X524" s="89" t="b">
        <v>0</v>
      </c>
    </row>
    <row r="525" hidden="1">
      <c r="A525" s="89" t="inlineStr">
        <is>
          <t>ZTHA01</t>
        </is>
      </c>
      <c r="B525" s="89" t="n">
        <v>1</v>
      </c>
      <c r="C525" s="89" t="inlineStr">
        <is>
          <t>HVP101</t>
        </is>
      </c>
      <c r="D525" s="89" t="inlineStr">
        <is>
          <t>P</t>
        </is>
      </c>
      <c r="E525" s="89" t="inlineStr">
        <is>
          <t>Matthee Gerald Adriaan Odendal</t>
        </is>
      </c>
      <c r="F525" s="90">
        <f>SUMIFS(Investors!$M:$M,Investors!$O:$O,FALSE,Investors!$P:$P,FALSE,Investors!$K:$K,"&gt;"&amp;'NSST Print'!$B$3,Investors!$I:$I,"&lt;="&amp;'NSST Print'!$B$3,Investors!$A:$A,'Investor Exit List'!$A525,Investors!$E:$E,'Investor Exit List'!$C525,Investors!$L:$L,'Investor Exit List'!$B525)-(SUMIFS(Investors!$M:$M,Investors!$I:$I,"&lt;="&amp;'NSST Print'!$B$3,Investors!$J:$J,"&gt;"&amp;'NSST Print'!$B$3,Investors!$A:$A,'Investor Exit List'!$A525,Investors!$E:$E,'Investor Exit List'!$C525,Investors!$L:$L,'Investor Exit List'!$B525)+SUMIFS(Investors!$M:$M,Investors!$I:$I,"&lt;="&amp;'NSST Print'!$B$3,Investors!$J:$J,"",Investors!$A:$A,'Investor Exit List'!$A525,Investors!$E:$E,'Investor Exit List'!$C525,Investors!$L:$L,'Investor Exit List'!$B525))</f>
        <v/>
      </c>
      <c r="G525" s="91" t="n">
        <v>44798</v>
      </c>
      <c r="H525" s="89" t="b">
        <v>1</v>
      </c>
      <c r="I525" s="89" t="b">
        <v>1</v>
      </c>
      <c r="J525" s="91" t="n">
        <v>45177</v>
      </c>
      <c r="K525" s="91">
        <f>IF(I525=TRUE,J525,"")</f>
        <v/>
      </c>
      <c r="L525" s="91">
        <f>G525+730</f>
        <v/>
      </c>
      <c r="M525" s="91" t="n">
        <v>45382</v>
      </c>
      <c r="N525" s="92">
        <f>IFERROR(IF(G525&lt;&gt;"",IF(I525=TRUE,0,IF(U525=TRUE,0,L525-M525)),0),0)</f>
        <v/>
      </c>
      <c r="O525" s="92">
        <f>IF(N525&gt;0,IF(N525&lt;=180,N525,0),0)</f>
        <v/>
      </c>
      <c r="P525" s="90">
        <f>IF(AND(N525&lt;90,N525&gt;0),Q525,0)</f>
        <v/>
      </c>
      <c r="Q525" s="90">
        <f>SUMIFS(Investors!$M:$M,Investors!$O:$O,FALSE,Investors!$P:$P,FALSE,Investors!$K:$K,"&gt;"&amp;'NSST Print'!$B$3,Investors!$I:$I,"&lt;="&amp;'NSST Print'!$B$3,Investors!$A:$A,'Investor Exit List'!$A525,Investors!$E:$E,'Investor Exit List'!$C525,Investors!$L:$L,'Investor Exit List'!$B525)-(SUMIFS(Investors!$M:$M,Investors!$I:$I,"&lt;="&amp;'NSST Print'!$B$3,Investors!$J:$J,"&gt;"&amp;'NSST Print'!$B$3,Investors!$A:$A,'Investor Exit List'!$A525,Investors!$E:$E,'Investor Exit List'!$C525,Investors!$L:$L,'Investor Exit List'!$B525)+SUMIFS(Investors!$M:$M,Investors!$I:$I,"&lt;="&amp;'NSST Print'!$B$3,Investors!$J:$J,"",Investors!$A:$A,'Investor Exit List'!$A525,Investors!$E:$E,'Investor Exit List'!$C525,Investors!$L:$L,'Investor Exit List'!$B525))+SUMIFS(Investors!$S:$S,Investors!$O:$O,FALSE,Investors!$P:$P,FALSE,Investors!$K:$K,"&gt;"&amp;'NSST Print'!$B$3,Investors!$I:$I,"&lt;="&amp;'NSST Print'!$B$3,Investors!$A:$A,'Investor Exit List'!$A525,Investors!$E:$E,'Investor Exit List'!$C525,Investors!$L:$L,'Investor Exit List'!$B525)-(SUMIFS(Investors!$S:$S,Investors!$I:$I,"&lt;="&amp;'NSST Print'!$B$3,Investors!$J:$J,"&gt;"&amp;'NSST Print'!$B$3,Investors!$A:$A,'Investor Exit List'!$A525,Investors!$E:$E,'Investor Exit List'!$C525,Investors!$L:$L,'Investor Exit List'!$B525)+SUMIFS(Investors!$S:$S,Investors!$I:$I,"&lt;="&amp;'NSST Print'!$B$3,Investors!$J:$J,"",Investors!$A:$A,'Investor Exit List'!$A525,Investors!$E:$E,'Investor Exit List'!$C525,Investors!$L:$L,'Investor Exit List'!$B525))</f>
        <v/>
      </c>
      <c r="R525" s="90">
        <f>IF(AND(H525=TRUE,I525=FALSE),Q525,0)</f>
        <v/>
      </c>
      <c r="S525" s="90">
        <f>SUMIFS(Investors!$M:$M,Investors!$O:$O,TRUE,Investors!$A:$A,'Investor Exit List'!$A525,Investors!$E:$E,'Investor Exit List'!$C525,Investors!$L:$L,'Investor Exit List'!$B525)+SUMIFS(Investors!$S:$S,Investors!$O:$O,TRUE,Investors!$A:$A,'Investor Exit List'!$A525,Investors!$E:$E,'Investor Exit List'!$C525,Investors!$L:$L,'Investor Exit List'!$B525)</f>
        <v/>
      </c>
      <c r="T525" s="91">
        <f>IF(U525=TRUE,$J525,"")</f>
        <v/>
      </c>
      <c r="U525" s="89" t="b">
        <v>0</v>
      </c>
      <c r="V525" s="90">
        <f>IF(AND(H525=TRUE,OR(K525="",K525&gt;M525)),S525,0)</f>
        <v/>
      </c>
      <c r="W525" s="89" t="n">
        <v>0</v>
      </c>
      <c r="X525" s="89" t="b">
        <v>0</v>
      </c>
    </row>
    <row r="526" hidden="1">
      <c r="A526" s="89" t="inlineStr">
        <is>
          <t>ZVER02</t>
        </is>
      </c>
      <c r="B526" s="89" t="n">
        <v>4</v>
      </c>
      <c r="C526" s="89" t="inlineStr">
        <is>
          <t>HVP101</t>
        </is>
      </c>
      <c r="D526" s="89" t="inlineStr">
        <is>
          <t>P</t>
        </is>
      </c>
      <c r="E526" s="89" t="inlineStr">
        <is>
          <t>Verhaeghe Jean-Jacques EP</t>
        </is>
      </c>
      <c r="F526" s="90">
        <f>SUMIFS(Investors!$M:$M,Investors!$O:$O,FALSE,Investors!$P:$P,FALSE,Investors!$K:$K,"&gt;"&amp;'NSST Print'!$B$3,Investors!$I:$I,"&lt;="&amp;'NSST Print'!$B$3,Investors!$A:$A,'Investor Exit List'!$A526,Investors!$E:$E,'Investor Exit List'!$C526,Investors!$L:$L,'Investor Exit List'!$B526)-(SUMIFS(Investors!$M:$M,Investors!$I:$I,"&lt;="&amp;'NSST Print'!$B$3,Investors!$J:$J,"&gt;"&amp;'NSST Print'!$B$3,Investors!$A:$A,'Investor Exit List'!$A526,Investors!$E:$E,'Investor Exit List'!$C526,Investors!$L:$L,'Investor Exit List'!$B526)+SUMIFS(Investors!$M:$M,Investors!$I:$I,"&lt;="&amp;'NSST Print'!$B$3,Investors!$J:$J,"",Investors!$A:$A,'Investor Exit List'!$A526,Investors!$E:$E,'Investor Exit List'!$C526,Investors!$L:$L,'Investor Exit List'!$B526))</f>
        <v/>
      </c>
      <c r="G526" s="91" t="n">
        <v>44791</v>
      </c>
      <c r="H526" s="89" t="b">
        <v>1</v>
      </c>
      <c r="I526" s="89" t="b">
        <v>1</v>
      </c>
      <c r="J526" s="91" t="n">
        <v>45177</v>
      </c>
      <c r="K526" s="91">
        <f>IF(I526=TRUE,J526,"")</f>
        <v/>
      </c>
      <c r="L526" s="91">
        <f>G526+730</f>
        <v/>
      </c>
      <c r="M526" s="91" t="n">
        <v>45382</v>
      </c>
      <c r="N526" s="92">
        <f>IFERROR(IF(G526&lt;&gt;"",IF(I526=TRUE,0,IF(U526=TRUE,0,L526-M526)),0),0)</f>
        <v/>
      </c>
      <c r="O526" s="92">
        <f>IF(N526&gt;0,IF(N526&lt;=180,N526,0),0)</f>
        <v/>
      </c>
      <c r="P526" s="90">
        <f>IF(AND(N526&lt;90,N526&gt;0),Q526,0)</f>
        <v/>
      </c>
      <c r="Q526" s="90">
        <f>SUMIFS(Investors!$M:$M,Investors!$O:$O,FALSE,Investors!$P:$P,FALSE,Investors!$K:$K,"&gt;"&amp;'NSST Print'!$B$3,Investors!$I:$I,"&lt;="&amp;'NSST Print'!$B$3,Investors!$A:$A,'Investor Exit List'!$A526,Investors!$E:$E,'Investor Exit List'!$C526,Investors!$L:$L,'Investor Exit List'!$B526)-(SUMIFS(Investors!$M:$M,Investors!$I:$I,"&lt;="&amp;'NSST Print'!$B$3,Investors!$J:$J,"&gt;"&amp;'NSST Print'!$B$3,Investors!$A:$A,'Investor Exit List'!$A526,Investors!$E:$E,'Investor Exit List'!$C526,Investors!$L:$L,'Investor Exit List'!$B526)+SUMIFS(Investors!$M:$M,Investors!$I:$I,"&lt;="&amp;'NSST Print'!$B$3,Investors!$J:$J,"",Investors!$A:$A,'Investor Exit List'!$A526,Investors!$E:$E,'Investor Exit List'!$C526,Investors!$L:$L,'Investor Exit List'!$B526))+SUMIFS(Investors!$S:$S,Investors!$O:$O,FALSE,Investors!$P:$P,FALSE,Investors!$K:$K,"&gt;"&amp;'NSST Print'!$B$3,Investors!$I:$I,"&lt;="&amp;'NSST Print'!$B$3,Investors!$A:$A,'Investor Exit List'!$A526,Investors!$E:$E,'Investor Exit List'!$C526,Investors!$L:$L,'Investor Exit List'!$B526)-(SUMIFS(Investors!$S:$S,Investors!$I:$I,"&lt;="&amp;'NSST Print'!$B$3,Investors!$J:$J,"&gt;"&amp;'NSST Print'!$B$3,Investors!$A:$A,'Investor Exit List'!$A526,Investors!$E:$E,'Investor Exit List'!$C526,Investors!$L:$L,'Investor Exit List'!$B526)+SUMIFS(Investors!$S:$S,Investors!$I:$I,"&lt;="&amp;'NSST Print'!$B$3,Investors!$J:$J,"",Investors!$A:$A,'Investor Exit List'!$A526,Investors!$E:$E,'Investor Exit List'!$C526,Investors!$L:$L,'Investor Exit List'!$B526))</f>
        <v/>
      </c>
      <c r="R526" s="90">
        <f>IF(AND(H526=TRUE,I526=FALSE),Q526,0)</f>
        <v/>
      </c>
      <c r="S526" s="90">
        <f>SUMIFS(Investors!$M:$M,Investors!$O:$O,TRUE,Investors!$A:$A,'Investor Exit List'!$A526,Investors!$E:$E,'Investor Exit List'!$C526,Investors!$L:$L,'Investor Exit List'!$B526)+SUMIFS(Investors!$S:$S,Investors!$O:$O,TRUE,Investors!$A:$A,'Investor Exit List'!$A526,Investors!$E:$E,'Investor Exit List'!$C526,Investors!$L:$L,'Investor Exit List'!$B526)</f>
        <v/>
      </c>
      <c r="T526" s="91">
        <f>IF(U526=TRUE,$J526,"")</f>
        <v/>
      </c>
      <c r="U526" s="89" t="b">
        <v>0</v>
      </c>
      <c r="V526" s="90">
        <f>IF(AND(H526=TRUE,OR(K526="",K526&gt;M526)),S526,0)</f>
        <v/>
      </c>
      <c r="W526" s="89" t="n">
        <v>0</v>
      </c>
      <c r="X526" s="89" t="b">
        <v>0</v>
      </c>
    </row>
    <row r="527" hidden="1">
      <c r="A527" s="89" t="inlineStr">
        <is>
          <t>ZHUM01</t>
        </is>
      </c>
      <c r="B527" s="89" t="n">
        <v>1</v>
      </c>
      <c r="C527" s="89" t="inlineStr">
        <is>
          <t>HVP102</t>
        </is>
      </c>
      <c r="D527" s="89" t="inlineStr">
        <is>
          <t>P</t>
        </is>
      </c>
      <c r="E527" s="89" t="inlineStr">
        <is>
          <t>Human Tralee Joan</t>
        </is>
      </c>
      <c r="F527" s="90">
        <f>SUMIFS(Investors!$M:$M,Investors!$O:$O,FALSE,Investors!$P:$P,FALSE,Investors!$K:$K,"&gt;"&amp;'NSST Print'!$B$3,Investors!$I:$I,"&lt;="&amp;'NSST Print'!$B$3,Investors!$A:$A,'Investor Exit List'!$A527,Investors!$E:$E,'Investor Exit List'!$C527,Investors!$L:$L,'Investor Exit List'!$B527)-(SUMIFS(Investors!$M:$M,Investors!$I:$I,"&lt;="&amp;'NSST Print'!$B$3,Investors!$J:$J,"&gt;"&amp;'NSST Print'!$B$3,Investors!$A:$A,'Investor Exit List'!$A527,Investors!$E:$E,'Investor Exit List'!$C527,Investors!$L:$L,'Investor Exit List'!$B527)+SUMIFS(Investors!$M:$M,Investors!$I:$I,"&lt;="&amp;'NSST Print'!$B$3,Investors!$J:$J,"",Investors!$A:$A,'Investor Exit List'!$A527,Investors!$E:$E,'Investor Exit List'!$C527,Investors!$L:$L,'Investor Exit List'!$B527))</f>
        <v/>
      </c>
      <c r="G527" s="91" t="n">
        <v>44840</v>
      </c>
      <c r="H527" s="89" t="b">
        <v>1</v>
      </c>
      <c r="I527" s="89" t="b">
        <v>1</v>
      </c>
      <c r="J527" s="91" t="n">
        <v>45177</v>
      </c>
      <c r="K527" s="91">
        <f>IF(I527=TRUE,J527,"")</f>
        <v/>
      </c>
      <c r="L527" s="91">
        <f>G527+730</f>
        <v/>
      </c>
      <c r="M527" s="91" t="n">
        <v>45382</v>
      </c>
      <c r="N527" s="92">
        <f>IFERROR(IF(G527&lt;&gt;"",IF(I527=TRUE,0,IF(U527=TRUE,0,L527-M527)),0),0)</f>
        <v/>
      </c>
      <c r="O527" s="92">
        <f>IF(N527&gt;0,IF(N527&lt;=180,N527,0),0)</f>
        <v/>
      </c>
      <c r="P527" s="90">
        <f>IF(AND(N527&lt;90,N527&gt;0),Q527,0)</f>
        <v/>
      </c>
      <c r="Q527" s="90">
        <f>SUMIFS(Investors!$M:$M,Investors!$O:$O,FALSE,Investors!$P:$P,FALSE,Investors!$K:$K,"&gt;"&amp;'NSST Print'!$B$3,Investors!$I:$I,"&lt;="&amp;'NSST Print'!$B$3,Investors!$A:$A,'Investor Exit List'!$A527,Investors!$E:$E,'Investor Exit List'!$C527,Investors!$L:$L,'Investor Exit List'!$B527)-(SUMIFS(Investors!$M:$M,Investors!$I:$I,"&lt;="&amp;'NSST Print'!$B$3,Investors!$J:$J,"&gt;"&amp;'NSST Print'!$B$3,Investors!$A:$A,'Investor Exit List'!$A527,Investors!$E:$E,'Investor Exit List'!$C527,Investors!$L:$L,'Investor Exit List'!$B527)+SUMIFS(Investors!$M:$M,Investors!$I:$I,"&lt;="&amp;'NSST Print'!$B$3,Investors!$J:$J,"",Investors!$A:$A,'Investor Exit List'!$A527,Investors!$E:$E,'Investor Exit List'!$C527,Investors!$L:$L,'Investor Exit List'!$B527))+SUMIFS(Investors!$S:$S,Investors!$O:$O,FALSE,Investors!$P:$P,FALSE,Investors!$K:$K,"&gt;"&amp;'NSST Print'!$B$3,Investors!$I:$I,"&lt;="&amp;'NSST Print'!$B$3,Investors!$A:$A,'Investor Exit List'!$A527,Investors!$E:$E,'Investor Exit List'!$C527,Investors!$L:$L,'Investor Exit List'!$B527)-(SUMIFS(Investors!$S:$S,Investors!$I:$I,"&lt;="&amp;'NSST Print'!$B$3,Investors!$J:$J,"&gt;"&amp;'NSST Print'!$B$3,Investors!$A:$A,'Investor Exit List'!$A527,Investors!$E:$E,'Investor Exit List'!$C527,Investors!$L:$L,'Investor Exit List'!$B527)+SUMIFS(Investors!$S:$S,Investors!$I:$I,"&lt;="&amp;'NSST Print'!$B$3,Investors!$J:$J,"",Investors!$A:$A,'Investor Exit List'!$A527,Investors!$E:$E,'Investor Exit List'!$C527,Investors!$L:$L,'Investor Exit List'!$B527))</f>
        <v/>
      </c>
      <c r="R527" s="90">
        <f>IF(AND(H527=TRUE,I527=FALSE),Q527,0)</f>
        <v/>
      </c>
      <c r="S527" s="90">
        <f>SUMIFS(Investors!$M:$M,Investors!$O:$O,TRUE,Investors!$A:$A,'Investor Exit List'!$A527,Investors!$E:$E,'Investor Exit List'!$C527,Investors!$L:$L,'Investor Exit List'!$B527)+SUMIFS(Investors!$S:$S,Investors!$O:$O,TRUE,Investors!$A:$A,'Investor Exit List'!$A527,Investors!$E:$E,'Investor Exit List'!$C527,Investors!$L:$L,'Investor Exit List'!$B527)</f>
        <v/>
      </c>
      <c r="T527" s="91">
        <f>IF(U527=TRUE,$J527,"")</f>
        <v/>
      </c>
      <c r="U527" s="89" t="b">
        <v>0</v>
      </c>
      <c r="V527" s="90">
        <f>IF(AND(H527=TRUE,OR(K527="",K527&gt;M527)),S527,0)</f>
        <v/>
      </c>
      <c r="W527" s="89" t="n">
        <v>0</v>
      </c>
      <c r="X527" s="89" t="b">
        <v>0</v>
      </c>
    </row>
    <row r="528" hidden="1">
      <c r="A528" s="89" t="inlineStr">
        <is>
          <t>ZJEN02</t>
        </is>
      </c>
      <c r="B528" s="89" t="n">
        <v>1</v>
      </c>
      <c r="C528" s="89" t="inlineStr">
        <is>
          <t>HVP102</t>
        </is>
      </c>
      <c r="D528" s="89" t="inlineStr">
        <is>
          <t>P</t>
        </is>
      </c>
      <c r="E528" s="89" t="inlineStr">
        <is>
          <t>Jennings Andrew Bowden</t>
        </is>
      </c>
      <c r="F528" s="90">
        <f>SUMIFS(Investors!$M:$M,Investors!$O:$O,FALSE,Investors!$P:$P,FALSE,Investors!$K:$K,"&gt;"&amp;'NSST Print'!$B$3,Investors!$I:$I,"&lt;="&amp;'NSST Print'!$B$3,Investors!$A:$A,'Investor Exit List'!$A528,Investors!$E:$E,'Investor Exit List'!$C528,Investors!$L:$L,'Investor Exit List'!$B528)-(SUMIFS(Investors!$M:$M,Investors!$I:$I,"&lt;="&amp;'NSST Print'!$B$3,Investors!$J:$J,"&gt;"&amp;'NSST Print'!$B$3,Investors!$A:$A,'Investor Exit List'!$A528,Investors!$E:$E,'Investor Exit List'!$C528,Investors!$L:$L,'Investor Exit List'!$B528)+SUMIFS(Investors!$M:$M,Investors!$I:$I,"&lt;="&amp;'NSST Print'!$B$3,Investors!$J:$J,"",Investors!$A:$A,'Investor Exit List'!$A528,Investors!$E:$E,'Investor Exit List'!$C528,Investors!$L:$L,'Investor Exit List'!$B528))</f>
        <v/>
      </c>
      <c r="G528" s="91" t="n">
        <v>44833</v>
      </c>
      <c r="H528" s="89" t="b">
        <v>1</v>
      </c>
      <c r="I528" s="89" t="b">
        <v>1</v>
      </c>
      <c r="J528" s="91" t="n">
        <v>45177</v>
      </c>
      <c r="K528" s="91">
        <f>IF(I528=TRUE,J528,"")</f>
        <v/>
      </c>
      <c r="L528" s="91">
        <f>G528+730</f>
        <v/>
      </c>
      <c r="M528" s="91" t="n">
        <v>45382</v>
      </c>
      <c r="N528" s="92">
        <f>IFERROR(IF(G528&lt;&gt;"",IF(I528=TRUE,0,IF(U528=TRUE,0,L528-M528)),0),0)</f>
        <v/>
      </c>
      <c r="O528" s="92">
        <f>IF(N528&gt;0,IF(N528&lt;=180,N528,0),0)</f>
        <v/>
      </c>
      <c r="P528" s="90">
        <f>IF(AND(N528&lt;90,N528&gt;0),Q528,0)</f>
        <v/>
      </c>
      <c r="Q528" s="90">
        <f>SUMIFS(Investors!$M:$M,Investors!$O:$O,FALSE,Investors!$P:$P,FALSE,Investors!$K:$K,"&gt;"&amp;'NSST Print'!$B$3,Investors!$I:$I,"&lt;="&amp;'NSST Print'!$B$3,Investors!$A:$A,'Investor Exit List'!$A528,Investors!$E:$E,'Investor Exit List'!$C528,Investors!$L:$L,'Investor Exit List'!$B528)-(SUMIFS(Investors!$M:$M,Investors!$I:$I,"&lt;="&amp;'NSST Print'!$B$3,Investors!$J:$J,"&gt;"&amp;'NSST Print'!$B$3,Investors!$A:$A,'Investor Exit List'!$A528,Investors!$E:$E,'Investor Exit List'!$C528,Investors!$L:$L,'Investor Exit List'!$B528)+SUMIFS(Investors!$M:$M,Investors!$I:$I,"&lt;="&amp;'NSST Print'!$B$3,Investors!$J:$J,"",Investors!$A:$A,'Investor Exit List'!$A528,Investors!$E:$E,'Investor Exit List'!$C528,Investors!$L:$L,'Investor Exit List'!$B528))+SUMIFS(Investors!$S:$S,Investors!$O:$O,FALSE,Investors!$P:$P,FALSE,Investors!$K:$K,"&gt;"&amp;'NSST Print'!$B$3,Investors!$I:$I,"&lt;="&amp;'NSST Print'!$B$3,Investors!$A:$A,'Investor Exit List'!$A528,Investors!$E:$E,'Investor Exit List'!$C528,Investors!$L:$L,'Investor Exit List'!$B528)-(SUMIFS(Investors!$S:$S,Investors!$I:$I,"&lt;="&amp;'NSST Print'!$B$3,Investors!$J:$J,"&gt;"&amp;'NSST Print'!$B$3,Investors!$A:$A,'Investor Exit List'!$A528,Investors!$E:$E,'Investor Exit List'!$C528,Investors!$L:$L,'Investor Exit List'!$B528)+SUMIFS(Investors!$S:$S,Investors!$I:$I,"&lt;="&amp;'NSST Print'!$B$3,Investors!$J:$J,"",Investors!$A:$A,'Investor Exit List'!$A528,Investors!$E:$E,'Investor Exit List'!$C528,Investors!$L:$L,'Investor Exit List'!$B528))</f>
        <v/>
      </c>
      <c r="R528" s="90">
        <f>IF(AND(H528=TRUE,I528=FALSE),Q528,0)</f>
        <v/>
      </c>
      <c r="S528" s="90">
        <f>SUMIFS(Investors!$M:$M,Investors!$O:$O,TRUE,Investors!$A:$A,'Investor Exit List'!$A528,Investors!$E:$E,'Investor Exit List'!$C528,Investors!$L:$L,'Investor Exit List'!$B528)+SUMIFS(Investors!$S:$S,Investors!$O:$O,TRUE,Investors!$A:$A,'Investor Exit List'!$A528,Investors!$E:$E,'Investor Exit List'!$C528,Investors!$L:$L,'Investor Exit List'!$B528)</f>
        <v/>
      </c>
      <c r="T528" s="91">
        <f>IF(U528=TRUE,$J528,"")</f>
        <v/>
      </c>
      <c r="U528" s="89" t="b">
        <v>0</v>
      </c>
      <c r="V528" s="90">
        <f>IF(AND(H528=TRUE,OR(K528="",K528&gt;M528)),S528,0)</f>
        <v/>
      </c>
      <c r="W528" s="89" t="n">
        <v>0</v>
      </c>
      <c r="X528" s="89" t="b">
        <v>0</v>
      </c>
    </row>
    <row r="529" hidden="1">
      <c r="A529" s="89" t="inlineStr">
        <is>
          <t>ZZEE01</t>
        </is>
      </c>
      <c r="B529" s="89" t="n">
        <v>1</v>
      </c>
      <c r="C529" s="89" t="inlineStr">
        <is>
          <t>HVP103</t>
        </is>
      </c>
      <c r="D529" s="89" t="inlineStr">
        <is>
          <t>P</t>
        </is>
      </c>
      <c r="E529" s="89" t="inlineStr">
        <is>
          <t>Zeeman Michael Christiaan</t>
        </is>
      </c>
      <c r="F529" s="90">
        <f>SUMIFS(Investors!$M:$M,Investors!$O:$O,FALSE,Investors!$P:$P,FALSE,Investors!$K:$K,"&gt;"&amp;'NSST Print'!$B$3,Investors!$I:$I,"&lt;="&amp;'NSST Print'!$B$3,Investors!$A:$A,'Investor Exit List'!$A529,Investors!$E:$E,'Investor Exit List'!$C529,Investors!$L:$L,'Investor Exit List'!$B529)-(SUMIFS(Investors!$M:$M,Investors!$I:$I,"&lt;="&amp;'NSST Print'!$B$3,Investors!$J:$J,"&gt;"&amp;'NSST Print'!$B$3,Investors!$A:$A,'Investor Exit List'!$A529,Investors!$E:$E,'Investor Exit List'!$C529,Investors!$L:$L,'Investor Exit List'!$B529)+SUMIFS(Investors!$M:$M,Investors!$I:$I,"&lt;="&amp;'NSST Print'!$B$3,Investors!$J:$J,"",Investors!$A:$A,'Investor Exit List'!$A529,Investors!$E:$E,'Investor Exit List'!$C529,Investors!$L:$L,'Investor Exit List'!$B529))</f>
        <v/>
      </c>
      <c r="G529" s="91" t="n">
        <v>44833</v>
      </c>
      <c r="H529" s="89" t="b">
        <v>1</v>
      </c>
      <c r="I529" s="89" t="b">
        <v>1</v>
      </c>
      <c r="J529" s="91" t="n">
        <v>45177</v>
      </c>
      <c r="K529" s="91">
        <f>IF(I529=TRUE,J529,"")</f>
        <v/>
      </c>
      <c r="L529" s="91">
        <f>G529+730</f>
        <v/>
      </c>
      <c r="M529" s="91" t="n">
        <v>45382</v>
      </c>
      <c r="N529" s="92">
        <f>IFERROR(IF(G529&lt;&gt;"",IF(I529=TRUE,0,IF(U529=TRUE,0,L529-M529)),0),0)</f>
        <v/>
      </c>
      <c r="O529" s="92">
        <f>IF(N529&gt;0,IF(N529&lt;=180,N529,0),0)</f>
        <v/>
      </c>
      <c r="P529" s="90">
        <f>IF(AND(N529&lt;90,N529&gt;0),Q529,0)</f>
        <v/>
      </c>
      <c r="Q529" s="90">
        <f>SUMIFS(Investors!$M:$M,Investors!$O:$O,FALSE,Investors!$P:$P,FALSE,Investors!$K:$K,"&gt;"&amp;'NSST Print'!$B$3,Investors!$I:$I,"&lt;="&amp;'NSST Print'!$B$3,Investors!$A:$A,'Investor Exit List'!$A529,Investors!$E:$E,'Investor Exit List'!$C529,Investors!$L:$L,'Investor Exit List'!$B529)-(SUMIFS(Investors!$M:$M,Investors!$I:$I,"&lt;="&amp;'NSST Print'!$B$3,Investors!$J:$J,"&gt;"&amp;'NSST Print'!$B$3,Investors!$A:$A,'Investor Exit List'!$A529,Investors!$E:$E,'Investor Exit List'!$C529,Investors!$L:$L,'Investor Exit List'!$B529)+SUMIFS(Investors!$M:$M,Investors!$I:$I,"&lt;="&amp;'NSST Print'!$B$3,Investors!$J:$J,"",Investors!$A:$A,'Investor Exit List'!$A529,Investors!$E:$E,'Investor Exit List'!$C529,Investors!$L:$L,'Investor Exit List'!$B529))+SUMIFS(Investors!$S:$S,Investors!$O:$O,FALSE,Investors!$P:$P,FALSE,Investors!$K:$K,"&gt;"&amp;'NSST Print'!$B$3,Investors!$I:$I,"&lt;="&amp;'NSST Print'!$B$3,Investors!$A:$A,'Investor Exit List'!$A529,Investors!$E:$E,'Investor Exit List'!$C529,Investors!$L:$L,'Investor Exit List'!$B529)-(SUMIFS(Investors!$S:$S,Investors!$I:$I,"&lt;="&amp;'NSST Print'!$B$3,Investors!$J:$J,"&gt;"&amp;'NSST Print'!$B$3,Investors!$A:$A,'Investor Exit List'!$A529,Investors!$E:$E,'Investor Exit List'!$C529,Investors!$L:$L,'Investor Exit List'!$B529)+SUMIFS(Investors!$S:$S,Investors!$I:$I,"&lt;="&amp;'NSST Print'!$B$3,Investors!$J:$J,"",Investors!$A:$A,'Investor Exit List'!$A529,Investors!$E:$E,'Investor Exit List'!$C529,Investors!$L:$L,'Investor Exit List'!$B529))</f>
        <v/>
      </c>
      <c r="R529" s="90">
        <f>IF(AND(H529=TRUE,I529=FALSE),Q529,0)</f>
        <v/>
      </c>
      <c r="S529" s="90">
        <f>SUMIFS(Investors!$M:$M,Investors!$O:$O,TRUE,Investors!$A:$A,'Investor Exit List'!$A529,Investors!$E:$E,'Investor Exit List'!$C529,Investors!$L:$L,'Investor Exit List'!$B529)+SUMIFS(Investors!$S:$S,Investors!$O:$O,TRUE,Investors!$A:$A,'Investor Exit List'!$A529,Investors!$E:$E,'Investor Exit List'!$C529,Investors!$L:$L,'Investor Exit List'!$B529)</f>
        <v/>
      </c>
      <c r="T529" s="91">
        <f>IF(U529=TRUE,$J529,"")</f>
        <v/>
      </c>
      <c r="U529" s="89" t="b">
        <v>0</v>
      </c>
      <c r="V529" s="90">
        <f>IF(AND(H529=TRUE,OR(K529="",K529&gt;M529)),S529,0)</f>
        <v/>
      </c>
      <c r="W529" s="89" t="n">
        <v>0</v>
      </c>
      <c r="X529" s="89" t="b">
        <v>0</v>
      </c>
    </row>
    <row r="530">
      <c r="A530" s="93" t="inlineStr">
        <is>
          <t>ZBAL02</t>
        </is>
      </c>
      <c r="B530" s="93" t="n">
        <v>1</v>
      </c>
      <c r="C530" s="93" t="inlineStr">
        <is>
          <t>HVP201</t>
        </is>
      </c>
      <c r="D530" s="93" t="inlineStr">
        <is>
          <t>P</t>
        </is>
      </c>
      <c r="E530" s="93" t="inlineStr">
        <is>
          <t>Ballim Shaheda</t>
        </is>
      </c>
      <c r="F530" s="94">
        <f>SUMIFS(Investors!$M:$M,Investors!$O:$O,FALSE,Investors!$P:$P,FALSE,Investors!$K:$K,"&gt;"&amp;'NSST Print'!$B$3,Investors!$I:$I,"&lt;="&amp;'NSST Print'!$B$3,Investors!$A:$A,'Investor Exit List'!$A530,Investors!$E:$E,'Investor Exit List'!$C530,Investors!$L:$L,'Investor Exit List'!$B530)-(SUMIFS(Investors!$M:$M,Investors!$I:$I,"&lt;="&amp;'NSST Print'!$B$3,Investors!$J:$J,"&gt;"&amp;'NSST Print'!$B$3,Investors!$A:$A,'Investor Exit List'!$A530,Investors!$E:$E,'Investor Exit List'!$C530,Investors!$L:$L,'Investor Exit List'!$B530)+SUMIFS(Investors!$M:$M,Investors!$I:$I,"&lt;="&amp;'NSST Print'!$B$3,Investors!$J:$J,"",Investors!$A:$A,'Investor Exit List'!$A530,Investors!$E:$E,'Investor Exit List'!$C530,Investors!$L:$L,'Investor Exit List'!$B530))</f>
        <v/>
      </c>
      <c r="G530" s="95" t="n">
        <v>44861</v>
      </c>
      <c r="H530" s="93" t="b">
        <v>0</v>
      </c>
      <c r="I530" s="93" t="b">
        <v>0</v>
      </c>
      <c r="J530" s="95" t="n">
        <v>45475</v>
      </c>
      <c r="K530" s="95">
        <f>IF(I530=TRUE,J530,"")</f>
        <v/>
      </c>
      <c r="L530" s="95">
        <f>G530+730</f>
        <v/>
      </c>
      <c r="M530" s="95" t="n">
        <v>45382</v>
      </c>
      <c r="N530" s="96">
        <f>IFERROR(IF(G530&lt;&gt;"",IF(I530=TRUE,0,IF(U530=TRUE,0,L530-M530)),0),0)</f>
        <v/>
      </c>
      <c r="O530" s="96">
        <f>IF(N530&gt;0,IF(N530&lt;=180,N530,0),0)</f>
        <v/>
      </c>
      <c r="P530" s="94">
        <f>IF(AND(N530&lt;90,N530&gt;0),Q530,0)</f>
        <v/>
      </c>
      <c r="Q530" s="94">
        <f>SUMIFS(Investors!$M:$M,Investors!$O:$O,FALSE,Investors!$P:$P,FALSE,Investors!$K:$K,"&gt;"&amp;'NSST Print'!$B$3,Investors!$I:$I,"&lt;="&amp;'NSST Print'!$B$3,Investors!$A:$A,'Investor Exit List'!$A530,Investors!$E:$E,'Investor Exit List'!$C530,Investors!$L:$L,'Investor Exit List'!$B530)-(SUMIFS(Investors!$M:$M,Investors!$I:$I,"&lt;="&amp;'NSST Print'!$B$3,Investors!$J:$J,"&gt;"&amp;'NSST Print'!$B$3,Investors!$A:$A,'Investor Exit List'!$A530,Investors!$E:$E,'Investor Exit List'!$C530,Investors!$L:$L,'Investor Exit List'!$B530)+SUMIFS(Investors!$M:$M,Investors!$I:$I,"&lt;="&amp;'NSST Print'!$B$3,Investors!$J:$J,"",Investors!$A:$A,'Investor Exit List'!$A530,Investors!$E:$E,'Investor Exit List'!$C530,Investors!$L:$L,'Investor Exit List'!$B530))+SUMIFS(Investors!$S:$S,Investors!$O:$O,FALSE,Investors!$P:$P,FALSE,Investors!$K:$K,"&gt;"&amp;'NSST Print'!$B$3,Investors!$I:$I,"&lt;="&amp;'NSST Print'!$B$3,Investors!$A:$A,'Investor Exit List'!$A530,Investors!$E:$E,'Investor Exit List'!$C530,Investors!$L:$L,'Investor Exit List'!$B530)-(SUMIFS(Investors!$S:$S,Investors!$I:$I,"&lt;="&amp;'NSST Print'!$B$3,Investors!$J:$J,"&gt;"&amp;'NSST Print'!$B$3,Investors!$A:$A,'Investor Exit List'!$A530,Investors!$E:$E,'Investor Exit List'!$C530,Investors!$L:$L,'Investor Exit List'!$B530)+SUMIFS(Investors!$S:$S,Investors!$I:$I,"&lt;="&amp;'NSST Print'!$B$3,Investors!$J:$J,"",Investors!$A:$A,'Investor Exit List'!$A530,Investors!$E:$E,'Investor Exit List'!$C530,Investors!$L:$L,'Investor Exit List'!$B530))</f>
        <v/>
      </c>
      <c r="R530" s="94">
        <f>IF(AND(H530=TRUE,I530=FALSE),Q530,0)</f>
        <v/>
      </c>
      <c r="S530" s="94">
        <f>SUMIFS(Investors!$M:$M,Investors!$O:$O,TRUE,Investors!$A:$A,'Investor Exit List'!$A530,Investors!$E:$E,'Investor Exit List'!$C530,Investors!$L:$L,'Investor Exit List'!$B530)+SUMIFS(Investors!$S:$S,Investors!$O:$O,TRUE,Investors!$A:$A,'Investor Exit List'!$A530,Investors!$E:$E,'Investor Exit List'!$C530,Investors!$L:$L,'Investor Exit List'!$B530)</f>
        <v/>
      </c>
      <c r="T530" s="95">
        <f>IF(U530=TRUE,$J530,"")</f>
        <v/>
      </c>
      <c r="U530" s="93" t="b">
        <v>0</v>
      </c>
      <c r="V530" s="94">
        <f>IF(AND(H530=TRUE,OR(K530="",K530&gt;M530)),S530,0)</f>
        <v/>
      </c>
      <c r="W530" s="93" t="n">
        <v>0</v>
      </c>
      <c r="X530" s="93" t="b">
        <v>0</v>
      </c>
    </row>
    <row r="531">
      <c r="A531" s="93" t="inlineStr">
        <is>
          <t>ZDEF01</t>
        </is>
      </c>
      <c r="B531" s="93" t="n">
        <v>1</v>
      </c>
      <c r="C531" s="93" t="inlineStr">
        <is>
          <t>HVP201</t>
        </is>
      </c>
      <c r="D531" s="93" t="inlineStr">
        <is>
          <t>P</t>
        </is>
      </c>
      <c r="E531" s="93" t="inlineStr">
        <is>
          <t>de Freitas Allan</t>
        </is>
      </c>
      <c r="F531" s="94">
        <f>SUMIFS(Investors!$M:$M,Investors!$O:$O,FALSE,Investors!$P:$P,FALSE,Investors!$K:$K,"&gt;"&amp;'NSST Print'!$B$3,Investors!$I:$I,"&lt;="&amp;'NSST Print'!$B$3,Investors!$A:$A,'Investor Exit List'!$A531,Investors!$E:$E,'Investor Exit List'!$C531,Investors!$L:$L,'Investor Exit List'!$B531)-(SUMIFS(Investors!$M:$M,Investors!$I:$I,"&lt;="&amp;'NSST Print'!$B$3,Investors!$J:$J,"&gt;"&amp;'NSST Print'!$B$3,Investors!$A:$A,'Investor Exit List'!$A531,Investors!$E:$E,'Investor Exit List'!$C531,Investors!$L:$L,'Investor Exit List'!$B531)+SUMIFS(Investors!$M:$M,Investors!$I:$I,"&lt;="&amp;'NSST Print'!$B$3,Investors!$J:$J,"",Investors!$A:$A,'Investor Exit List'!$A531,Investors!$E:$E,'Investor Exit List'!$C531,Investors!$L:$L,'Investor Exit List'!$B531))</f>
        <v/>
      </c>
      <c r="G531" s="95" t="n">
        <v>44848</v>
      </c>
      <c r="H531" s="93" t="b">
        <v>0</v>
      </c>
      <c r="I531" s="93" t="b">
        <v>0</v>
      </c>
      <c r="J531" s="95" t="n">
        <v>45475</v>
      </c>
      <c r="K531" s="95">
        <f>IF(I531=TRUE,J531,"")</f>
        <v/>
      </c>
      <c r="L531" s="95">
        <f>G531+730</f>
        <v/>
      </c>
      <c r="M531" s="95" t="n">
        <v>45382</v>
      </c>
      <c r="N531" s="96">
        <f>IFERROR(IF(G531&lt;&gt;"",IF(I531=TRUE,0,IF(U531=TRUE,0,L531-M531)),0),0)</f>
        <v/>
      </c>
      <c r="O531" s="96">
        <f>IF(N531&gt;0,IF(N531&lt;=180,N531,0),0)</f>
        <v/>
      </c>
      <c r="P531" s="94">
        <f>IF(AND(N531&lt;90,N531&gt;0),Q531,0)</f>
        <v/>
      </c>
      <c r="Q531" s="94">
        <f>SUMIFS(Investors!$M:$M,Investors!$O:$O,FALSE,Investors!$P:$P,FALSE,Investors!$K:$K,"&gt;"&amp;'NSST Print'!$B$3,Investors!$I:$I,"&lt;="&amp;'NSST Print'!$B$3,Investors!$A:$A,'Investor Exit List'!$A531,Investors!$E:$E,'Investor Exit List'!$C531,Investors!$L:$L,'Investor Exit List'!$B531)-(SUMIFS(Investors!$M:$M,Investors!$I:$I,"&lt;="&amp;'NSST Print'!$B$3,Investors!$J:$J,"&gt;"&amp;'NSST Print'!$B$3,Investors!$A:$A,'Investor Exit List'!$A531,Investors!$E:$E,'Investor Exit List'!$C531,Investors!$L:$L,'Investor Exit List'!$B531)+SUMIFS(Investors!$M:$M,Investors!$I:$I,"&lt;="&amp;'NSST Print'!$B$3,Investors!$J:$J,"",Investors!$A:$A,'Investor Exit List'!$A531,Investors!$E:$E,'Investor Exit List'!$C531,Investors!$L:$L,'Investor Exit List'!$B531))+SUMIFS(Investors!$S:$S,Investors!$O:$O,FALSE,Investors!$P:$P,FALSE,Investors!$K:$K,"&gt;"&amp;'NSST Print'!$B$3,Investors!$I:$I,"&lt;="&amp;'NSST Print'!$B$3,Investors!$A:$A,'Investor Exit List'!$A531,Investors!$E:$E,'Investor Exit List'!$C531,Investors!$L:$L,'Investor Exit List'!$B531)-(SUMIFS(Investors!$S:$S,Investors!$I:$I,"&lt;="&amp;'NSST Print'!$B$3,Investors!$J:$J,"&gt;"&amp;'NSST Print'!$B$3,Investors!$A:$A,'Investor Exit List'!$A531,Investors!$E:$E,'Investor Exit List'!$C531,Investors!$L:$L,'Investor Exit List'!$B531)+SUMIFS(Investors!$S:$S,Investors!$I:$I,"&lt;="&amp;'NSST Print'!$B$3,Investors!$J:$J,"",Investors!$A:$A,'Investor Exit List'!$A531,Investors!$E:$E,'Investor Exit List'!$C531,Investors!$L:$L,'Investor Exit List'!$B531))</f>
        <v/>
      </c>
      <c r="R531" s="94">
        <f>IF(AND(H531=TRUE,I531=FALSE),Q531,0)</f>
        <v/>
      </c>
      <c r="S531" s="94">
        <f>SUMIFS(Investors!$M:$M,Investors!$O:$O,TRUE,Investors!$A:$A,'Investor Exit List'!$A531,Investors!$E:$E,'Investor Exit List'!$C531,Investors!$L:$L,'Investor Exit List'!$B531)+SUMIFS(Investors!$S:$S,Investors!$O:$O,TRUE,Investors!$A:$A,'Investor Exit List'!$A531,Investors!$E:$E,'Investor Exit List'!$C531,Investors!$L:$L,'Investor Exit List'!$B531)</f>
        <v/>
      </c>
      <c r="T531" s="95">
        <f>IF(U531=TRUE,$J531,"")</f>
        <v/>
      </c>
      <c r="U531" s="93" t="b">
        <v>0</v>
      </c>
      <c r="V531" s="94">
        <f>IF(AND(H531=TRUE,OR(K531="",K531&gt;M531)),S531,0)</f>
        <v/>
      </c>
      <c r="W531" s="93" t="n">
        <v>0</v>
      </c>
      <c r="X531" s="93" t="b">
        <v>0</v>
      </c>
    </row>
    <row r="532">
      <c r="A532" s="93" t="inlineStr">
        <is>
          <t>ZJAN05</t>
        </is>
      </c>
      <c r="B532" s="93" t="n">
        <v>1</v>
      </c>
      <c r="C532" s="93" t="inlineStr">
        <is>
          <t>HVP201</t>
        </is>
      </c>
      <c r="D532" s="93" t="inlineStr">
        <is>
          <t>P</t>
        </is>
      </c>
      <c r="E532" s="93" t="inlineStr">
        <is>
          <t>Janse van Rensburg Gerda</t>
        </is>
      </c>
      <c r="F532" s="94">
        <f>SUMIFS(Investors!$M:$M,Investors!$O:$O,FALSE,Investors!$P:$P,FALSE,Investors!$K:$K,"&gt;"&amp;'NSST Print'!$B$3,Investors!$I:$I,"&lt;="&amp;'NSST Print'!$B$3,Investors!$A:$A,'Investor Exit List'!$A532,Investors!$E:$E,'Investor Exit List'!$C532,Investors!$L:$L,'Investor Exit List'!$B532)-(SUMIFS(Investors!$M:$M,Investors!$I:$I,"&lt;="&amp;'NSST Print'!$B$3,Investors!$J:$J,"&gt;"&amp;'NSST Print'!$B$3,Investors!$A:$A,'Investor Exit List'!$A532,Investors!$E:$E,'Investor Exit List'!$C532,Investors!$L:$L,'Investor Exit List'!$B532)+SUMIFS(Investors!$M:$M,Investors!$I:$I,"&lt;="&amp;'NSST Print'!$B$3,Investors!$J:$J,"",Investors!$A:$A,'Investor Exit List'!$A532,Investors!$E:$E,'Investor Exit List'!$C532,Investors!$L:$L,'Investor Exit List'!$B532))</f>
        <v/>
      </c>
      <c r="G532" s="95" t="n">
        <v>44861</v>
      </c>
      <c r="H532" s="93" t="b">
        <v>0</v>
      </c>
      <c r="I532" s="93" t="b">
        <v>0</v>
      </c>
      <c r="J532" s="95" t="n">
        <v>45475</v>
      </c>
      <c r="K532" s="95">
        <f>IF(I532=TRUE,J532,"")</f>
        <v/>
      </c>
      <c r="L532" s="95">
        <f>G532+730</f>
        <v/>
      </c>
      <c r="M532" s="95" t="n">
        <v>45382</v>
      </c>
      <c r="N532" s="96">
        <f>IFERROR(IF(G532&lt;&gt;"",IF(I532=TRUE,0,IF(U532=TRUE,0,L532-M532)),0),0)</f>
        <v/>
      </c>
      <c r="O532" s="96">
        <f>IF(N532&gt;0,IF(N532&lt;=180,N532,0),0)</f>
        <v/>
      </c>
      <c r="P532" s="94">
        <f>IF(AND(N532&lt;90,N532&gt;0),Q532,0)</f>
        <v/>
      </c>
      <c r="Q532" s="94">
        <f>SUMIFS(Investors!$M:$M,Investors!$O:$O,FALSE,Investors!$P:$P,FALSE,Investors!$K:$K,"&gt;"&amp;'NSST Print'!$B$3,Investors!$I:$I,"&lt;="&amp;'NSST Print'!$B$3,Investors!$A:$A,'Investor Exit List'!$A532,Investors!$E:$E,'Investor Exit List'!$C532,Investors!$L:$L,'Investor Exit List'!$B532)-(SUMIFS(Investors!$M:$M,Investors!$I:$I,"&lt;="&amp;'NSST Print'!$B$3,Investors!$J:$J,"&gt;"&amp;'NSST Print'!$B$3,Investors!$A:$A,'Investor Exit List'!$A532,Investors!$E:$E,'Investor Exit List'!$C532,Investors!$L:$L,'Investor Exit List'!$B532)+SUMIFS(Investors!$M:$M,Investors!$I:$I,"&lt;="&amp;'NSST Print'!$B$3,Investors!$J:$J,"",Investors!$A:$A,'Investor Exit List'!$A532,Investors!$E:$E,'Investor Exit List'!$C532,Investors!$L:$L,'Investor Exit List'!$B532))+SUMIFS(Investors!$S:$S,Investors!$O:$O,FALSE,Investors!$P:$P,FALSE,Investors!$K:$K,"&gt;"&amp;'NSST Print'!$B$3,Investors!$I:$I,"&lt;="&amp;'NSST Print'!$B$3,Investors!$A:$A,'Investor Exit List'!$A532,Investors!$E:$E,'Investor Exit List'!$C532,Investors!$L:$L,'Investor Exit List'!$B532)-(SUMIFS(Investors!$S:$S,Investors!$I:$I,"&lt;="&amp;'NSST Print'!$B$3,Investors!$J:$J,"&gt;"&amp;'NSST Print'!$B$3,Investors!$A:$A,'Investor Exit List'!$A532,Investors!$E:$E,'Investor Exit List'!$C532,Investors!$L:$L,'Investor Exit List'!$B532)+SUMIFS(Investors!$S:$S,Investors!$I:$I,"&lt;="&amp;'NSST Print'!$B$3,Investors!$J:$J,"",Investors!$A:$A,'Investor Exit List'!$A532,Investors!$E:$E,'Investor Exit List'!$C532,Investors!$L:$L,'Investor Exit List'!$B532))</f>
        <v/>
      </c>
      <c r="R532" s="94">
        <f>IF(AND(H532=TRUE,I532=FALSE),Q532,0)</f>
        <v/>
      </c>
      <c r="S532" s="94">
        <f>SUMIFS(Investors!$M:$M,Investors!$O:$O,TRUE,Investors!$A:$A,'Investor Exit List'!$A532,Investors!$E:$E,'Investor Exit List'!$C532,Investors!$L:$L,'Investor Exit List'!$B532)+SUMIFS(Investors!$S:$S,Investors!$O:$O,TRUE,Investors!$A:$A,'Investor Exit List'!$A532,Investors!$E:$E,'Investor Exit List'!$C532,Investors!$L:$L,'Investor Exit List'!$B532)</f>
        <v/>
      </c>
      <c r="T532" s="95">
        <f>IF(U532=TRUE,$J532,"")</f>
        <v/>
      </c>
      <c r="U532" s="93" t="b">
        <v>0</v>
      </c>
      <c r="V532" s="94">
        <f>IF(AND(H532=TRUE,OR(K532="",K532&gt;M532)),S532,0)</f>
        <v/>
      </c>
      <c r="W532" s="93" t="n">
        <v>0</v>
      </c>
      <c r="X532" s="93" t="b">
        <v>0</v>
      </c>
    </row>
    <row r="533">
      <c r="A533" s="93" t="inlineStr">
        <is>
          <t>ZNUN01</t>
        </is>
      </c>
      <c r="B533" s="93" t="n">
        <v>5</v>
      </c>
      <c r="C533" s="93" t="inlineStr">
        <is>
          <t>HVP201</t>
        </is>
      </c>
      <c r="D533" s="93" t="inlineStr">
        <is>
          <t>P</t>
        </is>
      </c>
      <c r="E533" s="93" t="inlineStr">
        <is>
          <t>Nunes Francisco Antonio</t>
        </is>
      </c>
      <c r="F533" s="94">
        <f>SUMIFS(Investors!$M:$M,Investors!$O:$O,FALSE,Investors!$P:$P,FALSE,Investors!$K:$K,"&gt;"&amp;'NSST Print'!$B$3,Investors!$I:$I,"&lt;="&amp;'NSST Print'!$B$3,Investors!$A:$A,'Investor Exit List'!$A533,Investors!$E:$E,'Investor Exit List'!$C533,Investors!$L:$L,'Investor Exit List'!$B533)-(SUMIFS(Investors!$M:$M,Investors!$I:$I,"&lt;="&amp;'NSST Print'!$B$3,Investors!$J:$J,"&gt;"&amp;'NSST Print'!$B$3,Investors!$A:$A,'Investor Exit List'!$A533,Investors!$E:$E,'Investor Exit List'!$C533,Investors!$L:$L,'Investor Exit List'!$B533)+SUMIFS(Investors!$M:$M,Investors!$I:$I,"&lt;="&amp;'NSST Print'!$B$3,Investors!$J:$J,"",Investors!$A:$A,'Investor Exit List'!$A533,Investors!$E:$E,'Investor Exit List'!$C533,Investors!$L:$L,'Investor Exit List'!$B533))</f>
        <v/>
      </c>
      <c r="G533" s="95" t="n">
        <v>44826</v>
      </c>
      <c r="H533" s="93" t="b">
        <v>0</v>
      </c>
      <c r="I533" s="93" t="b">
        <v>0</v>
      </c>
      <c r="J533" s="95" t="n">
        <v>45475</v>
      </c>
      <c r="K533" s="95">
        <f>IF(I533=TRUE,J533,"")</f>
        <v/>
      </c>
      <c r="L533" s="95">
        <f>G533+730</f>
        <v/>
      </c>
      <c r="M533" s="95" t="n">
        <v>45382</v>
      </c>
      <c r="N533" s="96">
        <f>IFERROR(IF(G533&lt;&gt;"",IF(I533=TRUE,0,IF(U533=TRUE,0,L533-M533)),0),0)</f>
        <v/>
      </c>
      <c r="O533" s="96">
        <f>IF(N533&gt;0,IF(N533&lt;=180,N533,0),0)</f>
        <v/>
      </c>
      <c r="P533" s="94">
        <f>IF(AND(N533&lt;90,N533&gt;0),Q533,0)</f>
        <v/>
      </c>
      <c r="Q533" s="94">
        <f>SUMIFS(Investors!$M:$M,Investors!$O:$O,FALSE,Investors!$P:$P,FALSE,Investors!$K:$K,"&gt;"&amp;'NSST Print'!$B$3,Investors!$I:$I,"&lt;="&amp;'NSST Print'!$B$3,Investors!$A:$A,'Investor Exit List'!$A533,Investors!$E:$E,'Investor Exit List'!$C533,Investors!$L:$L,'Investor Exit List'!$B533)-(SUMIFS(Investors!$M:$M,Investors!$I:$I,"&lt;="&amp;'NSST Print'!$B$3,Investors!$J:$J,"&gt;"&amp;'NSST Print'!$B$3,Investors!$A:$A,'Investor Exit List'!$A533,Investors!$E:$E,'Investor Exit List'!$C533,Investors!$L:$L,'Investor Exit List'!$B533)+SUMIFS(Investors!$M:$M,Investors!$I:$I,"&lt;="&amp;'NSST Print'!$B$3,Investors!$J:$J,"",Investors!$A:$A,'Investor Exit List'!$A533,Investors!$E:$E,'Investor Exit List'!$C533,Investors!$L:$L,'Investor Exit List'!$B533))+SUMIFS(Investors!$S:$S,Investors!$O:$O,FALSE,Investors!$P:$P,FALSE,Investors!$K:$K,"&gt;"&amp;'NSST Print'!$B$3,Investors!$I:$I,"&lt;="&amp;'NSST Print'!$B$3,Investors!$A:$A,'Investor Exit List'!$A533,Investors!$E:$E,'Investor Exit List'!$C533,Investors!$L:$L,'Investor Exit List'!$B533)-(SUMIFS(Investors!$S:$S,Investors!$I:$I,"&lt;="&amp;'NSST Print'!$B$3,Investors!$J:$J,"&gt;"&amp;'NSST Print'!$B$3,Investors!$A:$A,'Investor Exit List'!$A533,Investors!$E:$E,'Investor Exit List'!$C533,Investors!$L:$L,'Investor Exit List'!$B533)+SUMIFS(Investors!$S:$S,Investors!$I:$I,"&lt;="&amp;'NSST Print'!$B$3,Investors!$J:$J,"",Investors!$A:$A,'Investor Exit List'!$A533,Investors!$E:$E,'Investor Exit List'!$C533,Investors!$L:$L,'Investor Exit List'!$B533))</f>
        <v/>
      </c>
      <c r="R533" s="94">
        <f>IF(AND(H533=TRUE,I533=FALSE),Q533,0)</f>
        <v/>
      </c>
      <c r="S533" s="94">
        <f>SUMIFS(Investors!$M:$M,Investors!$O:$O,TRUE,Investors!$A:$A,'Investor Exit List'!$A533,Investors!$E:$E,'Investor Exit List'!$C533,Investors!$L:$L,'Investor Exit List'!$B533)+SUMIFS(Investors!$S:$S,Investors!$O:$O,TRUE,Investors!$A:$A,'Investor Exit List'!$A533,Investors!$E:$E,'Investor Exit List'!$C533,Investors!$L:$L,'Investor Exit List'!$B533)</f>
        <v/>
      </c>
      <c r="T533" s="95">
        <f>IF(U533=TRUE,$J533,"")</f>
        <v/>
      </c>
      <c r="U533" s="93" t="b">
        <v>0</v>
      </c>
      <c r="V533" s="94">
        <f>IF(AND(H533=TRUE,OR(K533="",K533&gt;M533)),S533,0)</f>
        <v/>
      </c>
      <c r="W533" s="93" t="n">
        <v>0</v>
      </c>
      <c r="X533" s="93" t="b">
        <v>0</v>
      </c>
    </row>
    <row r="534">
      <c r="A534" s="93" t="inlineStr">
        <is>
          <t>ZZEE01</t>
        </is>
      </c>
      <c r="B534" s="93" t="n">
        <v>2</v>
      </c>
      <c r="C534" s="93" t="inlineStr">
        <is>
          <t>HVP201</t>
        </is>
      </c>
      <c r="D534" s="93" t="inlineStr">
        <is>
          <t>P</t>
        </is>
      </c>
      <c r="E534" s="93" t="inlineStr">
        <is>
          <t>Zeeman Michael Christiaan</t>
        </is>
      </c>
      <c r="F534" s="94">
        <f>SUMIFS(Investors!$M:$M,Investors!$O:$O,FALSE,Investors!$P:$P,FALSE,Investors!$K:$K,"&gt;"&amp;'NSST Print'!$B$3,Investors!$I:$I,"&lt;="&amp;'NSST Print'!$B$3,Investors!$A:$A,'Investor Exit List'!$A534,Investors!$E:$E,'Investor Exit List'!$C534,Investors!$L:$L,'Investor Exit List'!$B534)-(SUMIFS(Investors!$M:$M,Investors!$I:$I,"&lt;="&amp;'NSST Print'!$B$3,Investors!$J:$J,"&gt;"&amp;'NSST Print'!$B$3,Investors!$A:$A,'Investor Exit List'!$A534,Investors!$E:$E,'Investor Exit List'!$C534,Investors!$L:$L,'Investor Exit List'!$B534)+SUMIFS(Investors!$M:$M,Investors!$I:$I,"&lt;="&amp;'NSST Print'!$B$3,Investors!$J:$J,"",Investors!$A:$A,'Investor Exit List'!$A534,Investors!$E:$E,'Investor Exit List'!$C534,Investors!$L:$L,'Investor Exit List'!$B534))</f>
        <v/>
      </c>
      <c r="G534" s="95" t="n">
        <v>44826</v>
      </c>
      <c r="H534" s="93" t="b">
        <v>0</v>
      </c>
      <c r="I534" s="93" t="b">
        <v>0</v>
      </c>
      <c r="J534" s="95" t="n">
        <v>45475</v>
      </c>
      <c r="K534" s="95">
        <f>IF(I534=TRUE,J534,"")</f>
        <v/>
      </c>
      <c r="L534" s="95">
        <f>G534+730</f>
        <v/>
      </c>
      <c r="M534" s="95" t="n">
        <v>45382</v>
      </c>
      <c r="N534" s="96">
        <f>IFERROR(IF(G534&lt;&gt;"",IF(I534=TRUE,0,IF(U534=TRUE,0,L534-M534)),0),0)</f>
        <v/>
      </c>
      <c r="O534" s="96">
        <f>IF(N534&gt;0,IF(N534&lt;=180,N534,0),0)</f>
        <v/>
      </c>
      <c r="P534" s="94">
        <f>IF(AND(N534&lt;90,N534&gt;0),Q534,0)</f>
        <v/>
      </c>
      <c r="Q534" s="94">
        <f>SUMIFS(Investors!$M:$M,Investors!$O:$O,FALSE,Investors!$P:$P,FALSE,Investors!$K:$K,"&gt;"&amp;'NSST Print'!$B$3,Investors!$I:$I,"&lt;="&amp;'NSST Print'!$B$3,Investors!$A:$A,'Investor Exit List'!$A534,Investors!$E:$E,'Investor Exit List'!$C534,Investors!$L:$L,'Investor Exit List'!$B534)-(SUMIFS(Investors!$M:$M,Investors!$I:$I,"&lt;="&amp;'NSST Print'!$B$3,Investors!$J:$J,"&gt;"&amp;'NSST Print'!$B$3,Investors!$A:$A,'Investor Exit List'!$A534,Investors!$E:$E,'Investor Exit List'!$C534,Investors!$L:$L,'Investor Exit List'!$B534)+SUMIFS(Investors!$M:$M,Investors!$I:$I,"&lt;="&amp;'NSST Print'!$B$3,Investors!$J:$J,"",Investors!$A:$A,'Investor Exit List'!$A534,Investors!$E:$E,'Investor Exit List'!$C534,Investors!$L:$L,'Investor Exit List'!$B534))+SUMIFS(Investors!$S:$S,Investors!$O:$O,FALSE,Investors!$P:$P,FALSE,Investors!$K:$K,"&gt;"&amp;'NSST Print'!$B$3,Investors!$I:$I,"&lt;="&amp;'NSST Print'!$B$3,Investors!$A:$A,'Investor Exit List'!$A534,Investors!$E:$E,'Investor Exit List'!$C534,Investors!$L:$L,'Investor Exit List'!$B534)-(SUMIFS(Investors!$S:$S,Investors!$I:$I,"&lt;="&amp;'NSST Print'!$B$3,Investors!$J:$J,"&gt;"&amp;'NSST Print'!$B$3,Investors!$A:$A,'Investor Exit List'!$A534,Investors!$E:$E,'Investor Exit List'!$C534,Investors!$L:$L,'Investor Exit List'!$B534)+SUMIFS(Investors!$S:$S,Investors!$I:$I,"&lt;="&amp;'NSST Print'!$B$3,Investors!$J:$J,"",Investors!$A:$A,'Investor Exit List'!$A534,Investors!$E:$E,'Investor Exit List'!$C534,Investors!$L:$L,'Investor Exit List'!$B534))</f>
        <v/>
      </c>
      <c r="R534" s="94">
        <f>IF(AND(H534=TRUE,I534=FALSE),Q534,0)</f>
        <v/>
      </c>
      <c r="S534" s="94">
        <f>SUMIFS(Investors!$M:$M,Investors!$O:$O,TRUE,Investors!$A:$A,'Investor Exit List'!$A534,Investors!$E:$E,'Investor Exit List'!$C534,Investors!$L:$L,'Investor Exit List'!$B534)+SUMIFS(Investors!$S:$S,Investors!$O:$O,TRUE,Investors!$A:$A,'Investor Exit List'!$A534,Investors!$E:$E,'Investor Exit List'!$C534,Investors!$L:$L,'Investor Exit List'!$B534)</f>
        <v/>
      </c>
      <c r="T534" s="95">
        <f>IF(U534=TRUE,$J534,"")</f>
        <v/>
      </c>
      <c r="U534" s="93" t="b">
        <v>0</v>
      </c>
      <c r="V534" s="94">
        <f>IF(AND(H534=TRUE,OR(K534="",K534&gt;M534)),S534,0)</f>
        <v/>
      </c>
      <c r="W534" s="93" t="n">
        <v>0</v>
      </c>
      <c r="X534" s="93" t="b">
        <v>0</v>
      </c>
    </row>
    <row r="535" hidden="1">
      <c r="A535" s="89" t="inlineStr">
        <is>
          <t>ZBUR01</t>
        </is>
      </c>
      <c r="B535" s="89" t="n">
        <v>2</v>
      </c>
      <c r="C535" s="89" t="inlineStr">
        <is>
          <t>HVP202</t>
        </is>
      </c>
      <c r="D535" s="89" t="inlineStr">
        <is>
          <t>P</t>
        </is>
      </c>
      <c r="E535" s="89" t="inlineStr">
        <is>
          <t>Burger Barend Frederik</t>
        </is>
      </c>
      <c r="F535" s="90">
        <f>SUMIFS(Investors!$M:$M,Investors!$O:$O,FALSE,Investors!$P:$P,FALSE,Investors!$K:$K,"&gt;"&amp;'NSST Print'!$B$3,Investors!$I:$I,"&lt;="&amp;'NSST Print'!$B$3,Investors!$A:$A,'Investor Exit List'!$A535,Investors!$E:$E,'Investor Exit List'!$C535,Investors!$L:$L,'Investor Exit List'!$B535)-(SUMIFS(Investors!$M:$M,Investors!$I:$I,"&lt;="&amp;'NSST Print'!$B$3,Investors!$J:$J,"&gt;"&amp;'NSST Print'!$B$3,Investors!$A:$A,'Investor Exit List'!$A535,Investors!$E:$E,'Investor Exit List'!$C535,Investors!$L:$L,'Investor Exit List'!$B535)+SUMIFS(Investors!$M:$M,Investors!$I:$I,"&lt;="&amp;'NSST Print'!$B$3,Investors!$J:$J,"",Investors!$A:$A,'Investor Exit List'!$A535,Investors!$E:$E,'Investor Exit List'!$C535,Investors!$L:$L,'Investor Exit List'!$B535))</f>
        <v/>
      </c>
      <c r="G535" s="91" t="n">
        <v>45107</v>
      </c>
      <c r="H535" s="89" t="b">
        <v>1</v>
      </c>
      <c r="I535" s="89" t="b">
        <v>1</v>
      </c>
      <c r="J535" s="91" t="n">
        <v>45191</v>
      </c>
      <c r="K535" s="91">
        <f>IF(I535=TRUE,J535,"")</f>
        <v/>
      </c>
      <c r="L535" s="91">
        <f>G535+730</f>
        <v/>
      </c>
      <c r="M535" s="91" t="n">
        <v>45382</v>
      </c>
      <c r="N535" s="92">
        <f>IFERROR(IF(G535&lt;&gt;"",IF(I535=TRUE,0,IF(U535=TRUE,0,L535-M535)),0),0)</f>
        <v/>
      </c>
      <c r="O535" s="92">
        <f>IF(N535&gt;0,IF(N535&lt;=180,N535,0),0)</f>
        <v/>
      </c>
      <c r="P535" s="90">
        <f>IF(AND(N535&lt;90,N535&gt;0),Q535,0)</f>
        <v/>
      </c>
      <c r="Q535" s="90">
        <f>SUMIFS(Investors!$M:$M,Investors!$O:$O,FALSE,Investors!$P:$P,FALSE,Investors!$K:$K,"&gt;"&amp;'NSST Print'!$B$3,Investors!$I:$I,"&lt;="&amp;'NSST Print'!$B$3,Investors!$A:$A,'Investor Exit List'!$A535,Investors!$E:$E,'Investor Exit List'!$C535,Investors!$L:$L,'Investor Exit List'!$B535)-(SUMIFS(Investors!$M:$M,Investors!$I:$I,"&lt;="&amp;'NSST Print'!$B$3,Investors!$J:$J,"&gt;"&amp;'NSST Print'!$B$3,Investors!$A:$A,'Investor Exit List'!$A535,Investors!$E:$E,'Investor Exit List'!$C535,Investors!$L:$L,'Investor Exit List'!$B535)+SUMIFS(Investors!$M:$M,Investors!$I:$I,"&lt;="&amp;'NSST Print'!$B$3,Investors!$J:$J,"",Investors!$A:$A,'Investor Exit List'!$A535,Investors!$E:$E,'Investor Exit List'!$C535,Investors!$L:$L,'Investor Exit List'!$B535))+SUMIFS(Investors!$S:$S,Investors!$O:$O,FALSE,Investors!$P:$P,FALSE,Investors!$K:$K,"&gt;"&amp;'NSST Print'!$B$3,Investors!$I:$I,"&lt;="&amp;'NSST Print'!$B$3,Investors!$A:$A,'Investor Exit List'!$A535,Investors!$E:$E,'Investor Exit List'!$C535,Investors!$L:$L,'Investor Exit List'!$B535)-(SUMIFS(Investors!$S:$S,Investors!$I:$I,"&lt;="&amp;'NSST Print'!$B$3,Investors!$J:$J,"&gt;"&amp;'NSST Print'!$B$3,Investors!$A:$A,'Investor Exit List'!$A535,Investors!$E:$E,'Investor Exit List'!$C535,Investors!$L:$L,'Investor Exit List'!$B535)+SUMIFS(Investors!$S:$S,Investors!$I:$I,"&lt;="&amp;'NSST Print'!$B$3,Investors!$J:$J,"",Investors!$A:$A,'Investor Exit List'!$A535,Investors!$E:$E,'Investor Exit List'!$C535,Investors!$L:$L,'Investor Exit List'!$B535))</f>
        <v/>
      </c>
      <c r="R535" s="90">
        <f>IF(AND(H535=TRUE,I535=FALSE),Q535,0)</f>
        <v/>
      </c>
      <c r="S535" s="90">
        <f>SUMIFS(Investors!$M:$M,Investors!$O:$O,TRUE,Investors!$A:$A,'Investor Exit List'!$A535,Investors!$E:$E,'Investor Exit List'!$C535,Investors!$L:$L,'Investor Exit List'!$B535)+SUMIFS(Investors!$S:$S,Investors!$O:$O,TRUE,Investors!$A:$A,'Investor Exit List'!$A535,Investors!$E:$E,'Investor Exit List'!$C535,Investors!$L:$L,'Investor Exit List'!$B535)</f>
        <v/>
      </c>
      <c r="T535" s="91">
        <f>IF(U535=TRUE,$J535,"")</f>
        <v/>
      </c>
      <c r="U535" s="89" t="b">
        <v>0</v>
      </c>
      <c r="V535" s="90">
        <f>IF(AND(H535=TRUE,OR(K535="",K535&gt;M535)),S535,0)</f>
        <v/>
      </c>
      <c r="W535" s="89" t="n">
        <v>0</v>
      </c>
      <c r="X535" s="89" t="b">
        <v>0</v>
      </c>
    </row>
    <row r="536" hidden="1">
      <c r="A536" s="89" t="inlineStr">
        <is>
          <t>ZCRO01</t>
        </is>
      </c>
      <c r="B536" s="89" t="n">
        <v>15</v>
      </c>
      <c r="C536" s="89" t="inlineStr">
        <is>
          <t>HVP202</t>
        </is>
      </c>
      <c r="D536" s="89" t="inlineStr">
        <is>
          <t>P</t>
        </is>
      </c>
      <c r="E536" s="89" t="inlineStr">
        <is>
          <t>Lunau Marc</t>
        </is>
      </c>
      <c r="F536" s="90">
        <f>SUMIFS(Investors!$M:$M,Investors!$O:$O,FALSE,Investors!$P:$P,FALSE,Investors!$K:$K,"&gt;"&amp;'NSST Print'!$B$3,Investors!$I:$I,"&lt;="&amp;'NSST Print'!$B$3,Investors!$A:$A,'Investor Exit List'!$A536,Investors!$E:$E,'Investor Exit List'!$C536,Investors!$L:$L,'Investor Exit List'!$B536)-(SUMIFS(Investors!$M:$M,Investors!$I:$I,"&lt;="&amp;'NSST Print'!$B$3,Investors!$J:$J,"&gt;"&amp;'NSST Print'!$B$3,Investors!$A:$A,'Investor Exit List'!$A536,Investors!$E:$E,'Investor Exit List'!$C536,Investors!$L:$L,'Investor Exit List'!$B536)+SUMIFS(Investors!$M:$M,Investors!$I:$I,"&lt;="&amp;'NSST Print'!$B$3,Investors!$J:$J,"",Investors!$A:$A,'Investor Exit List'!$A536,Investors!$E:$E,'Investor Exit List'!$C536,Investors!$L:$L,'Investor Exit List'!$B536))</f>
        <v/>
      </c>
      <c r="G536" s="91" t="n">
        <v>45107</v>
      </c>
      <c r="H536" s="89" t="b">
        <v>1</v>
      </c>
      <c r="I536" s="89" t="b">
        <v>1</v>
      </c>
      <c r="J536" s="91" t="n">
        <v>45191</v>
      </c>
      <c r="K536" s="91">
        <f>IF(I536=TRUE,J536,"")</f>
        <v/>
      </c>
      <c r="L536" s="91">
        <f>G536+730</f>
        <v/>
      </c>
      <c r="M536" s="91" t="n">
        <v>45382</v>
      </c>
      <c r="N536" s="92">
        <f>IFERROR(IF(G536&lt;&gt;"",IF(I536=TRUE,0,IF(U536=TRUE,0,L536-M536)),0),0)</f>
        <v/>
      </c>
      <c r="O536" s="92">
        <f>IF(N536&gt;0,IF(N536&lt;=180,N536,0),0)</f>
        <v/>
      </c>
      <c r="P536" s="90">
        <f>IF(AND(N536&lt;90,N536&gt;0),Q536,0)</f>
        <v/>
      </c>
      <c r="Q536" s="90">
        <f>SUMIFS(Investors!$M:$M,Investors!$O:$O,FALSE,Investors!$P:$P,FALSE,Investors!$K:$K,"&gt;"&amp;'NSST Print'!$B$3,Investors!$I:$I,"&lt;="&amp;'NSST Print'!$B$3,Investors!$A:$A,'Investor Exit List'!$A536,Investors!$E:$E,'Investor Exit List'!$C536,Investors!$L:$L,'Investor Exit List'!$B536)-(SUMIFS(Investors!$M:$M,Investors!$I:$I,"&lt;="&amp;'NSST Print'!$B$3,Investors!$J:$J,"&gt;"&amp;'NSST Print'!$B$3,Investors!$A:$A,'Investor Exit List'!$A536,Investors!$E:$E,'Investor Exit List'!$C536,Investors!$L:$L,'Investor Exit List'!$B536)+SUMIFS(Investors!$M:$M,Investors!$I:$I,"&lt;="&amp;'NSST Print'!$B$3,Investors!$J:$J,"",Investors!$A:$A,'Investor Exit List'!$A536,Investors!$E:$E,'Investor Exit List'!$C536,Investors!$L:$L,'Investor Exit List'!$B536))+SUMIFS(Investors!$S:$S,Investors!$O:$O,FALSE,Investors!$P:$P,FALSE,Investors!$K:$K,"&gt;"&amp;'NSST Print'!$B$3,Investors!$I:$I,"&lt;="&amp;'NSST Print'!$B$3,Investors!$A:$A,'Investor Exit List'!$A536,Investors!$E:$E,'Investor Exit List'!$C536,Investors!$L:$L,'Investor Exit List'!$B536)-(SUMIFS(Investors!$S:$S,Investors!$I:$I,"&lt;="&amp;'NSST Print'!$B$3,Investors!$J:$J,"&gt;"&amp;'NSST Print'!$B$3,Investors!$A:$A,'Investor Exit List'!$A536,Investors!$E:$E,'Investor Exit List'!$C536,Investors!$L:$L,'Investor Exit List'!$B536)+SUMIFS(Investors!$S:$S,Investors!$I:$I,"&lt;="&amp;'NSST Print'!$B$3,Investors!$J:$J,"",Investors!$A:$A,'Investor Exit List'!$A536,Investors!$E:$E,'Investor Exit List'!$C536,Investors!$L:$L,'Investor Exit List'!$B536))</f>
        <v/>
      </c>
      <c r="R536" s="90">
        <f>IF(AND(H536=TRUE,I536=FALSE),Q536,0)</f>
        <v/>
      </c>
      <c r="S536" s="90">
        <f>SUMIFS(Investors!$M:$M,Investors!$O:$O,TRUE,Investors!$A:$A,'Investor Exit List'!$A536,Investors!$E:$E,'Investor Exit List'!$C536,Investors!$L:$L,'Investor Exit List'!$B536)+SUMIFS(Investors!$S:$S,Investors!$O:$O,TRUE,Investors!$A:$A,'Investor Exit List'!$A536,Investors!$E:$E,'Investor Exit List'!$C536,Investors!$L:$L,'Investor Exit List'!$B536)</f>
        <v/>
      </c>
      <c r="T536" s="91">
        <f>IF(U536=TRUE,$J536,"")</f>
        <v/>
      </c>
      <c r="U536" s="89" t="b">
        <v>0</v>
      </c>
      <c r="V536" s="90">
        <f>IF(AND(H536=TRUE,OR(K536="",K536&gt;M536)),S536,0)</f>
        <v/>
      </c>
      <c r="W536" s="89" t="n">
        <v>0</v>
      </c>
      <c r="X536" s="89" t="b">
        <v>0</v>
      </c>
    </row>
    <row r="537" hidden="1">
      <c r="A537" s="89" t="inlineStr">
        <is>
          <t>ZDUP04</t>
        </is>
      </c>
      <c r="B537" s="89" t="n">
        <v>1</v>
      </c>
      <c r="C537" s="89" t="inlineStr">
        <is>
          <t>HVP202</t>
        </is>
      </c>
      <c r="D537" s="89" t="inlineStr">
        <is>
          <t>P</t>
        </is>
      </c>
      <c r="E537" s="89" t="inlineStr">
        <is>
          <t>du Plessis Emile</t>
        </is>
      </c>
      <c r="F537" s="90">
        <f>SUMIFS(Investors!$M:$M,Investors!$O:$O,FALSE,Investors!$P:$P,FALSE,Investors!$K:$K,"&gt;"&amp;'NSST Print'!$B$3,Investors!$I:$I,"&lt;="&amp;'NSST Print'!$B$3,Investors!$A:$A,'Investor Exit List'!$A537,Investors!$E:$E,'Investor Exit List'!$C537,Investors!$L:$L,'Investor Exit List'!$B537)-(SUMIFS(Investors!$M:$M,Investors!$I:$I,"&lt;="&amp;'NSST Print'!$B$3,Investors!$J:$J,"&gt;"&amp;'NSST Print'!$B$3,Investors!$A:$A,'Investor Exit List'!$A537,Investors!$E:$E,'Investor Exit List'!$C537,Investors!$L:$L,'Investor Exit List'!$B537)+SUMIFS(Investors!$M:$M,Investors!$I:$I,"&lt;="&amp;'NSST Print'!$B$3,Investors!$J:$J,"",Investors!$A:$A,'Investor Exit List'!$A537,Investors!$E:$E,'Investor Exit List'!$C537,Investors!$L:$L,'Investor Exit List'!$B537))</f>
        <v/>
      </c>
      <c r="G537" s="91" t="n">
        <v>44868</v>
      </c>
      <c r="H537" s="89" t="b">
        <v>1</v>
      </c>
      <c r="I537" s="89" t="b">
        <v>1</v>
      </c>
      <c r="J537" s="91" t="n">
        <v>45191</v>
      </c>
      <c r="K537" s="91">
        <f>IF(I537=TRUE,J537,"")</f>
        <v/>
      </c>
      <c r="L537" s="91">
        <f>G537+730</f>
        <v/>
      </c>
      <c r="M537" s="91" t="n">
        <v>45382</v>
      </c>
      <c r="N537" s="92">
        <f>IFERROR(IF(G537&lt;&gt;"",IF(I537=TRUE,0,IF(U537=TRUE,0,L537-M537)),0),0)</f>
        <v/>
      </c>
      <c r="O537" s="92">
        <f>IF(N537&gt;0,IF(N537&lt;=180,N537,0),0)</f>
        <v/>
      </c>
      <c r="P537" s="90">
        <f>IF(AND(N537&lt;90,N537&gt;0),Q537,0)</f>
        <v/>
      </c>
      <c r="Q537" s="90">
        <f>SUMIFS(Investors!$M:$M,Investors!$O:$O,FALSE,Investors!$P:$P,FALSE,Investors!$K:$K,"&gt;"&amp;'NSST Print'!$B$3,Investors!$I:$I,"&lt;="&amp;'NSST Print'!$B$3,Investors!$A:$A,'Investor Exit List'!$A537,Investors!$E:$E,'Investor Exit List'!$C537,Investors!$L:$L,'Investor Exit List'!$B537)-(SUMIFS(Investors!$M:$M,Investors!$I:$I,"&lt;="&amp;'NSST Print'!$B$3,Investors!$J:$J,"&gt;"&amp;'NSST Print'!$B$3,Investors!$A:$A,'Investor Exit List'!$A537,Investors!$E:$E,'Investor Exit List'!$C537,Investors!$L:$L,'Investor Exit List'!$B537)+SUMIFS(Investors!$M:$M,Investors!$I:$I,"&lt;="&amp;'NSST Print'!$B$3,Investors!$J:$J,"",Investors!$A:$A,'Investor Exit List'!$A537,Investors!$E:$E,'Investor Exit List'!$C537,Investors!$L:$L,'Investor Exit List'!$B537))+SUMIFS(Investors!$S:$S,Investors!$O:$O,FALSE,Investors!$P:$P,FALSE,Investors!$K:$K,"&gt;"&amp;'NSST Print'!$B$3,Investors!$I:$I,"&lt;="&amp;'NSST Print'!$B$3,Investors!$A:$A,'Investor Exit List'!$A537,Investors!$E:$E,'Investor Exit List'!$C537,Investors!$L:$L,'Investor Exit List'!$B537)-(SUMIFS(Investors!$S:$S,Investors!$I:$I,"&lt;="&amp;'NSST Print'!$B$3,Investors!$J:$J,"&gt;"&amp;'NSST Print'!$B$3,Investors!$A:$A,'Investor Exit List'!$A537,Investors!$E:$E,'Investor Exit List'!$C537,Investors!$L:$L,'Investor Exit List'!$B537)+SUMIFS(Investors!$S:$S,Investors!$I:$I,"&lt;="&amp;'NSST Print'!$B$3,Investors!$J:$J,"",Investors!$A:$A,'Investor Exit List'!$A537,Investors!$E:$E,'Investor Exit List'!$C537,Investors!$L:$L,'Investor Exit List'!$B537))</f>
        <v/>
      </c>
      <c r="R537" s="90">
        <f>IF(AND(H537=TRUE,I537=FALSE),Q537,0)</f>
        <v/>
      </c>
      <c r="S537" s="90">
        <f>SUMIFS(Investors!$M:$M,Investors!$O:$O,TRUE,Investors!$A:$A,'Investor Exit List'!$A537,Investors!$E:$E,'Investor Exit List'!$C537,Investors!$L:$L,'Investor Exit List'!$B537)+SUMIFS(Investors!$S:$S,Investors!$O:$O,TRUE,Investors!$A:$A,'Investor Exit List'!$A537,Investors!$E:$E,'Investor Exit List'!$C537,Investors!$L:$L,'Investor Exit List'!$B537)</f>
        <v/>
      </c>
      <c r="T537" s="91">
        <f>IF(U537=TRUE,$J537,"")</f>
        <v/>
      </c>
      <c r="U537" s="89" t="b">
        <v>0</v>
      </c>
      <c r="V537" s="90">
        <f>IF(AND(H537=TRUE,OR(K537="",K537&gt;M537)),S537,0)</f>
        <v/>
      </c>
      <c r="W537" s="89" t="n">
        <v>0</v>
      </c>
      <c r="X537" s="89" t="b">
        <v>0</v>
      </c>
    </row>
    <row r="538" hidden="1">
      <c r="A538" s="89" t="inlineStr">
        <is>
          <t>ZVAN10</t>
        </is>
      </c>
      <c r="B538" s="89" t="n">
        <v>3</v>
      </c>
      <c r="C538" s="89" t="inlineStr">
        <is>
          <t>HVP202</t>
        </is>
      </c>
      <c r="D538" s="89" t="inlineStr">
        <is>
          <t>P</t>
        </is>
      </c>
      <c r="E538" s="89" t="inlineStr">
        <is>
          <t>van der Merwe Wilhelm Johannes</t>
        </is>
      </c>
      <c r="F538" s="90">
        <f>SUMIFS(Investors!$M:$M,Investors!$O:$O,FALSE,Investors!$P:$P,FALSE,Investors!$K:$K,"&gt;"&amp;'NSST Print'!$B$3,Investors!$I:$I,"&lt;="&amp;'NSST Print'!$B$3,Investors!$A:$A,'Investor Exit List'!$A538,Investors!$E:$E,'Investor Exit List'!$C538,Investors!$L:$L,'Investor Exit List'!$B538)-(SUMIFS(Investors!$M:$M,Investors!$I:$I,"&lt;="&amp;'NSST Print'!$B$3,Investors!$J:$J,"&gt;"&amp;'NSST Print'!$B$3,Investors!$A:$A,'Investor Exit List'!$A538,Investors!$E:$E,'Investor Exit List'!$C538,Investors!$L:$L,'Investor Exit List'!$B538)+SUMIFS(Investors!$M:$M,Investors!$I:$I,"&lt;="&amp;'NSST Print'!$B$3,Investors!$J:$J,"",Investors!$A:$A,'Investor Exit List'!$A538,Investors!$E:$E,'Investor Exit List'!$C538,Investors!$L:$L,'Investor Exit List'!$B538))</f>
        <v/>
      </c>
      <c r="G538" s="91" t="n">
        <v>45107</v>
      </c>
      <c r="H538" s="89" t="b">
        <v>1</v>
      </c>
      <c r="I538" s="89" t="b">
        <v>1</v>
      </c>
      <c r="J538" s="91" t="n">
        <v>45191</v>
      </c>
      <c r="K538" s="91">
        <f>IF(I538=TRUE,J538,"")</f>
        <v/>
      </c>
      <c r="L538" s="91">
        <f>G538+730</f>
        <v/>
      </c>
      <c r="M538" s="91" t="n">
        <v>45382</v>
      </c>
      <c r="N538" s="92">
        <f>IFERROR(IF(G538&lt;&gt;"",IF(I538=TRUE,0,IF(U538=TRUE,0,L538-M538)),0),0)</f>
        <v/>
      </c>
      <c r="O538" s="92">
        <f>IF(N538&gt;0,IF(N538&lt;=180,N538,0),0)</f>
        <v/>
      </c>
      <c r="P538" s="90">
        <f>IF(AND(N538&lt;90,N538&gt;0),Q538,0)</f>
        <v/>
      </c>
      <c r="Q538" s="90">
        <f>SUMIFS(Investors!$M:$M,Investors!$O:$O,FALSE,Investors!$P:$P,FALSE,Investors!$K:$K,"&gt;"&amp;'NSST Print'!$B$3,Investors!$I:$I,"&lt;="&amp;'NSST Print'!$B$3,Investors!$A:$A,'Investor Exit List'!$A538,Investors!$E:$E,'Investor Exit List'!$C538,Investors!$L:$L,'Investor Exit List'!$B538)-(SUMIFS(Investors!$M:$M,Investors!$I:$I,"&lt;="&amp;'NSST Print'!$B$3,Investors!$J:$J,"&gt;"&amp;'NSST Print'!$B$3,Investors!$A:$A,'Investor Exit List'!$A538,Investors!$E:$E,'Investor Exit List'!$C538,Investors!$L:$L,'Investor Exit List'!$B538)+SUMIFS(Investors!$M:$M,Investors!$I:$I,"&lt;="&amp;'NSST Print'!$B$3,Investors!$J:$J,"",Investors!$A:$A,'Investor Exit List'!$A538,Investors!$E:$E,'Investor Exit List'!$C538,Investors!$L:$L,'Investor Exit List'!$B538))+SUMIFS(Investors!$S:$S,Investors!$O:$O,FALSE,Investors!$P:$P,FALSE,Investors!$K:$K,"&gt;"&amp;'NSST Print'!$B$3,Investors!$I:$I,"&lt;="&amp;'NSST Print'!$B$3,Investors!$A:$A,'Investor Exit List'!$A538,Investors!$E:$E,'Investor Exit List'!$C538,Investors!$L:$L,'Investor Exit List'!$B538)-(SUMIFS(Investors!$S:$S,Investors!$I:$I,"&lt;="&amp;'NSST Print'!$B$3,Investors!$J:$J,"&gt;"&amp;'NSST Print'!$B$3,Investors!$A:$A,'Investor Exit List'!$A538,Investors!$E:$E,'Investor Exit List'!$C538,Investors!$L:$L,'Investor Exit List'!$B538)+SUMIFS(Investors!$S:$S,Investors!$I:$I,"&lt;="&amp;'NSST Print'!$B$3,Investors!$J:$J,"",Investors!$A:$A,'Investor Exit List'!$A538,Investors!$E:$E,'Investor Exit List'!$C538,Investors!$L:$L,'Investor Exit List'!$B538))</f>
        <v/>
      </c>
      <c r="R538" s="90">
        <f>IF(AND(H538=TRUE,I538=FALSE),Q538,0)</f>
        <v/>
      </c>
      <c r="S538" s="90">
        <f>SUMIFS(Investors!$M:$M,Investors!$O:$O,TRUE,Investors!$A:$A,'Investor Exit List'!$A538,Investors!$E:$E,'Investor Exit List'!$C538,Investors!$L:$L,'Investor Exit List'!$B538)+SUMIFS(Investors!$S:$S,Investors!$O:$O,TRUE,Investors!$A:$A,'Investor Exit List'!$A538,Investors!$E:$E,'Investor Exit List'!$C538,Investors!$L:$L,'Investor Exit List'!$B538)</f>
        <v/>
      </c>
      <c r="T538" s="91">
        <f>IF(U538=TRUE,$J538,"")</f>
        <v/>
      </c>
      <c r="U538" s="89" t="b">
        <v>0</v>
      </c>
      <c r="V538" s="90">
        <f>IF(AND(H538=TRUE,OR(K538="",K538&gt;M538)),S538,0)</f>
        <v/>
      </c>
      <c r="W538" s="89" t="n">
        <v>0</v>
      </c>
      <c r="X538" s="89" t="b">
        <v>0</v>
      </c>
    </row>
    <row r="539">
      <c r="A539" s="93" t="inlineStr">
        <is>
          <t>ZSON01</t>
        </is>
      </c>
      <c r="B539" s="93" t="n">
        <v>13</v>
      </c>
      <c r="C539" s="93" t="inlineStr">
        <is>
          <t>HVP203</t>
        </is>
      </c>
      <c r="D539" s="93" t="inlineStr">
        <is>
          <t>P</t>
        </is>
      </c>
      <c r="E539" s="93" t="inlineStr">
        <is>
          <t>Maduna Charles</t>
        </is>
      </c>
      <c r="F539" s="94">
        <f>SUMIFS(Investors!$M:$M,Investors!$O:$O,FALSE,Investors!$P:$P,FALSE,Investors!$K:$K,"&gt;"&amp;'NSST Print'!$B$3,Investors!$I:$I,"&lt;="&amp;'NSST Print'!$B$3,Investors!$A:$A,'Investor Exit List'!$A539,Investors!$E:$E,'Investor Exit List'!$C539,Investors!$L:$L,'Investor Exit List'!$B539)-(SUMIFS(Investors!$M:$M,Investors!$I:$I,"&lt;="&amp;'NSST Print'!$B$3,Investors!$J:$J,"&gt;"&amp;'NSST Print'!$B$3,Investors!$A:$A,'Investor Exit List'!$A539,Investors!$E:$E,'Investor Exit List'!$C539,Investors!$L:$L,'Investor Exit List'!$B539)+SUMIFS(Investors!$M:$M,Investors!$I:$I,"&lt;="&amp;'NSST Print'!$B$3,Investors!$J:$J,"",Investors!$A:$A,'Investor Exit List'!$A539,Investors!$E:$E,'Investor Exit List'!$C539,Investors!$L:$L,'Investor Exit List'!$B539))</f>
        <v/>
      </c>
      <c r="G539" s="95" t="n">
        <v>44833</v>
      </c>
      <c r="H539" s="93" t="b">
        <v>0</v>
      </c>
      <c r="I539" s="93" t="b">
        <v>0</v>
      </c>
      <c r="J539" s="95" t="n">
        <v>45491</v>
      </c>
      <c r="K539" s="95">
        <f>IF(I539=TRUE,J539,"")</f>
        <v/>
      </c>
      <c r="L539" s="95">
        <f>G539+730</f>
        <v/>
      </c>
      <c r="M539" s="95" t="n">
        <v>45382</v>
      </c>
      <c r="N539" s="96">
        <f>IFERROR(IF(G539&lt;&gt;"",IF(I539=TRUE,0,IF(U539=TRUE,0,L539-M539)),0),0)</f>
        <v/>
      </c>
      <c r="O539" s="96">
        <f>IF(N539&gt;0,IF(N539&lt;=180,N539,0),0)</f>
        <v/>
      </c>
      <c r="P539" s="94">
        <f>IF(AND(N539&lt;90,N539&gt;0),Q539,0)</f>
        <v/>
      </c>
      <c r="Q539" s="94">
        <f>SUMIFS(Investors!$M:$M,Investors!$O:$O,FALSE,Investors!$P:$P,FALSE,Investors!$K:$K,"&gt;"&amp;'NSST Print'!$B$3,Investors!$I:$I,"&lt;="&amp;'NSST Print'!$B$3,Investors!$A:$A,'Investor Exit List'!$A539,Investors!$E:$E,'Investor Exit List'!$C539,Investors!$L:$L,'Investor Exit List'!$B539)-(SUMIFS(Investors!$M:$M,Investors!$I:$I,"&lt;="&amp;'NSST Print'!$B$3,Investors!$J:$J,"&gt;"&amp;'NSST Print'!$B$3,Investors!$A:$A,'Investor Exit List'!$A539,Investors!$E:$E,'Investor Exit List'!$C539,Investors!$L:$L,'Investor Exit List'!$B539)+SUMIFS(Investors!$M:$M,Investors!$I:$I,"&lt;="&amp;'NSST Print'!$B$3,Investors!$J:$J,"",Investors!$A:$A,'Investor Exit List'!$A539,Investors!$E:$E,'Investor Exit List'!$C539,Investors!$L:$L,'Investor Exit List'!$B539))+SUMIFS(Investors!$S:$S,Investors!$O:$O,FALSE,Investors!$P:$P,FALSE,Investors!$K:$K,"&gt;"&amp;'NSST Print'!$B$3,Investors!$I:$I,"&lt;="&amp;'NSST Print'!$B$3,Investors!$A:$A,'Investor Exit List'!$A539,Investors!$E:$E,'Investor Exit List'!$C539,Investors!$L:$L,'Investor Exit List'!$B539)-(SUMIFS(Investors!$S:$S,Investors!$I:$I,"&lt;="&amp;'NSST Print'!$B$3,Investors!$J:$J,"&gt;"&amp;'NSST Print'!$B$3,Investors!$A:$A,'Investor Exit List'!$A539,Investors!$E:$E,'Investor Exit List'!$C539,Investors!$L:$L,'Investor Exit List'!$B539)+SUMIFS(Investors!$S:$S,Investors!$I:$I,"&lt;="&amp;'NSST Print'!$B$3,Investors!$J:$J,"",Investors!$A:$A,'Investor Exit List'!$A539,Investors!$E:$E,'Investor Exit List'!$C539,Investors!$L:$L,'Investor Exit List'!$B539))</f>
        <v/>
      </c>
      <c r="R539" s="94">
        <f>IF(AND(H539=TRUE,I539=FALSE),Q539,0)</f>
        <v/>
      </c>
      <c r="S539" s="94">
        <f>SUMIFS(Investors!$M:$M,Investors!$O:$O,TRUE,Investors!$A:$A,'Investor Exit List'!$A539,Investors!$E:$E,'Investor Exit List'!$C539,Investors!$L:$L,'Investor Exit List'!$B539)+SUMIFS(Investors!$S:$S,Investors!$O:$O,TRUE,Investors!$A:$A,'Investor Exit List'!$A539,Investors!$E:$E,'Investor Exit List'!$C539,Investors!$L:$L,'Investor Exit List'!$B539)</f>
        <v/>
      </c>
      <c r="T539" s="95">
        <f>IF(U539=TRUE,$J539,"")</f>
        <v/>
      </c>
      <c r="U539" s="93" t="b">
        <v>0</v>
      </c>
      <c r="V539" s="94">
        <f>IF(AND(H539=TRUE,OR(K539="",K539&gt;M539)),S539,0)</f>
        <v/>
      </c>
      <c r="W539" s="93" t="n">
        <v>0</v>
      </c>
      <c r="X539" s="93" t="b">
        <v>0</v>
      </c>
    </row>
    <row r="540" hidden="1">
      <c r="A540" s="89" t="inlineStr">
        <is>
          <t>ZTRU01</t>
        </is>
      </c>
      <c r="B540" s="89" t="n">
        <v>2</v>
      </c>
      <c r="C540" s="89" t="inlineStr">
        <is>
          <t>HVP301</t>
        </is>
      </c>
      <c r="D540" s="89" t="inlineStr">
        <is>
          <t>P</t>
        </is>
      </c>
      <c r="E540" s="89" t="inlineStr">
        <is>
          <t>Truter Cecil Ronald</t>
        </is>
      </c>
      <c r="F540" s="90">
        <f>SUMIFS(Investors!$M:$M,Investors!$O:$O,FALSE,Investors!$P:$P,FALSE,Investors!$K:$K,"&gt;"&amp;'NSST Print'!$B$3,Investors!$I:$I,"&lt;="&amp;'NSST Print'!$B$3,Investors!$A:$A,'Investor Exit List'!$A540,Investors!$E:$E,'Investor Exit List'!$C540,Investors!$L:$L,'Investor Exit List'!$B540)-(SUMIFS(Investors!$M:$M,Investors!$I:$I,"&lt;="&amp;'NSST Print'!$B$3,Investors!$J:$J,"&gt;"&amp;'NSST Print'!$B$3,Investors!$A:$A,'Investor Exit List'!$A540,Investors!$E:$E,'Investor Exit List'!$C540,Investors!$L:$L,'Investor Exit List'!$B540)+SUMIFS(Investors!$M:$M,Investors!$I:$I,"&lt;="&amp;'NSST Print'!$B$3,Investors!$J:$J,"",Investors!$A:$A,'Investor Exit List'!$A540,Investors!$E:$E,'Investor Exit List'!$C540,Investors!$L:$L,'Investor Exit List'!$B540))</f>
        <v/>
      </c>
      <c r="G540" s="91" t="n">
        <v>44868</v>
      </c>
      <c r="H540" s="89" t="b">
        <v>1</v>
      </c>
      <c r="I540" s="89" t="b">
        <v>1</v>
      </c>
      <c r="J540" s="91" t="n">
        <v>45247</v>
      </c>
      <c r="K540" s="91">
        <f>IF(I540=TRUE,J540,"")</f>
        <v/>
      </c>
      <c r="L540" s="91">
        <f>G540+730</f>
        <v/>
      </c>
      <c r="M540" s="91" t="n">
        <v>45382</v>
      </c>
      <c r="N540" s="92">
        <f>IFERROR(IF(G540&lt;&gt;"",IF(I540=TRUE,0,IF(U540=TRUE,0,L540-M540)),0),0)</f>
        <v/>
      </c>
      <c r="O540" s="92">
        <f>IF(N540&gt;0,IF(N540&lt;=180,N540,0),0)</f>
        <v/>
      </c>
      <c r="P540" s="90">
        <f>IF(AND(N540&lt;90,N540&gt;0),Q540,0)</f>
        <v/>
      </c>
      <c r="Q540" s="90">
        <f>SUMIFS(Investors!$M:$M,Investors!$O:$O,FALSE,Investors!$P:$P,FALSE,Investors!$K:$K,"&gt;"&amp;'NSST Print'!$B$3,Investors!$I:$I,"&lt;="&amp;'NSST Print'!$B$3,Investors!$A:$A,'Investor Exit List'!$A540,Investors!$E:$E,'Investor Exit List'!$C540,Investors!$L:$L,'Investor Exit List'!$B540)-(SUMIFS(Investors!$M:$M,Investors!$I:$I,"&lt;="&amp;'NSST Print'!$B$3,Investors!$J:$J,"&gt;"&amp;'NSST Print'!$B$3,Investors!$A:$A,'Investor Exit List'!$A540,Investors!$E:$E,'Investor Exit List'!$C540,Investors!$L:$L,'Investor Exit List'!$B540)+SUMIFS(Investors!$M:$M,Investors!$I:$I,"&lt;="&amp;'NSST Print'!$B$3,Investors!$J:$J,"",Investors!$A:$A,'Investor Exit List'!$A540,Investors!$E:$E,'Investor Exit List'!$C540,Investors!$L:$L,'Investor Exit List'!$B540))+SUMIFS(Investors!$S:$S,Investors!$O:$O,FALSE,Investors!$P:$P,FALSE,Investors!$K:$K,"&gt;"&amp;'NSST Print'!$B$3,Investors!$I:$I,"&lt;="&amp;'NSST Print'!$B$3,Investors!$A:$A,'Investor Exit List'!$A540,Investors!$E:$E,'Investor Exit List'!$C540,Investors!$L:$L,'Investor Exit List'!$B540)-(SUMIFS(Investors!$S:$S,Investors!$I:$I,"&lt;="&amp;'NSST Print'!$B$3,Investors!$J:$J,"&gt;"&amp;'NSST Print'!$B$3,Investors!$A:$A,'Investor Exit List'!$A540,Investors!$E:$E,'Investor Exit List'!$C540,Investors!$L:$L,'Investor Exit List'!$B540)+SUMIFS(Investors!$S:$S,Investors!$I:$I,"&lt;="&amp;'NSST Print'!$B$3,Investors!$J:$J,"",Investors!$A:$A,'Investor Exit List'!$A540,Investors!$E:$E,'Investor Exit List'!$C540,Investors!$L:$L,'Investor Exit List'!$B540))</f>
        <v/>
      </c>
      <c r="R540" s="90">
        <f>IF(AND(H540=TRUE,I540=FALSE),Q540,0)</f>
        <v/>
      </c>
      <c r="S540" s="90">
        <f>SUMIFS(Investors!$M:$M,Investors!$O:$O,TRUE,Investors!$A:$A,'Investor Exit List'!$A540,Investors!$E:$E,'Investor Exit List'!$C540,Investors!$L:$L,'Investor Exit List'!$B540)+SUMIFS(Investors!$S:$S,Investors!$O:$O,TRUE,Investors!$A:$A,'Investor Exit List'!$A540,Investors!$E:$E,'Investor Exit List'!$C540,Investors!$L:$L,'Investor Exit List'!$B540)</f>
        <v/>
      </c>
      <c r="T540" s="91">
        <f>IF(U540=TRUE,$J540,"")</f>
        <v/>
      </c>
      <c r="U540" s="89" t="b">
        <v>0</v>
      </c>
      <c r="V540" s="90">
        <f>IF(AND(H540=TRUE,OR(K540="",K540&gt;M540)),S540,0)</f>
        <v/>
      </c>
      <c r="W540" s="89" t="n">
        <v>0</v>
      </c>
      <c r="X540" s="89" t="b">
        <v>0</v>
      </c>
    </row>
    <row r="541" hidden="1">
      <c r="A541" s="89" t="inlineStr">
        <is>
          <t>ZVAN09</t>
        </is>
      </c>
      <c r="B541" s="89" t="n">
        <v>1</v>
      </c>
      <c r="C541" s="89" t="inlineStr">
        <is>
          <t>HVP301</t>
        </is>
      </c>
      <c r="D541" s="89" t="inlineStr">
        <is>
          <t>P</t>
        </is>
      </c>
      <c r="E541" s="89" t="inlineStr">
        <is>
          <t>van Zyl Eugene Brandt</t>
        </is>
      </c>
      <c r="F541" s="90">
        <f>SUMIFS(Investors!$M:$M,Investors!$O:$O,FALSE,Investors!$P:$P,FALSE,Investors!$K:$K,"&gt;"&amp;'NSST Print'!$B$3,Investors!$I:$I,"&lt;="&amp;'NSST Print'!$B$3,Investors!$A:$A,'Investor Exit List'!$A541,Investors!$E:$E,'Investor Exit List'!$C541,Investors!$L:$L,'Investor Exit List'!$B541)-(SUMIFS(Investors!$M:$M,Investors!$I:$I,"&lt;="&amp;'NSST Print'!$B$3,Investors!$J:$J,"&gt;"&amp;'NSST Print'!$B$3,Investors!$A:$A,'Investor Exit List'!$A541,Investors!$E:$E,'Investor Exit List'!$C541,Investors!$L:$L,'Investor Exit List'!$B541)+SUMIFS(Investors!$M:$M,Investors!$I:$I,"&lt;="&amp;'NSST Print'!$B$3,Investors!$J:$J,"",Investors!$A:$A,'Investor Exit List'!$A541,Investors!$E:$E,'Investor Exit List'!$C541,Investors!$L:$L,'Investor Exit List'!$B541))</f>
        <v/>
      </c>
      <c r="G541" s="91" t="n">
        <v>44833</v>
      </c>
      <c r="H541" s="89" t="b">
        <v>1</v>
      </c>
      <c r="I541" s="89" t="b">
        <v>1</v>
      </c>
      <c r="J541" s="91" t="n">
        <v>45247</v>
      </c>
      <c r="K541" s="91">
        <f>IF(I541=TRUE,J541,"")</f>
        <v/>
      </c>
      <c r="L541" s="91">
        <f>G541+730</f>
        <v/>
      </c>
      <c r="M541" s="91" t="n">
        <v>45382</v>
      </c>
      <c r="N541" s="92">
        <f>IFERROR(IF(G541&lt;&gt;"",IF(I541=TRUE,0,IF(U541=TRUE,0,L541-M541)),0),0)</f>
        <v/>
      </c>
      <c r="O541" s="92">
        <f>IF(N541&gt;0,IF(N541&lt;=180,N541,0),0)</f>
        <v/>
      </c>
      <c r="P541" s="90">
        <f>IF(AND(N541&lt;90,N541&gt;0),Q541,0)</f>
        <v/>
      </c>
      <c r="Q541" s="90">
        <f>SUMIFS(Investors!$M:$M,Investors!$O:$O,FALSE,Investors!$P:$P,FALSE,Investors!$K:$K,"&gt;"&amp;'NSST Print'!$B$3,Investors!$I:$I,"&lt;="&amp;'NSST Print'!$B$3,Investors!$A:$A,'Investor Exit List'!$A541,Investors!$E:$E,'Investor Exit List'!$C541,Investors!$L:$L,'Investor Exit List'!$B541)-(SUMIFS(Investors!$M:$M,Investors!$I:$I,"&lt;="&amp;'NSST Print'!$B$3,Investors!$J:$J,"&gt;"&amp;'NSST Print'!$B$3,Investors!$A:$A,'Investor Exit List'!$A541,Investors!$E:$E,'Investor Exit List'!$C541,Investors!$L:$L,'Investor Exit List'!$B541)+SUMIFS(Investors!$M:$M,Investors!$I:$I,"&lt;="&amp;'NSST Print'!$B$3,Investors!$J:$J,"",Investors!$A:$A,'Investor Exit List'!$A541,Investors!$E:$E,'Investor Exit List'!$C541,Investors!$L:$L,'Investor Exit List'!$B541))+SUMIFS(Investors!$S:$S,Investors!$O:$O,FALSE,Investors!$P:$P,FALSE,Investors!$K:$K,"&gt;"&amp;'NSST Print'!$B$3,Investors!$I:$I,"&lt;="&amp;'NSST Print'!$B$3,Investors!$A:$A,'Investor Exit List'!$A541,Investors!$E:$E,'Investor Exit List'!$C541,Investors!$L:$L,'Investor Exit List'!$B541)-(SUMIFS(Investors!$S:$S,Investors!$I:$I,"&lt;="&amp;'NSST Print'!$B$3,Investors!$J:$J,"&gt;"&amp;'NSST Print'!$B$3,Investors!$A:$A,'Investor Exit List'!$A541,Investors!$E:$E,'Investor Exit List'!$C541,Investors!$L:$L,'Investor Exit List'!$B541)+SUMIFS(Investors!$S:$S,Investors!$I:$I,"&lt;="&amp;'NSST Print'!$B$3,Investors!$J:$J,"",Investors!$A:$A,'Investor Exit List'!$A541,Investors!$E:$E,'Investor Exit List'!$C541,Investors!$L:$L,'Investor Exit List'!$B541))</f>
        <v/>
      </c>
      <c r="R541" s="90">
        <f>IF(AND(H541=TRUE,I541=FALSE),Q541,0)</f>
        <v/>
      </c>
      <c r="S541" s="90">
        <f>SUMIFS(Investors!$M:$M,Investors!$O:$O,TRUE,Investors!$A:$A,'Investor Exit List'!$A541,Investors!$E:$E,'Investor Exit List'!$C541,Investors!$L:$L,'Investor Exit List'!$B541)+SUMIFS(Investors!$S:$S,Investors!$O:$O,TRUE,Investors!$A:$A,'Investor Exit List'!$A541,Investors!$E:$E,'Investor Exit List'!$C541,Investors!$L:$L,'Investor Exit List'!$B541)</f>
        <v/>
      </c>
      <c r="T541" s="91">
        <f>IF(U541=TRUE,$J541,"")</f>
        <v/>
      </c>
      <c r="U541" s="89" t="b">
        <v>0</v>
      </c>
      <c r="V541" s="90">
        <f>IF(AND(H541=TRUE,OR(K541="",K541&gt;M541)),S541,0)</f>
        <v/>
      </c>
      <c r="W541" s="89" t="n">
        <v>0</v>
      </c>
      <c r="X541" s="89" t="b">
        <v>0</v>
      </c>
    </row>
    <row r="542" hidden="1">
      <c r="A542" s="89" t="inlineStr">
        <is>
          <t>ZAFR01</t>
        </is>
      </c>
      <c r="B542" s="89" t="n">
        <v>3</v>
      </c>
      <c r="C542" s="89" t="inlineStr">
        <is>
          <t>HVP302</t>
        </is>
      </c>
      <c r="D542" s="89" t="inlineStr">
        <is>
          <t>P</t>
        </is>
      </c>
      <c r="E542" s="89" t="inlineStr">
        <is>
          <t>Zylstra John Robert</t>
        </is>
      </c>
      <c r="F542" s="90">
        <f>SUMIFS(Investors!$M:$M,Investors!$O:$O,FALSE,Investors!$P:$P,FALSE,Investors!$K:$K,"&gt;"&amp;'NSST Print'!$B$3,Investors!$I:$I,"&lt;="&amp;'NSST Print'!$B$3,Investors!$A:$A,'Investor Exit List'!$A542,Investors!$E:$E,'Investor Exit List'!$C542,Investors!$L:$L,'Investor Exit List'!$B542)-(SUMIFS(Investors!$M:$M,Investors!$I:$I,"&lt;="&amp;'NSST Print'!$B$3,Investors!$J:$J,"&gt;"&amp;'NSST Print'!$B$3,Investors!$A:$A,'Investor Exit List'!$A542,Investors!$E:$E,'Investor Exit List'!$C542,Investors!$L:$L,'Investor Exit List'!$B542)+SUMIFS(Investors!$M:$M,Investors!$I:$I,"&lt;="&amp;'NSST Print'!$B$3,Investors!$J:$J,"",Investors!$A:$A,'Investor Exit List'!$A542,Investors!$E:$E,'Investor Exit List'!$C542,Investors!$L:$L,'Investor Exit List'!$B542))</f>
        <v/>
      </c>
      <c r="G542" s="91" t="n">
        <v>44889</v>
      </c>
      <c r="H542" s="89" t="b">
        <v>1</v>
      </c>
      <c r="I542" s="89" t="b">
        <v>1</v>
      </c>
      <c r="J542" s="91" t="n">
        <v>45271</v>
      </c>
      <c r="K542" s="91">
        <f>IF(I542=TRUE,J542,"")</f>
        <v/>
      </c>
      <c r="L542" s="91">
        <f>G542+730</f>
        <v/>
      </c>
      <c r="M542" s="91" t="n">
        <v>45382</v>
      </c>
      <c r="N542" s="92">
        <f>IFERROR(IF(G542&lt;&gt;"",IF(I542=TRUE,0,IF(U542=TRUE,0,L542-M542)),0),0)</f>
        <v/>
      </c>
      <c r="O542" s="92">
        <f>IF(N542&gt;0,IF(N542&lt;=180,N542,0),0)</f>
        <v/>
      </c>
      <c r="P542" s="90">
        <f>IF(AND(N542&lt;90,N542&gt;0),Q542,0)</f>
        <v/>
      </c>
      <c r="Q542" s="90">
        <f>SUMIFS(Investors!$M:$M,Investors!$O:$O,FALSE,Investors!$P:$P,FALSE,Investors!$K:$K,"&gt;"&amp;'NSST Print'!$B$3,Investors!$I:$I,"&lt;="&amp;'NSST Print'!$B$3,Investors!$A:$A,'Investor Exit List'!$A542,Investors!$E:$E,'Investor Exit List'!$C542,Investors!$L:$L,'Investor Exit List'!$B542)-(SUMIFS(Investors!$M:$M,Investors!$I:$I,"&lt;="&amp;'NSST Print'!$B$3,Investors!$J:$J,"&gt;"&amp;'NSST Print'!$B$3,Investors!$A:$A,'Investor Exit List'!$A542,Investors!$E:$E,'Investor Exit List'!$C542,Investors!$L:$L,'Investor Exit List'!$B542)+SUMIFS(Investors!$M:$M,Investors!$I:$I,"&lt;="&amp;'NSST Print'!$B$3,Investors!$J:$J,"",Investors!$A:$A,'Investor Exit List'!$A542,Investors!$E:$E,'Investor Exit List'!$C542,Investors!$L:$L,'Investor Exit List'!$B542))+SUMIFS(Investors!$S:$S,Investors!$O:$O,FALSE,Investors!$P:$P,FALSE,Investors!$K:$K,"&gt;"&amp;'NSST Print'!$B$3,Investors!$I:$I,"&lt;="&amp;'NSST Print'!$B$3,Investors!$A:$A,'Investor Exit List'!$A542,Investors!$E:$E,'Investor Exit List'!$C542,Investors!$L:$L,'Investor Exit List'!$B542)-(SUMIFS(Investors!$S:$S,Investors!$I:$I,"&lt;="&amp;'NSST Print'!$B$3,Investors!$J:$J,"&gt;"&amp;'NSST Print'!$B$3,Investors!$A:$A,'Investor Exit List'!$A542,Investors!$E:$E,'Investor Exit List'!$C542,Investors!$L:$L,'Investor Exit List'!$B542)+SUMIFS(Investors!$S:$S,Investors!$I:$I,"&lt;="&amp;'NSST Print'!$B$3,Investors!$J:$J,"",Investors!$A:$A,'Investor Exit List'!$A542,Investors!$E:$E,'Investor Exit List'!$C542,Investors!$L:$L,'Investor Exit List'!$B542))</f>
        <v/>
      </c>
      <c r="R542" s="90">
        <f>IF(AND(H542=TRUE,I542=FALSE),Q542,0)</f>
        <v/>
      </c>
      <c r="S542" s="90">
        <f>SUMIFS(Investors!$M:$M,Investors!$O:$O,TRUE,Investors!$A:$A,'Investor Exit List'!$A542,Investors!$E:$E,'Investor Exit List'!$C542,Investors!$L:$L,'Investor Exit List'!$B542)+SUMIFS(Investors!$S:$S,Investors!$O:$O,TRUE,Investors!$A:$A,'Investor Exit List'!$A542,Investors!$E:$E,'Investor Exit List'!$C542,Investors!$L:$L,'Investor Exit List'!$B542)</f>
        <v/>
      </c>
      <c r="T542" s="91">
        <f>IF(U542=TRUE,$J542,"")</f>
        <v/>
      </c>
      <c r="U542" s="89" t="b">
        <v>0</v>
      </c>
      <c r="V542" s="90">
        <f>IF(AND(H542=TRUE,OR(K542="",K542&gt;M542)),S542,0)</f>
        <v/>
      </c>
      <c r="W542" s="89" t="n">
        <v>0</v>
      </c>
      <c r="X542" s="89" t="b">
        <v>0</v>
      </c>
    </row>
    <row r="543" hidden="1">
      <c r="A543" s="89" t="inlineStr">
        <is>
          <t>ZKRO01</t>
        </is>
      </c>
      <c r="B543" s="89" t="n">
        <v>2</v>
      </c>
      <c r="C543" s="89" t="inlineStr">
        <is>
          <t>HVP302</t>
        </is>
      </c>
      <c r="D543" s="89" t="inlineStr">
        <is>
          <t>P</t>
        </is>
      </c>
      <c r="E543" s="89" t="inlineStr">
        <is>
          <t>van der Merwe Frans</t>
        </is>
      </c>
      <c r="F543" s="90">
        <f>SUMIFS(Investors!$M:$M,Investors!$O:$O,FALSE,Investors!$P:$P,FALSE,Investors!$K:$K,"&gt;"&amp;'NSST Print'!$B$3,Investors!$I:$I,"&lt;="&amp;'NSST Print'!$B$3,Investors!$A:$A,'Investor Exit List'!$A543,Investors!$E:$E,'Investor Exit List'!$C543,Investors!$L:$L,'Investor Exit List'!$B543)-(SUMIFS(Investors!$M:$M,Investors!$I:$I,"&lt;="&amp;'NSST Print'!$B$3,Investors!$J:$J,"&gt;"&amp;'NSST Print'!$B$3,Investors!$A:$A,'Investor Exit List'!$A543,Investors!$E:$E,'Investor Exit List'!$C543,Investors!$L:$L,'Investor Exit List'!$B543)+SUMIFS(Investors!$M:$M,Investors!$I:$I,"&lt;="&amp;'NSST Print'!$B$3,Investors!$J:$J,"",Investors!$A:$A,'Investor Exit List'!$A543,Investors!$E:$E,'Investor Exit List'!$C543,Investors!$L:$L,'Investor Exit List'!$B543))</f>
        <v/>
      </c>
      <c r="G543" s="91" t="n">
        <v>44848</v>
      </c>
      <c r="H543" s="89" t="b">
        <v>1</v>
      </c>
      <c r="I543" s="89" t="b">
        <v>1</v>
      </c>
      <c r="J543" s="91" t="n">
        <v>45271</v>
      </c>
      <c r="K543" s="91">
        <f>IF(I543=TRUE,J543,"")</f>
        <v/>
      </c>
      <c r="L543" s="91">
        <f>G543+730</f>
        <v/>
      </c>
      <c r="M543" s="91" t="n">
        <v>45382</v>
      </c>
      <c r="N543" s="92">
        <f>IFERROR(IF(G543&lt;&gt;"",IF(I543=TRUE,0,IF(U543=TRUE,0,L543-M543)),0),0)</f>
        <v/>
      </c>
      <c r="O543" s="92">
        <f>IF(N543&gt;0,IF(N543&lt;=180,N543,0),0)</f>
        <v/>
      </c>
      <c r="P543" s="90">
        <f>IF(AND(N543&lt;90,N543&gt;0),Q543,0)</f>
        <v/>
      </c>
      <c r="Q543" s="90">
        <f>SUMIFS(Investors!$M:$M,Investors!$O:$O,FALSE,Investors!$P:$P,FALSE,Investors!$K:$K,"&gt;"&amp;'NSST Print'!$B$3,Investors!$I:$I,"&lt;="&amp;'NSST Print'!$B$3,Investors!$A:$A,'Investor Exit List'!$A543,Investors!$E:$E,'Investor Exit List'!$C543,Investors!$L:$L,'Investor Exit List'!$B543)-(SUMIFS(Investors!$M:$M,Investors!$I:$I,"&lt;="&amp;'NSST Print'!$B$3,Investors!$J:$J,"&gt;"&amp;'NSST Print'!$B$3,Investors!$A:$A,'Investor Exit List'!$A543,Investors!$E:$E,'Investor Exit List'!$C543,Investors!$L:$L,'Investor Exit List'!$B543)+SUMIFS(Investors!$M:$M,Investors!$I:$I,"&lt;="&amp;'NSST Print'!$B$3,Investors!$J:$J,"",Investors!$A:$A,'Investor Exit List'!$A543,Investors!$E:$E,'Investor Exit List'!$C543,Investors!$L:$L,'Investor Exit List'!$B543))+SUMIFS(Investors!$S:$S,Investors!$O:$O,FALSE,Investors!$P:$P,FALSE,Investors!$K:$K,"&gt;"&amp;'NSST Print'!$B$3,Investors!$I:$I,"&lt;="&amp;'NSST Print'!$B$3,Investors!$A:$A,'Investor Exit List'!$A543,Investors!$E:$E,'Investor Exit List'!$C543,Investors!$L:$L,'Investor Exit List'!$B543)-(SUMIFS(Investors!$S:$S,Investors!$I:$I,"&lt;="&amp;'NSST Print'!$B$3,Investors!$J:$J,"&gt;"&amp;'NSST Print'!$B$3,Investors!$A:$A,'Investor Exit List'!$A543,Investors!$E:$E,'Investor Exit List'!$C543,Investors!$L:$L,'Investor Exit List'!$B543)+SUMIFS(Investors!$S:$S,Investors!$I:$I,"&lt;="&amp;'NSST Print'!$B$3,Investors!$J:$J,"",Investors!$A:$A,'Investor Exit List'!$A543,Investors!$E:$E,'Investor Exit List'!$C543,Investors!$L:$L,'Investor Exit List'!$B543))</f>
        <v/>
      </c>
      <c r="R543" s="90">
        <f>IF(AND(H543=TRUE,I543=FALSE),Q543,0)</f>
        <v/>
      </c>
      <c r="S543" s="90">
        <f>SUMIFS(Investors!$M:$M,Investors!$O:$O,TRUE,Investors!$A:$A,'Investor Exit List'!$A543,Investors!$E:$E,'Investor Exit List'!$C543,Investors!$L:$L,'Investor Exit List'!$B543)+SUMIFS(Investors!$S:$S,Investors!$O:$O,TRUE,Investors!$A:$A,'Investor Exit List'!$A543,Investors!$E:$E,'Investor Exit List'!$C543,Investors!$L:$L,'Investor Exit List'!$B543)</f>
        <v/>
      </c>
      <c r="T543" s="91">
        <f>IF(U543=TRUE,$J543,"")</f>
        <v/>
      </c>
      <c r="U543" s="89" t="b">
        <v>0</v>
      </c>
      <c r="V543" s="90">
        <f>IF(AND(H543=TRUE,OR(K543="",K543&gt;M543)),S543,0)</f>
        <v/>
      </c>
      <c r="W543" s="89" t="n">
        <v>0</v>
      </c>
      <c r="X543" s="89" t="b">
        <v>0</v>
      </c>
    </row>
    <row r="544" hidden="1">
      <c r="A544" s="89" t="inlineStr">
        <is>
          <t>ZNUN01</t>
        </is>
      </c>
      <c r="B544" s="89" t="n">
        <v>6</v>
      </c>
      <c r="C544" s="89" t="inlineStr">
        <is>
          <t>HVP302</t>
        </is>
      </c>
      <c r="D544" s="89" t="inlineStr">
        <is>
          <t>P</t>
        </is>
      </c>
      <c r="E544" s="89" t="inlineStr">
        <is>
          <t>Nunes Francisco Antonio</t>
        </is>
      </c>
      <c r="F544" s="90">
        <f>SUMIFS(Investors!$M:$M,Investors!$O:$O,FALSE,Investors!$P:$P,FALSE,Investors!$K:$K,"&gt;"&amp;'NSST Print'!$B$3,Investors!$I:$I,"&lt;="&amp;'NSST Print'!$B$3,Investors!$A:$A,'Investor Exit List'!$A544,Investors!$E:$E,'Investor Exit List'!$C544,Investors!$L:$L,'Investor Exit List'!$B544)-(SUMIFS(Investors!$M:$M,Investors!$I:$I,"&lt;="&amp;'NSST Print'!$B$3,Investors!$J:$J,"&gt;"&amp;'NSST Print'!$B$3,Investors!$A:$A,'Investor Exit List'!$A544,Investors!$E:$E,'Investor Exit List'!$C544,Investors!$L:$L,'Investor Exit List'!$B544)+SUMIFS(Investors!$M:$M,Investors!$I:$I,"&lt;="&amp;'NSST Print'!$B$3,Investors!$J:$J,"",Investors!$A:$A,'Investor Exit List'!$A544,Investors!$E:$E,'Investor Exit List'!$C544,Investors!$L:$L,'Investor Exit List'!$B544))</f>
        <v/>
      </c>
      <c r="G544" s="91" t="n">
        <v>44876</v>
      </c>
      <c r="H544" s="89" t="b">
        <v>1</v>
      </c>
      <c r="I544" s="89" t="b">
        <v>1</v>
      </c>
      <c r="J544" s="91" t="n">
        <v>45271</v>
      </c>
      <c r="K544" s="91">
        <f>IF(I544=TRUE,J544,"")</f>
        <v/>
      </c>
      <c r="L544" s="91">
        <f>G544+730</f>
        <v/>
      </c>
      <c r="M544" s="91" t="n">
        <v>45382</v>
      </c>
      <c r="N544" s="92">
        <f>IFERROR(IF(G544&lt;&gt;"",IF(I544=TRUE,0,IF(U544=TRUE,0,L544-M544)),0),0)</f>
        <v/>
      </c>
      <c r="O544" s="92">
        <f>IF(N544&gt;0,IF(N544&lt;=180,N544,0),0)</f>
        <v/>
      </c>
      <c r="P544" s="90">
        <f>IF(AND(N544&lt;90,N544&gt;0),Q544,0)</f>
        <v/>
      </c>
      <c r="Q544" s="90">
        <f>SUMIFS(Investors!$M:$M,Investors!$O:$O,FALSE,Investors!$P:$P,FALSE,Investors!$K:$K,"&gt;"&amp;'NSST Print'!$B$3,Investors!$I:$I,"&lt;="&amp;'NSST Print'!$B$3,Investors!$A:$A,'Investor Exit List'!$A544,Investors!$E:$E,'Investor Exit List'!$C544,Investors!$L:$L,'Investor Exit List'!$B544)-(SUMIFS(Investors!$M:$M,Investors!$I:$I,"&lt;="&amp;'NSST Print'!$B$3,Investors!$J:$J,"&gt;"&amp;'NSST Print'!$B$3,Investors!$A:$A,'Investor Exit List'!$A544,Investors!$E:$E,'Investor Exit List'!$C544,Investors!$L:$L,'Investor Exit List'!$B544)+SUMIFS(Investors!$M:$M,Investors!$I:$I,"&lt;="&amp;'NSST Print'!$B$3,Investors!$J:$J,"",Investors!$A:$A,'Investor Exit List'!$A544,Investors!$E:$E,'Investor Exit List'!$C544,Investors!$L:$L,'Investor Exit List'!$B544))+SUMIFS(Investors!$S:$S,Investors!$O:$O,FALSE,Investors!$P:$P,FALSE,Investors!$K:$K,"&gt;"&amp;'NSST Print'!$B$3,Investors!$I:$I,"&lt;="&amp;'NSST Print'!$B$3,Investors!$A:$A,'Investor Exit List'!$A544,Investors!$E:$E,'Investor Exit List'!$C544,Investors!$L:$L,'Investor Exit List'!$B544)-(SUMIFS(Investors!$S:$S,Investors!$I:$I,"&lt;="&amp;'NSST Print'!$B$3,Investors!$J:$J,"&gt;"&amp;'NSST Print'!$B$3,Investors!$A:$A,'Investor Exit List'!$A544,Investors!$E:$E,'Investor Exit List'!$C544,Investors!$L:$L,'Investor Exit List'!$B544)+SUMIFS(Investors!$S:$S,Investors!$I:$I,"&lt;="&amp;'NSST Print'!$B$3,Investors!$J:$J,"",Investors!$A:$A,'Investor Exit List'!$A544,Investors!$E:$E,'Investor Exit List'!$C544,Investors!$L:$L,'Investor Exit List'!$B544))</f>
        <v/>
      </c>
      <c r="R544" s="90">
        <f>IF(AND(H544=TRUE,I544=FALSE),Q544,0)</f>
        <v/>
      </c>
      <c r="S544" s="90">
        <f>SUMIFS(Investors!$M:$M,Investors!$O:$O,TRUE,Investors!$A:$A,'Investor Exit List'!$A544,Investors!$E:$E,'Investor Exit List'!$C544,Investors!$L:$L,'Investor Exit List'!$B544)+SUMIFS(Investors!$S:$S,Investors!$O:$O,TRUE,Investors!$A:$A,'Investor Exit List'!$A544,Investors!$E:$E,'Investor Exit List'!$C544,Investors!$L:$L,'Investor Exit List'!$B544)</f>
        <v/>
      </c>
      <c r="T544" s="91">
        <f>IF(U544=TRUE,$J544,"")</f>
        <v/>
      </c>
      <c r="U544" s="89" t="b">
        <v>0</v>
      </c>
      <c r="V544" s="90">
        <f>IF(AND(H544=TRUE,OR(K544="",K544&gt;M544)),S544,0)</f>
        <v/>
      </c>
      <c r="W544" s="89" t="n">
        <v>0</v>
      </c>
      <c r="X544" s="89" t="b">
        <v>0</v>
      </c>
    </row>
    <row r="545">
      <c r="A545" s="93" t="inlineStr">
        <is>
          <t>ZKRI02</t>
        </is>
      </c>
      <c r="B545" s="93" t="n">
        <v>4</v>
      </c>
      <c r="C545" s="93" t="inlineStr">
        <is>
          <t>HVP303</t>
        </is>
      </c>
      <c r="D545" s="93" t="inlineStr">
        <is>
          <t>P</t>
        </is>
      </c>
      <c r="E545" s="93" t="inlineStr">
        <is>
          <t>Kriel Hermanus Johannes</t>
        </is>
      </c>
      <c r="F545" s="94">
        <f>SUMIFS(Investors!$M:$M,Investors!$O:$O,FALSE,Investors!$P:$P,FALSE,Investors!$K:$K,"&gt;"&amp;'NSST Print'!$B$3,Investors!$I:$I,"&lt;="&amp;'NSST Print'!$B$3,Investors!$A:$A,'Investor Exit List'!$A545,Investors!$E:$E,'Investor Exit List'!$C545,Investors!$L:$L,'Investor Exit List'!$B545)-(SUMIFS(Investors!$M:$M,Investors!$I:$I,"&lt;="&amp;'NSST Print'!$B$3,Investors!$J:$J,"&gt;"&amp;'NSST Print'!$B$3,Investors!$A:$A,'Investor Exit List'!$A545,Investors!$E:$E,'Investor Exit List'!$C545,Investors!$L:$L,'Investor Exit List'!$B545)+SUMIFS(Investors!$M:$M,Investors!$I:$I,"&lt;="&amp;'NSST Print'!$B$3,Investors!$J:$J,"",Investors!$A:$A,'Investor Exit List'!$A545,Investors!$E:$E,'Investor Exit List'!$C545,Investors!$L:$L,'Investor Exit List'!$B545))</f>
        <v/>
      </c>
      <c r="G545" s="95" t="n">
        <v>44861</v>
      </c>
      <c r="H545" s="93" t="b">
        <v>0</v>
      </c>
      <c r="I545" s="93" t="b">
        <v>0</v>
      </c>
      <c r="J545" s="95" t="n">
        <v>45520</v>
      </c>
      <c r="K545" s="95">
        <f>IF(I545=TRUE,J545,"")</f>
        <v/>
      </c>
      <c r="L545" s="95">
        <f>G545+730</f>
        <v/>
      </c>
      <c r="M545" s="95" t="n">
        <v>45382</v>
      </c>
      <c r="N545" s="96">
        <f>IFERROR(IF(G545&lt;&gt;"",IF(I545=TRUE,0,IF(U545=TRUE,0,L545-M545)),0),0)</f>
        <v/>
      </c>
      <c r="O545" s="96">
        <f>IF(N545&gt;0,IF(N545&lt;=180,N545,0),0)</f>
        <v/>
      </c>
      <c r="P545" s="94">
        <f>IF(AND(N545&lt;90,N545&gt;0),Q545,0)</f>
        <v/>
      </c>
      <c r="Q545" s="94">
        <f>SUMIFS(Investors!$M:$M,Investors!$O:$O,FALSE,Investors!$P:$P,FALSE,Investors!$K:$K,"&gt;"&amp;'NSST Print'!$B$3,Investors!$I:$I,"&lt;="&amp;'NSST Print'!$B$3,Investors!$A:$A,'Investor Exit List'!$A545,Investors!$E:$E,'Investor Exit List'!$C545,Investors!$L:$L,'Investor Exit List'!$B545)-(SUMIFS(Investors!$M:$M,Investors!$I:$I,"&lt;="&amp;'NSST Print'!$B$3,Investors!$J:$J,"&gt;"&amp;'NSST Print'!$B$3,Investors!$A:$A,'Investor Exit List'!$A545,Investors!$E:$E,'Investor Exit List'!$C545,Investors!$L:$L,'Investor Exit List'!$B545)+SUMIFS(Investors!$M:$M,Investors!$I:$I,"&lt;="&amp;'NSST Print'!$B$3,Investors!$J:$J,"",Investors!$A:$A,'Investor Exit List'!$A545,Investors!$E:$E,'Investor Exit List'!$C545,Investors!$L:$L,'Investor Exit List'!$B545))+SUMIFS(Investors!$S:$S,Investors!$O:$O,FALSE,Investors!$P:$P,FALSE,Investors!$K:$K,"&gt;"&amp;'NSST Print'!$B$3,Investors!$I:$I,"&lt;="&amp;'NSST Print'!$B$3,Investors!$A:$A,'Investor Exit List'!$A545,Investors!$E:$E,'Investor Exit List'!$C545,Investors!$L:$L,'Investor Exit List'!$B545)-(SUMIFS(Investors!$S:$S,Investors!$I:$I,"&lt;="&amp;'NSST Print'!$B$3,Investors!$J:$J,"&gt;"&amp;'NSST Print'!$B$3,Investors!$A:$A,'Investor Exit List'!$A545,Investors!$E:$E,'Investor Exit List'!$C545,Investors!$L:$L,'Investor Exit List'!$B545)+SUMIFS(Investors!$S:$S,Investors!$I:$I,"&lt;="&amp;'NSST Print'!$B$3,Investors!$J:$J,"",Investors!$A:$A,'Investor Exit List'!$A545,Investors!$E:$E,'Investor Exit List'!$C545,Investors!$L:$L,'Investor Exit List'!$B545))</f>
        <v/>
      </c>
      <c r="R545" s="94">
        <f>IF(AND(H545=TRUE,I545=FALSE),Q545,0)</f>
        <v/>
      </c>
      <c r="S545" s="94">
        <f>SUMIFS(Investors!$M:$M,Investors!$O:$O,TRUE,Investors!$A:$A,'Investor Exit List'!$A545,Investors!$E:$E,'Investor Exit List'!$C545,Investors!$L:$L,'Investor Exit List'!$B545)+SUMIFS(Investors!$S:$S,Investors!$O:$O,TRUE,Investors!$A:$A,'Investor Exit List'!$A545,Investors!$E:$E,'Investor Exit List'!$C545,Investors!$L:$L,'Investor Exit List'!$B545)</f>
        <v/>
      </c>
      <c r="T545" s="95">
        <f>IF(U545=TRUE,$J545,"")</f>
        <v/>
      </c>
      <c r="U545" s="93" t="b">
        <v>0</v>
      </c>
      <c r="V545" s="94">
        <f>IF(AND(H545=TRUE,OR(K545="",K545&gt;M545)),S545,0)</f>
        <v/>
      </c>
      <c r="W545" s="93" t="n">
        <v>0</v>
      </c>
      <c r="X545" s="93" t="b">
        <v>0</v>
      </c>
    </row>
    <row r="546">
      <c r="A546" s="101" t="inlineStr">
        <is>
          <t>ZZUN01</t>
        </is>
      </c>
      <c r="B546" s="101" t="n">
        <v>0</v>
      </c>
      <c r="C546" s="101" t="inlineStr">
        <is>
          <t>HFB215</t>
        </is>
      </c>
      <c r="D546" s="101" t="inlineStr">
        <is>
          <t>B</t>
        </is>
      </c>
      <c r="E546" s="101" t="inlineStr">
        <is>
          <t>Dev Unit</t>
        </is>
      </c>
      <c r="F546" s="101" t="n">
        <v>0</v>
      </c>
      <c r="G546" s="101" t="inlineStr"/>
      <c r="H546" s="101" t="b">
        <v>0</v>
      </c>
      <c r="I546" s="101" t="b">
        <v>0</v>
      </c>
      <c r="J546" s="101" t="inlineStr"/>
      <c r="K546" s="101" t="inlineStr"/>
      <c r="L546" s="101" t="inlineStr"/>
      <c r="M546" s="101" t="inlineStr"/>
      <c r="N546" s="101" t="inlineStr"/>
      <c r="O546" s="101" t="inlineStr"/>
      <c r="P546" s="101" t="inlineStr"/>
      <c r="Q546" s="101" t="inlineStr"/>
      <c r="R546" s="101" t="inlineStr"/>
      <c r="S546" s="101" t="inlineStr"/>
      <c r="T546" s="101" t="inlineStr"/>
      <c r="U546" s="101" t="b">
        <v>0</v>
      </c>
      <c r="V546" s="101" t="inlineStr"/>
      <c r="W546" s="101" t="n">
        <v>1330640.05</v>
      </c>
      <c r="X546" s="101" t="b">
        <v>0</v>
      </c>
    </row>
    <row r="547"/>
  </sheetData>
  <mergeCells count="1">
    <mergeCell ref="A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FF204E"/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39" customWidth="1" min="3" max="3"/>
    <col width="39" customWidth="1" min="4" max="4"/>
  </cols>
  <sheetData>
    <row r="1">
      <c r="E1" s="102" t="inlineStr">
        <is>
          <t>7</t>
        </is>
      </c>
    </row>
    <row r="2">
      <c r="D2" s="103" t="inlineStr">
        <is>
          <t>C.3.b</t>
        </is>
      </c>
    </row>
    <row r="3">
      <c r="A3" s="84" t="inlineStr">
        <is>
          <t>Momentum Interest</t>
        </is>
      </c>
      <c r="B3" s="14" t="n"/>
      <c r="C3" s="14" t="n"/>
      <c r="D3" s="15" t="n"/>
    </row>
    <row r="6">
      <c r="A6" s="104" t="inlineStr">
        <is>
          <t>Month</t>
        </is>
      </c>
      <c r="B6" s="104" t="inlineStr">
        <is>
          <t>Interest</t>
        </is>
      </c>
      <c r="C6" s="104" t="inlineStr">
        <is>
          <t>Advice Fees (Exc Vat)</t>
        </is>
      </c>
      <c r="D6" s="104" t="inlineStr">
        <is>
          <t>Ongoing Advice Fees (Inc Vat)</t>
        </is>
      </c>
    </row>
    <row r="7">
      <c r="A7" s="105" t="n">
        <v>44439</v>
      </c>
      <c r="B7" s="106" t="n">
        <v>0.6899999999999999</v>
      </c>
      <c r="C7" s="106" t="n">
        <v>2.88</v>
      </c>
      <c r="D7" s="106" t="n">
        <v>0</v>
      </c>
    </row>
    <row r="8">
      <c r="A8" s="105" t="n">
        <v>44469</v>
      </c>
      <c r="B8" s="106" t="n">
        <v>6153.47</v>
      </c>
      <c r="C8" s="106" t="n">
        <v>20700</v>
      </c>
      <c r="D8" s="106" t="n">
        <v>142.83</v>
      </c>
    </row>
    <row r="9">
      <c r="A9" s="105" t="n">
        <v>44500</v>
      </c>
      <c r="B9" s="106" t="n">
        <v>27493.93</v>
      </c>
      <c r="C9" s="106" t="n">
        <v>39100</v>
      </c>
      <c r="D9" s="106" t="n">
        <v>1963.75</v>
      </c>
    </row>
    <row r="10">
      <c r="A10" s="105" t="n">
        <v>44530</v>
      </c>
      <c r="B10" s="106" t="n">
        <v>39490.47</v>
      </c>
      <c r="C10" s="106" t="n">
        <v>6612.5</v>
      </c>
      <c r="D10" s="106" t="n">
        <v>4603.54</v>
      </c>
    </row>
    <row r="11">
      <c r="A11" s="105" t="n">
        <v>44561</v>
      </c>
      <c r="B11" s="106" t="n">
        <v>34809.07</v>
      </c>
      <c r="C11" s="106" t="n">
        <v>0</v>
      </c>
      <c r="D11" s="106" t="n">
        <v>4987.02</v>
      </c>
    </row>
    <row r="12">
      <c r="A12" s="105" t="n">
        <v>44592</v>
      </c>
      <c r="B12" s="106" t="n">
        <v>25737.44</v>
      </c>
      <c r="C12" s="106" t="n">
        <v>0</v>
      </c>
      <c r="D12" s="106" t="n">
        <v>3416.75</v>
      </c>
    </row>
    <row r="13">
      <c r="A13" s="105" t="n">
        <v>44620</v>
      </c>
      <c r="B13" s="106" t="n">
        <v>17923.77</v>
      </c>
      <c r="C13" s="106" t="n">
        <v>2012.5</v>
      </c>
      <c r="D13" s="106" t="n">
        <v>2547.7</v>
      </c>
    </row>
    <row r="14">
      <c r="A14" s="105" t="n">
        <v>44651</v>
      </c>
      <c r="B14" s="106" t="n">
        <v>7694.95</v>
      </c>
      <c r="C14" s="106" t="n">
        <v>0</v>
      </c>
      <c r="D14" s="106" t="n">
        <v>1329.87</v>
      </c>
    </row>
    <row r="15">
      <c r="A15" s="105" t="n">
        <v>44681</v>
      </c>
      <c r="B15" s="106" t="n">
        <v>33565.07</v>
      </c>
      <c r="C15" s="106" t="n">
        <v>22274.94</v>
      </c>
      <c r="D15" s="106" t="n">
        <v>561.9</v>
      </c>
    </row>
    <row r="16">
      <c r="A16" s="105" t="n">
        <v>44712</v>
      </c>
      <c r="B16" s="106" t="n">
        <v>19911.29</v>
      </c>
      <c r="C16" s="106" t="n">
        <v>56298.31</v>
      </c>
      <c r="D16" s="106" t="n">
        <v>551.12</v>
      </c>
    </row>
    <row r="17">
      <c r="A17" s="105" t="n">
        <v>44742</v>
      </c>
      <c r="B17" s="106" t="n">
        <v>57111.6</v>
      </c>
      <c r="C17" s="106" t="n">
        <v>80343.78999999999</v>
      </c>
      <c r="D17" s="106" t="n">
        <v>3852.47</v>
      </c>
    </row>
    <row r="18">
      <c r="A18" s="105" t="n">
        <v>44773</v>
      </c>
      <c r="B18" s="106" t="n">
        <v>49997.61</v>
      </c>
      <c r="C18" s="106" t="n">
        <v>55413.57</v>
      </c>
      <c r="D18" s="106" t="n">
        <v>4675.82</v>
      </c>
    </row>
    <row r="19">
      <c r="A19" s="105" t="n">
        <v>44804</v>
      </c>
      <c r="B19" s="106" t="n">
        <v>49010.03</v>
      </c>
      <c r="C19" s="106" t="n">
        <v>30982.39</v>
      </c>
      <c r="D19" s="106" t="n">
        <v>4493.24</v>
      </c>
    </row>
    <row r="20">
      <c r="A20" s="105" t="n">
        <v>44834</v>
      </c>
      <c r="B20" s="106" t="n">
        <v>30938.76</v>
      </c>
      <c r="C20" s="106" t="n">
        <v>10350</v>
      </c>
      <c r="D20" s="106" t="n">
        <v>3425.4</v>
      </c>
    </row>
    <row r="21">
      <c r="A21" s="105" t="n">
        <v>44865</v>
      </c>
      <c r="B21" s="106" t="n">
        <v>31855.81</v>
      </c>
      <c r="C21" s="106" t="n">
        <v>0</v>
      </c>
      <c r="D21" s="106" t="n">
        <v>1362.36</v>
      </c>
    </row>
    <row r="22">
      <c r="A22" s="105" t="n">
        <v>44895</v>
      </c>
      <c r="B22" s="106" t="n">
        <v>57998.29</v>
      </c>
      <c r="C22" s="106" t="n">
        <v>0</v>
      </c>
      <c r="D22" s="106" t="n">
        <v>3649</v>
      </c>
    </row>
    <row r="23">
      <c r="A23" s="105" t="n">
        <v>44926</v>
      </c>
      <c r="B23" s="106" t="n">
        <v>49641.63</v>
      </c>
      <c r="C23" s="106" t="n">
        <v>0</v>
      </c>
      <c r="D23" s="106" t="n">
        <v>2707.2</v>
      </c>
    </row>
    <row r="24">
      <c r="A24" s="105" t="n">
        <v>44957</v>
      </c>
      <c r="B24" s="106" t="n">
        <v>71919.64</v>
      </c>
      <c r="C24" s="106" t="n">
        <v>0</v>
      </c>
      <c r="D24" s="106" t="n">
        <v>1766.93</v>
      </c>
    </row>
    <row r="25">
      <c r="A25" s="105" t="n">
        <v>44985</v>
      </c>
      <c r="B25" s="106" t="n">
        <v>116840.82</v>
      </c>
      <c r="C25" s="106" t="n">
        <v>0</v>
      </c>
      <c r="D25" s="106" t="n">
        <v>6530.48</v>
      </c>
    </row>
    <row r="26">
      <c r="A26" s="105" t="n">
        <v>45016</v>
      </c>
      <c r="B26" s="106" t="n">
        <v>224301.31</v>
      </c>
      <c r="C26" s="106" t="n">
        <v>0</v>
      </c>
      <c r="D26" s="106" t="n">
        <v>5945.09</v>
      </c>
    </row>
    <row r="27">
      <c r="A27" s="105" t="n">
        <v>45046</v>
      </c>
      <c r="B27" s="106" t="n">
        <v>106203.74</v>
      </c>
      <c r="C27" s="106" t="n">
        <v>0</v>
      </c>
      <c r="D27" s="106" t="n">
        <v>9664.42</v>
      </c>
    </row>
    <row r="28">
      <c r="A28" s="105" t="n">
        <v>45077</v>
      </c>
      <c r="B28" s="106" t="n">
        <v>222519.64</v>
      </c>
      <c r="C28" s="106" t="n">
        <v>0</v>
      </c>
      <c r="D28" s="106" t="n">
        <v>6054.16</v>
      </c>
    </row>
    <row r="29">
      <c r="A29" s="105" t="n">
        <v>45107</v>
      </c>
      <c r="B29" s="106" t="n">
        <v>393896.21</v>
      </c>
      <c r="C29" s="106" t="n">
        <v>0</v>
      </c>
      <c r="D29" s="106" t="n">
        <v>12101.97</v>
      </c>
    </row>
    <row r="30">
      <c r="A30" s="105" t="n">
        <v>45138</v>
      </c>
      <c r="B30" s="106" t="n">
        <v>259590.93</v>
      </c>
      <c r="C30" s="106" t="n">
        <v>0</v>
      </c>
      <c r="D30" s="106" t="n">
        <v>17468.09</v>
      </c>
    </row>
    <row r="31">
      <c r="A31" s="105" t="n">
        <v>45169</v>
      </c>
      <c r="B31" s="106" t="n">
        <v>241364.67</v>
      </c>
      <c r="C31" s="106" t="n">
        <v>0</v>
      </c>
      <c r="D31" s="106" t="n">
        <v>14897.28</v>
      </c>
    </row>
    <row r="32">
      <c r="A32" s="105" t="n">
        <v>45199</v>
      </c>
      <c r="B32" s="106" t="n">
        <v>291385.94</v>
      </c>
      <c r="C32" s="106" t="n">
        <v>0</v>
      </c>
      <c r="D32" s="106" t="n">
        <v>17422.06</v>
      </c>
    </row>
    <row r="33">
      <c r="A33" s="105" t="n">
        <v>45230</v>
      </c>
      <c r="B33" s="106" t="n">
        <v>342067.18</v>
      </c>
      <c r="C33" s="106" t="n">
        <v>0</v>
      </c>
      <c r="D33" s="106" t="n">
        <v>21887.62</v>
      </c>
    </row>
    <row r="34">
      <c r="A34" s="105" t="n">
        <v>45260</v>
      </c>
      <c r="B34" s="106" t="n">
        <v>289283.88</v>
      </c>
      <c r="C34" s="106" t="n">
        <v>0</v>
      </c>
      <c r="D34" s="106" t="n">
        <v>20676.71</v>
      </c>
    </row>
    <row r="35">
      <c r="A35" s="105" t="n">
        <v>45291</v>
      </c>
      <c r="B35" s="106" t="n">
        <v>158795.4</v>
      </c>
      <c r="C35" s="106" t="n">
        <v>0</v>
      </c>
      <c r="D35" s="106" t="n">
        <v>13562.87</v>
      </c>
    </row>
    <row r="36">
      <c r="A36" s="105" t="n">
        <v>45322</v>
      </c>
      <c r="B36" s="106" t="n">
        <v>125751.22</v>
      </c>
      <c r="C36" s="106" t="n">
        <v>0</v>
      </c>
      <c r="D36" s="106" t="n">
        <v>8270.969999999999</v>
      </c>
    </row>
    <row r="37">
      <c r="A37" s="105" t="n">
        <v>45351</v>
      </c>
      <c r="B37" s="106" t="n">
        <v>98288.58</v>
      </c>
      <c r="C37" s="106" t="n">
        <v>0</v>
      </c>
      <c r="D37" s="106" t="n">
        <v>7449.16</v>
      </c>
    </row>
    <row r="38">
      <c r="A38" s="107" t="inlineStr">
        <is>
          <t>TOTAL</t>
        </is>
      </c>
      <c r="B38" s="108">
        <f>SUM(B7:B37)</f>
        <v/>
      </c>
      <c r="C38" s="108">
        <f>SUM(C7:C37)</f>
        <v/>
      </c>
      <c r="D38" s="108">
        <f>SUM(D7:D37)</f>
        <v/>
      </c>
    </row>
    <row r="40">
      <c r="A40" s="109" t="inlineStr">
        <is>
          <t>MOMENTUM INVESTOR CAPITAL</t>
        </is>
      </c>
      <c r="B40" s="110">
        <f>(SUMIFS(Investors!$M:$M,Investors!$I:$I,"&lt;="&amp;'NSST Print'!B3,Investors!$J:$J,"&gt;"&amp;'NSST Print'!B3)+SUMIFS(Investors!$M:$M,Investors!$I:$I,"&lt;="&amp;'NSST Print'!B3,Investors!$J:$J,""))</f>
        <v/>
      </c>
      <c r="C40" s="111" t="n"/>
      <c r="D40" s="112" t="inlineStr">
        <is>
          <t>per App</t>
        </is>
      </c>
    </row>
    <row r="41">
      <c r="A41" s="16" t="inlineStr">
        <is>
          <t>MOMENTUM INTEREST EARNED SINCE INCEPTION</t>
        </is>
      </c>
      <c r="B41" s="113">
        <f>+B38</f>
        <v/>
      </c>
      <c r="D41" s="17" t="inlineStr">
        <is>
          <t>from Momentum</t>
        </is>
      </c>
    </row>
    <row r="42">
      <c r="A42" s="16" t="inlineStr">
        <is>
          <t xml:space="preserve">MOMENTUM ADVICE FEES </t>
        </is>
      </c>
      <c r="B42" s="113">
        <f>+D38</f>
        <v/>
      </c>
      <c r="D42" s="17" t="inlineStr">
        <is>
          <t>from Momentum</t>
        </is>
      </c>
    </row>
    <row r="43">
      <c r="A43" s="16" t="inlineStr">
        <is>
          <t>NET INTEREST</t>
        </is>
      </c>
      <c r="B43" s="113">
        <f>+B38-D38</f>
        <v/>
      </c>
      <c r="D43" s="17" t="inlineStr">
        <is>
          <t>Interest less Ongoing Advice Fees</t>
        </is>
      </c>
    </row>
    <row r="44">
      <c r="A44" s="16" t="inlineStr">
        <is>
          <t>ADVICE FEES</t>
        </is>
      </c>
      <c r="B44" s="113">
        <f>+C38</f>
        <v/>
      </c>
      <c r="D44" s="17" t="inlineStr"/>
    </row>
    <row r="45">
      <c r="A45" s="16" t="inlineStr">
        <is>
          <t>TOTAL INTEREST IN ACCOUNT</t>
        </is>
      </c>
      <c r="B45" s="113">
        <f>+B38-D38-C38</f>
        <v/>
      </c>
      <c r="D45" s="17" t="inlineStr"/>
    </row>
    <row r="46">
      <c r="A46" s="16" t="inlineStr">
        <is>
          <t>MOMENTUM INTEREST DRAWN TO DATE</t>
        </is>
      </c>
      <c r="B46" s="113" t="n">
        <v>1861191.23</v>
      </c>
      <c r="D46" s="17" t="inlineStr">
        <is>
          <t>Interest Draw on 3 October 2023</t>
        </is>
      </c>
    </row>
    <row r="47">
      <c r="A47" s="16" t="inlineStr">
        <is>
          <t>TOTAL MOMENTUM DRAWS</t>
        </is>
      </c>
      <c r="B47" s="113">
        <f>SUMIFS(Investors!$M:$M,Investors!$J:$J,"&lt;="&amp;'NSST Print'!B3)+137832.56</f>
        <v/>
      </c>
      <c r="D47" s="17" t="inlineStr"/>
    </row>
    <row r="48">
      <c r="A48" s="16" t="inlineStr">
        <is>
          <t>GLC NOT ON DRAW</t>
        </is>
      </c>
      <c r="B48" s="114" t="n">
        <v>4183000.82</v>
      </c>
      <c r="D48" s="17" t="inlineStr"/>
    </row>
    <row r="49">
      <c r="A49" s="16" t="inlineStr">
        <is>
          <t>C Oberholzer incorrect amount</t>
        </is>
      </c>
      <c r="B49" s="114" t="n">
        <v>-455</v>
      </c>
      <c r="D49" s="17" t="inlineStr"/>
    </row>
    <row r="50">
      <c r="A50" s="16" t="inlineStr">
        <is>
          <t>Draw 10 (Rudlynn Trust)</t>
        </is>
      </c>
      <c r="B50" s="114" t="n">
        <v>-150000</v>
      </c>
      <c r="D50" s="17" t="inlineStr"/>
    </row>
    <row r="51">
      <c r="A51" s="16" t="inlineStr">
        <is>
          <t>MOMENTUM BALANCE</t>
        </is>
      </c>
      <c r="B51" s="115" t="n">
        <v>0</v>
      </c>
      <c r="D51" s="17" t="inlineStr">
        <is>
          <t>Momentum Statement Balance</t>
        </is>
      </c>
    </row>
    <row r="52">
      <c r="A52" s="16" t="n"/>
      <c r="B52" s="113" t="n"/>
      <c r="D52" s="17" t="n"/>
    </row>
    <row r="53">
      <c r="A53" s="16" t="inlineStr"/>
      <c r="B53" s="113" t="inlineStr">
        <is>
          <t>RECONCILIATION</t>
        </is>
      </c>
      <c r="D53" s="17" t="inlineStr"/>
    </row>
    <row r="54">
      <c r="A54" s="16" t="n"/>
      <c r="B54" s="113" t="n"/>
      <c r="D54" s="17" t="n"/>
    </row>
    <row r="55">
      <c r="A55" s="16" t="inlineStr">
        <is>
          <t>Momentum Statement</t>
        </is>
      </c>
      <c r="B55" s="113">
        <f>+B51</f>
        <v/>
      </c>
      <c r="D55" s="17" t="inlineStr">
        <is>
          <t>per Statement</t>
        </is>
      </c>
    </row>
    <row r="56">
      <c r="A56" s="16" t="inlineStr">
        <is>
          <t>Momentum Xero</t>
        </is>
      </c>
      <c r="B56" s="113">
        <f>Dashboard!B13</f>
        <v/>
      </c>
      <c r="D56" s="17" t="inlineStr">
        <is>
          <t>Per App</t>
        </is>
      </c>
    </row>
    <row r="57">
      <c r="A57" s="16" t="inlineStr">
        <is>
          <t>Difference</t>
        </is>
      </c>
      <c r="B57" s="113">
        <f>+B55-B56</f>
        <v/>
      </c>
      <c r="D57" s="17" t="inlineStr"/>
    </row>
    <row r="58">
      <c r="A58" s="16" t="n"/>
      <c r="B58" s="113" t="n"/>
      <c r="D58" s="17" t="n"/>
    </row>
    <row r="59">
      <c r="A59" s="16" t="inlineStr">
        <is>
          <t>Momentum Xero</t>
        </is>
      </c>
      <c r="B59" s="113">
        <f>Dashboard!B13</f>
        <v/>
      </c>
      <c r="D59" s="17" t="inlineStr">
        <is>
          <t>per Xero</t>
        </is>
      </c>
    </row>
    <row r="60">
      <c r="A60" s="16" t="inlineStr">
        <is>
          <t>Momentum - App</t>
        </is>
      </c>
      <c r="B60" s="113">
        <f>(SUMIFS(Investors!$M:$M,Investors!$I:$I,"&lt;="&amp;'NSST Print'!B3,Investors!$J:$J,"&gt;"&amp;'NSST Print'!B3)+SUMIFS(Investors!$M:$M,Investors!$I:$I,"&lt;="&amp;'NSST Print'!B3,Investors!$J:$J,""))</f>
        <v/>
      </c>
      <c r="D60" s="17" t="inlineStr">
        <is>
          <t>per App</t>
        </is>
      </c>
    </row>
    <row r="61">
      <c r="A61" s="16" t="inlineStr">
        <is>
          <t>Difference</t>
        </is>
      </c>
      <c r="B61" s="113">
        <f>+B59-B60</f>
        <v/>
      </c>
      <c r="D61" s="17" t="inlineStr">
        <is>
          <t>Reconciled Below</t>
        </is>
      </c>
    </row>
    <row r="62">
      <c r="A62" s="16" t="n"/>
      <c r="B62" s="113" t="n"/>
      <c r="D62" s="17" t="n"/>
    </row>
    <row r="63">
      <c r="A63" s="16" t="inlineStr">
        <is>
          <t>TOTAL INTEREST IN ACCOUNT</t>
        </is>
      </c>
      <c r="B63" s="113">
        <f>+B38-D38-C38</f>
        <v/>
      </c>
      <c r="D63" s="17" t="inlineStr"/>
    </row>
    <row r="64">
      <c r="A64" s="16" t="inlineStr">
        <is>
          <t>MOMENTUM INTEREST DRAWN TO DATE</t>
        </is>
      </c>
      <c r="B64" s="113" t="n">
        <v>1861191.23</v>
      </c>
      <c r="D64" s="17" t="inlineStr">
        <is>
          <t>Interest Draw on 3 October 2023</t>
        </is>
      </c>
    </row>
    <row r="65">
      <c r="A65" s="16" t="inlineStr"/>
      <c r="B65" s="113">
        <f>+B63-B64</f>
        <v/>
      </c>
      <c r="D65" s="17" t="inlineStr"/>
    </row>
    <row r="66">
      <c r="A66" s="16" t="inlineStr"/>
      <c r="B66" s="113" t="n">
        <v>137832.56</v>
      </c>
      <c r="D66" s="17" t="inlineStr">
        <is>
          <t>Interest STBB</t>
        </is>
      </c>
    </row>
    <row r="67">
      <c r="A67" s="16" t="inlineStr"/>
      <c r="B67" s="113">
        <f>B65-B66-B68</f>
        <v/>
      </c>
      <c r="D67" s="17" t="inlineStr">
        <is>
          <t>to be reconciled</t>
        </is>
      </c>
    </row>
    <row r="68">
      <c r="A68" s="16" t="inlineStr"/>
      <c r="B68" s="113">
        <f>B61</f>
        <v/>
      </c>
      <c r="D68" s="17" t="inlineStr"/>
    </row>
    <row r="69">
      <c r="A69" s="16" t="n"/>
      <c r="B69" s="116" t="n"/>
      <c r="D69" s="17" t="n"/>
    </row>
    <row r="70">
      <c r="A70" s="45" t="n"/>
      <c r="B70" s="117" t="n"/>
      <c r="C70" s="46" t="n"/>
      <c r="D70" s="47" t="n"/>
    </row>
  </sheetData>
  <mergeCells count="30">
    <mergeCell ref="A3:D3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551A8B"/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18" t="inlineStr">
        <is>
          <t>Checklist</t>
        </is>
      </c>
    </row>
    <row r="5">
      <c r="A5" t="inlineStr">
        <is>
          <t>Check</t>
        </is>
      </c>
      <c r="B5" t="inlineStr">
        <is>
          <t>Explanation</t>
        </is>
      </c>
      <c r="C5" t="inlineStr">
        <is>
          <t xml:space="preserve"> Option 1</t>
        </is>
      </c>
      <c r="D5" t="inlineStr">
        <is>
          <t>Option 2</t>
        </is>
      </c>
      <c r="E5" t="inlineStr">
        <is>
          <t>Difference</t>
        </is>
      </c>
      <c r="F5" t="inlineStr">
        <is>
          <t>Reason for Difference</t>
        </is>
      </c>
    </row>
    <row r="6">
      <c r="A6" t="inlineStr">
        <is>
          <t>Funds Drawn Down</t>
        </is>
      </c>
      <c r="B6" t="inlineStr">
        <is>
          <t>Momentum vs NSST</t>
        </is>
      </c>
      <c r="C6">
        <f>Momentum!B47-Momentum!B66</f>
        <v/>
      </c>
      <c r="D6">
        <f>'NSST Print'!B8</f>
        <v/>
      </c>
      <c r="E6">
        <f>C6-D6</f>
        <v/>
      </c>
      <c r="F6" t="inlineStr"/>
    </row>
    <row r="7">
      <c r="A7" t="inlineStr">
        <is>
          <t>Momentum Investment Account</t>
        </is>
      </c>
      <c r="B7" t="inlineStr">
        <is>
          <t>Momentum Xero vs NSST Balance</t>
        </is>
      </c>
      <c r="C7">
        <f>Momentum!B56</f>
        <v/>
      </c>
      <c r="D7">
        <f>'NSST Print'!B9</f>
        <v/>
      </c>
      <c r="E7">
        <f>C7-D7</f>
        <v/>
      </c>
      <c r="F7" t="inlineStr"/>
    </row>
    <row r="8">
      <c r="A8" t="inlineStr">
        <is>
          <t>Momentum Balance</t>
        </is>
      </c>
      <c r="B8" t="inlineStr">
        <is>
          <t>Momentum vs Xero</t>
        </is>
      </c>
      <c r="C8">
        <f>Momentum!B51</f>
        <v/>
      </c>
      <c r="D8">
        <f>Momentum!B56</f>
        <v/>
      </c>
      <c r="E8">
        <f>C8-D8</f>
        <v/>
      </c>
      <c r="F8" t="inlineStr"/>
    </row>
    <row r="9">
      <c r="A9" t="inlineStr">
        <is>
          <t>Capital Still in Investments</t>
        </is>
      </c>
      <c r="B9" t="inlineStr">
        <is>
          <t>NSST vs Investor Exit List</t>
        </is>
      </c>
      <c r="C9">
        <f>'NSST Print'!B13</f>
        <v/>
      </c>
      <c r="D9">
        <f>'Investor Exit List'!F3</f>
        <v/>
      </c>
      <c r="E9">
        <f>C9-D9</f>
        <v/>
      </c>
      <c r="F9" t="inlineStr"/>
    </row>
    <row r="10">
      <c r="A10" t="inlineStr">
        <is>
          <t>Funds Available</t>
        </is>
      </c>
      <c r="B10" t="inlineStr">
        <is>
          <t>Dashboard vs Projection</t>
        </is>
      </c>
      <c r="C10">
        <f>'Cashflow Projection'!D55</f>
        <v/>
      </c>
      <c r="D10">
        <f>Dashboard!B20</f>
        <v/>
      </c>
      <c r="E10">
        <f>C10-D10</f>
        <v/>
      </c>
      <c r="F10" t="inlineStr"/>
    </row>
    <row r="11">
      <c r="A11" t="inlineStr">
        <is>
          <t>Units Unsold and Remaining</t>
        </is>
      </c>
      <c r="B11" t="inlineStr">
        <is>
          <t>NSST vs Investor Exit Report</t>
        </is>
      </c>
      <c r="C11">
        <f>'NSST Print'!D20+'NSST Print'!E20</f>
        <v/>
      </c>
      <c r="D11">
        <f>'Investor Exit List'!A3</f>
        <v/>
      </c>
      <c r="E11">
        <f>C11-D11</f>
        <v/>
      </c>
      <c r="F11" t="inlineStr"/>
    </row>
    <row r="12">
      <c r="A12" t="inlineStr">
        <is>
          <t>Investments Still in Development</t>
        </is>
      </c>
      <c r="B12" t="inlineStr">
        <is>
          <t>NSST vs Investor Exit Report</t>
        </is>
      </c>
      <c r="C12">
        <f>'NSST Print'!B17</f>
        <v/>
      </c>
      <c r="D12">
        <f>'NSST Print'!B17</f>
        <v/>
      </c>
      <c r="E12">
        <f>C12-D12</f>
        <v/>
      </c>
      <c r="F12" t="inlineStr"/>
    </row>
    <row r="13">
      <c r="A13" t="inlineStr">
        <is>
          <t>Total Income</t>
        </is>
      </c>
      <c r="B13" t="inlineStr">
        <is>
          <t>NSST vs Investor Exit Report</t>
        </is>
      </c>
      <c r="C13">
        <f>Dashboard!B11</f>
        <v/>
      </c>
      <c r="D13">
        <f>'Cashflow Projection'!D6</f>
        <v/>
      </c>
      <c r="E13">
        <f>C13-D13</f>
        <v/>
      </c>
      <c r="F13" t="inlineStr"/>
    </row>
    <row r="14">
      <c r="A14" t="inlineStr">
        <is>
          <t>Toatal Cash</t>
        </is>
      </c>
      <c r="B14" t="inlineStr">
        <is>
          <t>NSST vs Investor Exit Report</t>
        </is>
      </c>
      <c r="C14">
        <f>Dashboard!B20</f>
        <v/>
      </c>
      <c r="D14">
        <f>'Cashflow Projection'!D55</f>
        <v/>
      </c>
      <c r="E14">
        <f>C14-D14</f>
        <v/>
      </c>
      <c r="F14" t="inlineStr"/>
    </row>
    <row r="15">
      <c r="A15" t="inlineStr">
        <is>
          <t>Total Costs to Complete</t>
        </is>
      </c>
      <c r="B15" t="inlineStr">
        <is>
          <t>Dashboard vs Projection</t>
        </is>
      </c>
      <c r="C15">
        <f>Dashboard!B24</f>
        <v/>
      </c>
      <c r="D15">
        <f>'Cashflow Projection'!D32</f>
        <v/>
      </c>
      <c r="E15">
        <f>C15-D15</f>
        <v/>
      </c>
      <c r="F15" t="inlineStr"/>
    </row>
    <row r="16">
      <c r="A16" t="inlineStr">
        <is>
          <t>Total Running Costs</t>
        </is>
      </c>
      <c r="B16" t="inlineStr">
        <is>
          <t>Dashboard vs Projection</t>
        </is>
      </c>
      <c r="C16">
        <f>Dashboard!B24</f>
        <v/>
      </c>
      <c r="D16">
        <f>'Cashflow Projection'!D32</f>
        <v/>
      </c>
      <c r="E16">
        <f>C16-D16</f>
        <v/>
      </c>
      <c r="F16" t="inlineStr"/>
    </row>
    <row r="17">
      <c r="A17" t="inlineStr">
        <is>
          <t>Total VAT Payable / Receivable</t>
        </is>
      </c>
      <c r="B17" t="inlineStr">
        <is>
          <t>Dashboard vs Projection</t>
        </is>
      </c>
      <c r="C17">
        <f>Dashboard!B26</f>
        <v/>
      </c>
      <c r="D17">
        <f>'Cashflow Projection'!D27+'Cashflow Projection'!D49</f>
        <v/>
      </c>
      <c r="E17">
        <f>C17-D17</f>
        <v/>
      </c>
      <c r="F17" t="inlineStr"/>
    </row>
    <row r="18">
      <c r="A18" t="inlineStr">
        <is>
          <t>Total Net Effect</t>
        </is>
      </c>
      <c r="B18" t="inlineStr">
        <is>
          <t>Dashboard vs Projection</t>
        </is>
      </c>
      <c r="C18">
        <f>Dashboard!B30</f>
        <v/>
      </c>
      <c r="D18">
        <f>'Cashflow Projection'!X55</f>
        <v/>
      </c>
      <c r="E18">
        <f>C18-D18</f>
        <v/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2024-04-08T10:44:41Z</dcterms:created>
  <dcterms:modified xmlns:dcterms="http://purl.org/dc/terms/" xmlns:xsi="http://www.w3.org/2001/XMLSchema-instance" xsi:type="dcterms:W3CDTF">2024-04-08T10:44:41Z</dcterms:modified>
</cp:coreProperties>
</file>